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mc:AlternateContent xmlns:mc="http://schemas.openxmlformats.org/markup-compatibility/2006">
    <mc:Choice Requires="x15">
      <x15ac:absPath xmlns:x15ac="http://schemas.microsoft.com/office/spreadsheetml/2010/11/ac" url="https://acted.sharepoint.com/sites/IMPACTUKR/Documents partages/ISU/UKR2308_MSNA_23/02_Data/04_Data_Analysis/01_Frequency_tables/MSNA_F2F_CATI_output/Frequency tables to publish/Corrected/"/>
    </mc:Choice>
  </mc:AlternateContent>
  <xr:revisionPtr revIDLastSave="261" documentId="13_ncr:1_{8819B1E5-E305-40D5-A971-0DC6344DC2B2}" xr6:coauthVersionLast="47" xr6:coauthVersionMax="47" xr10:uidLastSave="{95EB06B7-E278-49D5-ADC2-94F4878BE242}"/>
  <bookViews>
    <workbookView xWindow="-108" yWindow="-108" windowWidth="23256" windowHeight="12576" activeTab="2" xr2:uid="{00000000-000D-0000-FFFF-FFFF00000000}"/>
  </bookViews>
  <sheets>
    <sheet name="READ_ME" sheetId="3" r:id="rId1"/>
    <sheet name="Table_of_Contents" sheetId="1" r:id="rId2"/>
    <sheet name="Data" sheetId="2" r:id="rId3"/>
  </sheets>
  <definedNames>
    <definedName name="_xlnm._FilterDatabase" localSheetId="2" hidden="1">Data!$B$1:$C$12993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331" i="1" l="1"/>
  <c r="I339" i="1"/>
  <c r="A339" i="1"/>
  <c r="I338" i="1"/>
  <c r="A338" i="1"/>
  <c r="I337" i="1"/>
  <c r="A337" i="1"/>
  <c r="I336" i="1"/>
  <c r="A336" i="1"/>
  <c r="I335" i="1"/>
  <c r="A335" i="1"/>
  <c r="I334" i="1"/>
  <c r="A334" i="1"/>
  <c r="I333" i="1"/>
  <c r="I332" i="1"/>
  <c r="A332" i="1"/>
  <c r="I344" i="1"/>
  <c r="A344" i="1"/>
  <c r="I343" i="1"/>
  <c r="A343" i="1"/>
  <c r="I342" i="1"/>
  <c r="A342" i="1"/>
  <c r="I341" i="1"/>
  <c r="A341" i="1"/>
  <c r="I340" i="1"/>
  <c r="A340" i="1"/>
  <c r="A433" i="1"/>
  <c r="A432" i="1"/>
  <c r="A431" i="1"/>
  <c r="A430" i="1"/>
  <c r="A429" i="1"/>
  <c r="A428" i="1"/>
  <c r="A427" i="1"/>
  <c r="A426" i="1"/>
  <c r="A425" i="1"/>
  <c r="A424" i="1"/>
  <c r="A423" i="1"/>
  <c r="A422" i="1"/>
  <c r="A421" i="1"/>
  <c r="A420" i="1"/>
  <c r="A419" i="1"/>
  <c r="A418" i="1"/>
  <c r="A417" i="1"/>
  <c r="A416" i="1"/>
  <c r="A415" i="1"/>
  <c r="A414" i="1"/>
  <c r="A413" i="1"/>
  <c r="A412" i="1"/>
  <c r="A411" i="1"/>
  <c r="A410" i="1"/>
  <c r="A409" i="1"/>
  <c r="A408" i="1"/>
  <c r="A407" i="1"/>
  <c r="A406" i="1"/>
  <c r="A405" i="1"/>
  <c r="A404" i="1"/>
  <c r="A403" i="1"/>
  <c r="A402" i="1"/>
  <c r="A401" i="1"/>
  <c r="A400" i="1"/>
  <c r="A399" i="1"/>
  <c r="A398" i="1"/>
  <c r="A397" i="1"/>
  <c r="A396" i="1"/>
  <c r="A395" i="1"/>
  <c r="A394" i="1"/>
  <c r="A393" i="1"/>
  <c r="A392" i="1"/>
  <c r="A391" i="1"/>
  <c r="A390" i="1"/>
  <c r="A389" i="1"/>
  <c r="A388" i="1"/>
  <c r="A387" i="1"/>
  <c r="A386" i="1"/>
  <c r="A385" i="1"/>
  <c r="A384" i="1"/>
  <c r="A724" i="1" l="1"/>
  <c r="A723" i="1"/>
  <c r="A722" i="1"/>
  <c r="A721" i="1"/>
  <c r="A720" i="1"/>
  <c r="A719" i="1"/>
  <c r="A718" i="1"/>
  <c r="A717" i="1"/>
  <c r="A716" i="1"/>
  <c r="A715" i="1"/>
  <c r="A714" i="1"/>
  <c r="A713" i="1"/>
  <c r="A712" i="1"/>
  <c r="A711" i="1"/>
  <c r="A710" i="1"/>
  <c r="A709" i="1"/>
  <c r="A708" i="1"/>
  <c r="A707" i="1"/>
  <c r="A706" i="1"/>
  <c r="A705" i="1"/>
  <c r="A704" i="1"/>
  <c r="A703" i="1"/>
  <c r="A702" i="1"/>
  <c r="A701" i="1"/>
  <c r="A700" i="1"/>
  <c r="A699" i="1"/>
  <c r="A698" i="1"/>
  <c r="A697" i="1"/>
  <c r="A696" i="1"/>
  <c r="A695" i="1"/>
  <c r="A694" i="1"/>
  <c r="A693" i="1"/>
  <c r="A692" i="1"/>
  <c r="A691" i="1"/>
  <c r="A690" i="1"/>
  <c r="A689" i="1"/>
  <c r="A688" i="1"/>
  <c r="A687" i="1"/>
  <c r="A686" i="1"/>
  <c r="A685" i="1"/>
  <c r="A684" i="1"/>
  <c r="A683" i="1"/>
  <c r="A682" i="1"/>
  <c r="A681" i="1"/>
  <c r="A680" i="1"/>
  <c r="A679" i="1"/>
  <c r="A678" i="1"/>
  <c r="A677" i="1"/>
  <c r="A676" i="1"/>
  <c r="A675" i="1"/>
  <c r="A674" i="1"/>
  <c r="A673" i="1"/>
  <c r="A672" i="1"/>
  <c r="A671" i="1"/>
  <c r="A670" i="1"/>
  <c r="A669" i="1"/>
  <c r="A668" i="1" l="1"/>
  <c r="A667" i="1"/>
  <c r="A666" i="1"/>
  <c r="A665" i="1"/>
  <c r="A664" i="1"/>
  <c r="A656" i="1"/>
  <c r="A650" i="1"/>
  <c r="A644" i="1"/>
  <c r="A638" i="1"/>
  <c r="A629" i="1"/>
  <c r="A594" i="1"/>
  <c r="A587" i="1"/>
  <c r="A582" i="1"/>
  <c r="A575" i="1"/>
  <c r="A568" i="1"/>
  <c r="A560" i="1"/>
  <c r="A554" i="1"/>
  <c r="A547" i="1"/>
  <c r="A540" i="1"/>
  <c r="A533" i="1"/>
  <c r="A506" i="1"/>
  <c r="A498" i="1"/>
  <c r="A488" i="1"/>
  <c r="A479" i="1"/>
  <c r="A470" i="1"/>
  <c r="A461" i="1"/>
  <c r="A452" i="1"/>
  <c r="A442" i="1"/>
  <c r="A366" i="1"/>
  <c r="A352" i="1"/>
  <c r="A330" i="1"/>
  <c r="A297" i="1"/>
  <c r="A289" i="1"/>
  <c r="A199" i="1"/>
  <c r="A192" i="1"/>
  <c r="A167" i="1"/>
  <c r="A153" i="1"/>
  <c r="A146" i="1"/>
  <c r="A139" i="1"/>
  <c r="A131" i="1"/>
  <c r="A124" i="1"/>
  <c r="A116" i="1"/>
  <c r="A100" i="1"/>
  <c r="A92" i="1"/>
  <c r="A85" i="1"/>
  <c r="A77" i="1"/>
  <c r="A70" i="1"/>
  <c r="A63" i="1"/>
  <c r="A57" i="1"/>
  <c r="A50" i="1"/>
  <c r="A45" i="1"/>
  <c r="A39" i="1"/>
  <c r="A33" i="1"/>
  <c r="A27" i="1"/>
  <c r="A14" i="1"/>
  <c r="A507" i="1"/>
  <c r="A505" i="1"/>
  <c r="A504" i="1"/>
  <c r="A503" i="1"/>
  <c r="A502" i="1"/>
  <c r="A501" i="1"/>
  <c r="A500" i="1"/>
  <c r="A499" i="1"/>
  <c r="A497" i="1"/>
  <c r="A496" i="1"/>
  <c r="A495" i="1"/>
  <c r="A494" i="1"/>
  <c r="A493" i="1"/>
  <c r="A492" i="1"/>
  <c r="A491" i="1"/>
  <c r="A490" i="1"/>
  <c r="A485" i="1"/>
  <c r="A484" i="1"/>
  <c r="A483" i="1"/>
  <c r="A482" i="1"/>
  <c r="A481" i="1"/>
  <c r="A480" i="1"/>
  <c r="A478" i="1"/>
  <c r="A477" i="1"/>
  <c r="A476" i="1"/>
  <c r="A475" i="1"/>
  <c r="A474" i="1"/>
  <c r="A473" i="1"/>
  <c r="A472" i="1"/>
  <c r="A471" i="1"/>
  <c r="A469" i="1"/>
  <c r="A468" i="1"/>
  <c r="A467" i="1"/>
  <c r="A466" i="1"/>
  <c r="A465" i="1"/>
  <c r="A464" i="1"/>
  <c r="A463" i="1"/>
  <c r="A462" i="1"/>
  <c r="A460" i="1"/>
  <c r="A459" i="1"/>
  <c r="A458" i="1"/>
  <c r="A457" i="1"/>
  <c r="A456" i="1"/>
  <c r="A455" i="1"/>
  <c r="A454" i="1"/>
  <c r="A453" i="1"/>
  <c r="A451" i="1"/>
  <c r="A450" i="1"/>
  <c r="A449" i="1"/>
  <c r="A448" i="1"/>
  <c r="A447" i="1"/>
  <c r="A446" i="1"/>
  <c r="A445" i="1"/>
  <c r="A444" i="1"/>
  <c r="A443" i="1"/>
  <c r="A441" i="1"/>
  <c r="A440" i="1"/>
  <c r="A439" i="1"/>
  <c r="A438" i="1"/>
  <c r="A437" i="1"/>
  <c r="A436" i="1"/>
  <c r="A435" i="1"/>
  <c r="A434" i="1"/>
  <c r="A378" i="1"/>
  <c r="A649" i="1"/>
  <c r="A648" i="1"/>
  <c r="A647" i="1"/>
  <c r="A646" i="1"/>
  <c r="A645" i="1"/>
  <c r="A643" i="1"/>
  <c r="A642" i="1"/>
  <c r="A641" i="1"/>
  <c r="A640" i="1"/>
  <c r="A639" i="1"/>
  <c r="A588" i="1"/>
  <c r="A586" i="1"/>
  <c r="A585" i="1"/>
  <c r="A584" i="1"/>
  <c r="A583" i="1"/>
  <c r="A567" i="1"/>
  <c r="A566" i="1"/>
  <c r="A565" i="1"/>
  <c r="A564" i="1"/>
  <c r="A563" i="1"/>
  <c r="A562" i="1"/>
  <c r="A539" i="1"/>
  <c r="A538" i="1"/>
  <c r="A537" i="1"/>
  <c r="A536" i="1"/>
  <c r="A535" i="1"/>
  <c r="A534" i="1"/>
  <c r="A532" i="1"/>
  <c r="A531" i="1"/>
  <c r="A530" i="1"/>
  <c r="A529" i="1"/>
  <c r="A528" i="1"/>
  <c r="A527" i="1"/>
  <c r="A489" i="1"/>
  <c r="A487" i="1"/>
  <c r="A486" i="1"/>
  <c r="A62" i="1"/>
  <c r="A61" i="1"/>
  <c r="A60" i="1"/>
  <c r="A59" i="1"/>
  <c r="A58" i="1"/>
  <c r="A56" i="1"/>
  <c r="A55" i="1"/>
  <c r="A54" i="1"/>
  <c r="A53" i="1"/>
  <c r="A52" i="1"/>
  <c r="A383" i="1"/>
  <c r="A382" i="1"/>
  <c r="A381" i="1"/>
  <c r="A380" i="1"/>
  <c r="A379" i="1"/>
  <c r="A377" i="1"/>
  <c r="A351" i="1"/>
  <c r="A350" i="1"/>
  <c r="A349" i="1"/>
  <c r="A348" i="1"/>
  <c r="A347" i="1"/>
  <c r="A346" i="1"/>
  <c r="A345" i="1"/>
  <c r="A333" i="1"/>
  <c r="A329" i="1"/>
  <c r="A328" i="1"/>
  <c r="A327" i="1"/>
  <c r="A326" i="1"/>
  <c r="A325" i="1"/>
  <c r="A324" i="1"/>
  <c r="A323" i="1"/>
  <c r="A322" i="1"/>
  <c r="A292" i="1"/>
  <c r="A291" i="1"/>
  <c r="A290" i="1"/>
  <c r="A288" i="1"/>
  <c r="A287" i="1"/>
  <c r="A286" i="1"/>
  <c r="A285" i="1"/>
  <c r="A198" i="1"/>
  <c r="A197" i="1"/>
  <c r="A196" i="1"/>
  <c r="A195" i="1"/>
  <c r="A194" i="1"/>
  <c r="A663" i="1"/>
  <c r="A662" i="1"/>
  <c r="A661" i="1"/>
  <c r="A660" i="1"/>
  <c r="A659" i="1"/>
  <c r="A658" i="1"/>
  <c r="A657" i="1"/>
  <c r="A655" i="1"/>
  <c r="A654" i="1"/>
  <c r="A653" i="1"/>
  <c r="A652" i="1"/>
  <c r="A651" i="1"/>
  <c r="A637" i="1"/>
  <c r="A636" i="1"/>
  <c r="A635" i="1"/>
  <c r="A634" i="1"/>
  <c r="A633" i="1"/>
  <c r="A632" i="1"/>
  <c r="A631" i="1"/>
  <c r="A630" i="1"/>
  <c r="A628" i="1"/>
  <c r="A627" i="1"/>
  <c r="A626" i="1"/>
  <c r="A625" i="1"/>
  <c r="A624" i="1"/>
  <c r="A623" i="1"/>
  <c r="A622" i="1"/>
  <c r="A621" i="1"/>
  <c r="A620" i="1"/>
  <c r="A619" i="1"/>
  <c r="A618" i="1"/>
  <c r="A617" i="1"/>
  <c r="A616" i="1"/>
  <c r="A615" i="1"/>
  <c r="A614" i="1"/>
  <c r="A613" i="1"/>
  <c r="A612" i="1"/>
  <c r="A611" i="1"/>
  <c r="A610" i="1"/>
  <c r="A609" i="1"/>
  <c r="A608" i="1"/>
  <c r="A607" i="1"/>
  <c r="A606" i="1"/>
  <c r="A605" i="1"/>
  <c r="A604" i="1"/>
  <c r="A603" i="1"/>
  <c r="A602" i="1"/>
  <c r="A601" i="1"/>
  <c r="A600" i="1"/>
  <c r="A599" i="1"/>
  <c r="A598" i="1"/>
  <c r="A597" i="1"/>
  <c r="A596" i="1"/>
  <c r="A595" i="1"/>
  <c r="A593" i="1"/>
  <c r="A592" i="1"/>
  <c r="A591" i="1"/>
  <c r="A590" i="1"/>
  <c r="A589" i="1"/>
  <c r="A581" i="1"/>
  <c r="A580" i="1"/>
  <c r="A579" i="1"/>
  <c r="A578" i="1"/>
  <c r="A577" i="1"/>
  <c r="A576" i="1"/>
  <c r="A574" i="1"/>
  <c r="A573" i="1"/>
  <c r="A572" i="1"/>
  <c r="A571" i="1"/>
  <c r="A570" i="1"/>
  <c r="A569" i="1"/>
  <c r="A561" i="1"/>
  <c r="A559" i="1"/>
  <c r="A558" i="1"/>
  <c r="A557" i="1"/>
  <c r="A556" i="1"/>
  <c r="A555" i="1"/>
  <c r="A553" i="1"/>
  <c r="A552" i="1"/>
  <c r="A551" i="1"/>
  <c r="A550" i="1"/>
  <c r="A549" i="1"/>
  <c r="A548" i="1"/>
  <c r="A546" i="1"/>
  <c r="A545" i="1"/>
  <c r="A544" i="1"/>
  <c r="A543" i="1"/>
  <c r="A542" i="1"/>
  <c r="A541" i="1"/>
  <c r="A526" i="1"/>
  <c r="A525" i="1"/>
  <c r="A524" i="1"/>
  <c r="A523" i="1"/>
  <c r="A522" i="1"/>
  <c r="A521" i="1"/>
  <c r="A520" i="1"/>
  <c r="A519" i="1"/>
  <c r="A518" i="1"/>
  <c r="A517" i="1"/>
  <c r="A516" i="1"/>
  <c r="A515" i="1"/>
  <c r="A514" i="1"/>
  <c r="A513" i="1"/>
  <c r="A512" i="1"/>
  <c r="A511" i="1"/>
  <c r="A510" i="1"/>
  <c r="A509" i="1"/>
  <c r="A508" i="1"/>
  <c r="A376" i="1"/>
  <c r="A375" i="1"/>
  <c r="A374" i="1"/>
  <c r="A373" i="1"/>
  <c r="A372" i="1"/>
  <c r="A371" i="1"/>
  <c r="A370" i="1"/>
  <c r="A369" i="1"/>
  <c r="A368" i="1"/>
  <c r="A367" i="1"/>
  <c r="A365" i="1"/>
  <c r="A364" i="1"/>
  <c r="A363" i="1"/>
  <c r="A362" i="1"/>
  <c r="A361" i="1"/>
  <c r="A360" i="1"/>
  <c r="A359" i="1"/>
  <c r="A358" i="1"/>
  <c r="A357" i="1"/>
  <c r="A356" i="1"/>
  <c r="A355" i="1"/>
  <c r="A354" i="1"/>
  <c r="A353" i="1"/>
  <c r="A321" i="1"/>
  <c r="A320" i="1"/>
  <c r="A319" i="1"/>
  <c r="A318" i="1"/>
  <c r="A317" i="1"/>
  <c r="A316" i="1"/>
  <c r="A315" i="1"/>
  <c r="A314" i="1"/>
  <c r="A313" i="1"/>
  <c r="A312" i="1"/>
  <c r="A311" i="1"/>
  <c r="A310" i="1"/>
  <c r="A309" i="1"/>
  <c r="A308" i="1"/>
  <c r="A307" i="1"/>
  <c r="A306" i="1"/>
  <c r="A305" i="1"/>
  <c r="A304" i="1"/>
  <c r="A303" i="1"/>
  <c r="A302" i="1"/>
  <c r="A301" i="1"/>
  <c r="A300" i="1"/>
  <c r="A299" i="1"/>
  <c r="A298" i="1"/>
  <c r="A296" i="1"/>
  <c r="A295" i="1"/>
  <c r="A294" i="1"/>
  <c r="A293" i="1"/>
  <c r="A284" i="1"/>
  <c r="A283" i="1"/>
  <c r="A282" i="1"/>
  <c r="A281" i="1"/>
  <c r="A280" i="1"/>
  <c r="A279" i="1"/>
  <c r="A278" i="1"/>
  <c r="A277" i="1"/>
  <c r="A276" i="1"/>
  <c r="A275" i="1"/>
  <c r="A274" i="1"/>
  <c r="A273" i="1"/>
  <c r="A272" i="1"/>
  <c r="A271" i="1"/>
  <c r="A270" i="1"/>
  <c r="A269" i="1"/>
  <c r="A268" i="1"/>
  <c r="A267" i="1"/>
  <c r="A266" i="1"/>
  <c r="A265" i="1"/>
  <c r="A264" i="1"/>
  <c r="A263" i="1"/>
  <c r="A262" i="1"/>
  <c r="A261" i="1"/>
  <c r="A260" i="1"/>
  <c r="A259" i="1"/>
  <c r="A258" i="1"/>
  <c r="A257" i="1"/>
  <c r="A256" i="1"/>
  <c r="A255" i="1"/>
  <c r="A254" i="1"/>
  <c r="A253" i="1"/>
  <c r="A252" i="1"/>
  <c r="A251" i="1"/>
  <c r="A250" i="1"/>
  <c r="A249" i="1"/>
  <c r="A248" i="1"/>
  <c r="A247" i="1"/>
  <c r="A246" i="1"/>
  <c r="A245" i="1"/>
  <c r="A244" i="1"/>
  <c r="A243" i="1"/>
  <c r="A242" i="1"/>
  <c r="A241" i="1"/>
  <c r="A240" i="1"/>
  <c r="A239" i="1"/>
  <c r="A238" i="1"/>
  <c r="A237" i="1"/>
  <c r="A236" i="1"/>
  <c r="A235" i="1"/>
  <c r="A234" i="1"/>
  <c r="A233" i="1"/>
  <c r="A232" i="1"/>
  <c r="A231" i="1"/>
  <c r="A230" i="1"/>
  <c r="A229" i="1"/>
  <c r="A228" i="1"/>
  <c r="A227" i="1"/>
  <c r="A226" i="1"/>
  <c r="A225" i="1"/>
  <c r="A224" i="1"/>
  <c r="A223" i="1"/>
  <c r="A222" i="1"/>
  <c r="A221" i="1"/>
  <c r="A220" i="1"/>
  <c r="A219" i="1"/>
  <c r="A218" i="1"/>
  <c r="A217" i="1"/>
  <c r="A216" i="1"/>
  <c r="A215" i="1"/>
  <c r="A214" i="1"/>
  <c r="A213" i="1"/>
  <c r="A212" i="1"/>
  <c r="A211" i="1"/>
  <c r="A210" i="1"/>
  <c r="A209" i="1"/>
  <c r="A208" i="1"/>
  <c r="A207" i="1"/>
  <c r="A206" i="1"/>
  <c r="A205" i="1"/>
  <c r="A204" i="1"/>
  <c r="A203" i="1"/>
  <c r="A202" i="1"/>
  <c r="A201" i="1"/>
  <c r="A200" i="1"/>
  <c r="A193" i="1"/>
  <c r="A191" i="1"/>
  <c r="A190" i="1"/>
  <c r="A189" i="1"/>
  <c r="A188" i="1"/>
  <c r="A187" i="1"/>
  <c r="A186" i="1"/>
  <c r="A185" i="1"/>
  <c r="A184" i="1"/>
  <c r="A183" i="1"/>
  <c r="A182" i="1"/>
  <c r="A181" i="1"/>
  <c r="A180" i="1"/>
  <c r="A179" i="1"/>
  <c r="A178" i="1"/>
  <c r="A177" i="1"/>
  <c r="A176" i="1"/>
  <c r="A175" i="1"/>
  <c r="A174" i="1"/>
  <c r="A173" i="1"/>
  <c r="A172" i="1"/>
  <c r="A171" i="1"/>
  <c r="A170" i="1"/>
  <c r="A169" i="1"/>
  <c r="A168" i="1"/>
  <c r="A166" i="1"/>
  <c r="A165" i="1"/>
  <c r="A164" i="1"/>
  <c r="A163" i="1"/>
  <c r="A162" i="1"/>
  <c r="A161" i="1"/>
  <c r="A160" i="1"/>
  <c r="A159" i="1"/>
  <c r="A158" i="1"/>
  <c r="A157" i="1"/>
  <c r="A156" i="1"/>
  <c r="A155" i="1"/>
  <c r="A154" i="1"/>
  <c r="A152" i="1"/>
  <c r="A151" i="1"/>
  <c r="A150" i="1"/>
  <c r="A149" i="1"/>
  <c r="A148" i="1"/>
  <c r="A147" i="1"/>
  <c r="A145" i="1"/>
  <c r="A144" i="1"/>
  <c r="A143" i="1"/>
  <c r="A142" i="1"/>
  <c r="A141" i="1"/>
  <c r="A140" i="1"/>
  <c r="A138" i="1"/>
  <c r="A137" i="1"/>
  <c r="A136" i="1"/>
  <c r="A135" i="1"/>
  <c r="A134" i="1"/>
  <c r="A133" i="1"/>
  <c r="A132" i="1"/>
  <c r="A130" i="1"/>
  <c r="A129" i="1"/>
  <c r="A128" i="1"/>
  <c r="A127" i="1"/>
  <c r="A126" i="1"/>
  <c r="A125" i="1"/>
  <c r="A123" i="1"/>
  <c r="A122" i="1"/>
  <c r="A121" i="1"/>
  <c r="A120" i="1"/>
  <c r="A119" i="1"/>
  <c r="A118" i="1"/>
  <c r="A117" i="1"/>
  <c r="A115" i="1"/>
  <c r="A114" i="1"/>
  <c r="A113" i="1"/>
  <c r="A112" i="1"/>
  <c r="A111" i="1"/>
  <c r="A110" i="1"/>
  <c r="A109" i="1"/>
  <c r="A99" i="1"/>
  <c r="A98" i="1"/>
  <c r="A97" i="1"/>
  <c r="A96" i="1"/>
  <c r="A95" i="1"/>
  <c r="A94" i="1"/>
  <c r="A93" i="1"/>
  <c r="A91" i="1"/>
  <c r="A90" i="1"/>
  <c r="A89" i="1"/>
  <c r="A88" i="1"/>
  <c r="A87" i="1"/>
  <c r="A86" i="1"/>
  <c r="A84" i="1"/>
  <c r="A83" i="1"/>
  <c r="A82" i="1"/>
  <c r="A81" i="1"/>
  <c r="A80" i="1"/>
  <c r="A79" i="1"/>
  <c r="A78" i="1"/>
  <c r="A76" i="1"/>
  <c r="A75" i="1"/>
  <c r="A74" i="1"/>
  <c r="A73" i="1"/>
  <c r="A72" i="1"/>
  <c r="A71" i="1"/>
  <c r="A69" i="1"/>
  <c r="A68" i="1"/>
  <c r="A67" i="1"/>
  <c r="A66" i="1"/>
  <c r="A65" i="1"/>
  <c r="A64" i="1"/>
  <c r="A51" i="1"/>
  <c r="A49" i="1"/>
  <c r="A48" i="1"/>
  <c r="A47" i="1"/>
  <c r="A46" i="1"/>
  <c r="A44" i="1"/>
  <c r="A43" i="1"/>
  <c r="A42" i="1"/>
  <c r="A41" i="1"/>
  <c r="A40" i="1"/>
  <c r="A38" i="1"/>
  <c r="A37" i="1"/>
  <c r="A36" i="1"/>
  <c r="A35" i="1"/>
  <c r="A34" i="1"/>
  <c r="A32" i="1"/>
  <c r="A31" i="1"/>
  <c r="A30" i="1"/>
  <c r="A29" i="1"/>
  <c r="A28" i="1"/>
  <c r="A26" i="1"/>
  <c r="A25" i="1"/>
  <c r="A24" i="1"/>
  <c r="A23" i="1"/>
  <c r="A22" i="1"/>
  <c r="A21" i="1"/>
  <c r="A20" i="1"/>
  <c r="A19" i="1"/>
  <c r="A18" i="1"/>
  <c r="A17" i="1"/>
  <c r="A16" i="1"/>
  <c r="A15" i="1"/>
  <c r="A13" i="1"/>
  <c r="A12" i="1"/>
  <c r="A11" i="1"/>
  <c r="A10" i="1"/>
  <c r="A9" i="1"/>
  <c r="A8" i="1"/>
  <c r="A7" i="1"/>
  <c r="A6" i="1"/>
  <c r="A5" i="1"/>
  <c r="A4" i="1"/>
  <c r="A3" i="1"/>
  <c r="A2" i="1"/>
</calcChain>
</file>

<file path=xl/sharedStrings.xml><?xml version="1.0" encoding="utf-8"?>
<sst xmlns="http://schemas.openxmlformats.org/spreadsheetml/2006/main" count="124182" uniqueCount="2871">
  <si>
    <t>REACH Ukraine | Multi-Sector Needs Assessment (MSNA) 2023 | Macroregion Frequency Tables</t>
  </si>
  <si>
    <t>Items</t>
  </si>
  <si>
    <t>Description</t>
  </si>
  <si>
    <t xml:space="preserve">Background &amp; Rationale </t>
  </si>
  <si>
    <t xml:space="preserve">Since the escalation of the war in Ukraine in February 2022, nearly 5.1 million people have been displaced internally across the country, nearly 4.8 million displaced persons have returned to their homes, and more than 6.2 million refugees from Ukraine have been recorded globally. Over the course of 2022 and 2023 the conflict has caused the destruction of and damage to houses and infrastructure, disrupting service provision and exacerbating humanitarian needs. As the situation stabilises in parts of the country and impacts appear more localised in areas close to the front line, the continued generation of multi-sectoral data is crucial to understanding the evolving humanitarian context and needs of affected populations for the 17.6 million people are estimated to be in need of humanitarian assistance in Ukraine in 2023.
Thus, at the request of the Humanitarian Country Team (HCT) REACH, in partnership with the World Food Programme (WFP) and in coordination with OCHA and the Cluster lead agencies, implemented a country-wide Multi-Sector Needs Assessment (MSNA) across all government-controlled areas (GCA) of Ukraine. The MSNA aims to build an evidence-base for improved humanitarian programming by collecting representative, household-level data to increase understanding of vulnerable demographics, the scope and severity humanitarian needs across the country, as well as barriers to assistance and displacement patterns. The data and subsequent analytical outputs are intended to inform the People-in-Need (PIN) calculations and 2024 Humanitarian Needs Overview (HNO), and inform strategic planning for the 2024 Humanitarian Response Plan (HRP) and other planning exercises. </t>
  </si>
  <si>
    <t>Methodology</t>
  </si>
  <si>
    <r>
      <rPr>
        <sz val="10"/>
        <color rgb="FF000000"/>
        <rFont val="Arial Narrow"/>
      </rPr>
      <t xml:space="preserve">In total, 13,322 household interviews were conducted between 21 June and 1 August across 105 raions in 24 oblasts, through a combination of face-to-face and telephone interviews. The methodology and sampling approaches can be further read in the MSNA 2023 Terms of Reference, however, for the purposes of this product it is important to understand that the MSNA was designed to be representative to a 95% confidence level and 7% margin of error for oblasts, raions and 'grouped' raions, depending on the stratification. Therefore, when related to subsets of the total sample, findings should be considered as indicative and not representative. 
</t>
    </r>
    <r>
      <rPr>
        <b/>
        <sz val="10"/>
        <color rgb="FF000000"/>
        <rFont val="Arial Narrow"/>
      </rPr>
      <t>Some subsets are too small even to draw indicative conclusions: rows with sample size of 30 or less are highlighted in red due to a general rule of thumb that samples of 30 or less cannot be used as their distribution may be uneven and therefore misleading.</t>
    </r>
  </si>
  <si>
    <t>Product Navigation</t>
  </si>
  <si>
    <r>
      <rPr>
        <sz val="10"/>
        <color rgb="FF000000"/>
        <rFont val="Arial Narrow"/>
      </rPr>
      <t xml:space="preserve">This REACH product presents frequency tables of MSNA indicators stratified at the macro-region, oblast or raion levels (identified through the title). These frequency tables have been grouped by sector and can be navigated using the hyperlinks in the 'Table of Contents' sheet. These links will automatically take the reader to the relevant frequency table with its disaggregation. Frequency table disaggregation may include any of the below (HH = household, HoHH = head of household);
</t>
    </r>
    <r>
      <rPr>
        <b/>
        <sz val="10"/>
        <color rgb="FF000000"/>
        <rFont val="Arial Narrow"/>
      </rPr>
      <t>- By rural/urban</t>
    </r>
    <r>
      <rPr>
        <sz val="10"/>
        <color rgb="FF000000"/>
        <rFont val="Arial Narrow"/>
      </rPr>
      <t xml:space="preserve"> - Rural HHs, Urban HHs
</t>
    </r>
    <r>
      <rPr>
        <b/>
        <sz val="10"/>
        <color rgb="FF000000"/>
        <rFont val="Arial Narrow"/>
      </rPr>
      <t>- By disability</t>
    </r>
    <r>
      <rPr>
        <sz val="10"/>
        <color rgb="FF000000"/>
        <rFont val="Arial Narrow"/>
      </rPr>
      <t xml:space="preserve"> - HHs with a member with a disability (Washington Group Severity Score 3 or 4), HHs without a member with a disability
</t>
    </r>
    <r>
      <rPr>
        <b/>
        <sz val="10"/>
        <color rgb="FF000000"/>
        <rFont val="Arial Narrow"/>
      </rPr>
      <t>- By displacement status</t>
    </r>
    <r>
      <rPr>
        <sz val="10"/>
        <color rgb="FF000000"/>
        <rFont val="Arial Narrow"/>
      </rPr>
      <t xml:space="preserve"> - Displaced HHs, Non-Displaced HHs, Returnee HHs
</t>
    </r>
    <r>
      <rPr>
        <b/>
        <sz val="10"/>
        <color rgb="FF000000"/>
        <rFont val="Arial Narrow"/>
      </rPr>
      <t xml:space="preserve">- By employment status </t>
    </r>
    <r>
      <rPr>
        <sz val="10"/>
        <color rgb="FF000000"/>
        <rFont val="Arial Narrow"/>
      </rPr>
      <t xml:space="preserve">- HHs with an employed member, HHs without an employed member
</t>
    </r>
    <r>
      <rPr>
        <b/>
        <sz val="10"/>
        <color rgb="FF000000"/>
        <rFont val="Arial Narrow"/>
      </rPr>
      <t>- By HH proximity to the frontline or Russian border</t>
    </r>
    <r>
      <rPr>
        <sz val="10"/>
        <color rgb="FF000000"/>
        <rFont val="Arial Narrow"/>
      </rPr>
      <t xml:space="preserve"> - HHs living in raions along the Russian border or frontline, HHs in raions away the Russian border or frontline
</t>
    </r>
    <r>
      <rPr>
        <b/>
        <sz val="10"/>
        <color rgb="FF000000"/>
        <rFont val="Arial Narrow"/>
      </rPr>
      <t>- By HH size</t>
    </r>
    <r>
      <rPr>
        <sz val="10"/>
        <color rgb="FF000000"/>
        <rFont val="Arial Narrow"/>
      </rPr>
      <t xml:space="preserve"> - Regular (&lt;3 children) HHs, Large (3 or more children) HHs
</t>
    </r>
    <r>
      <rPr>
        <b/>
        <sz val="10"/>
        <color rgb="FF000000"/>
        <rFont val="Arial Narrow"/>
      </rPr>
      <t xml:space="preserve">- By HHs with/without children </t>
    </r>
    <r>
      <rPr>
        <sz val="10"/>
        <color rgb="FF000000"/>
        <rFont val="Arial Narrow"/>
      </rPr>
      <t xml:space="preserve">- HHs with Child (&lt;18 y.o.), HHs without Child (&lt;18 y.o.)
</t>
    </r>
    <r>
      <rPr>
        <b/>
        <sz val="10"/>
        <color rgb="FF000000"/>
        <rFont val="Arial Narrow"/>
      </rPr>
      <t xml:space="preserve">- By HH child and sex composition </t>
    </r>
    <r>
      <rPr>
        <sz val="10"/>
        <color rgb="FF000000"/>
        <rFont val="Arial Narrow"/>
      </rPr>
      <t xml:space="preserve">- HHs with girls; HHs with boys; HHs with girls and boys; HHs without children
</t>
    </r>
    <r>
      <rPr>
        <b/>
        <sz val="10"/>
        <color rgb="FF000000"/>
        <rFont val="Arial Narrow"/>
      </rPr>
      <t>- By HHs with/without young children</t>
    </r>
    <r>
      <rPr>
        <sz val="10"/>
        <color rgb="FF000000"/>
        <rFont val="Arial Narrow"/>
      </rPr>
      <t xml:space="preserve"> - HHs with a young child (2-5 y.o.), HHs without a young child (2-5 y.o.)
</t>
    </r>
    <r>
      <rPr>
        <b/>
        <sz val="10"/>
        <color rgb="FF000000"/>
        <rFont val="Arial Narrow"/>
      </rPr>
      <t xml:space="preserve">- By HHs with/without infant children </t>
    </r>
    <r>
      <rPr>
        <sz val="10"/>
        <color rgb="FF000000"/>
        <rFont val="Arial Narrow"/>
      </rPr>
      <t xml:space="preserve">- HHs with an infant (0-2 y.o.), HHs without an infant (0-2 y.o.)
</t>
    </r>
    <r>
      <rPr>
        <b/>
        <sz val="10"/>
        <color rgb="FF000000"/>
        <rFont val="Arial Narrow"/>
      </rPr>
      <t>- By HH sex composition</t>
    </r>
    <r>
      <rPr>
        <sz val="10"/>
        <color rgb="FF000000"/>
        <rFont val="Arial Narrow"/>
      </rPr>
      <t xml:space="preserve"> - HHs with Male members only, HHs with Female members only, HHs with Male and Female members
</t>
    </r>
    <r>
      <rPr>
        <b/>
        <sz val="10"/>
        <color rgb="FF000000"/>
        <rFont val="Arial Narrow"/>
      </rPr>
      <t>- By HHs with only elderly members</t>
    </r>
    <r>
      <rPr>
        <sz val="10"/>
        <color rgb="FF000000"/>
        <rFont val="Arial Narrow"/>
      </rPr>
      <t xml:space="preserve"> - HHs with elderly members only, HHs not composed by elderly members only
</t>
    </r>
    <r>
      <rPr>
        <b/>
        <sz val="10"/>
        <color rgb="FF000000"/>
        <rFont val="Arial Narrow"/>
      </rPr>
      <t>- By HHs with elderly member</t>
    </r>
    <r>
      <rPr>
        <sz val="10"/>
        <color rgb="FF000000"/>
        <rFont val="Arial Narrow"/>
      </rPr>
      <t xml:space="preserve">s - HHs with at least one elderly member, HHs with no elderly member
</t>
    </r>
    <r>
      <rPr>
        <b/>
        <sz val="10"/>
        <color rgb="FF000000"/>
        <rFont val="Arial Narrow"/>
      </rPr>
      <t xml:space="preserve">- By HoHH sex </t>
    </r>
    <r>
      <rPr>
        <sz val="10"/>
        <color rgb="FF000000"/>
        <rFont val="Arial Narrow"/>
      </rPr>
      <t xml:space="preserve">- Female-Headed HHs, Male-Headed HHs
</t>
    </r>
    <r>
      <rPr>
        <b/>
        <sz val="10"/>
        <color rgb="FF000000"/>
        <rFont val="Arial Narrow"/>
      </rPr>
      <t xml:space="preserve">- By HoHH sex and age </t>
    </r>
    <r>
      <rPr>
        <sz val="10"/>
        <color rgb="FF000000"/>
        <rFont val="Arial Narrow"/>
      </rPr>
      <t xml:space="preserve">- Female 18-59 year-old-headed HHs, Female 60+ year-old-headed HHs, Male 18-59 year-old-headed HHs, Male 60+ year-old-headed HHs
</t>
    </r>
    <r>
      <rPr>
        <b/>
        <sz val="10"/>
        <color rgb="FF000000"/>
        <rFont val="Arial Narrow"/>
      </rPr>
      <t>- By individuals' sex and age</t>
    </r>
    <r>
      <rPr>
        <sz val="10"/>
        <color rgb="FF000000"/>
        <rFont val="Arial Narrow"/>
      </rPr>
      <t xml:space="preserve"> - Boys &lt;6 y.o., Boys 6-11 y.o., Boys 12-17 y.o., Girls &lt;6 y.o., Girls 6-11 y.o., Girls 12-17 y.o.; 18-25 Male; 18-25 Female; 26-50 Male; 26-50 Female; 51-65 Male; 51-65 Female; 66+ Male; 66+ Female
</t>
    </r>
    <r>
      <rPr>
        <b/>
        <sz val="10"/>
        <color rgb="FF000000"/>
        <rFont val="Arial Narrow"/>
      </rPr>
      <t>- By individuals' disability status</t>
    </r>
    <r>
      <rPr>
        <sz val="10"/>
        <color rgb="FF000000"/>
        <rFont val="Arial Narrow"/>
      </rPr>
      <t xml:space="preserve"> - Individual with disability (Washington Group Severity Score 3 or 4), Individual without disability
</t>
    </r>
    <r>
      <rPr>
        <b/>
        <sz val="10"/>
        <color rgb="FF000000"/>
        <rFont val="Arial Narrow"/>
      </rPr>
      <t>- By child sex and age</t>
    </r>
    <r>
      <rPr>
        <sz val="10"/>
        <color rgb="FF000000"/>
        <rFont val="Arial Narrow"/>
      </rPr>
      <t xml:space="preserve"> - Boys &lt; 5 y.o, Boys 5-11 y.o., Boys 12-18 y.o., Girls &lt; 5 y.o., Girls 5-11 y.o., Girls 12-18 y.o.
</t>
    </r>
    <r>
      <rPr>
        <b/>
        <sz val="10"/>
        <color rgb="FF000000"/>
        <rFont val="Arial Narrow"/>
      </rPr>
      <t>- By child disability</t>
    </r>
    <r>
      <rPr>
        <sz val="10"/>
        <color rgb="FF000000"/>
        <rFont val="Arial Narrow"/>
      </rPr>
      <t xml:space="preserve"> - HHs with a child with a disability, HHs without a child with a disability
</t>
    </r>
    <r>
      <rPr>
        <b/>
        <sz val="10"/>
        <color rgb="FF000000"/>
        <rFont val="Arial Narrow"/>
      </rPr>
      <t>- By drinking water source</t>
    </r>
    <r>
      <rPr>
        <sz val="10"/>
        <color rgb="FF000000"/>
        <rFont val="Arial Narrow"/>
      </rPr>
      <t xml:space="preserve"> - HHs accessing drinking water Only by Unimproved sources, HHs accessing drinking water Only by Improved sources, HHs accessing drinking water by Unimproved and Improved sources 
</t>
    </r>
    <r>
      <rPr>
        <b/>
        <sz val="10"/>
        <color rgb="FF000000"/>
        <rFont val="Arial Narrow"/>
      </rPr>
      <t>- By sanitation facility</t>
    </r>
    <r>
      <rPr>
        <sz val="10"/>
        <color rgb="FF000000"/>
        <rFont val="Arial Narrow"/>
      </rPr>
      <t xml:space="preserve"> - HHs with access Only to Unimproved sanitation facilities, HHs with access Only to Improved sanitation facilities, HHs with access of Improved and Unimproved sanitation facilities 
</t>
    </r>
    <r>
      <rPr>
        <b/>
        <sz val="10"/>
        <color rgb="FF000000"/>
        <rFont val="Arial Narrow"/>
      </rPr>
      <t xml:space="preserve">- By assistance received </t>
    </r>
    <r>
      <rPr>
        <sz val="10"/>
        <color rgb="FF000000"/>
        <rFont val="Arial Narrow"/>
      </rPr>
      <t xml:space="preserve">- HHs that received Assistance in the past 3 months, HHs that did Not received Assistance in the past 3 months
</t>
    </r>
    <r>
      <rPr>
        <b/>
        <sz val="10"/>
        <color rgb="FF000000"/>
        <rFont val="Arial Narrow"/>
      </rPr>
      <t>- By food assistance received</t>
    </r>
    <r>
      <rPr>
        <sz val="10"/>
        <color rgb="FF000000"/>
        <rFont val="Arial Narrow"/>
      </rPr>
      <t xml:space="preserve"> - HHs that received food assistance, HHs that did not receive food assistance, HHs that did not receive any assistance 
</t>
    </r>
    <r>
      <rPr>
        <b/>
        <sz val="10"/>
        <color rgb="FF000000"/>
        <rFont val="Arial Narrow"/>
      </rPr>
      <t>- By protection assistance received</t>
    </r>
    <r>
      <rPr>
        <sz val="10"/>
        <color rgb="FF000000"/>
        <rFont val="Arial Narrow"/>
      </rPr>
      <t xml:space="preserve"> - HHs that received protection assistance, HHs that did not receive protection assistance, HHs that did not receive any assistance 
</t>
    </r>
    <r>
      <rPr>
        <b/>
        <sz val="10"/>
        <color rgb="FF000000"/>
        <rFont val="Arial Narrow"/>
      </rPr>
      <t>- By shelter assistance received</t>
    </r>
    <r>
      <rPr>
        <sz val="10"/>
        <color rgb="FF000000"/>
        <rFont val="Arial Narrow"/>
      </rPr>
      <t xml:space="preserve"> - HHs that received shelter assistance, HHs that did not receive shelter assistance, HHs that did not receive any assistance 
</t>
    </r>
    <r>
      <rPr>
        <b/>
        <sz val="10"/>
        <color rgb="FF000000"/>
        <rFont val="Arial Narrow"/>
      </rPr>
      <t xml:space="preserve">- By WASH assistance received </t>
    </r>
    <r>
      <rPr>
        <sz val="10"/>
        <color rgb="FF000000"/>
        <rFont val="Arial Narrow"/>
      </rPr>
      <t xml:space="preserve">- HHs that received WASH assistance, HHs that did not receive WASH assistance, HHs that did not receive any assistance 
</t>
    </r>
    <r>
      <rPr>
        <b/>
        <sz val="10"/>
        <color rgb="FF000000"/>
        <rFont val="Arial Narrow"/>
      </rPr>
      <t>- By exclusively relying on assistance</t>
    </r>
    <r>
      <rPr>
        <sz val="10"/>
        <color rgb="FF000000"/>
        <rFont val="Arial Narrow"/>
      </rPr>
      <t xml:space="preserve"> - HHs relying Exclusively on Assistance, HHs Not relying Exclusively on Assistance
</t>
    </r>
    <r>
      <rPr>
        <b/>
        <sz val="10"/>
        <color rgb="FF000000"/>
        <rFont val="Arial Narrow"/>
      </rPr>
      <t>- By conflict-related shelter damage</t>
    </r>
    <r>
      <rPr>
        <sz val="10"/>
        <color rgb="FF000000"/>
        <rFont val="Arial Narrow"/>
      </rPr>
      <t xml:space="preserve"> - HHs with conflict-related shelter damages, HHs without conflict-related shelter damages
</t>
    </r>
    <r>
      <rPr>
        <b/>
        <sz val="10"/>
        <color rgb="FF000000"/>
        <rFont val="Arial Narrow"/>
      </rPr>
      <t>- By facing challenges to obtain money</t>
    </r>
    <r>
      <rPr>
        <sz val="10"/>
        <color rgb="FF000000"/>
        <rFont val="Arial Narrow"/>
      </rPr>
      <t xml:space="preserve"> - HHs with challenges to obtain money, HHs without challenges to obtain money
</t>
    </r>
    <r>
      <rPr>
        <b/>
        <sz val="10"/>
        <color rgb="FF000000"/>
        <rFont val="Arial Narrow"/>
      </rPr>
      <t>- By adopting livelihood coping strategies</t>
    </r>
    <r>
      <rPr>
        <sz val="10"/>
        <color rgb="FF000000"/>
        <rFont val="Arial Narrow"/>
      </rPr>
      <t xml:space="preserve"> - HHs using no coping strategies; HHs using at least one 'stress' strategy; HHs using at least one 'crisis' strategy; HHs using at least one 'emergency' strategy</t>
    </r>
  </si>
  <si>
    <t>Contacts (Name &amp; email address)</t>
  </si>
  <si>
    <t>Joshua Bullen joshua.bullen@impact-initiatives.org</t>
  </si>
  <si>
    <t>Casey Clark casey.clark@impact-initiatives.org</t>
  </si>
  <si>
    <t xml:space="preserve">Kirsten Dimovitz kirsten.dimovitz@impact-initiatives.org </t>
  </si>
  <si>
    <t>Donors</t>
  </si>
  <si>
    <t>USAID's Bureau for Humanitarian Assistance (BHA), European Civil Protection and Humanitarian Aid Operations (ECHO), and the UK Foreign, Commonwealth and Development Office (FCDO)</t>
  </si>
  <si>
    <t>Sheets</t>
  </si>
  <si>
    <t>Sheet 1 - READ_ME</t>
  </si>
  <si>
    <t>Project description</t>
  </si>
  <si>
    <t>Sheet 2 - Table_of_Contents</t>
  </si>
  <si>
    <t>Hyperlinked list of the frequency tables</t>
  </si>
  <si>
    <t>Sheet 3 - Data</t>
  </si>
  <si>
    <t>Frequency tables disaggregated by macroregion</t>
  </si>
  <si>
    <t>Table of Content</t>
  </si>
  <si>
    <t>C_6 Main Reason School Aged Children Reportedly Did Not Access Formal School during the 2022-2023 school year overall</t>
  </si>
  <si>
    <t>C_6 Main Reason School Aged Children Reportedly Did Not Access Formal School during the 2022-2023 school year by child with a disability</t>
  </si>
  <si>
    <t>C_6 Main Reason School Aged Children Reportedly Did Not Access Formal School during the 2022-2023 school year by child sex and age</t>
  </si>
  <si>
    <t>C_6 Main Reason School Aged Children Reportedly Did Not Access Formal School during the 2022-2023 school year by rural or urban</t>
  </si>
  <si>
    <t>C_6 Main Reason School Aged Children Reportedly Did Not Access Formal School during the 2022-2023 school year by displacement status</t>
  </si>
  <si>
    <t>C_6 Main Reason School Aged Children Reportedly Did Not Access Formal School during the 2022-2023 school year by HoHH sex</t>
  </si>
  <si>
    <t>C_6 Main Reason School Aged Children Reportedly Did Not Access Formal School during the 2022-2023 school year by HH with member employed</t>
  </si>
  <si>
    <t>C_6 Main Reason School Aged Children Reportedly Did Not Access Formal School during the 2022-2023 school year by HH proximity to frontline or Russian border</t>
  </si>
  <si>
    <t>Macroregion</t>
  </si>
  <si>
    <t>num_samples</t>
  </si>
  <si>
    <t>Center</t>
  </si>
  <si>
    <t>East</t>
  </si>
  <si>
    <t>North</t>
  </si>
  <si>
    <t>South</t>
  </si>
  <si>
    <t>West</t>
  </si>
  <si>
    <t>15.7%</t>
  </si>
  <si>
    <t>18.7%</t>
  </si>
  <si>
    <t>28.8%</t>
  </si>
  <si>
    <t>8.9%</t>
  </si>
  <si>
    <t>28.0%</t>
  </si>
  <si>
    <t>A_1  Respondent Age overall</t>
  </si>
  <si>
    <t>strata</t>
  </si>
  <si>
    <t>mean</t>
  </si>
  <si>
    <t>median</t>
  </si>
  <si>
    <t>min</t>
  </si>
  <si>
    <t>max</t>
  </si>
  <si>
    <t>overall</t>
  </si>
  <si>
    <t>A_2 Respondent Sex overall</t>
  </si>
  <si>
    <t>Female</t>
  </si>
  <si>
    <t>Male</t>
  </si>
  <si>
    <t>73.8%</t>
  </si>
  <si>
    <t>26.2%</t>
  </si>
  <si>
    <t>63.6%</t>
  </si>
  <si>
    <t>36.4%</t>
  </si>
  <si>
    <t>71.8%</t>
  </si>
  <si>
    <t>28.2%</t>
  </si>
  <si>
    <t>70.4%</t>
  </si>
  <si>
    <t>29.6%</t>
  </si>
  <si>
    <t>63.7%</t>
  </si>
  <si>
    <t>36.3%</t>
  </si>
  <si>
    <t>68.6%</t>
  </si>
  <si>
    <t>31.4%</t>
  </si>
  <si>
    <t>A_3 Respondents Reportedly Head of the Household overall</t>
  </si>
  <si>
    <t>No</t>
  </si>
  <si>
    <t>Yes</t>
  </si>
  <si>
    <t>4.8%</t>
  </si>
  <si>
    <t>95.2%</t>
  </si>
  <si>
    <t>7.6%</t>
  </si>
  <si>
    <t>92.4%</t>
  </si>
  <si>
    <t>8.6%</t>
  </si>
  <si>
    <t>91.4%</t>
  </si>
  <si>
    <t>6.2%</t>
  </si>
  <si>
    <t>93.8%</t>
  </si>
  <si>
    <t>14.1%</t>
  </si>
  <si>
    <t>85.9%</t>
  </si>
  <si>
    <t>7.7%</t>
  </si>
  <si>
    <t>92.3%</t>
  </si>
  <si>
    <t>A_8 Number of Household Members overall</t>
  </si>
  <si>
    <t>A_17 Employment Situation of Household Members overall</t>
  </si>
  <si>
    <t>Doing housework, looking after children or other persons (unpaid)</t>
  </si>
  <si>
    <t>Don't know</t>
  </si>
  <si>
    <t>In military service</t>
  </si>
  <si>
    <t>In paid work: Daily labour</t>
  </si>
  <si>
    <t>In paid work: Permanent job with annual/monthly/weekly wage</t>
  </si>
  <si>
    <t>In paid work: Temporary job with weekly/daily/monthly wage</t>
  </si>
  <si>
    <t>Other (specify)</t>
  </si>
  <si>
    <t>Permanently sick or disabled (can't work)</t>
  </si>
  <si>
    <t>Retired (but still working to receive additional income, or just prefer working)</t>
  </si>
  <si>
    <t>Retired (not working)</t>
  </si>
  <si>
    <t>Self-employed/owns business</t>
  </si>
  <si>
    <t>Student and in paid work</t>
  </si>
  <si>
    <t>Student, not working</t>
  </si>
  <si>
    <t>Unemployed and actively looking for a job in the last 30 days</t>
  </si>
  <si>
    <t>Unemployed, wanting a job but not actively looking for it</t>
  </si>
  <si>
    <t>Unofficially employed / informal work</t>
  </si>
  <si>
    <t>5.4%</t>
  </si>
  <si>
    <t>0.0%</t>
  </si>
  <si>
    <t>1.1%</t>
  </si>
  <si>
    <t>1.3%</t>
  </si>
  <si>
    <t>36.9%</t>
  </si>
  <si>
    <t>2.5%</t>
  </si>
  <si>
    <t>0.1%</t>
  </si>
  <si>
    <t>3.2%</t>
  </si>
  <si>
    <t>25.1%</t>
  </si>
  <si>
    <t>3.0%</t>
  </si>
  <si>
    <t>0.9%</t>
  </si>
  <si>
    <t>6.8%</t>
  </si>
  <si>
    <t>3.9%</t>
  </si>
  <si>
    <t>2.2%</t>
  </si>
  <si>
    <t>4.5%</t>
  </si>
  <si>
    <t>8.3%</t>
  </si>
  <si>
    <t>1.0%</t>
  </si>
  <si>
    <t>0.7%</t>
  </si>
  <si>
    <t>28.9%</t>
  </si>
  <si>
    <t>2.4%</t>
  </si>
  <si>
    <t>3.8%</t>
  </si>
  <si>
    <t>29.9%</t>
  </si>
  <si>
    <t>2.8%</t>
  </si>
  <si>
    <t>1.2%</t>
  </si>
  <si>
    <t>7.3%</t>
  </si>
  <si>
    <t>1.9%</t>
  </si>
  <si>
    <t>5.5%</t>
  </si>
  <si>
    <t>9.0%</t>
  </si>
  <si>
    <t>1.5%</t>
  </si>
  <si>
    <t>1.8%</t>
  </si>
  <si>
    <t>2.7%</t>
  </si>
  <si>
    <t>4.0%</t>
  </si>
  <si>
    <t>4.1%</t>
  </si>
  <si>
    <t>21.7%</t>
  </si>
  <si>
    <t>0.8%</t>
  </si>
  <si>
    <t>9.3%</t>
  </si>
  <si>
    <t>3.7%</t>
  </si>
  <si>
    <t>6.7%</t>
  </si>
  <si>
    <t>0.4%</t>
  </si>
  <si>
    <t>26.1%</t>
  </si>
  <si>
    <t>3.3%</t>
  </si>
  <si>
    <t>4.6%</t>
  </si>
  <si>
    <t>26.6%</t>
  </si>
  <si>
    <t>0.5%</t>
  </si>
  <si>
    <t>9.4%</t>
  </si>
  <si>
    <t>6.1%</t>
  </si>
  <si>
    <t>6.0%</t>
  </si>
  <si>
    <t>6.3%</t>
  </si>
  <si>
    <t>35.5%</t>
  </si>
  <si>
    <t>2.9%</t>
  </si>
  <si>
    <t>29.4%</t>
  </si>
  <si>
    <t>4.7%</t>
  </si>
  <si>
    <t>7.0%</t>
  </si>
  <si>
    <t>2.0%</t>
  </si>
  <si>
    <t>6.9%</t>
  </si>
  <si>
    <t>31.3%</t>
  </si>
  <si>
    <t>3.6%</t>
  </si>
  <si>
    <t>3.4%</t>
  </si>
  <si>
    <t>27.1%</t>
  </si>
  <si>
    <t>3.1%</t>
  </si>
  <si>
    <t>5.3%</t>
  </si>
  <si>
    <t>A_9_1 Household Members with Money Spending Decision-Making Authority overall</t>
  </si>
  <si>
    <t>7.1%</t>
  </si>
  <si>
    <t>92.9%</t>
  </si>
  <si>
    <t>93.9%</t>
  </si>
  <si>
    <t>11.1%</t>
  </si>
  <si>
    <t>88.9%</t>
  </si>
  <si>
    <t>10.9%</t>
  </si>
  <si>
    <t>89.1%</t>
  </si>
  <si>
    <t>16.3%</t>
  </si>
  <si>
    <t>83.7%</t>
  </si>
  <si>
    <t>90.7%</t>
  </si>
  <si>
    <t>A_9_2 Household Members with Healthcare and Education of Children Decision-Making Authority overall</t>
  </si>
  <si>
    <t>10.4%</t>
  </si>
  <si>
    <t>89.6%</t>
  </si>
  <si>
    <t>15.5%</t>
  </si>
  <si>
    <t>84.5%</t>
  </si>
  <si>
    <t>14.2%</t>
  </si>
  <si>
    <t>85.8%</t>
  </si>
  <si>
    <t>17.5%</t>
  </si>
  <si>
    <t>82.5%</t>
  </si>
  <si>
    <t>11.8%</t>
  </si>
  <si>
    <t>88.2%</t>
  </si>
  <si>
    <t>A_9_3 Household Members with Migration Decision-Making Authority overall</t>
  </si>
  <si>
    <t>9.1%</t>
  </si>
  <si>
    <t>90.9%</t>
  </si>
  <si>
    <t>7.4%</t>
  </si>
  <si>
    <t>92.6%</t>
  </si>
  <si>
    <t>15.9%</t>
  </si>
  <si>
    <t>84.1%</t>
  </si>
  <si>
    <t>18.1%</t>
  </si>
  <si>
    <t>81.9%</t>
  </si>
  <si>
    <t>J_22 Women with infant child by type of child birth giving overall</t>
  </si>
  <si>
    <t>Doctor/nurse/midwife in government hospital/health center or post</t>
  </si>
  <si>
    <t>Doctor/nurse/midwife in private hospital or clinic</t>
  </si>
  <si>
    <t>Prefer not to answer</t>
  </si>
  <si>
    <t>Doctor/nurse/midwife in NGO hospital or clinic</t>
  </si>
  <si>
    <t>Relative/friend</t>
  </si>
  <si>
    <t>78.2%</t>
  </si>
  <si>
    <t>20.0%</t>
  </si>
  <si>
    <t>0.2%</t>
  </si>
  <si>
    <t>89.0%</t>
  </si>
  <si>
    <t>85.5%</t>
  </si>
  <si>
    <t>14.5%</t>
  </si>
  <si>
    <t>97.8%</t>
  </si>
  <si>
    <t>91.6%</t>
  </si>
  <si>
    <t>5.9%</t>
  </si>
  <si>
    <t>86.4%</t>
  </si>
  <si>
    <t>12.1%</t>
  </si>
  <si>
    <t>0.3%</t>
  </si>
  <si>
    <t>J_23 Women with infant child by type of child birth giving by displacement status</t>
  </si>
  <si>
    <t>displacement_status</t>
  </si>
  <si>
    <t>Displaced</t>
  </si>
  <si>
    <t>100.0%</t>
  </si>
  <si>
    <t>Non-displaced</t>
  </si>
  <si>
    <t>63.5%</t>
  </si>
  <si>
    <t>32.7%</t>
  </si>
  <si>
    <t>1.7%</t>
  </si>
  <si>
    <t>Returnee</t>
  </si>
  <si>
    <t>87.2%</t>
  </si>
  <si>
    <t>12.8%</t>
  </si>
  <si>
    <t>88.5%</t>
  </si>
  <si>
    <t>9.6%</t>
  </si>
  <si>
    <t>87.4%</t>
  </si>
  <si>
    <t>12.6%</t>
  </si>
  <si>
    <t>69.6%</t>
  </si>
  <si>
    <t>30.4%</t>
  </si>
  <si>
    <t>99.0%</t>
  </si>
  <si>
    <t>93.0%</t>
  </si>
  <si>
    <t>45.8%</t>
  </si>
  <si>
    <t>54.2%</t>
  </si>
  <si>
    <t>98.5%</t>
  </si>
  <si>
    <t>82.9%</t>
  </si>
  <si>
    <t>14.9%</t>
  </si>
  <si>
    <t>89.5%</t>
  </si>
  <si>
    <t>10.5%</t>
  </si>
  <si>
    <t>J_24 Women with infant child by type of child birth giving by rural or urban</t>
  </si>
  <si>
    <t>rural_urban</t>
  </si>
  <si>
    <t>Rural</t>
  </si>
  <si>
    <t>95.9%</t>
  </si>
  <si>
    <t>Urban</t>
  </si>
  <si>
    <t>73.7%</t>
  </si>
  <si>
    <t>24.3%</t>
  </si>
  <si>
    <t>93.3%</t>
  </si>
  <si>
    <t>4.9%</t>
  </si>
  <si>
    <t>84.8%</t>
  </si>
  <si>
    <t>13.6%</t>
  </si>
  <si>
    <t>75.4%</t>
  </si>
  <si>
    <t>24.6%</t>
  </si>
  <si>
    <t>92.2%</t>
  </si>
  <si>
    <t>7.8%</t>
  </si>
  <si>
    <t>97.4%</t>
  </si>
  <si>
    <t>90.0%</t>
  </si>
  <si>
    <t>10.0%</t>
  </si>
  <si>
    <t>91.9%</t>
  </si>
  <si>
    <t>0.6%</t>
  </si>
  <si>
    <t>6.4%</t>
  </si>
  <si>
    <t>15.0%</t>
  </si>
  <si>
    <t>J_25 Women with infant child by type of child birth giving by HH proximity to frontline or Russian border</t>
  </si>
  <si>
    <t>hh_raion_location_russian_border_frontline</t>
  </si>
  <si>
    <t>HHs in raions away the Russian border or frontline</t>
  </si>
  <si>
    <t>78.1%</t>
  </si>
  <si>
    <t>HHs living in raions along the Russian border or frontline</t>
  </si>
  <si>
    <t>79.4%</t>
  </si>
  <si>
    <t>10.3%</t>
  </si>
  <si>
    <t>85.7%</t>
  </si>
  <si>
    <t>14.3%</t>
  </si>
  <si>
    <t>96.5%</t>
  </si>
  <si>
    <t>85.6%</t>
  </si>
  <si>
    <t>13.5%</t>
  </si>
  <si>
    <t>2.3%</t>
  </si>
  <si>
    <t>A_19 Household Members with Difficulty Seeing, Even When Wearing Glasses overall</t>
  </si>
  <si>
    <t>A lot of difficulty</t>
  </si>
  <si>
    <t>Cannot do at all</t>
  </si>
  <si>
    <t>No difficulty</t>
  </si>
  <si>
    <t>Some difficulty</t>
  </si>
  <si>
    <t>Prefers not to answer</t>
  </si>
  <si>
    <t>68.8%</t>
  </si>
  <si>
    <t>24.9%</t>
  </si>
  <si>
    <t>5.1%</t>
  </si>
  <si>
    <t>67.6%</t>
  </si>
  <si>
    <t>61.8%</t>
  </si>
  <si>
    <t>69.0%</t>
  </si>
  <si>
    <t>23.2%</t>
  </si>
  <si>
    <t>58.5%</t>
  </si>
  <si>
    <t>34.6%</t>
  </si>
  <si>
    <t>66.3%</t>
  </si>
  <si>
    <t>A_20 Household Members with Difficulty Heating, Even When Using Hearing Aids overall</t>
  </si>
  <si>
    <t>87.3%</t>
  </si>
  <si>
    <t>10.7%</t>
  </si>
  <si>
    <t>86.6%</t>
  </si>
  <si>
    <t>11.6%</t>
  </si>
  <si>
    <t>86.7%</t>
  </si>
  <si>
    <t>11.2%</t>
  </si>
  <si>
    <t>2.1%</t>
  </si>
  <si>
    <t>90.1%</t>
  </si>
  <si>
    <t>12.3%</t>
  </si>
  <si>
    <t>A_21 Household Members with Difficulty Walking or Climbing Steps overall</t>
  </si>
  <si>
    <t>8.8%</t>
  </si>
  <si>
    <t>70.3%</t>
  </si>
  <si>
    <t>19.9%</t>
  </si>
  <si>
    <t>8.1%</t>
  </si>
  <si>
    <t>71.3%</t>
  </si>
  <si>
    <t>19.6%</t>
  </si>
  <si>
    <t>71.7%</t>
  </si>
  <si>
    <t>18.5%</t>
  </si>
  <si>
    <t>67.5%</t>
  </si>
  <si>
    <t>8.4%</t>
  </si>
  <si>
    <t>67.4%</t>
  </si>
  <si>
    <t>23.6%</t>
  </si>
  <si>
    <t>69.8%</t>
  </si>
  <si>
    <t>20.3%</t>
  </si>
  <si>
    <t>A_22 Household Members with Difficulty Remembering or Concentrating overall</t>
  </si>
  <si>
    <t>11.0%</t>
  </si>
  <si>
    <t>87.7%</t>
  </si>
  <si>
    <t>10.8%</t>
  </si>
  <si>
    <t>86.1%</t>
  </si>
  <si>
    <t>11.3%</t>
  </si>
  <si>
    <t>2.6%</t>
  </si>
  <si>
    <t>81.7%</t>
  </si>
  <si>
    <t>14.7%</t>
  </si>
  <si>
    <t>1.4%</t>
  </si>
  <si>
    <t>84.7%</t>
  </si>
  <si>
    <t>13.8%</t>
  </si>
  <si>
    <t>A_23 Household Members with Difficulty with Self-Care overall</t>
  </si>
  <si>
    <t>91.7%</t>
  </si>
  <si>
    <t>92.5%</t>
  </si>
  <si>
    <t>5.8%</t>
  </si>
  <si>
    <t>93.2%</t>
  </si>
  <si>
    <t>94.2%</t>
  </si>
  <si>
    <t>5.7%</t>
  </si>
  <si>
    <t>92.7%</t>
  </si>
  <si>
    <t>A_24 Household Members with Difficulty Communicating when using Usual Language overall</t>
  </si>
  <si>
    <t>95.5%</t>
  </si>
  <si>
    <t>3.5%</t>
  </si>
  <si>
    <t>96.3%</t>
  </si>
  <si>
    <t>93.7%</t>
  </si>
  <si>
    <t>94.7%</t>
  </si>
  <si>
    <t>96.7%</t>
  </si>
  <si>
    <t>95.6%</t>
  </si>
  <si>
    <t>WG-SS Household Members with Washington Group Severity Score 3 or 4 overall</t>
  </si>
  <si>
    <t>HH with a member with a disability</t>
  </si>
  <si>
    <t>HH without a member with a disability</t>
  </si>
  <si>
    <t>28.7%</t>
  </si>
  <si>
    <t>28.1%</t>
  </si>
  <si>
    <t>71.9%</t>
  </si>
  <si>
    <t>33.5%</t>
  </si>
  <si>
    <t>66.5%</t>
  </si>
  <si>
    <t>65.4%</t>
  </si>
  <si>
    <t>27.2%</t>
  </si>
  <si>
    <t>72.8%</t>
  </si>
  <si>
    <t>29.8%</t>
  </si>
  <si>
    <t>70.2%</t>
  </si>
  <si>
    <t>B_1 Households Reporting this is their Habitual Place of Residence overall</t>
  </si>
  <si>
    <t>Dont know</t>
  </si>
  <si>
    <t>7.9%</t>
  </si>
  <si>
    <t>92.0%</t>
  </si>
  <si>
    <t>13.4%</t>
  </si>
  <si>
    <t>86.3%</t>
  </si>
  <si>
    <t>17.0%</t>
  </si>
  <si>
    <t>94.3%</t>
  </si>
  <si>
    <t>90.8%</t>
  </si>
  <si>
    <t>B_1 Households Reporting this is their Habitual Place of Residence by HHs with a member with a disability</t>
  </si>
  <si>
    <t>disability_level_3_4</t>
  </si>
  <si>
    <t>92.8%</t>
  </si>
  <si>
    <t>8.2%</t>
  </si>
  <si>
    <t>91.8%</t>
  </si>
  <si>
    <t>unknown</t>
  </si>
  <si>
    <t>89.3%</t>
  </si>
  <si>
    <t>95.4%</t>
  </si>
  <si>
    <t>13.3%</t>
  </si>
  <si>
    <t>10.1%</t>
  </si>
  <si>
    <t>19.8%</t>
  </si>
  <si>
    <t>80.1%</t>
  </si>
  <si>
    <t>15.4%</t>
  </si>
  <si>
    <t>17.4%</t>
  </si>
  <si>
    <t>82.6%</t>
  </si>
  <si>
    <t>95.1%</t>
  </si>
  <si>
    <t>94.0%</t>
  </si>
  <si>
    <t>90.4%</t>
  </si>
  <si>
    <t>91.0%</t>
  </si>
  <si>
    <t>10.2%</t>
  </si>
  <si>
    <t>88.1%</t>
  </si>
  <si>
    <t>B_1 Households Reporting this is their Habitual Place of Residence by displacement status</t>
  </si>
  <si>
    <t>1.6%</t>
  </si>
  <si>
    <t>98.3%</t>
  </si>
  <si>
    <t>96.8%</t>
  </si>
  <si>
    <t>98.8%</t>
  </si>
  <si>
    <t>97.7%</t>
  </si>
  <si>
    <t>B_1 Households Reporting this is their Habitual Place of Residence by HoHH sex</t>
  </si>
  <si>
    <t>hohh_sex</t>
  </si>
  <si>
    <t>Female HoHH</t>
  </si>
  <si>
    <t>Male HoHH</t>
  </si>
  <si>
    <t>93.5%</t>
  </si>
  <si>
    <t>89.9%</t>
  </si>
  <si>
    <t>16.0%</t>
  </si>
  <si>
    <t>84.0%</t>
  </si>
  <si>
    <t>17.2%</t>
  </si>
  <si>
    <t>82.8%</t>
  </si>
  <si>
    <t>80.4%</t>
  </si>
  <si>
    <t>97.1%</t>
  </si>
  <si>
    <t>90.3%</t>
  </si>
  <si>
    <t>91.5%</t>
  </si>
  <si>
    <t>8.0%</t>
  </si>
  <si>
    <t>B_1 Households Reporting this is their Habitual Place of Residence by rural or urban</t>
  </si>
  <si>
    <t>91.3%</t>
  </si>
  <si>
    <t>96.9%</t>
  </si>
  <si>
    <t>9.8%</t>
  </si>
  <si>
    <t>16.1%</t>
  </si>
  <si>
    <t>83.9%</t>
  </si>
  <si>
    <t>11.4%</t>
  </si>
  <si>
    <t>88.6%</t>
  </si>
  <si>
    <t>19.4%</t>
  </si>
  <si>
    <t>80.5%</t>
  </si>
  <si>
    <t>5.0%</t>
  </si>
  <si>
    <t>95.0%</t>
  </si>
  <si>
    <t>93.6%</t>
  </si>
  <si>
    <t>94.1%</t>
  </si>
  <si>
    <t>11.5%</t>
  </si>
  <si>
    <t>88.4%</t>
  </si>
  <si>
    <t>B_1 Households Reporting this is their Habitual Place of Residence by HH proximity to frontline or Russian border</t>
  </si>
  <si>
    <t>92.1%</t>
  </si>
  <si>
    <t>8.5%</t>
  </si>
  <si>
    <t>91.1%</t>
  </si>
  <si>
    <t>90.2%</t>
  </si>
  <si>
    <t>22.7%</t>
  </si>
  <si>
    <t>77.2%</t>
  </si>
  <si>
    <t>19.7%</t>
  </si>
  <si>
    <t>80.0%</t>
  </si>
  <si>
    <t>B_4 Households Left their Place of Habitual Residence for 14+ days as a Result of the Escalation of the War since 24th Feb 2022 overall</t>
  </si>
  <si>
    <t>71.0%</t>
  </si>
  <si>
    <t>29.0%</t>
  </si>
  <si>
    <t>86.2%</t>
  </si>
  <si>
    <t>82.1%</t>
  </si>
  <si>
    <t>17.8%</t>
  </si>
  <si>
    <t>95.8%</t>
  </si>
  <si>
    <t>4.2%</t>
  </si>
  <si>
    <t>B_4 Households Left their Place of Habitual Residence for 14+ days as a Result of the Escalation of the War since 24th Feb 2022 by HHs with a member with a disability</t>
  </si>
  <si>
    <t>78.4%</t>
  </si>
  <si>
    <t>21.6%</t>
  </si>
  <si>
    <t>98.1%</t>
  </si>
  <si>
    <t>83.1%</t>
  </si>
  <si>
    <t>16.9%</t>
  </si>
  <si>
    <t>79.3%</t>
  </si>
  <si>
    <t>20.5%</t>
  </si>
  <si>
    <t>83.8%</t>
  </si>
  <si>
    <t>16.2%</t>
  </si>
  <si>
    <t>68.1%</t>
  </si>
  <si>
    <t>27.9%</t>
  </si>
  <si>
    <t>87.9%</t>
  </si>
  <si>
    <t>88.3%</t>
  </si>
  <si>
    <t>11.7%</t>
  </si>
  <si>
    <t>85.0%</t>
  </si>
  <si>
    <t>25.5%</t>
  </si>
  <si>
    <t>B_4 Households Left their Place of Habitual Residence for 14+ days as a Result of the Escalation of the War since 24th Feb 2022 by displacement status</t>
  </si>
  <si>
    <t>99.8%</t>
  </si>
  <si>
    <t>B_4 Households Left their Place of Habitual Residence for 14+ days as a Result of the Escalation of the War since 24th Feb 2022 by HoHH sex</t>
  </si>
  <si>
    <t>69.3%</t>
  </si>
  <si>
    <t>30.7%</t>
  </si>
  <si>
    <t>22.8%</t>
  </si>
  <si>
    <t>61.4%</t>
  </si>
  <si>
    <t>38.6%</t>
  </si>
  <si>
    <t>84.3%</t>
  </si>
  <si>
    <t>8.7%</t>
  </si>
  <si>
    <t>80.8%</t>
  </si>
  <si>
    <t>19.1%</t>
  </si>
  <si>
    <t>84.4%</t>
  </si>
  <si>
    <t>14.4%</t>
  </si>
  <si>
    <t>97.2%</t>
  </si>
  <si>
    <t>94.4%</t>
  </si>
  <si>
    <t>5.6%</t>
  </si>
  <si>
    <t>83.6%</t>
  </si>
  <si>
    <t>9.9%</t>
  </si>
  <si>
    <t>B_4 Households Left their Place of Habitual Residence for 14+ days as a Result of the Escalation of the War since 24th Feb 2022 by rural or urban</t>
  </si>
  <si>
    <t>76.6%</t>
  </si>
  <si>
    <t>23.4%</t>
  </si>
  <si>
    <t>4.4%</t>
  </si>
  <si>
    <t>81.1%</t>
  </si>
  <si>
    <t>97.6%</t>
  </si>
  <si>
    <t>81.6%</t>
  </si>
  <si>
    <t>18.3%</t>
  </si>
  <si>
    <t>B_4 Households Left their Place of Habitual Residence for 14+ days as a Result of the Escalation of the War since 24th Feb 2022 by HH proximity to frontline or Russian border</t>
  </si>
  <si>
    <t>69.5%</t>
  </si>
  <si>
    <t>30.5%</t>
  </si>
  <si>
    <t>15.6%</t>
  </si>
  <si>
    <t>98.6%</t>
  </si>
  <si>
    <t>70.1%</t>
  </si>
  <si>
    <t>29.7%</t>
  </si>
  <si>
    <t>73.2%</t>
  </si>
  <si>
    <t>B_5 Households Reporting they had to Leave their Habitual Place of Residence as a Result of theEscalation of the War on 24 Feb 2022 overall</t>
  </si>
  <si>
    <t>25.8%</t>
  </si>
  <si>
    <t>35.3%</t>
  </si>
  <si>
    <t>64.7%</t>
  </si>
  <si>
    <t>19.2%</t>
  </si>
  <si>
    <t>80.7%</t>
  </si>
  <si>
    <t>B_5 Households Reporting they had to Leave their Habitual Place of Residence as a Result of theEscalation of the War on 24 Feb 2022 by HHs with a member with a disability</t>
  </si>
  <si>
    <t>71.1%</t>
  </si>
  <si>
    <t>58.1%</t>
  </si>
  <si>
    <t>41.9%</t>
  </si>
  <si>
    <t>44.7%</t>
  </si>
  <si>
    <t>55.3%</t>
  </si>
  <si>
    <t>20.8%</t>
  </si>
  <si>
    <t>78.6%</t>
  </si>
  <si>
    <t>18.8%</t>
  </si>
  <si>
    <t>81.2%</t>
  </si>
  <si>
    <t>25.9%</t>
  </si>
  <si>
    <t>74.1%</t>
  </si>
  <si>
    <t>94.6%</t>
  </si>
  <si>
    <t>41.3%</t>
  </si>
  <si>
    <t>58.7%</t>
  </si>
  <si>
    <t>20.9%</t>
  </si>
  <si>
    <t>79.0%</t>
  </si>
  <si>
    <t>B_5 Households Reporting they had to Leave their Habitual Place of Residence as a Result of theEscalation of the War on 24 Feb 2022 by displacement status</t>
  </si>
  <si>
    <t>99.6%</t>
  </si>
  <si>
    <t>B_5 Households Reporting they had to Leave their Habitual Place of Residence as a Result of theEscalation of the War on 24 Feb 2022 by HoHH sex</t>
  </si>
  <si>
    <t>28.5%</t>
  </si>
  <si>
    <t>71.5%</t>
  </si>
  <si>
    <t>44.2%</t>
  </si>
  <si>
    <t>55.8%</t>
  </si>
  <si>
    <t>23.8%</t>
  </si>
  <si>
    <t>75.5%</t>
  </si>
  <si>
    <t>27.7%</t>
  </si>
  <si>
    <t>72.3%</t>
  </si>
  <si>
    <t>40.5%</t>
  </si>
  <si>
    <t>59.5%</t>
  </si>
  <si>
    <t>18.6%</t>
  </si>
  <si>
    <t>81.4%</t>
  </si>
  <si>
    <t>30.0%</t>
  </si>
  <si>
    <t>70.0%</t>
  </si>
  <si>
    <t>42.0%</t>
  </si>
  <si>
    <t>58.0%</t>
  </si>
  <si>
    <t>24.2%</t>
  </si>
  <si>
    <t>75.8%</t>
  </si>
  <si>
    <t>B_5 Households Reporting they had to Leave their Habitual Place of Residence as a Result of theEscalation of the War on 24 Feb 2022 by rural or urban</t>
  </si>
  <si>
    <t>39.1%</t>
  </si>
  <si>
    <t>60.9%</t>
  </si>
  <si>
    <t>24.1%</t>
  </si>
  <si>
    <t>75.3%</t>
  </si>
  <si>
    <t>15.8%</t>
  </si>
  <si>
    <t>84.2%</t>
  </si>
  <si>
    <t>44.0%</t>
  </si>
  <si>
    <t>56.0%</t>
  </si>
  <si>
    <t>26.4%</t>
  </si>
  <si>
    <t>73.6%</t>
  </si>
  <si>
    <t>16.6%</t>
  </si>
  <si>
    <t>83.3%</t>
  </si>
  <si>
    <t>B_5 Households Reporting they had to Leave their Habitual Place of Residence as a Result of theEscalation of the War on 24 Feb 2022 by HH proximity to frontline or Russian border</t>
  </si>
  <si>
    <t>32.2%</t>
  </si>
  <si>
    <t>67.8%</t>
  </si>
  <si>
    <t>81.5%</t>
  </si>
  <si>
    <t>B_3 Households Reporting to have been Separated from a Member of their Regular Household as a Result of the Escalation of the War overall</t>
  </si>
  <si>
    <t>43.4%</t>
  </si>
  <si>
    <t>56.6%</t>
  </si>
  <si>
    <t>45.1%</t>
  </si>
  <si>
    <t>54.9%</t>
  </si>
  <si>
    <t>39.9%</t>
  </si>
  <si>
    <t>59.4%</t>
  </si>
  <si>
    <t>44.1%</t>
  </si>
  <si>
    <t>55.6%</t>
  </si>
  <si>
    <t>43.1%</t>
  </si>
  <si>
    <t>56.9%</t>
  </si>
  <si>
    <t>56.4%</t>
  </si>
  <si>
    <t>B_3 Households Reporting to have been Separated from a Member of their Regular Household as a Result of the Escalation of the War by HHs with a member with a disability</t>
  </si>
  <si>
    <t>40.3%</t>
  </si>
  <si>
    <t>59.7%</t>
  </si>
  <si>
    <t>55.2%</t>
  </si>
  <si>
    <t>54.5%</t>
  </si>
  <si>
    <t>45.5%</t>
  </si>
  <si>
    <t>43.5%</t>
  </si>
  <si>
    <t>56.5%</t>
  </si>
  <si>
    <t>76.2%</t>
  </si>
  <si>
    <t>70.8%</t>
  </si>
  <si>
    <t>44.6%</t>
  </si>
  <si>
    <t>48.0%</t>
  </si>
  <si>
    <t>52.0%</t>
  </si>
  <si>
    <t>57.6%</t>
  </si>
  <si>
    <t>31.8%</t>
  </si>
  <si>
    <t>68.2%</t>
  </si>
  <si>
    <t>52.1%</t>
  </si>
  <si>
    <t>47.9%</t>
  </si>
  <si>
    <t>40.9%</t>
  </si>
  <si>
    <t>59.1%</t>
  </si>
  <si>
    <t>35.4%</t>
  </si>
  <si>
    <t>64.6%</t>
  </si>
  <si>
    <t>43.6%</t>
  </si>
  <si>
    <t>56.2%</t>
  </si>
  <si>
    <t>43.7%</t>
  </si>
  <si>
    <t>56.1%</t>
  </si>
  <si>
    <t>70.6%</t>
  </si>
  <si>
    <t>B_3 Households Reporting to have been Separated from a Member of their Regular Household as a Result of the Escalation of the War by displacement status</t>
  </si>
  <si>
    <t>42.1%</t>
  </si>
  <si>
    <t>57.4%</t>
  </si>
  <si>
    <t>53.6%</t>
  </si>
  <si>
    <t>46.4%</t>
  </si>
  <si>
    <t>32.1%</t>
  </si>
  <si>
    <t>67.9%</t>
  </si>
  <si>
    <t>53.1%</t>
  </si>
  <si>
    <t>48.1%</t>
  </si>
  <si>
    <t>51.9%</t>
  </si>
  <si>
    <t>39.8%</t>
  </si>
  <si>
    <t>50.6%</t>
  </si>
  <si>
    <t>49.4%</t>
  </si>
  <si>
    <t>36.1%</t>
  </si>
  <si>
    <t>63.9%</t>
  </si>
  <si>
    <t>47.5%</t>
  </si>
  <si>
    <t>52.2%</t>
  </si>
  <si>
    <t>41.0%</t>
  </si>
  <si>
    <t>58.9%</t>
  </si>
  <si>
    <t>B_3 Households Reporting to have been Separated from a Member of their Regular Household as a Result of the Escalation of the War by HoHH sex</t>
  </si>
  <si>
    <t>45.3%</t>
  </si>
  <si>
    <t>73.4%</t>
  </si>
  <si>
    <t>44.8%</t>
  </si>
  <si>
    <t>49.5%</t>
  </si>
  <si>
    <t>50.5%</t>
  </si>
  <si>
    <t>84.6%</t>
  </si>
  <si>
    <t>42.5%</t>
  </si>
  <si>
    <t>44.4%</t>
  </si>
  <si>
    <t>46.6%</t>
  </si>
  <si>
    <t>53.0%</t>
  </si>
  <si>
    <t>64.5%</t>
  </si>
  <si>
    <t>57.0%</t>
  </si>
  <si>
    <t>43.0%</t>
  </si>
  <si>
    <t>43.9%</t>
  </si>
  <si>
    <t>46.0%</t>
  </si>
  <si>
    <t>54.0%</t>
  </si>
  <si>
    <t>79.7%</t>
  </si>
  <si>
    <t>42.7%</t>
  </si>
  <si>
    <t>57.1%</t>
  </si>
  <si>
    <t>29.1%</t>
  </si>
  <si>
    <t>70.9%</t>
  </si>
  <si>
    <t>B_3 Households Reporting to have been Separated from a Member of their Regular Household as a Result of the Escalation of the War by rural or urban</t>
  </si>
  <si>
    <t>44.9%</t>
  </si>
  <si>
    <t>55.1%</t>
  </si>
  <si>
    <t>42.9%</t>
  </si>
  <si>
    <t>50.3%</t>
  </si>
  <si>
    <t>49.7%</t>
  </si>
  <si>
    <t>57.5%</t>
  </si>
  <si>
    <t>61.3%</t>
  </si>
  <si>
    <t>41.4%</t>
  </si>
  <si>
    <t>58.6%</t>
  </si>
  <si>
    <t>41.8%</t>
  </si>
  <si>
    <t>58.2%</t>
  </si>
  <si>
    <t>54.8%</t>
  </si>
  <si>
    <t>57.9%</t>
  </si>
  <si>
    <t>43.3%</t>
  </si>
  <si>
    <t>B_3 Households Reporting to have been Separated from a Member of their Regular Household as a Result of the Escalation of the War by HH proximity to frontline or Russian border</t>
  </si>
  <si>
    <t>56.8%</t>
  </si>
  <si>
    <t>40.0%</t>
  </si>
  <si>
    <t>59.3%</t>
  </si>
  <si>
    <t>35.0%</t>
  </si>
  <si>
    <t>65.0%</t>
  </si>
  <si>
    <t>64.8%</t>
  </si>
  <si>
    <t>35.2%</t>
  </si>
  <si>
    <t>57.8%</t>
  </si>
  <si>
    <t>43.8%</t>
  </si>
  <si>
    <t>42.4%</t>
  </si>
  <si>
    <t>B_9 Length of time Households Report to have been Displaced (Currently or in the Past) Since the Escalation of the War on 24 Feb 2022 by HHs with a member with a disability</t>
  </si>
  <si>
    <t>Up to a year</t>
  </si>
  <si>
    <t>Up to a year and a half</t>
  </si>
  <si>
    <t>Up to a year and three months</t>
  </si>
  <si>
    <t>Up to nine months</t>
  </si>
  <si>
    <t>Up to six months</t>
  </si>
  <si>
    <t>Up to three months</t>
  </si>
  <si>
    <t>Less than one month</t>
  </si>
  <si>
    <t>34.1%</t>
  </si>
  <si>
    <t>6.6%</t>
  </si>
  <si>
    <t>7.2%</t>
  </si>
  <si>
    <t>24.4%</t>
  </si>
  <si>
    <t>33.0%</t>
  </si>
  <si>
    <t>31.9%</t>
  </si>
  <si>
    <t>28.3%</t>
  </si>
  <si>
    <t>35.7%</t>
  </si>
  <si>
    <t>22.9%</t>
  </si>
  <si>
    <t>9.2%</t>
  </si>
  <si>
    <t>14.0%</t>
  </si>
  <si>
    <t>19.0%</t>
  </si>
  <si>
    <t>32.9%</t>
  </si>
  <si>
    <t>6.5%</t>
  </si>
  <si>
    <t>17.6%</t>
  </si>
  <si>
    <t>12.9%</t>
  </si>
  <si>
    <t>17.3%</t>
  </si>
  <si>
    <t>7.5%</t>
  </si>
  <si>
    <t>11.9%</t>
  </si>
  <si>
    <t>29.5%</t>
  </si>
  <si>
    <t>27.3%</t>
  </si>
  <si>
    <t>20.6%</t>
  </si>
  <si>
    <t>5.2%</t>
  </si>
  <si>
    <t>13.9%</t>
  </si>
  <si>
    <t>22.4%</t>
  </si>
  <si>
    <t>16.4%</t>
  </si>
  <si>
    <t>12.7%</t>
  </si>
  <si>
    <t>17.9%</t>
  </si>
  <si>
    <t>22.5%</t>
  </si>
  <si>
    <t>18.2%</t>
  </si>
  <si>
    <t>23.1%</t>
  </si>
  <si>
    <t>B_9 Length of time Households Report to have been Displaced (Currently or in the Past) Since the Escalation of the War on 24 Feb 2022 by displacement status</t>
  </si>
  <si>
    <t>15.1%</t>
  </si>
  <si>
    <t>33.7%</t>
  </si>
  <si>
    <t>25.0%</t>
  </si>
  <si>
    <t>26.5%</t>
  </si>
  <si>
    <t>39.2%</t>
  </si>
  <si>
    <t>31.1%</t>
  </si>
  <si>
    <t>16.7%</t>
  </si>
  <si>
    <t>15.3%</t>
  </si>
  <si>
    <t>23.0%</t>
  </si>
  <si>
    <t>36.2%</t>
  </si>
  <si>
    <t>15.2%</t>
  </si>
  <si>
    <t>17.1%</t>
  </si>
  <si>
    <t>21.0%</t>
  </si>
  <si>
    <t>35.6%</t>
  </si>
  <si>
    <t>12.5%</t>
  </si>
  <si>
    <t>B_9 Length of time Households Report to have been Displaced (Currently or in the Past) Since the Escalation of the War on 24 Feb 2022 by HoHH sex</t>
  </si>
  <si>
    <t>12.0%</t>
  </si>
  <si>
    <t>26.7%</t>
  </si>
  <si>
    <t>4.3%</t>
  </si>
  <si>
    <t>34.0%</t>
  </si>
  <si>
    <t>12.2%</t>
  </si>
  <si>
    <t>25.4%</t>
  </si>
  <si>
    <t>10.6%</t>
  </si>
  <si>
    <t>26.3%</t>
  </si>
  <si>
    <t>16.8%</t>
  </si>
  <si>
    <t>33.4%</t>
  </si>
  <si>
    <t>20.2%</t>
  </si>
  <si>
    <t>13.0%</t>
  </si>
  <si>
    <t>9.5%</t>
  </si>
  <si>
    <t>29.2%</t>
  </si>
  <si>
    <t>26.0%</t>
  </si>
  <si>
    <t>38.9%</t>
  </si>
  <si>
    <t>14.6%</t>
  </si>
  <si>
    <t>20.7%</t>
  </si>
  <si>
    <t>42.3%</t>
  </si>
  <si>
    <t>33.9%</t>
  </si>
  <si>
    <t>22.6%</t>
  </si>
  <si>
    <t>13.2%</t>
  </si>
  <si>
    <t>27.0%</t>
  </si>
  <si>
    <t>B_9 Length of time Households Report to have been Displaced (Currently or in the Past) Since the Escalation of the War on 24 Feb 2022 by rural or urban</t>
  </si>
  <si>
    <t>21.5%</t>
  </si>
  <si>
    <t>23.3%</t>
  </si>
  <si>
    <t>30.9%</t>
  </si>
  <si>
    <t>12.4%</t>
  </si>
  <si>
    <t>18.9%</t>
  </si>
  <si>
    <t>16.5%</t>
  </si>
  <si>
    <t>19.5%</t>
  </si>
  <si>
    <t>22.2%</t>
  </si>
  <si>
    <t>24.7%</t>
  </si>
  <si>
    <t>20.1%</t>
  </si>
  <si>
    <t>B_9 Length of time Households Report to have been Displaced (Currently or in the Past) Since the Escalation of the War on 24 Feb 2022 by HH proximity to frontline or Russian border</t>
  </si>
  <si>
    <t>33.3%</t>
  </si>
  <si>
    <t>13.1%</t>
  </si>
  <si>
    <t>22.3%</t>
  </si>
  <si>
    <t>20.4%</t>
  </si>
  <si>
    <t>21.8%</t>
  </si>
  <si>
    <t>B_9 Length of time Households Report to have been Displaced (Currently or in the Past) Since the Escalation of the War on 24 Feb 2022 overall</t>
  </si>
  <si>
    <t>21.1%</t>
  </si>
  <si>
    <t>B_11 Households Reported Accommodation Intentions Regarding Accomodation for the Medium to Long Term (from 3 to 6 Months) overall</t>
  </si>
  <si>
    <t>Don't wish to answer</t>
  </si>
  <si>
    <t>Move abroad</t>
  </si>
  <si>
    <t>Move to be hosted by family/friends</t>
  </si>
  <si>
    <t>Move to different rented or owned housing</t>
  </si>
  <si>
    <t>Remain in current accomodation or collective site</t>
  </si>
  <si>
    <t>94.5%</t>
  </si>
  <si>
    <t>96.4%</t>
  </si>
  <si>
    <t>B_11 Households Reported Accommodation Intentions Regarding Accomodation for the Medium to Long Term (from 3 to 6 Months) by HHs with a member with a disability</t>
  </si>
  <si>
    <t>81.8%</t>
  </si>
  <si>
    <t>87.6%</t>
  </si>
  <si>
    <t>80.6%</t>
  </si>
  <si>
    <t>88.0%</t>
  </si>
  <si>
    <t>B_11 Households Reported Accommodation Intentions Regarding Accomodation for the Medium to Long Term (from 3 to 6 Months) by displacement status</t>
  </si>
  <si>
    <t>98.0%</t>
  </si>
  <si>
    <t>75.1%</t>
  </si>
  <si>
    <t>96.1%</t>
  </si>
  <si>
    <t>85.1%</t>
  </si>
  <si>
    <t>69.4%</t>
  </si>
  <si>
    <t>93.4%</t>
  </si>
  <si>
    <t>78.9%</t>
  </si>
  <si>
    <t>72.7%</t>
  </si>
  <si>
    <t>79.6%</t>
  </si>
  <si>
    <t>74.9%</t>
  </si>
  <si>
    <t>96.6%</t>
  </si>
  <si>
    <t>B_11 Households Reported Accommodation Intentions Regarding Accomodation for the Medium to Long Term (from 3 to 6 Months) by HoHH sex</t>
  </si>
  <si>
    <t>94.9%</t>
  </si>
  <si>
    <t>96.2%</t>
  </si>
  <si>
    <t>97.3%</t>
  </si>
  <si>
    <t>B_11 Households Reported Accommodation Intentions Regarding Accomodation for the Medium to Long Term (from 3 to 6 Months) by rural or urban</t>
  </si>
  <si>
    <t>96.0%</t>
  </si>
  <si>
    <t>B_11 Households Reported Accommodation Intentions Regarding Accomodation for the Medium to Long Term (from 3 to 6 Months) by HH proximity to frontline or Russian border</t>
  </si>
  <si>
    <t>83.4%</t>
  </si>
  <si>
    <t>83.0%</t>
  </si>
  <si>
    <t>95.3%</t>
  </si>
  <si>
    <t>B_12 Households Reported Accommodation Intentions Regarding Location for the Medium to Long Term (from 3 to 6 Months) overall</t>
  </si>
  <si>
    <t>Abroad</t>
  </si>
  <si>
    <t>Area of Origin</t>
  </si>
  <si>
    <t>Current location</t>
  </si>
  <si>
    <t>Elsewhere in current oblast</t>
  </si>
  <si>
    <t>In another oblast,</t>
  </si>
  <si>
    <t>47.1%</t>
  </si>
  <si>
    <t>37.3%</t>
  </si>
  <si>
    <t>27.8%</t>
  </si>
  <si>
    <t>B_12 Households Reported Accommodation Intentions Regarding Location for the Medium to Long Term (from 3 to 6 Months) by HHs with a member with a disability</t>
  </si>
  <si>
    <t>36.7%</t>
  </si>
  <si>
    <t>14.8%</t>
  </si>
  <si>
    <t>40.8%</t>
  </si>
  <si>
    <t>59.2%</t>
  </si>
  <si>
    <t>36.6%</t>
  </si>
  <si>
    <t>21.4%</t>
  </si>
  <si>
    <t>26.8%</t>
  </si>
  <si>
    <t>9.7%</t>
  </si>
  <si>
    <t>23.7%</t>
  </si>
  <si>
    <t>41.2%</t>
  </si>
  <si>
    <t>18.4%</t>
  </si>
  <si>
    <t>47.4%</t>
  </si>
  <si>
    <t>31.0%</t>
  </si>
  <si>
    <t>32.6%</t>
  </si>
  <si>
    <t>17.7%</t>
  </si>
  <si>
    <t>30.6%</t>
  </si>
  <si>
    <t>B_12 Households Reported Accommodation Intentions Regarding Location for the Medium to Long Term (from 3 to 6 Months) by displacement status</t>
  </si>
  <si>
    <t>13.7%</t>
  </si>
  <si>
    <t>62.4%</t>
  </si>
  <si>
    <t>34.7%</t>
  </si>
  <si>
    <t>40.4%</t>
  </si>
  <si>
    <t>51.1%</t>
  </si>
  <si>
    <t>61.5%</t>
  </si>
  <si>
    <t>21.3%</t>
  </si>
  <si>
    <t>34.9%</t>
  </si>
  <si>
    <t>38.7%</t>
  </si>
  <si>
    <t>45.0%</t>
  </si>
  <si>
    <t>42.2%</t>
  </si>
  <si>
    <t>64.0%</t>
  </si>
  <si>
    <t>46.2%</t>
  </si>
  <si>
    <t>39.5%</t>
  </si>
  <si>
    <t>30.3%</t>
  </si>
  <si>
    <t>35.9%</t>
  </si>
  <si>
    <t>B_12 Households Reported Accommodation Intentions Regarding Location for the Medium to Long Term (from 3 to 6 Months) by HoHH sex</t>
  </si>
  <si>
    <t>44.5%</t>
  </si>
  <si>
    <t>28.6%</t>
  </si>
  <si>
    <t>23.9%</t>
  </si>
  <si>
    <t>30.2%</t>
  </si>
  <si>
    <t>B_12 Households Reported Accommodation Intentions Regarding Location for the Medium to Long Term (from 3 to 6 Months) by rural or urban</t>
  </si>
  <si>
    <t>32.0%</t>
  </si>
  <si>
    <t>39.7%</t>
  </si>
  <si>
    <t>31.2%</t>
  </si>
  <si>
    <t>49.1%</t>
  </si>
  <si>
    <t>31.7%</t>
  </si>
  <si>
    <t>B_12 Households Reported Accommodation Intentions Regarding Location for the Medium to Long Term (from 3 to 6 Months) by HH proximity to frontline or Russian border</t>
  </si>
  <si>
    <t>24.5%</t>
  </si>
  <si>
    <t>36.0%</t>
  </si>
  <si>
    <t>C_1 School Aged Children Reportedly Enrolled in Formal School during the 2022-2023 school year overall</t>
  </si>
  <si>
    <t>87.0%</t>
  </si>
  <si>
    <t>C_1 School Aged Children Reportedly Enrolled in Formal School during the 2022-2023 school year by child with a disability</t>
  </si>
  <si>
    <t>disability_children_age_sex</t>
  </si>
  <si>
    <t>Disabled Boys 12 to 17yo</t>
  </si>
  <si>
    <t>Disabled Boys 5yo</t>
  </si>
  <si>
    <t>Disabled Boys 6 to 11yo</t>
  </si>
  <si>
    <t>97.5%</t>
  </si>
  <si>
    <t>Disabled Girls 12 to 17yo</t>
  </si>
  <si>
    <t>Disabled Girls 6 to 11yo</t>
  </si>
  <si>
    <t>87.8%</t>
  </si>
  <si>
    <t>86.0%</t>
  </si>
  <si>
    <t>43.2%</t>
  </si>
  <si>
    <t>90.6%</t>
  </si>
  <si>
    <t>86.8%</t>
  </si>
  <si>
    <t>78.3%</t>
  </si>
  <si>
    <t>25.3%</t>
  </si>
  <si>
    <t>74.7%</t>
  </si>
  <si>
    <t>39.4%</t>
  </si>
  <si>
    <t>60.6%</t>
  </si>
  <si>
    <t>22.0%</t>
  </si>
  <si>
    <t>78.0%</t>
  </si>
  <si>
    <t>86.9%</t>
  </si>
  <si>
    <t>Disabled Girls 5yo</t>
  </si>
  <si>
    <t>25.6%</t>
  </si>
  <si>
    <t>74.4%</t>
  </si>
  <si>
    <t>82.3%</t>
  </si>
  <si>
    <t>C_1 School Aged Children Reportedly Enrolled in Formal School during the 2022-2023 school year by rural or urban</t>
  </si>
  <si>
    <t>C_1 School Aged Children Reportedly Enrolled in Formal School during the 2022-2023 school year by displacement status</t>
  </si>
  <si>
    <t>89.4%</t>
  </si>
  <si>
    <t>75.0%</t>
  </si>
  <si>
    <t>87.1%</t>
  </si>
  <si>
    <t>C_1 School Aged Children Reportedly Enrolled in Formal School during the 2022-2023 school year by HoHH sex</t>
  </si>
  <si>
    <t>88.8%</t>
  </si>
  <si>
    <t>C_1 School Aged Children Reportedly Enrolled in Formal School during the 2022-2023 school year by HH with a member employed</t>
  </si>
  <si>
    <t>employed_or_not</t>
  </si>
  <si>
    <t>All employed</t>
  </si>
  <si>
    <t>All unemployed</t>
  </si>
  <si>
    <t>At least 1 HH member employed</t>
  </si>
  <si>
    <t>84.9%</t>
  </si>
  <si>
    <t>48.9%</t>
  </si>
  <si>
    <t>85.4%</t>
  </si>
  <si>
    <t>51.5%</t>
  </si>
  <si>
    <t>48.5%</t>
  </si>
  <si>
    <t>C_1 School Aged Children Reportedly Enrolled in Formal School during the 2022-2023 school year by HH proximity to frontline or Russian border</t>
  </si>
  <si>
    <t>89.7%</t>
  </si>
  <si>
    <t>C_2 School Aged Children Reportedly Enrolled in Learning Modalities during the 2022-2023 school year overall</t>
  </si>
  <si>
    <t>Blended (Remote and In-person)</t>
  </si>
  <si>
    <t>In person</t>
  </si>
  <si>
    <t>Remotely</t>
  </si>
  <si>
    <t>24.0%</t>
  </si>
  <si>
    <t>50.8%</t>
  </si>
  <si>
    <t>60.1%</t>
  </si>
  <si>
    <t>33.1%</t>
  </si>
  <si>
    <t>C_2 School Aged Children Reportedly Enrolled in Learning Modalities during the 2022-2023 school year by child with a disability</t>
  </si>
  <si>
    <t>41.1%</t>
  </si>
  <si>
    <t>60.3%</t>
  </si>
  <si>
    <t>77.6%</t>
  </si>
  <si>
    <t>34.5%</t>
  </si>
  <si>
    <t>33.2%</t>
  </si>
  <si>
    <t>52.7%</t>
  </si>
  <si>
    <t>47.3%</t>
  </si>
  <si>
    <t>45.2%</t>
  </si>
  <si>
    <t>50.7%</t>
  </si>
  <si>
    <t>83.5%</t>
  </si>
  <si>
    <t>50.0%</t>
  </si>
  <si>
    <t>55.9%</t>
  </si>
  <si>
    <t>21.2%</t>
  </si>
  <si>
    <t>78.8%</t>
  </si>
  <si>
    <t>39.0%</t>
  </si>
  <si>
    <t>38.5%</t>
  </si>
  <si>
    <t>69.2%</t>
  </si>
  <si>
    <t>30.8%</t>
  </si>
  <si>
    <t>60.7%</t>
  </si>
  <si>
    <t>48.8%</t>
  </si>
  <si>
    <t>40.1%</t>
  </si>
  <si>
    <t>28.4%</t>
  </si>
  <si>
    <t>C_2 School Aged Children Reportedly Enrolled in Learning Modalities during the 2022-2023 school year by rural or urban</t>
  </si>
  <si>
    <t>62.7%</t>
  </si>
  <si>
    <t>39.6%</t>
  </si>
  <si>
    <t>33.8%</t>
  </si>
  <si>
    <t>50.9%</t>
  </si>
  <si>
    <t>62.0%</t>
  </si>
  <si>
    <t>57.2%</t>
  </si>
  <si>
    <t>63.3%</t>
  </si>
  <si>
    <t>34.3%</t>
  </si>
  <si>
    <t>38.8%</t>
  </si>
  <si>
    <t>C_2 School Aged Children Reportedly Enrolled in Learning Modalities during the 2022-2023 school year by displacement status</t>
  </si>
  <si>
    <t>37.2%</t>
  </si>
  <si>
    <t>22.1%</t>
  </si>
  <si>
    <t>34.4%</t>
  </si>
  <si>
    <t>62.1%</t>
  </si>
  <si>
    <t>45.7%</t>
  </si>
  <si>
    <t>49.0%</t>
  </si>
  <si>
    <t>47.0%</t>
  </si>
  <si>
    <t>74.8%</t>
  </si>
  <si>
    <t>35.1%</t>
  </si>
  <si>
    <t>51.3%</t>
  </si>
  <si>
    <t>52.5%</t>
  </si>
  <si>
    <t>47.8%</t>
  </si>
  <si>
    <t>37.9%</t>
  </si>
  <si>
    <t>C_2 School Aged Children Reportedly Enrolled in Learning Modalities during the 2022-2023 school year by HoHH sex</t>
  </si>
  <si>
    <t>46.1%</t>
  </si>
  <si>
    <t>47.2%</t>
  </si>
  <si>
    <t>48.3%</t>
  </si>
  <si>
    <t>65.7%</t>
  </si>
  <si>
    <t>55.5%</t>
  </si>
  <si>
    <t>59.6%</t>
  </si>
  <si>
    <t>38.2%</t>
  </si>
  <si>
    <t>61.6%</t>
  </si>
  <si>
    <t>C_2 School Aged Children Reportedly Enrolled in Learning Modalities during the 2022-2023 school year by HH with member employed</t>
  </si>
  <si>
    <t>46.9%</t>
  </si>
  <si>
    <t>38.3%</t>
  </si>
  <si>
    <t>46.8%</t>
  </si>
  <si>
    <t>57.3%</t>
  </si>
  <si>
    <t>25.2%</t>
  </si>
  <si>
    <t>32.3%</t>
  </si>
  <si>
    <t>90.5%</t>
  </si>
  <si>
    <t>61.9%</t>
  </si>
  <si>
    <t>40.2%</t>
  </si>
  <si>
    <t>C_2 School Aged Children Reportedly Enrolled in Learning Modalities during the 2022-2023 school year by HH proximity to frontline or Russian border</t>
  </si>
  <si>
    <t>42.6%</t>
  </si>
  <si>
    <t>88.7%</t>
  </si>
  <si>
    <t>34.8%</t>
  </si>
  <si>
    <t>79.8%</t>
  </si>
  <si>
    <t>C_3 School Aged Children Reportedly Attending Schools In-Person during the 2022-2023 school year overall</t>
  </si>
  <si>
    <t>99.5%</t>
  </si>
  <si>
    <t>C_3 School Aged Children Reportedly Enrolled in Learning Modalities during the 2022-2023 school year by child sex and age</t>
  </si>
  <si>
    <t>child_age_sex</t>
  </si>
  <si>
    <t>Boys 12-17 y.o.</t>
  </si>
  <si>
    <t>77.8%</t>
  </si>
  <si>
    <t>Boys 5-11 y.o.</t>
  </si>
  <si>
    <t>Girls 12-17 y.o.</t>
  </si>
  <si>
    <t>Girls 5-11 y.o.</t>
  </si>
  <si>
    <t>93.1%</t>
  </si>
  <si>
    <t>Other</t>
  </si>
  <si>
    <t>99.4%</t>
  </si>
  <si>
    <t>99.7%</t>
  </si>
  <si>
    <t>98.9%</t>
  </si>
  <si>
    <t>60.8%</t>
  </si>
  <si>
    <t>C_3 School Aged Children Reportedly Attending Schools In-Person during the 2022-2023 school year by child with a disability</t>
  </si>
  <si>
    <t>74.0%</t>
  </si>
  <si>
    <t>97.9%</t>
  </si>
  <si>
    <t>48.7%</t>
  </si>
  <si>
    <t>C_3 School Aged Children Reportedly Attending Schools In-Person during the 2022-2023 school year by rural or urban</t>
  </si>
  <si>
    <t>99.2%</t>
  </si>
  <si>
    <t>18.0%</t>
  </si>
  <si>
    <t>82.0%</t>
  </si>
  <si>
    <t>C_3 School Aged Children Reportedly Attending Schools In-Person during the 2022-2023 school year by displacement status</t>
  </si>
  <si>
    <t>98.4%</t>
  </si>
  <si>
    <t>64.9%</t>
  </si>
  <si>
    <t>C_3 School Aged Children Reportedly Attending Schools In-Person during the 2022-2023 school year by HoHH sex</t>
  </si>
  <si>
    <t>99.3%</t>
  </si>
  <si>
    <t>68.3%</t>
  </si>
  <si>
    <t>97.0%</t>
  </si>
  <si>
    <t>98.7%</t>
  </si>
  <si>
    <t>C_3 School Aged Children Reportedly Attending Schools In-Person during the 2022-2023 school year by HH with member employed</t>
  </si>
  <si>
    <t>66.2%</t>
  </si>
  <si>
    <t>53.2%</t>
  </si>
  <si>
    <t>C_3 School Aged Children Reportedly Attending Schools In-Person during the 2022-2023 school year by HH proximity to frontline or Russian border</t>
  </si>
  <si>
    <t>C_4 School Aged Children Reportedly Attending Schools Remotely during the 2022-2023 school year overall</t>
  </si>
  <si>
    <t>C_4 School Aged Children Reportedly Attending Schools Remotely during the 2022-2023 school year by child with a disability</t>
  </si>
  <si>
    <t>56.3%</t>
  </si>
  <si>
    <t>87.5%</t>
  </si>
  <si>
    <t>21.9%</t>
  </si>
  <si>
    <t>C_4 School Aged Children Reportedly Attending Schools Remotely during the 2022-2023 school year by rural or urban</t>
  </si>
  <si>
    <t>86.5%</t>
  </si>
  <si>
    <t>C_4 School Aged Children Reportedly Attending Schools Remotely during the 2022-2023 school year by displacement status</t>
  </si>
  <si>
    <t>76.9%</t>
  </si>
  <si>
    <t>C_4 School Aged Children Reportedly Attending Schools Remotely during the 2022-2023 school year by HoHH sex</t>
  </si>
  <si>
    <t>C_4 School Aged Children Reportedly Attending Schools Remotely during the 2022-2023 school year by HH with member employed</t>
  </si>
  <si>
    <t>60.2%</t>
  </si>
  <si>
    <t>C_4 School Aged Children Reportedly Attending Schools Remotely during the 2022-2023 school year by HH proximity to frontline or Russian border</t>
  </si>
  <si>
    <t>95.7%</t>
  </si>
  <si>
    <t>C_4 School Aged Children Reportedly Attending Schools In-Person and Remotely (Blended Learning) during the 2022-2023 school year overall</t>
  </si>
  <si>
    <t>C_4 School Aged Children Reportedly Attending Schools In-Person and Remotely (Blended Learning) during the 2022-2023 school year by child with a disability</t>
  </si>
  <si>
    <t>77.1%</t>
  </si>
  <si>
    <t>C_4 School Aged Children Reportedly Attending Schools In-Person and Remotely (Blended Learning) during the 2022-2023 school year by child sex and age</t>
  </si>
  <si>
    <t>99.1%</t>
  </si>
  <si>
    <t>80.3%</t>
  </si>
  <si>
    <t>C_4 School Aged Children Reportedly Attending Schools In-Person and Remotely (Blended Learning) during the 2022-2023 school year by rural or urban</t>
  </si>
  <si>
    <t>C_4 School Aged Children Reportedly Attending Schools In-Person and Remotely (Blended Learning) during the 2022-2023 school year by displacement status</t>
  </si>
  <si>
    <t>98.2%</t>
  </si>
  <si>
    <t>73.3%</t>
  </si>
  <si>
    <t>C_4 School Aged Children Reportedly Attending Schools In-Person and Remotely (Blended Learning) during the 2022-2023 school year by HoHH sex</t>
  </si>
  <si>
    <t>C_4 School Aged Children Reportedly Attending Schools In-Person and Remotely (Blended Learning) during the 2022-2023 school year by HH with member employed</t>
  </si>
  <si>
    <t>C_4 School Aged Children Reportedly Attending Schools In-Person and Remotely (Blended Learning) during the 2022-2023 school year by HH proximity to frontline or Russian border</t>
  </si>
  <si>
    <t>Disability</t>
  </si>
  <si>
    <t>Language issues</t>
  </si>
  <si>
    <t>Protection risks while at school</t>
  </si>
  <si>
    <t>Protection risks while commuting to school</t>
  </si>
  <si>
    <t>Connectivity to internet is a barrier</t>
  </si>
  <si>
    <t>Regular electricity/power cuts prevent access</t>
  </si>
  <si>
    <t>Remote learning is the only modality available and the HH would not have the necessary equipment (devices).</t>
  </si>
  <si>
    <t>Decline to answer</t>
  </si>
  <si>
    <t>Schools in the community were damaged/destroyed</t>
  </si>
  <si>
    <t>Cannot afford education-related costs (e.g. tuition, supplies, transportation)</t>
  </si>
  <si>
    <t>Education is not a priority</t>
  </si>
  <si>
    <t>Not able to register or enrol child in the school</t>
  </si>
  <si>
    <t>40.7%</t>
  </si>
  <si>
    <t>19.3%</t>
  </si>
  <si>
    <t>25.7%</t>
  </si>
  <si>
    <t>31.5%</t>
  </si>
  <si>
    <t>72.1%</t>
  </si>
  <si>
    <t>35.8%</t>
  </si>
  <si>
    <t>53.7%</t>
  </si>
  <si>
    <t>72.5%</t>
  </si>
  <si>
    <t>48.6%</t>
  </si>
  <si>
    <t>60.0%</t>
  </si>
  <si>
    <t>24.8%</t>
  </si>
  <si>
    <t>74.3%</t>
  </si>
  <si>
    <t>48.4%</t>
  </si>
  <si>
    <t>72.6%</t>
  </si>
  <si>
    <t>27.4%</t>
  </si>
  <si>
    <t>48.2%</t>
  </si>
  <si>
    <t>23.5%</t>
  </si>
  <si>
    <t>75.9%</t>
  </si>
  <si>
    <t>53.5%</t>
  </si>
  <si>
    <t>31.6%</t>
  </si>
  <si>
    <t>64.2%</t>
  </si>
  <si>
    <t>77.4%</t>
  </si>
  <si>
    <t>67.7%</t>
  </si>
  <si>
    <t>62.2%</t>
  </si>
  <si>
    <t>37.8%</t>
  </si>
  <si>
    <t>37.4%</t>
  </si>
  <si>
    <t>62.6%</t>
  </si>
  <si>
    <t>C_7 School Aged Children Reportedly Able to Travel Safely and Learn in Safe Conditions at School During the 2022-2023 school year overall</t>
  </si>
  <si>
    <t>C_7 School Aged Children Reportedly Able to Travel Safely and Learn in Safe Conditions at School During the 2022-2023 school year by child with a disability</t>
  </si>
  <si>
    <t>C_7 School Aged Children Reportedly Able to Travel Safely and Learn in Safe Conditions at School During the 2022-2023 school year by rural or urban</t>
  </si>
  <si>
    <t>C_7 School Aged Children Reportedly Able to Travel Safely and Learn in Safe Conditions at School During the 2022-2023 school year by child sex and age</t>
  </si>
  <si>
    <t>C_7 School Aged Children Reportedly Able to Travel Safely and Learn in Safe Conditions at School During the 2022-2023 school year by displacement status</t>
  </si>
  <si>
    <t>72.2%</t>
  </si>
  <si>
    <t>C_7 School Aged Children Reportedly Able to Travel Safely and Learn in Safe Conditions at School During the 2022-2023 school year by HoHH sex</t>
  </si>
  <si>
    <t>46.3%</t>
  </si>
  <si>
    <t>C_7 School Aged Children Reportedly Able to Travel Safely and Learn in Safe Conditions at School During the 2022-2023 school year by HH with member employed</t>
  </si>
  <si>
    <t>77.7%</t>
  </si>
  <si>
    <t>73.0%</t>
  </si>
  <si>
    <t>C_7 School Aged Children Reportedly Able to Travel Safely and Learn in Safe Conditions at School During the 2022-2023 school year by HH proximity to frontline or Russian border</t>
  </si>
  <si>
    <t>68.0%</t>
  </si>
  <si>
    <t>C_8 Main Barriers School Aged Children Reportedly Faced to Travel and Learn Safely at School During the 2022-2023 school year overall</t>
  </si>
  <si>
    <t>Security concerns of child travelling to school (fear of physical threat, abduction etc.)</t>
  </si>
  <si>
    <t>Schools' attack</t>
  </si>
  <si>
    <t>Gender-based or sexual violence/abuse</t>
  </si>
  <si>
    <t>Verbal bullying or discrimination</t>
  </si>
  <si>
    <t>Physical bullying between students</t>
  </si>
  <si>
    <t>Unsafe infrastructure/lack of bomb shelter</t>
  </si>
  <si>
    <t>Lack of teaching staff qualified in providing psychosocial support</t>
  </si>
  <si>
    <t>Lack of referal mechanism at the school</t>
  </si>
  <si>
    <t>Discrimination of the child based sex, age, disability, HIV status, nationality, race, ethnicity, tribe, clan, caste, religion, language, culture, political affiliation, sexual orientation socio-economic background, geographic location or specific education needs</t>
  </si>
  <si>
    <t>Not sure / Prefer not to answer</t>
  </si>
  <si>
    <t>32.4%</t>
  </si>
  <si>
    <t>55.0%</t>
  </si>
  <si>
    <t>C_8 Main Barriers School Aged Children Reportedly Faced to Travel and Learn Safely at School During the 2022-2023 school year by child with a disability</t>
  </si>
  <si>
    <t>51.0%</t>
  </si>
  <si>
    <t>40.6%</t>
  </si>
  <si>
    <t>C_8 Main Barriers School Aged Children Reportedly Faced to Travel and Learn Safely at School During the 2022-2023 school year by child sex and age</t>
  </si>
  <si>
    <t>61.7%</t>
  </si>
  <si>
    <t>55.7%</t>
  </si>
  <si>
    <t>32.5%</t>
  </si>
  <si>
    <t>65.2%</t>
  </si>
  <si>
    <t>58.8%</t>
  </si>
  <si>
    <t>27.5%</t>
  </si>
  <si>
    <t>55.4%</t>
  </si>
  <si>
    <t>30.1%</t>
  </si>
  <si>
    <t>49.9%</t>
  </si>
  <si>
    <t>C_8 Main Barriers School Aged Children Reportedly Faced to Travel and Learn Safely at School During the 2022-2023 school year by rural or urban</t>
  </si>
  <si>
    <t>37.7%</t>
  </si>
  <si>
    <t>61.0%</t>
  </si>
  <si>
    <t>45.4%</t>
  </si>
  <si>
    <t>44.3%</t>
  </si>
  <si>
    <t>C_8 Main Barriers School Aged Children Reportedly Faced to Travel and Learn Safely at School During the 2022-2023 school year by displacement status</t>
  </si>
  <si>
    <t>34.2%</t>
  </si>
  <si>
    <t>49.8%</t>
  </si>
  <si>
    <t>C_8 Main Barriers School Aged Children Reportedly Faced to Travel and Learn Safely at School During the 2022-2023 school year by HoHH sex</t>
  </si>
  <si>
    <t>47.7%</t>
  </si>
  <si>
    <t>66.8%</t>
  </si>
  <si>
    <t>41.7%</t>
  </si>
  <si>
    <t>C_8 Main Barriers School Aged Children Reportedly Faced to Travel and Learn Safely at School During the 2022-2023 school year by HH with member employed</t>
  </si>
  <si>
    <t>63.2%</t>
  </si>
  <si>
    <t>50.2%</t>
  </si>
  <si>
    <t>72.9%</t>
  </si>
  <si>
    <t>66.9%</t>
  </si>
  <si>
    <t>C_8 Main Barriers School Aged Children Reportedly Faced to Travel and Learn Safely at School During the 2022-2023 school year by HH proximity to frontline or Russian border</t>
  </si>
  <si>
    <t>63.4%</t>
  </si>
  <si>
    <t>C_9 School Aged Children Reportedly Able to Learn in Acceptable Conditions at School During the 2022-2023 school year overall</t>
  </si>
  <si>
    <t>C_9 School Aged Children Reportedly Able to Learn in Acceptable Conditions at School During the 2022-2023 school year by child with a disability</t>
  </si>
  <si>
    <t>C_9 School Aged Children Reportedly Able to Learn in Acceptable Conditions at School During the 2022-2023 school year by rural or urban</t>
  </si>
  <si>
    <t>C_9 School Aged Children Reportedly Able to Learn in Acceptable Conditions at School During the 2022-2023 school year by displacement status</t>
  </si>
  <si>
    <t>77.0%</t>
  </si>
  <si>
    <t>C_9 School Aged Children Reportedly Able to Learn in Acceptable Conditions at School During the 2022-2023 school year by HoHH sex</t>
  </si>
  <si>
    <t>C_9 School Aged Children Reportedly Able to Learn in Acceptable Conditions at School During the 2022-2023 school year by HH with member employed</t>
  </si>
  <si>
    <t>85.3%</t>
  </si>
  <si>
    <t>C_9 School Aged Children Reportedly Able to Learn in Acceptable Conditions at School During the 2022-2023 school year by HH proximity to frontline or Russian border</t>
  </si>
  <si>
    <t>82.7%</t>
  </si>
  <si>
    <t>C_10 Main Barriers School Aged Children Reportedly Faced to Learn in Acceptable Conditions at School During the 2022-2023 school year overall</t>
  </si>
  <si>
    <t>Curriculum is not adapted for distance learning</t>
  </si>
  <si>
    <t>Internet/technology is not reliable</t>
  </si>
  <si>
    <t>Equipment (tablets/computers/radio etc.) need to be shared between several children in the household</t>
  </si>
  <si>
    <t>No secure transportation to school available</t>
  </si>
  <si>
    <t>51.4%</t>
  </si>
  <si>
    <t>67.3%</t>
  </si>
  <si>
    <t>C_10 Main Barriers School Aged Children Reportedly Faced to Learn in Acceptable Conditions at School During the 2022-2023 school year by child with a disability</t>
  </si>
  <si>
    <t>64.4%</t>
  </si>
  <si>
    <t>C_10 Main Barriers School Aged Children Reportedly Faced to Learn in Acceptable Conditions at School During the 2022-2023 school year by rural or urban</t>
  </si>
  <si>
    <t>38.1%</t>
  </si>
  <si>
    <t>46.7%</t>
  </si>
  <si>
    <t>64.1%</t>
  </si>
  <si>
    <t>58.3%</t>
  </si>
  <si>
    <t>C_10 Main Barriers School Aged Children Reportedly Faced to Learn in Acceptable Conditions at School During the 2022-2023 school year by child sex and age</t>
  </si>
  <si>
    <t>65.6%</t>
  </si>
  <si>
    <t>39.3%</t>
  </si>
  <si>
    <t>66.6%</t>
  </si>
  <si>
    <t>36.8%</t>
  </si>
  <si>
    <t>29.3%</t>
  </si>
  <si>
    <t>C_10 Main Barriers School Aged Children Reportedly Faced to Learn in Acceptable Conditions at School During the 2022-2023 school year by displacement status</t>
  </si>
  <si>
    <t>45.9%</t>
  </si>
  <si>
    <t>66.1%</t>
  </si>
  <si>
    <t>C_10 Main Barriers School Aged Children Reportedly Faced to Learn in Acceptable Conditions at School During the 2022-2023 school year by HoHH sex</t>
  </si>
  <si>
    <t>69.9%</t>
  </si>
  <si>
    <t>58.4%</t>
  </si>
  <si>
    <t>C_10 Main Barriers School Aged Children Reportedly Faced to Learn in Acceptable Conditions at School During the 2022-2023 school year by HH with member employed</t>
  </si>
  <si>
    <t>54.3%</t>
  </si>
  <si>
    <t>76.3%</t>
  </si>
  <si>
    <t>26.9%</t>
  </si>
  <si>
    <t>C_10 Main Barriers School Aged Children Reportedly Faced to Learn in Acceptable Conditions at School During the 2022-2023 school year by HH proximity to frontline or Russian border</t>
  </si>
  <si>
    <t>62.8%</t>
  </si>
  <si>
    <t>76.7%</t>
  </si>
  <si>
    <t>75.7%</t>
  </si>
  <si>
    <t>C_11 Young Children (2 to 5 years old) Reportedly Attending Early Childhood Education Programmes overall</t>
  </si>
  <si>
    <t>51.2%</t>
  </si>
  <si>
    <t>74.5%</t>
  </si>
  <si>
    <t>C_11 Young Children (2 to 5 years old) Reportedly Attending Early Childhood Education Programmes by child with a disability</t>
  </si>
  <si>
    <t>56.7%</t>
  </si>
  <si>
    <t>C_11 Young Children (2 to 5 years old) Reportedly Attending Early Childhood Education Programmes by rural or urban</t>
  </si>
  <si>
    <t>49.2%</t>
  </si>
  <si>
    <t>41.6%</t>
  </si>
  <si>
    <t>59.9%</t>
  </si>
  <si>
    <t>C_11 Young Children (2 to 5 years old) Reportedly Attending Early Childhood Education Programmes by displacement status</t>
  </si>
  <si>
    <t>54.4%</t>
  </si>
  <si>
    <t>45.6%</t>
  </si>
  <si>
    <t>51.6%</t>
  </si>
  <si>
    <t>38.0%</t>
  </si>
  <si>
    <t>77.3%</t>
  </si>
  <si>
    <t>70.5%</t>
  </si>
  <si>
    <t>50.1%</t>
  </si>
  <si>
    <t>C_11 Young Children (2 to 5 years old) Reportedly Attending Early Childhood Education Programmes by HoHH sex</t>
  </si>
  <si>
    <t>52.6%</t>
  </si>
  <si>
    <t>C_11 Young Children (2 to 5 years old) Reportedly Attending Early Childhood Education Programmes by HH with member employed</t>
  </si>
  <si>
    <t>65.3%</t>
  </si>
  <si>
    <t>65.9%</t>
  </si>
  <si>
    <t>65.8%</t>
  </si>
  <si>
    <t>C_11 Young Children (2 to 5 years old) Reportedly Attending Early Childhood Education Programmes by HH proximity to frontline or Russian border</t>
  </si>
  <si>
    <t>69.1%</t>
  </si>
  <si>
    <t>C_12 Main Barriers Reported for Young Children (2 to 5 years old) Faced to child Attending Early Childhood Education Programmes overall</t>
  </si>
  <si>
    <t>Lack of pre-school institutions in the community</t>
  </si>
  <si>
    <t>Lack of secure pre-school infrustructure (bomb shelters)</t>
  </si>
  <si>
    <t>Kindergardens are occupied by IDPS</t>
  </si>
  <si>
    <t>Kindergartens are overcrowded</t>
  </si>
  <si>
    <t>Cannot afford pre-school education costs</t>
  </si>
  <si>
    <t>Pre-school education is not a priority</t>
  </si>
  <si>
    <t>Not able to register or enroll child in the kindergarten</t>
  </si>
  <si>
    <t>Prefer not to say</t>
  </si>
  <si>
    <t>33.6%</t>
  </si>
  <si>
    <t>C_12 Main Barriers Reported for Young Children (2 to 5 years old) Faced to child Attending Early Childhood Education Programmes by child with a disability</t>
  </si>
  <si>
    <t>C_12 Main Barriers Reported for Young Children (2 to 5 years old) Faced to child Attending Early Childhood Education Programmes by rural or urban</t>
  </si>
  <si>
    <t>32.8%</t>
  </si>
  <si>
    <t>C_12 Main Barriers Reported for Young Children (2 to 5 years old) Faced to child Attending Early Childhood Education Programmes by displacement status</t>
  </si>
  <si>
    <t>C_12 Main Barriers Reported for Young Children (2 to 5 years old) Faced to child Attending Early Childhood Education Programmes by HoHH sex</t>
  </si>
  <si>
    <t>C_12 Main Barriers Reported for Young Children (2 to 5 years old) Faced to child Attending Early Childhood Education Programmes by HH with member employed</t>
  </si>
  <si>
    <t>C_12 Main Barriers Reported for Young Children (2 to 5 years old) Faced to child Attending Early Childhood Education Programmes by HH proximity to frontline or Russian border</t>
  </si>
  <si>
    <t>36.5%</t>
  </si>
  <si>
    <t>53.8%</t>
  </si>
  <si>
    <t>D_1 Households by Type of Shelter Reported overall</t>
  </si>
  <si>
    <t>Apartment in apartment block</t>
  </si>
  <si>
    <t>Collective site / public building</t>
  </si>
  <si>
    <t>Detached house</t>
  </si>
  <si>
    <t>Non-regulated or government-approved building</t>
  </si>
  <si>
    <t>Don´t know</t>
  </si>
  <si>
    <t>37.1%</t>
  </si>
  <si>
    <t>59.8%</t>
  </si>
  <si>
    <t>62.3%</t>
  </si>
  <si>
    <t>D_1 Households by Type of Shelter Reported by HHs with a member with a disability</t>
  </si>
  <si>
    <t>82.2%</t>
  </si>
  <si>
    <t>62.5%</t>
  </si>
  <si>
    <t>74.6%</t>
  </si>
  <si>
    <t>D_1 Households by Type of Shelter Reported by displacement status</t>
  </si>
  <si>
    <t>67.1%</t>
  </si>
  <si>
    <t>52.3%</t>
  </si>
  <si>
    <t>37.5%</t>
  </si>
  <si>
    <t>68.9%</t>
  </si>
  <si>
    <t>D_1 Households by Type of Shelter Reported by HoHH sex</t>
  </si>
  <si>
    <t>75.6%</t>
  </si>
  <si>
    <t>57.7%</t>
  </si>
  <si>
    <t>60.5%</t>
  </si>
  <si>
    <t>D_1 Households by Type of Shelter Reported by rural or urban</t>
  </si>
  <si>
    <t>54.6%</t>
  </si>
  <si>
    <t>D_1 Households by Type of Shelter Reported by HH with unimproved drinking water source</t>
  </si>
  <si>
    <t>drinking_water_unimproved</t>
  </si>
  <si>
    <t>HHs accessing drinking water Only by Improved sources</t>
  </si>
  <si>
    <t>HHs accessing drinking water Only by Unimproved sourcess</t>
  </si>
  <si>
    <t>HHs accessing drinking water by Unimproved and Improved sources</t>
  </si>
  <si>
    <t>67.2%</t>
  </si>
  <si>
    <t>76.8%</t>
  </si>
  <si>
    <t>D_1 Households by Type of Shelter Reported by HH with unimproved sanitation facility</t>
  </si>
  <si>
    <t>sanitation_facility_unimproved</t>
  </si>
  <si>
    <t>HHs with access Only to Improved sanitation facilities</t>
  </si>
  <si>
    <t>HHs with access Only to Unimproved sanitation facilities</t>
  </si>
  <si>
    <t>HHs with access of Improved and Unimproved sanitation facilities</t>
  </si>
  <si>
    <t>37.0%</t>
  </si>
  <si>
    <t>81.0%</t>
  </si>
  <si>
    <t>D_1 Households by Type of Shelter Reported by HH with member employed</t>
  </si>
  <si>
    <t>53.4%</t>
  </si>
  <si>
    <t>51.8%</t>
  </si>
  <si>
    <t>66.7%</t>
  </si>
  <si>
    <t>52.8%</t>
  </si>
  <si>
    <t>68.4%</t>
  </si>
  <si>
    <t>D_2 Households by Type of Conflict-Related Damages or Defects Reported overall</t>
  </si>
  <si>
    <t>No damage or noticeable issue</t>
  </si>
  <si>
    <t>Minor damage to roof (cracks, openings)</t>
  </si>
  <si>
    <t>Major damage to roof with risk of collapse</t>
  </si>
  <si>
    <t>Damage to windows and/or doors (missing, broken, unable to shut properly)</t>
  </si>
  <si>
    <t>Damage to floors</t>
  </si>
  <si>
    <t>Damage to walls</t>
  </si>
  <si>
    <t>Lack of privacy inside the shelter (no partitions, doors)</t>
  </si>
  <si>
    <t>Lack of space inside shelter (min 14m2 per household member)</t>
  </si>
  <si>
    <t>Lack of insulation from cold / heat</t>
  </si>
  <si>
    <t>Limited ventilation (no air circulation unless main entrance is open)</t>
  </si>
  <si>
    <t>Leaks during rain</t>
  </si>
  <si>
    <t>Unable to lock the shelter</t>
  </si>
  <si>
    <t>Lack of lighting inside or outside the shelter</t>
  </si>
  <si>
    <t>Total collapse or shelter too damaged and unsafe for living (but household still living there)</t>
  </si>
  <si>
    <t>Other (please specify)</t>
  </si>
  <si>
    <t>89.8%</t>
  </si>
  <si>
    <t>80.9%</t>
  </si>
  <si>
    <t>D_2 Households by Type of Conflict-Related Damages or Defects Reported by HHs with a member with a disability</t>
  </si>
  <si>
    <t>72.4%</t>
  </si>
  <si>
    <t>D_2 Households by Type of Conflict-Related Damages or Defects Reported by displacement status</t>
  </si>
  <si>
    <t>D_2 Households by Type of Conflict-Related Damages or Defects Reported by HoHH sex</t>
  </si>
  <si>
    <t>89.2%</t>
  </si>
  <si>
    <t>D_2 Households by Type of Conflict-Related Damages or Defects Reported by rural or urban</t>
  </si>
  <si>
    <t>D_2 Households by Type of Conflict-Related Damages or Defects Reported by HH proximity to frontline or Russian border</t>
  </si>
  <si>
    <t>41.5%</t>
  </si>
  <si>
    <t>D_2 Households by Type of Conflict-Related Damages or Defects Reported by Shelter assistance received</t>
  </si>
  <si>
    <t>assistance_received_shelter</t>
  </si>
  <si>
    <t>HHs that did not receive any assistance</t>
  </si>
  <si>
    <t>HHs that did not receive shelter assistance</t>
  </si>
  <si>
    <t>HHs that received shelter assistance</t>
  </si>
  <si>
    <t>63.0%</t>
  </si>
  <si>
    <t>83.2%</t>
  </si>
  <si>
    <t>D_3 Households by Shelter Living Condition Issues Reported overall</t>
  </si>
  <si>
    <t>At least one member of the household has to sleep outside or on the floor (insufficient space, insufficient sleeping mats/mattress)</t>
  </si>
  <si>
    <t>Lack of cooking facilities</t>
  </si>
  <si>
    <t>Unable to store water properly (lack of water-storage facilities)</t>
  </si>
  <si>
    <t>Unable to adequately wash (lack of bathing facilities, bathing facilities unsafe),</t>
  </si>
  <si>
    <t>Unable to adequately perform general personal hygiene (insufficient hygiene kits items, i.e. toothpaste, soap, menstural pads)</t>
  </si>
  <si>
    <t>Does not feel protected in the Shelter (Unable to lock home securely, insufficient light inside or outside, overall sentiment)</t>
  </si>
  <si>
    <t>Insufficient privacy (no partitions, doors)</t>
  </si>
  <si>
    <t>Unable to keep warm or cool (no or dysfunctional temperature regulating devices, insufficient winter clothes)</t>
  </si>
  <si>
    <t>Unable to wash/dry clothes</t>
  </si>
  <si>
    <t>None of the above</t>
  </si>
  <si>
    <t>Don´t know / prefer not to say</t>
  </si>
  <si>
    <t>D_3 Households by Shelter Living Condition Issues Reported by displacement status</t>
  </si>
  <si>
    <t>D_3 Households by Shelter Living Condition Issues Reported by HoHH sex</t>
  </si>
  <si>
    <t>D_3 Households by Shelter Living Condition Issues Reported by rural or urban</t>
  </si>
  <si>
    <t>91.2%</t>
  </si>
  <si>
    <t>D_3 Households by Shelter Living Condition Issues Reported by Shelter assistance received</t>
  </si>
  <si>
    <t>D_9 NFI Households Reported as Missing overall</t>
  </si>
  <si>
    <t>Winter jacket</t>
  </si>
  <si>
    <t>Winter boots</t>
  </si>
  <si>
    <t>Winter clothes</t>
  </si>
  <si>
    <t>Winter underwear</t>
  </si>
  <si>
    <t>Mattress</t>
  </si>
  <si>
    <t>Bedsheets</t>
  </si>
  <si>
    <t>Towel set</t>
  </si>
  <si>
    <t>Blanket</t>
  </si>
  <si>
    <t>Heating appliances (fuel, coal, gas)</t>
  </si>
  <si>
    <t>Fuel for heating (coal, firewood, liquid gas)</t>
  </si>
  <si>
    <t>Kitchen utensils</t>
  </si>
  <si>
    <t>Power-bank lamps</t>
  </si>
  <si>
    <t>None</t>
  </si>
  <si>
    <t>D_9 NFI Households Reported as Missing by HHs with a member with a disability</t>
  </si>
  <si>
    <t>73.9%</t>
  </si>
  <si>
    <t>47.6%</t>
  </si>
  <si>
    <t>67.0%</t>
  </si>
  <si>
    <t>D_9 NFI Households Reported as Missing by displacement status</t>
  </si>
  <si>
    <t>65.1%</t>
  </si>
  <si>
    <t>D_9 NFI Households Reported as Missing by HoHH sex</t>
  </si>
  <si>
    <t>64.3%</t>
  </si>
  <si>
    <t>D_9 NFI Households Reported as Missing by rural or urban</t>
  </si>
  <si>
    <t>76.4%</t>
  </si>
  <si>
    <t>D_9 NFI Households Reported as Missing by HH size</t>
  </si>
  <si>
    <t>hh_size_group</t>
  </si>
  <si>
    <t>HHs with 2-4 members</t>
  </si>
  <si>
    <t>71.2%</t>
  </si>
  <si>
    <t>HHs with 5 or more members</t>
  </si>
  <si>
    <t>Single member HHs</t>
  </si>
  <si>
    <t>53.9%</t>
  </si>
  <si>
    <t>66.4%</t>
  </si>
  <si>
    <t>D_9 NFI Households Reported as Missing by HH with or without young children</t>
  </si>
  <si>
    <t>hh_young_children</t>
  </si>
  <si>
    <t>HHs with a young child (2-5 y.o.)</t>
  </si>
  <si>
    <t>HHs without a young child (2-5 y.o.)</t>
  </si>
  <si>
    <t>D_9 NFI Households Reported as Missing by HH with or without infant children</t>
  </si>
  <si>
    <t>hh_infant_children</t>
  </si>
  <si>
    <t>HHs with an infant (0-2 y.o.)</t>
  </si>
  <si>
    <t>HHs without an infant (0-2 y.o.)</t>
  </si>
  <si>
    <t>63.8%</t>
  </si>
  <si>
    <t>D_10 Shelter Occupancy Arranagement Reported by Households overall</t>
  </si>
  <si>
    <t>Collective site resident</t>
  </si>
  <si>
    <t>Don’t know</t>
  </si>
  <si>
    <t>Hosted for free, free utilities</t>
  </si>
  <si>
    <t>Hosted for free, paying utilities</t>
  </si>
  <si>
    <t>Owned property</t>
  </si>
  <si>
    <t>Rented (with agreement)</t>
  </si>
  <si>
    <t>Rented (without agreement)</t>
  </si>
  <si>
    <t>Squatting</t>
  </si>
  <si>
    <t>75.2%</t>
  </si>
  <si>
    <t>D_10 Shelter Occupancy Arranagement Reported by Households by HHs with a member with a disability</t>
  </si>
  <si>
    <t>79.9%</t>
  </si>
  <si>
    <t>68.7%</t>
  </si>
  <si>
    <t>76.5%</t>
  </si>
  <si>
    <t>D_10 Shelter Occupancy Arranagement Reported by Households by displacement status</t>
  </si>
  <si>
    <t>73.5%</t>
  </si>
  <si>
    <t>D_10 Shelter Occupancy Arranagement Reported by Households by HoHH sex</t>
  </si>
  <si>
    <t>62.9%</t>
  </si>
  <si>
    <t>D_10 Shelter Occupancy Arranagement Reported by Households by rural or urban</t>
  </si>
  <si>
    <t>71.4%</t>
  </si>
  <si>
    <t>D_14 Main Heating Source Reportedly Used by Households in their Accommodation during the last Winter Season overall</t>
  </si>
  <si>
    <t>Briquettes (Not coal)</t>
  </si>
  <si>
    <t>Central heating</t>
  </si>
  <si>
    <t>Centralized Gas</t>
  </si>
  <si>
    <t>Coal</t>
  </si>
  <si>
    <t>Electricity</t>
  </si>
  <si>
    <t>Individual gas heating</t>
  </si>
  <si>
    <t>No heating</t>
  </si>
  <si>
    <t>Wood</t>
  </si>
  <si>
    <t>Briquettes (coal)</t>
  </si>
  <si>
    <t>D_14 Main Heating Source Reportedly Used by Households in their Accommodation during the last Winter Season by HHs with a member with a disability</t>
  </si>
  <si>
    <t>D_14 Main Heating Source Reportedly Used by Households in their Accommodation during the last Winter Season by displacement status</t>
  </si>
  <si>
    <t>52.9%</t>
  </si>
  <si>
    <t>D_14 Main Heating Source Reportedly Used by Households in their Accommodation during the last Winter Season by HoHH sex</t>
  </si>
  <si>
    <t>D_14 Main Heating Source Reportedly Used by Households in their Accommodation during the last Winter Season by rural or urban</t>
  </si>
  <si>
    <t>52.4%</t>
  </si>
  <si>
    <t>D_14 Main Heating Source Reportedly Used by Households in their Accommodation during the last Winter Season by HH proximity to frontline or Russian border</t>
  </si>
  <si>
    <t>D_14 Main Heating Source Reportedly Used by Households in their Accommodation during the last Winter Seasonby HHs reporting house damaged by conflict-related reasons</t>
  </si>
  <si>
    <t>shelter_damaged_conflict</t>
  </si>
  <si>
    <t>HHs with conflict-related shelter damages</t>
  </si>
  <si>
    <t>HHs without conflict-related shelter damages</t>
  </si>
  <si>
    <t>D_15 Households Reporting Interruption to Main Utility Services in their Current Accommodation over the Last 30 days Prior to Data Collection overall</t>
  </si>
  <si>
    <t>No interruptions experienced</t>
  </si>
  <si>
    <t>Sewage</t>
  </si>
  <si>
    <t>Centralized hot water supply</t>
  </si>
  <si>
    <t>Centralized cold water supply</t>
  </si>
  <si>
    <t>Mains electricity</t>
  </si>
  <si>
    <t>Centralized gas</t>
  </si>
  <si>
    <t>Wired internet</t>
  </si>
  <si>
    <t>76.0%</t>
  </si>
  <si>
    <t>D_15 Households Reporting Interruption to Main Utility Services in their Current Accommodation over the Last 30 days Prior to Data Collection by HHs with a member with a disability</t>
  </si>
  <si>
    <t>D_15 Households Reporting Interruption to Main Utility Services in their Current Accommodation over the Last 30 days Prior to Data Collection by displacement status</t>
  </si>
  <si>
    <t>70.7%</t>
  </si>
  <si>
    <t>D_15 Households Reporting Interruption to Main Utility Services in their Current Accommodation over the Last 30 days Prior to Data Collection by HoHH sex</t>
  </si>
  <si>
    <t>76.1%</t>
  </si>
  <si>
    <t>D_15 Households Reporting Interruption to Main Utility Services in their Current Accommodation over the Last 30 days Prior to Data Collection by rural or urban</t>
  </si>
  <si>
    <t>78.5%</t>
  </si>
  <si>
    <t>D_15 Households Reporting Interruption to Main Utility Services in their Current Accommodation over the Last 30 days Prior to Data Collection by HH proximity to frontline or Russian border</t>
  </si>
  <si>
    <t>D_16 Distance of the Nearest Bomb Shelter to the Residence Reported by Households overall</t>
  </si>
  <si>
    <t>I am not aware of the location of the nearest bomb shelter</t>
  </si>
  <si>
    <t>Public bomb shelter is more than a 10-minute walk away from the shelter</t>
  </si>
  <si>
    <t>Public bomb shelter located less than a 10-min walk from the shelter</t>
  </si>
  <si>
    <t>D_16 Distance of the Nearest Bomb Shelter to the Residence Reported by Households by HHs with a member with a disability</t>
  </si>
  <si>
    <t>27.6%</t>
  </si>
  <si>
    <t>38.4%</t>
  </si>
  <si>
    <t>D_16 Distance of the Nearest Bomb Shelter to the Residence Reported by Households by displacement status</t>
  </si>
  <si>
    <t>D_16 Distance of the Nearest Bomb Shelter to the Residence Reported by Households by HoHH sex</t>
  </si>
  <si>
    <t>D_16 Distance of the Nearest Bomb Shelter to the Residence Reported by Households by rural or urban</t>
  </si>
  <si>
    <t>Overcrowding Shelter Overcrowding overall</t>
  </si>
  <si>
    <t>Overcrowding Shelter Overcrowding by HHs with a member with a disability</t>
  </si>
  <si>
    <t>Overcrowding Shelter Overcrowding by displacement status</t>
  </si>
  <si>
    <t>Overcrowding Shelter Overcrowding by HoHH sex</t>
  </si>
  <si>
    <t>Overcrowding Shelter Overcrowding by rural or urban</t>
  </si>
  <si>
    <t>Overcrowding Shelter Overcrowding by HH with member employed</t>
  </si>
  <si>
    <t>Households Reporting Functional Domestic Space by overall</t>
  </si>
  <si>
    <t>Can do / functional, with issues_D_5_1_domestic_space_issues_cooking</t>
  </si>
  <si>
    <t>Can do / functional, without any issues_D_5_1_domestic_space_issues_cooking</t>
  </si>
  <si>
    <t>No, can't do / not functional_D_5_1_domestic_space_issues_cooking</t>
  </si>
  <si>
    <t>Can do / functional, with issues_D_6_1_domestic_space_issues_sleeping</t>
  </si>
  <si>
    <t>Can do / functional, without any issues_D_6_1_domestic_space_issues_sleeping</t>
  </si>
  <si>
    <t>No, can't do / not functional_D_6_1_domestic_space_issues_sleeping</t>
  </si>
  <si>
    <t>Can do / functional, with issues_D_7_1_domestic_space_issues_food_water_storage</t>
  </si>
  <si>
    <t>Can do / functional, without any issues_D_7_1_domestic_space_issues_food_water_storage</t>
  </si>
  <si>
    <t>No, can't do / not functional_D_7_1_domestic_space_issues_food_water_storage</t>
  </si>
  <si>
    <t>Can do / functional, with issues_D_8_1_domestic_space_issues</t>
  </si>
  <si>
    <t>Can do / functional, without any issues_D_8_1_domestic_space_issues</t>
  </si>
  <si>
    <t>No, can't do / not functional_D_8_1_domestic_space_issues</t>
  </si>
  <si>
    <t>94.8%</t>
  </si>
  <si>
    <t>Households Reporting Functional Domestic Space by disability</t>
  </si>
  <si>
    <t>num_samples_D_5_1_domestic_space_issues_cooking</t>
  </si>
  <si>
    <t>num_samples_D_6_1_domestic_space_issues_sleeping</t>
  </si>
  <si>
    <t>num_samples_D_7_1_domestic_space_issues_food_water_storage</t>
  </si>
  <si>
    <t>num_samples_D_8_1_domestic_space_issues</t>
  </si>
  <si>
    <t>Households Reporting Functional Domestic Space by rural or urban</t>
  </si>
  <si>
    <t>Households Reporting Functional Domestic Space by displacement status</t>
  </si>
  <si>
    <t>E_4 Household Reported Daily Hours of Access to Internet Network overall</t>
  </si>
  <si>
    <t>Always:24hrs</t>
  </si>
  <si>
    <t>Never: 0hrs</t>
  </si>
  <si>
    <t>Often: 12-23hrs</t>
  </si>
  <si>
    <t>Sometimes: 1-11hrs</t>
  </si>
  <si>
    <t>71.6%</t>
  </si>
  <si>
    <t>E_4 Household Reported Daily Hours of Access to Internet Network by rural or urban</t>
  </si>
  <si>
    <t>79.1%</t>
  </si>
  <si>
    <t>E_4 Household Reported Daily Hours of Access to Internet Network by HHs with a member with a disability</t>
  </si>
  <si>
    <t>69.7%</t>
  </si>
  <si>
    <t>E_4 Household Reported Daily Hours of Access to Internet Network by displacement status</t>
  </si>
  <si>
    <t>74.2%</t>
  </si>
  <si>
    <t>E_4 Household Reported Daily Hours of Access to Internet Network by HH with member employed</t>
  </si>
  <si>
    <t>E_4 Household Reported Daily Hours of Access to Internet Network by HoHH sex</t>
  </si>
  <si>
    <t>E_5 Household Reported Main Sources of Access to Internet overall</t>
  </si>
  <si>
    <t>From mobile internet network</t>
  </si>
  <si>
    <t>From home wifi/computer</t>
  </si>
  <si>
    <t>From work wifi/computer</t>
  </si>
  <si>
    <t>At community center wifi/computer</t>
  </si>
  <si>
    <t>At library wifi/computer</t>
  </si>
  <si>
    <t>Public space wifi/computer</t>
  </si>
  <si>
    <t>I don't use internet</t>
  </si>
  <si>
    <t>E_5 Household Reported Main Sources of Access to Internet by rural or urban</t>
  </si>
  <si>
    <t>72.0%</t>
  </si>
  <si>
    <t>68.5%</t>
  </si>
  <si>
    <t>E_5 Household Reported Main Sources of Access to Internet by HHs with a member with a disability</t>
  </si>
  <si>
    <t>59.0%</t>
  </si>
  <si>
    <t>E_5 Household Reported Main Sources of Access to Internet by displacement status</t>
  </si>
  <si>
    <t>61.2%</t>
  </si>
  <si>
    <t>79.2%</t>
  </si>
  <si>
    <t>80.2%</t>
  </si>
  <si>
    <t>E_5 Household Reported Main Sources of Access to Internet by HH with member employed</t>
  </si>
  <si>
    <t>78.7%</t>
  </si>
  <si>
    <t>E_5 Household Reported Main Sources of Access to Internet by HoHH sex</t>
  </si>
  <si>
    <t>73.1%</t>
  </si>
  <si>
    <t>F_1 Main Sources of Water used for Drinking Reported by Households overall</t>
  </si>
  <si>
    <t>Piped water in household</t>
  </si>
  <si>
    <t>Public tap/standpipe</t>
  </si>
  <si>
    <t>Personal protected borehole or well (private access)</t>
  </si>
  <si>
    <t>Public potected well or boreholes (shared access)</t>
  </si>
  <si>
    <t>Open / uncovered well</t>
  </si>
  <si>
    <t>Trucked in water by municipality (truck with a tank)</t>
  </si>
  <si>
    <t>Trucked in water private/paid service (truck with a tank)</t>
  </si>
  <si>
    <t>Water kiosk</t>
  </si>
  <si>
    <t>Bottled water</t>
  </si>
  <si>
    <t>Rainwater collection</t>
  </si>
  <si>
    <t>River, pond or lake water</t>
  </si>
  <si>
    <t>F_1 Main Sources of Water used for Drinking Reported by Households by rural or urban</t>
  </si>
  <si>
    <t>42.8%</t>
  </si>
  <si>
    <t>F_1 Main Sources of Water used for Drinking Reported by Households by HHs with a member with a disability</t>
  </si>
  <si>
    <t>F_1 Main Sources of Water used for Drinking Reported by Households by displacement status</t>
  </si>
  <si>
    <t>54.1%</t>
  </si>
  <si>
    <t>49.6%</t>
  </si>
  <si>
    <t>F_1 Main Sources of Water used for Drinking Reported by Households by HH with member employed</t>
  </si>
  <si>
    <t>F_1 Main Sources of Water used for Drinking Reported by Households by HoHH sex</t>
  </si>
  <si>
    <t>F_5 Time reported by Households to Fetch Water from Main Source of Water used for Drinking overall</t>
  </si>
  <si>
    <t>F_5 Time reported by Households to Fetch Water from Main Source of Water used for Drinking by rural or urban</t>
  </si>
  <si>
    <t>F_5 Time reported by Households to Fetch Water from Main Source of Water used for Drinking by HHs with a member with a disability</t>
  </si>
  <si>
    <t>F_5 Time reported by Households to Fetch Water from Main Source of Water used for Drinking by displacement status</t>
  </si>
  <si>
    <t>F_5 Time reported by Households to Fetch Water from Main Source of Water used for Drinking by HH with member employed</t>
  </si>
  <si>
    <t>F_5 Time reported by Households to Fetch Water from Main Source of Water used for Drinking by HoHH sex</t>
  </si>
  <si>
    <t>F_2 Household Considering Water from their Main sources Safe to Drink Without Treatment overall</t>
  </si>
  <si>
    <t>Yes, but not always (bad quality after storms, or at specific times of year)</t>
  </si>
  <si>
    <t>Yes, but not for long periods of time</t>
  </si>
  <si>
    <t>81.3%</t>
  </si>
  <si>
    <t>F_2 Household Considering Water from their Main sources Safe to Drink Without Treatment by rural or urban</t>
  </si>
  <si>
    <t>F_2 Household Considering Water from their Main sources Safe to Drink Without Treatment by HHs with a member with a disability</t>
  </si>
  <si>
    <t>F_2 Household Considering Water from their Main sources Safe to Drink Without Treatment by displacement status</t>
  </si>
  <si>
    <t>F_2 Household Considering Water from their Main sources Safe to Drink Without Treatment by HH with member employed</t>
  </si>
  <si>
    <t>77.5%</t>
  </si>
  <si>
    <t>F_2 Household Considering Water from their Main sources Safe to Drink Without Treatment by HoHH sex</t>
  </si>
  <si>
    <t>F_3 Households Treating Water from their Main sources Before Drinking overall</t>
  </si>
  <si>
    <t>Yes, with a filter at the tap (connected to piped water)</t>
  </si>
  <si>
    <t>Yes, with a filter we fill (ceramic candle, etc.)</t>
  </si>
  <si>
    <t>Yes, by letting it settle</t>
  </si>
  <si>
    <t>Yes, by boiling</t>
  </si>
  <si>
    <t>Yes, by adding bleach or a pill</t>
  </si>
  <si>
    <t>No, no need to treat the water</t>
  </si>
  <si>
    <t>No, can't find in market</t>
  </si>
  <si>
    <t>No, can't afford to</t>
  </si>
  <si>
    <t>No, other reason</t>
  </si>
  <si>
    <t>Do not know</t>
  </si>
  <si>
    <t>F_3 Households Treating Water from their Main sources Before Drinking by rural or urban</t>
  </si>
  <si>
    <t>F_3 Households Treating Water from their Main sources Before Drinking by HHs with a member with a disability</t>
  </si>
  <si>
    <t>F_3 Households Treating Water from their Main sources Before Drinking by displacement status</t>
  </si>
  <si>
    <t>F_3 Households Treating Water from their Main sources Before Drinking by HH with member employed</t>
  </si>
  <si>
    <t>F_3 Households Treating Water from their Main sources Before Drinking by HoHH sex</t>
  </si>
  <si>
    <t>50.4%</t>
  </si>
  <si>
    <t>F_4 Households Reporting Insufficient Drinking Water overall</t>
  </si>
  <si>
    <t>Always (more than 20 times)</t>
  </si>
  <si>
    <t>Never (0 times)</t>
  </si>
  <si>
    <t>Often (11-20 times)</t>
  </si>
  <si>
    <t>Rarely (1–2 times)</t>
  </si>
  <si>
    <t>Sometimes (3–10 times)</t>
  </si>
  <si>
    <t>F_4 Households Reporting Insufficient Drinking Water by rural or urban</t>
  </si>
  <si>
    <t>F_4 Households Reporting Insufficient Drinking Water by HHs with a member with a disability</t>
  </si>
  <si>
    <t>F_4 Households Reporting Insufficient Drinking Water by displacement status</t>
  </si>
  <si>
    <t>F_4 Households Reporting Insufficient Drinking Water by HH with member employed</t>
  </si>
  <si>
    <t>F_7 Households Reporting Access to Water Quantity Adequate to Meet Needs overall</t>
  </si>
  <si>
    <t>Drinking</t>
  </si>
  <si>
    <t>Cooking</t>
  </si>
  <si>
    <t>Personal hygiene (washing or bathing)</t>
  </si>
  <si>
    <t>Other domestic purposes (cleaning house, floor, etc.)</t>
  </si>
  <si>
    <t>Don’t know (can´t select with other options)</t>
  </si>
  <si>
    <t>F_7 Households Reporting Access to Water Quantity Adequate to Meet Needs by HoHH sex</t>
  </si>
  <si>
    <t>99.9%</t>
  </si>
  <si>
    <t>F_7 Households Reporting Access to Water Quantity Adequate to Meet Needs by rural or urban</t>
  </si>
  <si>
    <t>F_7 Households Reporting Access to Water Quantity Adequate to Meet Needs by HHs with a member with a disability</t>
  </si>
  <si>
    <t>F_7 Households Reporting Access to Water Quantity Adequate to Meet Needs by displacement status</t>
  </si>
  <si>
    <t>F_7 Households Reporting Access to Water Quantity Adequate to Meet Needs by HH with member employed</t>
  </si>
  <si>
    <t>F_8 Type of Sanitation Facility Reportedly Used by Household Members overall</t>
  </si>
  <si>
    <t>Flush to piped sewer system</t>
  </si>
  <si>
    <t>Flush to septic tank</t>
  </si>
  <si>
    <t>Flush to pit latrine</t>
  </si>
  <si>
    <t>Flush to open drain</t>
  </si>
  <si>
    <t>Flush to elsewhere</t>
  </si>
  <si>
    <t>Flush to don’t know where</t>
  </si>
  <si>
    <t>Pit latrine with slab</t>
  </si>
  <si>
    <t>Pit latrine without slab / open pit</t>
  </si>
  <si>
    <t>Composting toilet</t>
  </si>
  <si>
    <t>Plastic Bag</t>
  </si>
  <si>
    <t>Bucket</t>
  </si>
  <si>
    <t>Hanging toilet/hanging latrine</t>
  </si>
  <si>
    <t>No facility/bush/field</t>
  </si>
  <si>
    <t>46.5%</t>
  </si>
  <si>
    <t>F_8 Type of Sanitation Facility Reportedly Used by Household Members by rural or urban</t>
  </si>
  <si>
    <t>F_8 Type of Sanitation Facility Reportedly Used by Household Members by HHs with a member with a disability</t>
  </si>
  <si>
    <t>F_8 Type of Sanitation Facility Reportedly Used by Household Members by displacement status</t>
  </si>
  <si>
    <t>F_8 Type of Sanitation Facility Reportedly Used by Household Members by HH with member employed</t>
  </si>
  <si>
    <t>F_8 Type of Sanitation Facility Reportedly Used by Household Members by HoHH sex</t>
  </si>
  <si>
    <t>49.3%</t>
  </si>
  <si>
    <t>F_9 Household Reporting to Share a Sanitation Facility with Another Household overall</t>
  </si>
  <si>
    <t>F_9 Household Reporting to Share a Sanitation Facility with Another Household by rural or urban</t>
  </si>
  <si>
    <t>F_9 Household Reporting to Share a Sanitation Facility with Another Household by HHs with a member with a disability</t>
  </si>
  <si>
    <t>F_9 Household Reporting to Share a Sanitation Facility with Another Household by displacement status</t>
  </si>
  <si>
    <t>F_9 Household Reporting to Share a Sanitation Facility with Another Household by HH with member employed</t>
  </si>
  <si>
    <t>F_9 Household Reporting to Share a Sanitation Facility with Another Household by HoHH sex</t>
  </si>
  <si>
    <t>F_10 Number of Households Sharing Sanitation Facility Reported overall</t>
  </si>
  <si>
    <t>F_10 Number of Households Sharing Sanitation Facility Reported by rural or urban</t>
  </si>
  <si>
    <t>F_10 Number of Households Sharing Sanitation Facility Reported by WASH assistance received</t>
  </si>
  <si>
    <t>assistance_received_wash</t>
  </si>
  <si>
    <t>HHs that did not receive wash assistance</t>
  </si>
  <si>
    <t>HHs that received wash assistance</t>
  </si>
  <si>
    <t>F_10 Number of Households Sharing Sanitation Facility Reported by HHs with challenge to obtain money</t>
  </si>
  <si>
    <t>challenges_obtain_money</t>
  </si>
  <si>
    <t>HHs with challenges to obtain money</t>
  </si>
  <si>
    <t>HHs without challenges to obtain money</t>
  </si>
  <si>
    <t>F_10 Number of Households Sharing Sanitation Facility Reported by HH with member employed</t>
  </si>
  <si>
    <t>F_10 Number of Households Sharing Sanitation Facility Reported by HHs with a member with a disability</t>
  </si>
  <si>
    <t>F_17 Household Reporting Access to Handwashing Facility with Water and Soap by overall</t>
  </si>
  <si>
    <t>No handwashing facility available</t>
  </si>
  <si>
    <t>Yes handwashing facility available with only soap</t>
  </si>
  <si>
    <t>Yes handwashing facility available with only water</t>
  </si>
  <si>
    <t>Yes handwashing facility available with water and soap</t>
  </si>
  <si>
    <t>Yes handwashing facility available, but without water and soap</t>
  </si>
  <si>
    <t>Don't Know</t>
  </si>
  <si>
    <t>F_17 Household Reporting Access to Handwashing Facility with Water and Soap by displacement status</t>
  </si>
  <si>
    <t>F_17 Household Reporting Access to Handwashing Facility with Water and Soap by HH with member employed</t>
  </si>
  <si>
    <t>F_17 Household Reporting Access to Handwashing Facility with Water and Soap by HoHH sex</t>
  </si>
  <si>
    <t>F_17 Household Reporting Access to Handwashing Facility with Water and Soap by HHs with a member with a disability</t>
  </si>
  <si>
    <t>F_18 Items Households Reported as Needing and Unable to Afford over the last 30 days prior to Data Collection overall</t>
  </si>
  <si>
    <t>Soap</t>
  </si>
  <si>
    <t>Feminine hygiene products (i.e. menstrual hygiene products)</t>
  </si>
  <si>
    <t>Baby diapers</t>
  </si>
  <si>
    <t>Toothpaste</t>
  </si>
  <si>
    <t>Toothbrush</t>
  </si>
  <si>
    <t>Adult diapers</t>
  </si>
  <si>
    <t>Cloth washing soap</t>
  </si>
  <si>
    <t>Shampoo</t>
  </si>
  <si>
    <t>Water containers (jurcans, bottle, tank etc)</t>
  </si>
  <si>
    <t>Water treatment chemicals</t>
  </si>
  <si>
    <t>Water treatments equipment</t>
  </si>
  <si>
    <t>Everything was affordable</t>
  </si>
  <si>
    <t>77.9%</t>
  </si>
  <si>
    <t>F_18 Items Households Reported as Needing and Unable to Afford over the last 30 days prior to Data Collection by HoHH sex</t>
  </si>
  <si>
    <t>F_18 Items Households Reported as Needing and Unable to Afford over the last 30 days prior to Data Collection by rural or urban</t>
  </si>
  <si>
    <t>F_18 Items Households Reported as Needing and Unable to Afford over the last 30 days prior to Data Collection by HH size</t>
  </si>
  <si>
    <t>F_18 Items Households Reported as Needing and Unable to Afford over the last 30 days prior to Data Collection by HH proximity to frontline or Russian border</t>
  </si>
  <si>
    <t>F_18 Items Households Reported as Needing and Unable to Afford over the last 30 days prior to Data Collection by HHs with only elderly members</t>
  </si>
  <si>
    <t>hh_only_elderly</t>
  </si>
  <si>
    <t>HHs not composed by elderly members only</t>
  </si>
  <si>
    <t>HHs with elderly members only</t>
  </si>
  <si>
    <t>79.5%</t>
  </si>
  <si>
    <t>F_18 Items Households Reported as Needing and Unable to Afford over the last 30 days prior to Data Collection by HHs with a member with a disability</t>
  </si>
  <si>
    <t>F_18 Items Households Reported as Needing and Unable to Afford over the last 30 days prior to Data Collection by displacement status</t>
  </si>
  <si>
    <t>F_19 Most Common Garbage Disposal Methods Reported by Households overall</t>
  </si>
  <si>
    <t>It’s disposed by burning in or near the household</t>
  </si>
  <si>
    <t>It's disposed by burying in a pit in or near the household</t>
  </si>
  <si>
    <t>It’s disposed of at a specific collection point and collected regularly by municipality, local organization, institute or compary collected</t>
  </si>
  <si>
    <t>It's disposed of on the street or public places with no collection</t>
  </si>
  <si>
    <t>It's sorted and given for recycling</t>
  </si>
  <si>
    <t>Refuse to answer</t>
  </si>
  <si>
    <t>F_19 Most Common Garbage Disposal Methods Reported by Households by rural or urban</t>
  </si>
  <si>
    <t>F_19 Most Common Garbage Disposal Methods Reported by Households by HH size</t>
  </si>
  <si>
    <t>82.4%</t>
  </si>
  <si>
    <t>F_19 Most Common Garbage Disposal Methods Reported by Households by HH with member employed</t>
  </si>
  <si>
    <t>F_19 Most Common Garbage Disposal Methods Reported by Households by HH proximity to frontline or Russian border</t>
  </si>
  <si>
    <t>RCSI Reduced Coping Strategies Score overall</t>
  </si>
  <si>
    <t>High</t>
  </si>
  <si>
    <t>Low</t>
  </si>
  <si>
    <t>Medium</t>
  </si>
  <si>
    <t>RCSI Reduced Coping Strategies Score by HHs with a member with a disability</t>
  </si>
  <si>
    <t>RCSI Reduced Coping Strategies Score by displacement status</t>
  </si>
  <si>
    <t>RCSI Reduced Coping Strategies Score by HoHH sex</t>
  </si>
  <si>
    <t>61.1%</t>
  </si>
  <si>
    <t>RCSI Reduced Coping Strategies Score by rural or urban</t>
  </si>
  <si>
    <t>Households Reportedly Adopting Reduced Coping Strategies by overall</t>
  </si>
  <si>
    <t>num_samples_G_3_1_rcsi_cheaper_food</t>
  </si>
  <si>
    <t>0_G_3_1_rcsi_cheaper_food</t>
  </si>
  <si>
    <t>1_G_3_1_rcsi_cheaper_food</t>
  </si>
  <si>
    <t>2_G_3_1_rcsi_cheaper_food</t>
  </si>
  <si>
    <t>3_G_3_1_rcsi_cheaper_food</t>
  </si>
  <si>
    <t>4_G_3_1_rcsi_cheaper_food</t>
  </si>
  <si>
    <t>5_G_3_1_rcsi_cheaper_food</t>
  </si>
  <si>
    <t>6_G_3_1_rcsi_cheaper_food</t>
  </si>
  <si>
    <t>7_G_3_1_rcsi_cheaper_food</t>
  </si>
  <si>
    <t>Prefer not to answer_G_3_1_rcsi_cheaper_food</t>
  </si>
  <si>
    <t>num_samples_G_3_2_rcsi_borrow_food</t>
  </si>
  <si>
    <t>0_G_3_2_rcsi_borrow_food</t>
  </si>
  <si>
    <t>1_G_3_2_rcsi_borrow_food</t>
  </si>
  <si>
    <t>2_G_3_2_rcsi_borrow_food</t>
  </si>
  <si>
    <t>3_G_3_2_rcsi_borrow_food</t>
  </si>
  <si>
    <t>4_G_3_2_rcsi_borrow_food</t>
  </si>
  <si>
    <t>5_G_3_2_rcsi_borrow_food</t>
  </si>
  <si>
    <t>6_G_3_2_rcsi_borrow_food</t>
  </si>
  <si>
    <t>7_G_3_2_rcsi_borrow_food</t>
  </si>
  <si>
    <t>Prefer not to answer_G_3_2_rcsi_borrow_food</t>
  </si>
  <si>
    <t>num_samples_G_3_3_rcsi_limit_portion</t>
  </si>
  <si>
    <t>0_G_3_3_rcsi_limit_portion</t>
  </si>
  <si>
    <t>1_G_3_3_rcsi_limit_portion</t>
  </si>
  <si>
    <t>2_G_3_3_rcsi_limit_portion</t>
  </si>
  <si>
    <t>3_G_3_3_rcsi_limit_portion</t>
  </si>
  <si>
    <t>4_G_3_3_rcsi_limit_portion</t>
  </si>
  <si>
    <t>5_G_3_3_rcsi_limit_portion</t>
  </si>
  <si>
    <t>7_G_3_3_rcsi_limit_portion</t>
  </si>
  <si>
    <t>Prefer not to answer_G_3_3_rcsi_limit_portion</t>
  </si>
  <si>
    <t>6_G_3_3_rcsi_limit_portion</t>
  </si>
  <si>
    <t>num_samples_G_3_4_rcsi_restrict_consumption_adults</t>
  </si>
  <si>
    <t>0_G_3_4_rcsi_restrict_consumption_adults</t>
  </si>
  <si>
    <t>1_G_3_4_rcsi_restrict_consumption_adults</t>
  </si>
  <si>
    <t>2_G_3_4_rcsi_restrict_consumption_adults</t>
  </si>
  <si>
    <t>3_G_3_4_rcsi_restrict_consumption_adults</t>
  </si>
  <si>
    <t>4_G_3_4_rcsi_restrict_consumption_adults</t>
  </si>
  <si>
    <t>5_G_3_4_rcsi_restrict_consumption_adults</t>
  </si>
  <si>
    <t>6_G_3_4_rcsi_restrict_consumption_adults</t>
  </si>
  <si>
    <t>7_G_3_4_rcsi_restrict_consumption_adults</t>
  </si>
  <si>
    <t>Prefer not to answer_G_3_4_rcsi_restrict_consumption_adults</t>
  </si>
  <si>
    <t>num_samples_G_3_5_rcsi_reduce_meals_number</t>
  </si>
  <si>
    <t>0_G_3_5_rcsi_reduce_meals_number</t>
  </si>
  <si>
    <t>1_G_3_5_rcsi_reduce_meals_number</t>
  </si>
  <si>
    <t>2_G_3_5_rcsi_reduce_meals_number</t>
  </si>
  <si>
    <t>3_G_3_5_rcsi_reduce_meals_number</t>
  </si>
  <si>
    <t>4_G_3_5_rcsi_reduce_meals_number</t>
  </si>
  <si>
    <t>5_G_3_5_rcsi_reduce_meals_number</t>
  </si>
  <si>
    <t>7_G_3_5_rcsi_reduce_meals_number</t>
  </si>
  <si>
    <t>6_G_3_5_rcsi_reduce_meals_number</t>
  </si>
  <si>
    <t>Prefer not to answer_G_3_5_rcsi_reduce_meals_number</t>
  </si>
  <si>
    <t>Households Reportedly Adopting Reduced Coping Strategies by HHs with a member with a disability</t>
  </si>
  <si>
    <t>54.7%</t>
  </si>
  <si>
    <t>Households Reportedly Adopting Reduced Coping Strategies by displacement status</t>
  </si>
  <si>
    <t>51.7%</t>
  </si>
  <si>
    <t>85.2%</t>
  </si>
  <si>
    <t>Households Reportedly Adopting Reduced Coping Strategies by head of household sex</t>
  </si>
  <si>
    <t>Households Reportedly Adopting Reduced Coping Strategies by rural or urban</t>
  </si>
  <si>
    <t>Households Reportedly Adopting Reduced Coping Strategies by employment status</t>
  </si>
  <si>
    <t>FCS Food Consumption Score overall</t>
  </si>
  <si>
    <t>Acceptable</t>
  </si>
  <si>
    <t>Borderline</t>
  </si>
  <si>
    <t>Poor</t>
  </si>
  <si>
    <t>FCS Food Consumption Score by HHs with a member with a disability</t>
  </si>
  <si>
    <t>FCS Food Consumption Score by displacement status</t>
  </si>
  <si>
    <t>FCS Food Consumption Score by HoHH sex</t>
  </si>
  <si>
    <t>FCS Food Consumption Score by rural or urban</t>
  </si>
  <si>
    <t>FCS Food Consumption Score by HHs with children</t>
  </si>
  <si>
    <t>hh_with_child</t>
  </si>
  <si>
    <t>HHs with Child (&lt;18 y.o.)</t>
  </si>
  <si>
    <t>HHs without Child (&lt;18 y.o.)</t>
  </si>
  <si>
    <t>HHS Household Hunger Scale Score overall</t>
  </si>
  <si>
    <t>Moderate</t>
  </si>
  <si>
    <t>No or little</t>
  </si>
  <si>
    <t>Severe</t>
  </si>
  <si>
    <t>HHS Household Hunger Scale Score by HHs with a member with a disability</t>
  </si>
  <si>
    <t>HHS Household Hunger Scale Score by displacement status</t>
  </si>
  <si>
    <t>HHS Household Hunger Scale Score by HoHH sex</t>
  </si>
  <si>
    <t>HHS Household Hunger Scale Score by rural or urban</t>
  </si>
  <si>
    <t>HHS Household Hunger Scale Score by HHs with children</t>
  </si>
  <si>
    <t>H_1 Everbreastfed overall</t>
  </si>
  <si>
    <t>H_2 Breastfed the day before Data Collection overall</t>
  </si>
  <si>
    <t>I_1 Primary Income Sources Reported by Households Over the Last 30 Days Prior to Data Collection by overall</t>
  </si>
  <si>
    <t>Regular employment - salaried work</t>
  </si>
  <si>
    <t>Irregular employment (temporary or daily wage earning) - casual or daily labour</t>
  </si>
  <si>
    <t>Informal employment (i.e. no formal contract or permit or perhaps taxes paid)</t>
  </si>
  <si>
    <t>Income from own business or commerce</t>
  </si>
  <si>
    <t>Income from renting out house, land or property</t>
  </si>
  <si>
    <t>Remittances</t>
  </si>
  <si>
    <t>Pension for all reasons (age, military, except of disability allowance)</t>
  </si>
  <si>
    <t>Selling household assets</t>
  </si>
  <si>
    <t>Loans, debts, support from community, friends, family (not including remittances)</t>
  </si>
  <si>
    <t>NGO or charity assistance</t>
  </si>
  <si>
    <t>Government social benefits or assistance</t>
  </si>
  <si>
    <t>Illegal or socially degrading activities</t>
  </si>
  <si>
    <t>I_1 Primary Income Sources Reported by Households Over the Last 30 Days Prior to Data Collection by HHs with a member with a disability</t>
  </si>
  <si>
    <t>60.4%</t>
  </si>
  <si>
    <t>I_1 Primary Income Sources Reported by Households Over the Last 30 Days Prior to Data Collection by displacement status</t>
  </si>
  <si>
    <t>I_1 Primary Income Sources Reported by Households Over the Last 30 Days Prior to Data Collection by HoHH sex</t>
  </si>
  <si>
    <t>I_1 Primary Income Sources Reported by Households Over the Last 30 Days Prior to Data Collection by rural or urban</t>
  </si>
  <si>
    <t>I_1 Primary Income Sources Reported by Households Over the Last 30 Days Prior to Data Collection by HH size</t>
  </si>
  <si>
    <t>I_1 Primary Income Sources Reported by Households Over the Last 30 Days Prior to Data Collection by HH with member employed</t>
  </si>
  <si>
    <t>I_1 Primary Income Sources Reported by Households Over the Last 30 Days Prior to Data Collection by HH proximity to frontline or Russian border</t>
  </si>
  <si>
    <t>I_1 Primary Income Sources Reported by Households Over the Last 30 Days Prior to Data Collection by assistance received</t>
  </si>
  <si>
    <t>assistance_received</t>
  </si>
  <si>
    <t>HHs that did Not received Assistance in the past 3 months</t>
  </si>
  <si>
    <t>HHs that received Assistance in the past 3 months</t>
  </si>
  <si>
    <t>Total Income Total Household Income from all Reported Primary Income Sources over the Last 30 days Prior to Data Collection overall</t>
  </si>
  <si>
    <t>Total Household Income Per Capita from all Reported Primary Income Sources over the Last 30 days Prior to Data Collection overall</t>
  </si>
  <si>
    <t>Total Income Total Household Income from all Reported Primary Income Sources over the Last 30 days Prior to Data Collection by HHs with a member with a disability</t>
  </si>
  <si>
    <t>Total Household Income Per Capita from all Reported Primary Income Sources over the Last 30 days Prior to Data Collection by HHs with a member with a disability</t>
  </si>
  <si>
    <t>Total Income Total Household Income from all Reported Primary Income Sources over the Last 30 days Prior to Data Collection by displacement status</t>
  </si>
  <si>
    <t>Total Household Income Per Capita from all Reported Primary Income Sources over the Last 30 days Prior to Data Collection by displacement status</t>
  </si>
  <si>
    <t>Total Income Total Household Income from all Reported Primary Income Sources over the Last 30 days Prior to Data Collection by HoHH sex</t>
  </si>
  <si>
    <t>Total Household Income Per Capita from all Reported Primary Income Sources over the Last 30 days Prior to Data Collection by HoHH sex</t>
  </si>
  <si>
    <t>Total Income Total Household Income from all Reported Primary Income Sources over the Last 30 days Prior to Data Collection by rural or urban</t>
  </si>
  <si>
    <t>Total Household Income Per Capita from all Reported Primary Income Sources over the Last 30 days Prior to Data Collection by rural or urban</t>
  </si>
  <si>
    <t>Total Income Total Household Income from all Reported Primary Income Sources over the Last 30 days Prior to Data Collection by HH size</t>
  </si>
  <si>
    <t>Total Household Income Per Capita from all Reported Primary Income Sources over the Last 30 days Prior to Data Collection by HH size</t>
  </si>
  <si>
    <t>Total Income Total Household Income from all Reported Primary Income Sources over the Last 30 days Prior to Data Collection by HHs relying exclusively on humanitarian assistance</t>
  </si>
  <si>
    <t>Total Household Income Per Capita from all Reported Primary Income Sources over the Last 30 days Prior to Data Collection by HHs relying exclusively on humanitarian assistance</t>
  </si>
  <si>
    <t>Total Income Total Household Income from all Reported Primary Income Sources over the Last 30 days Prior to Data Collection by HH with member employed</t>
  </si>
  <si>
    <t>Total Household Income Per Capita from all Reported Primary Income Sources over the Last 30 days Prior to Data Collection by HH with member employed</t>
  </si>
  <si>
    <t>Estimated Household's Income Over the Last 30 days by Types of Income Source overall</t>
  </si>
  <si>
    <t>I_2 Estimated Household's Income Over the Last 30 days by Types of Income Source per capita overall</t>
  </si>
  <si>
    <t>num_samples_I_2_regular_employment_private_or_public_sector_salaried_work_</t>
  </si>
  <si>
    <t>mean_I_2_regular_employment_private_or_public_sector_salaried_work_</t>
  </si>
  <si>
    <t>median_I_2_regular_employment_private_or_public_sector_salaried_work_</t>
  </si>
  <si>
    <t>min_I_2_regular_employment_private_or_public_sector_salaried_work_</t>
  </si>
  <si>
    <t>max_I_2_regular_employment_private_or_public_sector_salaried_work_</t>
  </si>
  <si>
    <t>num_samples_I_2_1_irregular_employment_temporary_or_daily_wage_earning_casual_or_daily_labour_</t>
  </si>
  <si>
    <t>mean_I_2_1_irregular_employment_temporary_or_daily_wage_earning_casual_or_daily_labour_</t>
  </si>
  <si>
    <t>median_I_2_1_irregular_employment_temporary_or_daily_wage_earning_casual_or_daily_labour_</t>
  </si>
  <si>
    <t>min_I_2_1_irregular_employment_temporary_or_daily_wage_earning_casual_or_daily_labour_</t>
  </si>
  <si>
    <t>max_I_2_1_irregular_employment_temporary_or_daily_wage_earning_casual_or_daily_labour_</t>
  </si>
  <si>
    <t>num_samples_I_2_2_informal_employment_</t>
  </si>
  <si>
    <t>mean_I_2_2_informal_employment_</t>
  </si>
  <si>
    <t>median_I_2_2_informal_employment_</t>
  </si>
  <si>
    <t>min_I_2_2_informal_employment_</t>
  </si>
  <si>
    <t>max_I_2_2_informal_employment_</t>
  </si>
  <si>
    <t>num_samples_I_2_3_income_from_own_business_or_commerce_</t>
  </si>
  <si>
    <t>mean_I_2_3_income_from_own_business_or_commerce_</t>
  </si>
  <si>
    <t>median_I_2_3_income_from_own_business_or_commerce_</t>
  </si>
  <si>
    <t>min_I_2_3_income_from_own_business_or_commerce_</t>
  </si>
  <si>
    <t>max_I_2_3_income_from_own_business_or_commerce_</t>
  </si>
  <si>
    <t>num_samples_I_2_4_income_from_renting_out_house_land_or_property_</t>
  </si>
  <si>
    <t>mean_I_2_4_income_from_renting_out_house_land_or_property_</t>
  </si>
  <si>
    <t>median_I_2_4_income_from_renting_out_house_land_or_property_</t>
  </si>
  <si>
    <t>min_I_2_4_income_from_renting_out_house_land_or_property_</t>
  </si>
  <si>
    <t>max_I_2_4_income_from_renting_out_house_land_or_property_</t>
  </si>
  <si>
    <t>num_samples_I_2_5_remittances_</t>
  </si>
  <si>
    <t>mean_I_2_5_remittances_</t>
  </si>
  <si>
    <t>median_I_2_5_remittances_</t>
  </si>
  <si>
    <t>min_I_2_5_remittances_</t>
  </si>
  <si>
    <t>max_I_2_5_remittances_</t>
  </si>
  <si>
    <t>num_samples_I_2_6_pension_</t>
  </si>
  <si>
    <t>mean_I_2_6_pension_</t>
  </si>
  <si>
    <t>median_I_2_6_pension_</t>
  </si>
  <si>
    <t>min_I_2_6_pension_</t>
  </si>
  <si>
    <t>max_I_2_6_pension_</t>
  </si>
  <si>
    <t>num_samples_I_2_7_selling_household_assets_</t>
  </si>
  <si>
    <t>mean_I_2_7_selling_household_assets_</t>
  </si>
  <si>
    <t>median_I_2_7_selling_household_assets_</t>
  </si>
  <si>
    <t>min_I_2_7_selling_household_assets_</t>
  </si>
  <si>
    <t>max_I_2_7_selling_household_assets_</t>
  </si>
  <si>
    <t>num_samples_I_2_8_loans_debts_support_from_community_friends_family_not_including_remittances</t>
  </si>
  <si>
    <t>mean_I_2_8_loans_debts_support_from_community_friends_family_not_including_remittances</t>
  </si>
  <si>
    <t>median_I_2_8_loans_debts_support_from_community_friends_family_not_including_remittances</t>
  </si>
  <si>
    <t>min_I_2_8_loans_debts_support_from_community_friends_family_not_including_remittances</t>
  </si>
  <si>
    <t>max_I_2_8_loans_debts_support_from_community_friends_family_not_including_remittances</t>
  </si>
  <si>
    <t>num_samples_I_2_10_ngo_or_charity_assistance_</t>
  </si>
  <si>
    <t>mean_I_2_10_ngo_or_charity_assistance_</t>
  </si>
  <si>
    <t>median_I_2_10_ngo_or_charity_assistance_</t>
  </si>
  <si>
    <t>min_I_2_10_ngo_or_charity_assistance_</t>
  </si>
  <si>
    <t>max_I_2_10_ngo_or_charity_assistance_</t>
  </si>
  <si>
    <t>num_samples_I_2_11_government_social_benefits_or_assistance_eg_disability_allowance</t>
  </si>
  <si>
    <t>mean_I_2_11_government_social_benefits_or_assistance_eg_disability_allowance</t>
  </si>
  <si>
    <t>median_I_2_11_government_social_benefits_or_assistance_eg_disability_allowance</t>
  </si>
  <si>
    <t>min_I_2_11_government_social_benefits_or_assistance_eg_disability_allowance</t>
  </si>
  <si>
    <t>max_I_2_11_government_social_benefits_or_assistance_eg_disability_allowance</t>
  </si>
  <si>
    <t>num_samples_I_2_12_illegal_or_socially_degrading_activities_eg_unlawful_sales_begging_</t>
  </si>
  <si>
    <t>mean_I_2_12_illegal_or_socially_degrading_activities_eg_unlawful_sales_begging_</t>
  </si>
  <si>
    <t>median_I_2_12_illegal_or_socially_degrading_activities_eg_unlawful_sales_begging_</t>
  </si>
  <si>
    <t>min_I_2_12_illegal_or_socially_degrading_activities_eg_unlawful_sales_begging_</t>
  </si>
  <si>
    <t>max_I_2_12_illegal_or_socially_degrading_activities_eg_unlawful_sales_begging_</t>
  </si>
  <si>
    <t>num_samples_I_2_13_other_please_specify</t>
  </si>
  <si>
    <t>mean_I_2_13_other_please_specify</t>
  </si>
  <si>
    <t>median_I_2_13_other_please_specify</t>
  </si>
  <si>
    <t>min_I_2_13_other_please_specify</t>
  </si>
  <si>
    <t>max_I_2_13_other_please_specify</t>
  </si>
  <si>
    <t>num_samples_I_2_regular_employment_private_or_public_sector_salaried_work_per_capita</t>
  </si>
  <si>
    <t>mean_I_2_regular_employment_private_or_public_sector_salaried_work_per_capita</t>
  </si>
  <si>
    <t>median_I_2_regular_employment_private_or_public_sector_salaried_work_per_capita</t>
  </si>
  <si>
    <t>min_I_2_regular_employment_private_or_public_sector_salaried_work_per_capita</t>
  </si>
  <si>
    <t>max_I_2_regular_employment_private_or_public_sector_salaried_work_per_capita</t>
  </si>
  <si>
    <t>num_samples_I_2_1_irregular_employment_temporary_or_daily_wage_earning_casual_or_daily_labour_per_capita</t>
  </si>
  <si>
    <t>mean_I_2_1_irregular_employment_temporary_or_daily_wage_earning_casual_or_daily_labour_per_capita</t>
  </si>
  <si>
    <t>median_I_2_1_irregular_employment_temporary_or_daily_wage_earning_casual_or_daily_labour_per_capita</t>
  </si>
  <si>
    <t>min_I_2_1_irregular_employment_temporary_or_daily_wage_earning_casual_or_daily_labour_per_capita</t>
  </si>
  <si>
    <t>max_I_2_1_irregular_employment_temporary_or_daily_wage_earning_casual_or_daily_labour_per_capita</t>
  </si>
  <si>
    <t>num_samples_I_2_2_informal_employment_per_capita</t>
  </si>
  <si>
    <t>mean_I_2_2_informal_employment_per_capita</t>
  </si>
  <si>
    <t>median_I_2_2_informal_employment_per_capita</t>
  </si>
  <si>
    <t>min_I_2_2_informal_employment_per_capita</t>
  </si>
  <si>
    <t>max_I_2_2_informal_employment_per_capita</t>
  </si>
  <si>
    <t>num_samples_I_2_3_income_from_own_business_or_commerce_per_capita</t>
  </si>
  <si>
    <t>mean_I_2_3_income_from_own_business_or_commerce_per_capita</t>
  </si>
  <si>
    <t>median_I_2_3_income_from_own_business_or_commerce_per_capita</t>
  </si>
  <si>
    <t>min_I_2_3_income_from_own_business_or_commerce_per_capita</t>
  </si>
  <si>
    <t>max_I_2_3_income_from_own_business_or_commerce_per_capita</t>
  </si>
  <si>
    <t>num_samples_I_2_4_income_from_renting_out_house_land_or_property_per_capita</t>
  </si>
  <si>
    <t>mean_I_2_4_income_from_renting_out_house_land_or_property_per_capita</t>
  </si>
  <si>
    <t>median_I_2_4_income_from_renting_out_house_land_or_property_per_capita</t>
  </si>
  <si>
    <t>min_I_2_4_income_from_renting_out_house_land_or_property_per_capita</t>
  </si>
  <si>
    <t>max_I_2_4_income_from_renting_out_house_land_or_property_per_capita</t>
  </si>
  <si>
    <t>num_samples_I_2_5_remittances_per_capita</t>
  </si>
  <si>
    <t>mean_I_2_5_remittances_per_capita</t>
  </si>
  <si>
    <t>median_I_2_5_remittances_per_capita</t>
  </si>
  <si>
    <t>min_I_2_5_remittances_per_capita</t>
  </si>
  <si>
    <t>max_I_2_5_remittances_per_capita</t>
  </si>
  <si>
    <t>num_samples_I_2_6_pension_per_capita</t>
  </si>
  <si>
    <t>mean_I_2_6_pension_per_capita</t>
  </si>
  <si>
    <t>median_I_2_6_pension_per_capita</t>
  </si>
  <si>
    <t>min_I_2_6_pension_per_capita</t>
  </si>
  <si>
    <t>max_I_2_6_pension_per_capita</t>
  </si>
  <si>
    <t>num_samples_I_2_7_selling_household_assets_per_capita</t>
  </si>
  <si>
    <t>mean_I_2_7_selling_household_assets_per_capita</t>
  </si>
  <si>
    <t>median_I_2_7_selling_household_assets_per_capita</t>
  </si>
  <si>
    <t>min_I_2_7_selling_household_assets_per_capita</t>
  </si>
  <si>
    <t>max_I_2_7_selling_household_assets_per_capita</t>
  </si>
  <si>
    <t>num_samples_I_2_8_loans_debts_support_from_community_friends_family_not_including_remittances_per_capita</t>
  </si>
  <si>
    <t>mean_I_2_8_loans_debts_support_from_community_friends_family_not_including_remittances_per_capita</t>
  </si>
  <si>
    <t>median_I_2_8_loans_debts_support_from_community_friends_family_not_including_remittances_per_capita</t>
  </si>
  <si>
    <t>min_I_2_8_loans_debts_support_from_community_friends_family_not_including_remittances_per_capita</t>
  </si>
  <si>
    <t>max_I_2_8_loans_debts_support_from_community_friends_family_not_including_remittances_per_capita</t>
  </si>
  <si>
    <t>num_samples_I_2_10_ngo_or_charity_assistance_per_capita</t>
  </si>
  <si>
    <t>mean_I_2_10_ngo_or_charity_assistance_per_capita</t>
  </si>
  <si>
    <t>median_I_2_10_ngo_or_charity_assistance_per_capita</t>
  </si>
  <si>
    <t>min_I_2_10_ngo_or_charity_assistance_per_capita</t>
  </si>
  <si>
    <t>max_I_2_10_ngo_or_charity_assistance_per_capita</t>
  </si>
  <si>
    <t>num_samples_I_2_11_government_social_benefits_or_assistance_eg_disability_allowance_per_capita</t>
  </si>
  <si>
    <t>mean_I_2_11_government_social_benefits_or_assistance_eg_disability_allowance_per_capita</t>
  </si>
  <si>
    <t>median_I_2_11_government_social_benefits_or_assistance_eg_disability_allowance_per_capita</t>
  </si>
  <si>
    <t>min_I_2_11_government_social_benefits_or_assistance_eg_disability_allowance_per_capita</t>
  </si>
  <si>
    <t>max_I_2_11_government_social_benefits_or_assistance_eg_disability_allowance_per_capita</t>
  </si>
  <si>
    <t>num_samples_I_2_12_illegal_or_socially_degrading_activities_eg_unlawful_sales_begging_per_capita</t>
  </si>
  <si>
    <t>mean_I_2_12_illegal_or_socially_degrading_activities_eg_unlawful_sales_begging_per_capita</t>
  </si>
  <si>
    <t>median_I_2_12_illegal_or_socially_degrading_activities_eg_unlawful_sales_begging_per_capita</t>
  </si>
  <si>
    <t>min_I_2_12_illegal_or_socially_degrading_activities_eg_unlawful_sales_begging_per_capita</t>
  </si>
  <si>
    <t>max_I_2_12_illegal_or_socially_degrading_activities_eg_unlawful_sales_begging_per_capita</t>
  </si>
  <si>
    <t>num_samples_I_2_13_other_please_specify_per_capita</t>
  </si>
  <si>
    <t>mean_I_2_13_other_please_specify_per_capita</t>
  </si>
  <si>
    <t>median_I_2_13_other_please_specify_per_capita</t>
  </si>
  <si>
    <t>min_I_2_13_other_please_specify_per_capita</t>
  </si>
  <si>
    <t>max_I_2_13_other_please_specify_per_capita</t>
  </si>
  <si>
    <t>Estimated Household's Income Over the Last 30 days by Types of Income Source by rural or urban</t>
  </si>
  <si>
    <t>I_2 Estimated Household's Income Over the Last 30 days by Types of Income Source per capita by rural or urban</t>
  </si>
  <si>
    <t>Estimated Household's Income Over the Last 30 days by Types of Income Source by displacement status</t>
  </si>
  <si>
    <t>I_2 Estimated Household's Income Over the Last 30 days by Types of Income Source per capita by displacement status</t>
  </si>
  <si>
    <t>Estimated Household's Income Over the Last 30 days by Types of Income Source by HoHH sex</t>
  </si>
  <si>
    <t>I_2 Estimated Household's Income Over the Last 30 days by Types of Income Source per capita by HoHH sex</t>
  </si>
  <si>
    <t>Estimated Household's Income Over the Last 30 days by Types of Income Source by by HHs with a member with a disability</t>
  </si>
  <si>
    <t>I_2 Estimated Household's Income Over the Last 30 days by Types of Income Source per capita by HHs with a member with a disability</t>
  </si>
  <si>
    <t>Total Food Expenditure Total Household Food Expenditure Reported over the Last 30 days Prior to Data Collection overall</t>
  </si>
  <si>
    <t>Total Food Expenditure Total Household Food Expenditure Reported over the Last 30 days Prior to Data Collection by HHs with a member with a disability</t>
  </si>
  <si>
    <t>Total Food Expenditure Total Household Food Expenditure Reported over the Last 30 days Prior to Data Collection by displacement status</t>
  </si>
  <si>
    <t>Total Food Expenditure Total Household Food Expenditure Reported over the Last 30 days Prior to Data Collection by HoHH sex</t>
  </si>
  <si>
    <t>Total Food Expenditure Total Household Food Expenditure Reported over the Last 30 days Prior to Data Collection by rural or urban</t>
  </si>
  <si>
    <t>Total Food Expenditure Total Household Food Expenditure Reported over the Last 30 days Prior to Data Collection by HH size</t>
  </si>
  <si>
    <t>Total Food Expenditure Total Household Food Expenditure Reported over the Last 30 days Prior to Data Collection by HHs relying exclusively on humanitarian assistance</t>
  </si>
  <si>
    <t>assistance_received_food</t>
  </si>
  <si>
    <t>HHs that did not receive food assistance</t>
  </si>
  <si>
    <t>HHs that received food assistance</t>
  </si>
  <si>
    <t>Total Food Expenditure Total Household Food Expenditure Reported over the Last 30 days Prior to Data Collection by HH proximity to frontline or Russian border</t>
  </si>
  <si>
    <t>Estimated Household's Food Expenditure Over the Last 30 days overall</t>
  </si>
  <si>
    <t>num_samples_I_3_cereals_uah_cashcredit</t>
  </si>
  <si>
    <t>mean_I_3_cereals_uah_cashcredit</t>
  </si>
  <si>
    <t>median_I_3_cereals_uah_cashcredit</t>
  </si>
  <si>
    <t>min_I_3_cereals_uah_cashcredit</t>
  </si>
  <si>
    <t>max_I_3_cereals_uah_cashcredit</t>
  </si>
  <si>
    <t>num_samples_I_3_1_cereals_uah_own_produced</t>
  </si>
  <si>
    <t>mean_I_3_1_cereals_uah_own_produced</t>
  </si>
  <si>
    <t>median_I_3_1_cereals_uah_own_produced</t>
  </si>
  <si>
    <t>min_I_3_1_cereals_uah_own_produced</t>
  </si>
  <si>
    <t>max_I_3_1_cereals_uah_own_produced</t>
  </si>
  <si>
    <t>num_samples_I_3_2_fruits_vegetables_uah_cashcredit</t>
  </si>
  <si>
    <t>mean_I_3_2_fruits_vegetables_uah_cashcredit</t>
  </si>
  <si>
    <t>median_I_3_2_fruits_vegetables_uah_cashcredit</t>
  </si>
  <si>
    <t>min_I_3_2_fruits_vegetables_uah_cashcredit</t>
  </si>
  <si>
    <t>max_I_3_2_fruits_vegetables_uah_cashcredit</t>
  </si>
  <si>
    <t>num_samples_I_3_3_fruits_vegetables_uah_own_produced</t>
  </si>
  <si>
    <t>mean_I_3_3_fruits_vegetables_uah_own_produced</t>
  </si>
  <si>
    <t>median_I_3_3_fruits_vegetables_uah_own_produced</t>
  </si>
  <si>
    <t>min_I_3_3_fruits_vegetables_uah_own_produced</t>
  </si>
  <si>
    <t>max_I_3_3_fruits_vegetables_uah_own_produced</t>
  </si>
  <si>
    <t>num_samples_I_3_4_meat_meat_products_fish_uah_cashcredit</t>
  </si>
  <si>
    <t>mean_I_3_4_meat_meat_products_fish_uah_cashcredit</t>
  </si>
  <si>
    <t>median_I_3_4_meat_meat_products_fish_uah_cashcredit</t>
  </si>
  <si>
    <t>min_I_3_4_meat_meat_products_fish_uah_cashcredit</t>
  </si>
  <si>
    <t>max_I_3_4_meat_meat_products_fish_uah_cashcredit</t>
  </si>
  <si>
    <t>num_samples_I_3_5_meat_meat_products_fish_uah_own_produced</t>
  </si>
  <si>
    <t>mean_I_3_5_meat_meat_products_fish_uah_own_produced</t>
  </si>
  <si>
    <t>median_I_3_5_meat_meat_products_fish_uah_own_produced</t>
  </si>
  <si>
    <t>min_I_3_5_meat_meat_products_fish_uah_own_produced</t>
  </si>
  <si>
    <t>max_I_3_5_meat_meat_products_fish_uah_own_produced</t>
  </si>
  <si>
    <t>num_samples_I_3_6_sugar_sweets_uah_cashcredit_</t>
  </si>
  <si>
    <t>mean_I_3_6_sugar_sweets_uah_cashcredit_</t>
  </si>
  <si>
    <t>median_I_3_6_sugar_sweets_uah_cashcredit_</t>
  </si>
  <si>
    <t>min_I_3_6_sugar_sweets_uah_cashcredit_</t>
  </si>
  <si>
    <t>max_I_3_6_sugar_sweets_uah_cashcredit_</t>
  </si>
  <si>
    <t>num_samples_I_3_7_water_beverages_uah_cashcredit_</t>
  </si>
  <si>
    <t>mean_I_3_7_water_beverages_uah_cashcredit_</t>
  </si>
  <si>
    <t>median_I_3_7_water_beverages_uah_cashcredit_</t>
  </si>
  <si>
    <t>min_I_3_7_water_beverages_uah_cashcredit_</t>
  </si>
  <si>
    <t>max_I_3_7_water_beverages_uah_cashcredit_</t>
  </si>
  <si>
    <t>num_samples_I_3_8_eating_outside_uah_cashcredit_</t>
  </si>
  <si>
    <t>mean_I_3_8_eating_outside_uah_cashcredit_</t>
  </si>
  <si>
    <t>median_I_3_8_eating_outside_uah_cashcredit_</t>
  </si>
  <si>
    <t>min_I_3_8_eating_outside_uah_cashcredit_</t>
  </si>
  <si>
    <t>max_I_3_8_eating_outside_uah_cashcredit_</t>
  </si>
  <si>
    <t>num_samples_I_3_9_other_cashcredit</t>
  </si>
  <si>
    <t>mean_I_3_9_other_cashcredit</t>
  </si>
  <si>
    <t>median_I_3_9_other_cashcredit</t>
  </si>
  <si>
    <t>min_I_3_9_other_cashcredit</t>
  </si>
  <si>
    <t>max_I_3_9_other_cashcredit</t>
  </si>
  <si>
    <t>Estimated Household's Food Expenditure Over the Last 30 days by rural or urban</t>
  </si>
  <si>
    <t>Estimated Household's Food Expenditure Over the Last 30 days by displacement status</t>
  </si>
  <si>
    <t>Estimated Household's Food Expenditure Over the Last 30 days by HoHH sex</t>
  </si>
  <si>
    <t>Estimated Household's Food Expenditure Over the Last 30 days by HHs with a member with a disability</t>
  </si>
  <si>
    <t>Total Monthly Expenditure Total Monthly Expenditure Reported by Households overall</t>
  </si>
  <si>
    <t>Total Monthly Expenditure Total Monthly Expenditure Reported by Households by HHs with a member with a disability</t>
  </si>
  <si>
    <t>Total Monthly Expenditure Total Monthly Expenditure Reported by Households by displacement status</t>
  </si>
  <si>
    <t>Total Monthly Expenditure Total Monthly Expenditure Reported by Households by HoHH sex</t>
  </si>
  <si>
    <t>Total Monthly Expenditure Total Monthly Expenditure Reported by Households by rural or urban</t>
  </si>
  <si>
    <t>Total Monthly Expenditure Total Monthly Expenditure Reported by Households by HH size</t>
  </si>
  <si>
    <t>Total Monthly Expenditure Total Monthly Expenditure Reported by Households by HHs with only elderly members</t>
  </si>
  <si>
    <t>Total Monthly Expenditure Total Monthly Expenditure Reported by Households by HHs relying exclusively on humanitarian assistance</t>
  </si>
  <si>
    <t>hh_assistance_exclusive_income</t>
  </si>
  <si>
    <t>HHs Not relying Exclusively on Assistance</t>
  </si>
  <si>
    <t>HHs relying Exclusively on Assistance</t>
  </si>
  <si>
    <t>Total Monthly Expenditure Total Monthly Expenditure Reported by Households by HH proximity to frontline or Russian border</t>
  </si>
  <si>
    <t>Estimated Household's Domestic Expenditure Over the Last 30 days overall</t>
  </si>
  <si>
    <t>num_samples_I_4_1_rent</t>
  </si>
  <si>
    <t>mean_I_4_1_rent</t>
  </si>
  <si>
    <t>median_I_4_1_rent</t>
  </si>
  <si>
    <t>min_I_4_1_rent</t>
  </si>
  <si>
    <t>max_I_4_1_rent</t>
  </si>
  <si>
    <t>num_samples_I_4_2_water_from_all_sources_combined_water_as_utility_or_purchase_of_water_for_drinking</t>
  </si>
  <si>
    <t>mean_I_4_2_water_from_all_sources_combined_water_as_utility_or_purchase_of_water_for_drinking</t>
  </si>
  <si>
    <t>median_I_4_2_water_from_all_sources_combined_water_as_utility_or_purchase_of_water_for_drinking</t>
  </si>
  <si>
    <t>min_I_4_2_water_from_all_sources_combined_water_as_utility_or_purchase_of_water_for_drinking</t>
  </si>
  <si>
    <t>max_I_4_2_water_from_all_sources_combined_water_as_utility_or_purchase_of_water_for_drinking</t>
  </si>
  <si>
    <t>num_samples_I_4_3_nonfood_household_items_for_regular_purchase_lightbulbs_etc</t>
  </si>
  <si>
    <t>mean_I_4_3_nonfood_household_items_for_regular_purchase_lightbulbs_etc</t>
  </si>
  <si>
    <t>median_I_4_3_nonfood_household_items_for_regular_purchase_lightbulbs_etc</t>
  </si>
  <si>
    <t>min_I_4_3_nonfood_household_items_for_regular_purchase_lightbulbs_etc</t>
  </si>
  <si>
    <t>max_I_4_3_nonfood_household_items_for_regular_purchase_lightbulbs_etc</t>
  </si>
  <si>
    <t>num_samples_I_4_5_power_utilities_electricity_or_gas_connections_etc</t>
  </si>
  <si>
    <t>mean_I_4_5_power_utilities_electricity_or_gas_connections_etc</t>
  </si>
  <si>
    <t>median_I_4_5_power_utilities_electricity_or_gas_connections_etc</t>
  </si>
  <si>
    <t>min_I_4_5_power_utilities_electricity_or_gas_connections_etc</t>
  </si>
  <si>
    <t>max_I_4_5_power_utilities_electricity_or_gas_connections_etc</t>
  </si>
  <si>
    <t>num_samples_I_4_6_fuel_for_cooking_for_vehicles_etc</t>
  </si>
  <si>
    <t>mean_I_4_6_fuel_for_cooking_for_vehicles_etc</t>
  </si>
  <si>
    <t>median_I_4_6_fuel_for_cooking_for_vehicles_etc</t>
  </si>
  <si>
    <t>min_I_4_6_fuel_for_cooking_for_vehicles_etc</t>
  </si>
  <si>
    <t>max_I_4_6_fuel_for_cooking_for_vehicles_etc</t>
  </si>
  <si>
    <t>num_samples_I_4_7_transportation_</t>
  </si>
  <si>
    <t>mean_I_4_7_transportation_</t>
  </si>
  <si>
    <t>median_I_4_7_transportation_</t>
  </si>
  <si>
    <t>min_I_4_7_transportation_</t>
  </si>
  <si>
    <t>max_I_4_7_transportation_</t>
  </si>
  <si>
    <t>num_samples_I_4_8_communications_phone_airtime_internet_costs_etc</t>
  </si>
  <si>
    <t>mean_I_4_8_communications_phone_airtime_internet_costs_etc</t>
  </si>
  <si>
    <t>median_I_4_8_communications_phone_airtime_internet_costs_etc</t>
  </si>
  <si>
    <t>min_I_4_8_communications_phone_airtime_internet_costs_etc</t>
  </si>
  <si>
    <t>max_I_4_8_communications_phone_airtime_internet_costs_etc</t>
  </si>
  <si>
    <t>num_samples_I_4_9_recreation_sport_culture</t>
  </si>
  <si>
    <t>mean_I_4_9_recreation_sport_culture</t>
  </si>
  <si>
    <t>median_I_4_9_recreation_sport_culture</t>
  </si>
  <si>
    <t>min_I_4_9_recreation_sport_culture</t>
  </si>
  <si>
    <t>max_I_4_9_recreation_sport_culture</t>
  </si>
  <si>
    <t>num_samples_I_4_12_productive_assets_any_items_used_to_help_generate_income_ex_sewing_machine_tools</t>
  </si>
  <si>
    <t>mean_I_4_12_productive_assets_any_items_used_to_help_generate_income_ex_sewing_machine_tools</t>
  </si>
  <si>
    <t>median_I_4_12_productive_assets_any_items_used_to_help_generate_income_ex_sewing_machine_tools</t>
  </si>
  <si>
    <t>min_I_4_12_productive_assets_any_items_used_to_help_generate_income_ex_sewing_machine_tools</t>
  </si>
  <si>
    <t>max_I_4_12_productive_assets_any_items_used_to_help_generate_income_ex_sewing_machine_tools</t>
  </si>
  <si>
    <t>num_samples_I_4_15_all_other_frequent_expenditures_please_specify</t>
  </si>
  <si>
    <t>mean_I_4_15_all_other_frequent_expenditures_please_specify</t>
  </si>
  <si>
    <t>median_I_4_15_all_other_frequent_expenditures_please_specify</t>
  </si>
  <si>
    <t>min_I_4_15_all_other_frequent_expenditures_please_specify</t>
  </si>
  <si>
    <t>max_I_4_15_all_other_frequent_expenditures_please_specify</t>
  </si>
  <si>
    <t>Estimated Household's Domestic Expenditure Over the Last 30 days by HHs with a member with a disability</t>
  </si>
  <si>
    <t>Estimated Household's Domestic Expenditure Over the Last 30 days by displacement status</t>
  </si>
  <si>
    <t>Estimated Household's Domestic Expenditure Over the Last 30 days by HoHH sex</t>
  </si>
  <si>
    <t>Estimated Household's Domestic Expenditure Over the Last 30 days by rural or urban</t>
  </si>
  <si>
    <t>Estimated Household's Domestic Expenditure Over the Last 6 Months overall</t>
  </si>
  <si>
    <t>num_samples_I_5_expenditure_categories_long_term_shelter_maintenance</t>
  </si>
  <si>
    <t>mean_I_5_expenditure_categories_long_term_shelter_maintenance</t>
  </si>
  <si>
    <t>median_I_5_expenditure_categories_long_term_shelter_maintenance</t>
  </si>
  <si>
    <t>min_I_5_expenditure_categories_long_term_shelter_maintenance</t>
  </si>
  <si>
    <t>max_I_5_expenditure_categories_long_term_shelter_maintenance</t>
  </si>
  <si>
    <t>num_samples_I_5_1_nonfood_household_items_for_infrequent_purchase_blankets_cooking_pots_etc</t>
  </si>
  <si>
    <t>mean_I_5_1_nonfood_household_items_for_infrequent_purchase_blankets_cooking_pots_etc</t>
  </si>
  <si>
    <t>median_I_5_1_nonfood_household_items_for_infrequent_purchase_blankets_cooking_pots_etc</t>
  </si>
  <si>
    <t>min_I_5_1_nonfood_household_items_for_infrequent_purchase_blankets_cooking_pots_etc</t>
  </si>
  <si>
    <t>max_I_5_1_nonfood_household_items_for_infrequent_purchase_blankets_cooking_pots_etc</t>
  </si>
  <si>
    <t>num_samples_I_5_2_infrequently_purchased_medication</t>
  </si>
  <si>
    <t>mean_I_5_2_infrequently_purchased_medication</t>
  </si>
  <si>
    <t>median_I_5_2_infrequently_purchased_medication</t>
  </si>
  <si>
    <t>min_I_5_2_infrequently_purchased_medication</t>
  </si>
  <si>
    <t>max_I_5_2_infrequently_purchased_medication</t>
  </si>
  <si>
    <t>num_samples_I_5_3_clothing_shoes</t>
  </si>
  <si>
    <t>mean_I_5_3_clothing_shoes</t>
  </si>
  <si>
    <t>median_I_5_3_clothing_shoes</t>
  </si>
  <si>
    <t>min_I_5_3_clothing_shoes</t>
  </si>
  <si>
    <t>max_I_5_3_clothing_shoes</t>
  </si>
  <si>
    <t>num_samples_I_5_6_educationrelated_expenditures_school_fees_supplies_uniforms_etc</t>
  </si>
  <si>
    <t>mean_I_5_6_educationrelated_expenditures_school_fees_supplies_uniforms_etc</t>
  </si>
  <si>
    <t>median_I_5_6_educationrelated_expenditures_school_fees_supplies_uniforms_etc</t>
  </si>
  <si>
    <t>min_I_5_6_educationrelated_expenditures_school_fees_supplies_uniforms_etc</t>
  </si>
  <si>
    <t>max_I_5_6_educationrelated_expenditures_school_fees_supplies_uniforms_etc</t>
  </si>
  <si>
    <t>num_samples_I_5_7_debt_repayment</t>
  </si>
  <si>
    <t>mean_I_5_7_debt_repayment</t>
  </si>
  <si>
    <t>median_I_5_7_debt_repayment</t>
  </si>
  <si>
    <t>min_I_5_7_debt_repayment</t>
  </si>
  <si>
    <t>max_I_5_7_debt_repayment</t>
  </si>
  <si>
    <t>num_samples_I_5_8_remittances</t>
  </si>
  <si>
    <t>mean_I_5_8_remittances</t>
  </si>
  <si>
    <t>median_I_5_8_remittances</t>
  </si>
  <si>
    <t>min_I_5_8_remittances</t>
  </si>
  <si>
    <t>max_I_5_8_remittances</t>
  </si>
  <si>
    <t>num_samples_I_5_9_savings_ie_money_set_aside_for_the_longterm</t>
  </si>
  <si>
    <t>mean_I_5_9_savings_ie_money_set_aside_for_the_longterm</t>
  </si>
  <si>
    <t>median_I_5_9_savings_ie_money_set_aside_for_the_longterm</t>
  </si>
  <si>
    <t>min_I_5_9_savings_ie_money_set_aside_for_the_longterm</t>
  </si>
  <si>
    <t>max_I_5_9_savings_ie_money_set_aside_for_the_longterm</t>
  </si>
  <si>
    <t>num_samples_I_5_10_all_other_infrequent_expenditures_please_specify</t>
  </si>
  <si>
    <t>mean_I_5_10_all_other_infrequent_expenditures_please_specify</t>
  </si>
  <si>
    <t>median_I_5_10_all_other_infrequent_expenditures_please_specify</t>
  </si>
  <si>
    <t>min_I_5_10_all_other_infrequent_expenditures_please_specify</t>
  </si>
  <si>
    <t>max_I_5_10_all_other_infrequent_expenditures_please_specify</t>
  </si>
  <si>
    <t>Estimated Household's Domestic Expenditure Over the Last 6 Months rural or urban</t>
  </si>
  <si>
    <t>Estimated Household's Domestic Expenditure Over the Last 6 Months by displacement status</t>
  </si>
  <si>
    <t>Estimated Household's Domestic Expenditure Over the Last 6 Months by HoHH sex</t>
  </si>
  <si>
    <t>Estimated Household's Domestic Expenditure Over the Last 6 Months by HHs with a member with a disability</t>
  </si>
  <si>
    <t>I_6 Households Reporting Challenges to Obtain Money to Meet Needs Over the Last 30 days Prior to Data Collection overall</t>
  </si>
  <si>
    <t>I_6 Households Reporting Challenges to Obtain Money to Meet Needs Over the Last 30 days Prior to Data Collection by Individuals with a disability</t>
  </si>
  <si>
    <t>I_6 Households Reporting Challenges to Obtain Money to Meet Needs Over the Last 30 days Prior to Data Collection by displacement status</t>
  </si>
  <si>
    <t>65.5%</t>
  </si>
  <si>
    <t>I_6 Households Reporting Challenges to Obtain Money to Meet Needs Over the Last 30 days Prior to Data Collection by HoHH sex</t>
  </si>
  <si>
    <t>I_6 Households Reporting Challenges to Obtain Money to Meet Needs Over the Last 30 days Prior to Data Collection by rural or urban</t>
  </si>
  <si>
    <t>I_6 Households Reporting Challenges to Obtain Money to Meet Needs Over the Last 30 days Prior to Data Collection by HHs with only elderly members</t>
  </si>
  <si>
    <t>I_6 Households Reporting Challenges to Obtain Money to Meet Needs Over the Last 30 days Prior to Data Collection by HHs with a member with a disability</t>
  </si>
  <si>
    <t>I_7 Main Challenges Reported by Households to Obtain Money to Meet Needs Over the Last 30 days Prior to Data Collection by overall</t>
  </si>
  <si>
    <t>Lack of work opportunity</t>
  </si>
  <si>
    <t>Salary or wages too low</t>
  </si>
  <si>
    <t>Pensions/social benefits amounts are too low</t>
  </si>
  <si>
    <t>Salary or wages not regularly paid</t>
  </si>
  <si>
    <t>Pensions/social benefits are not regularily paid</t>
  </si>
  <si>
    <t>Unable to withdraw enough money from bank account</t>
  </si>
  <si>
    <t>No currently functioning banks/financial institutions in my area</t>
  </si>
  <si>
    <t>Prices increased, but the income did not</t>
  </si>
  <si>
    <t>37.6%</t>
  </si>
  <si>
    <t>I_7 Main Challenges Reported by Households to Obtain Money to Meet Needs Over the Last 30 days Prior to Data Collection by HoHH sex</t>
  </si>
  <si>
    <t>I_7 Main Challenges Reported by Households to Obtain Money to Meet Needs Over the Last 30 days Prior to Data Collection by rural or urban</t>
  </si>
  <si>
    <t>66.0%</t>
  </si>
  <si>
    <t>I_7 Main Challenges Reported by Households to Obtain Money to Meet Needs Over the Last 30 days Prior to Data Collection by HH size</t>
  </si>
  <si>
    <t>63.1%</t>
  </si>
  <si>
    <t>I_7 Main Challenges Reported by Households to Obtain Money to Meet Needs Over the Last 30 days Prior to Data Collection by HHs with a member with a disability</t>
  </si>
  <si>
    <t>I_7 Main Challenges Reported by Households to Obtain Money to Meet Needs Over the Last 30 days Prior to Data Collection by displacement status</t>
  </si>
  <si>
    <t>I_7 Main Challenges Reported by Households to Obtain Money to Meet Needs Over the Last 30 days Prior to Data Collection by HH proximity to frontline or Russian border</t>
  </si>
  <si>
    <t>LCSI Living Coping Strategies (LCSI) Index Score overall</t>
  </si>
  <si>
    <t>Crisis</t>
  </si>
  <si>
    <t>Emergency</t>
  </si>
  <si>
    <t>No coping</t>
  </si>
  <si>
    <t>Stress</t>
  </si>
  <si>
    <t>LCSI Living Coping Strategies (LCSI) Index Score by HHs with a member with a disability</t>
  </si>
  <si>
    <t>LCSI Living Coping Strategies (LCSI) Index Score by displacement status</t>
  </si>
  <si>
    <t>LCSI Living Coping Strategies (LCSI) Index Score by HoHH sex</t>
  </si>
  <si>
    <t>53.3%</t>
  </si>
  <si>
    <t>LCSI Living Coping Strategies (LCSI) Index Score by rural or urban</t>
  </si>
  <si>
    <t>Households Reportedly Adopting Livelihood Coping Strategies by overall</t>
  </si>
  <si>
    <t>num_samples_I_8_1_lcs_sell_hh_assets</t>
  </si>
  <si>
    <t>No, had no need to use this coping strategy_I_8_1_lcs_sell_hh_assets</t>
  </si>
  <si>
    <t>No, have already exhausted this coping strategy and cannot use it again_I_8_1_lcs_sell_hh_assets</t>
  </si>
  <si>
    <t>Not applicable / This coping strategy is not available to me_I_8_1_lcs_sell_hh_assets</t>
  </si>
  <si>
    <t>Prefer not to answer_I_8_1_lcs_sell_hh_assets</t>
  </si>
  <si>
    <t>Yes_I_8_1_lcs_sell_hh_assets</t>
  </si>
  <si>
    <t>num_samples_I_8_2_lcs_spent_savings</t>
  </si>
  <si>
    <t>No, had no need to use this coping strategy_I_8_2_lcs_spent_savings</t>
  </si>
  <si>
    <t>No, have already exhausted this coping strategy and cannot use it again_I_8_2_lcs_spent_savings</t>
  </si>
  <si>
    <t>Not applicable / This coping strategy is not available to me_I_8_2_lcs_spent_savings</t>
  </si>
  <si>
    <t>Prefer not to answer_I_8_2_lcs_spent_savings</t>
  </si>
  <si>
    <t>Yes_I_8_2_lcs_spent_savings</t>
  </si>
  <si>
    <t>num_samples_I_8_3_lcs_forrowed_food</t>
  </si>
  <si>
    <t>No, had no need to use this coping strategy_I_8_3_lcs_forrowed_food</t>
  </si>
  <si>
    <t>No, have already exhausted this coping strategy and cannot use it again_I_8_3_lcs_forrowed_food</t>
  </si>
  <si>
    <t>Not applicable / This coping strategy is not available to me_I_8_3_lcs_forrowed_food</t>
  </si>
  <si>
    <t>Prefer not to answer_I_8_3_lcs_forrowed_food</t>
  </si>
  <si>
    <t>Yes_I_8_3_lcs_forrowed_food</t>
  </si>
  <si>
    <t>num_samples_I_8_4_lcs_eat_elsewhere</t>
  </si>
  <si>
    <t>No, had no need to use this coping strategy_I_8_4_lcs_eat_elsewhere</t>
  </si>
  <si>
    <t>No, have already exhausted this coping strategy and cannot use it again_I_8_4_lcs_eat_elsewhere</t>
  </si>
  <si>
    <t>Not applicable / This coping strategy is not available to me_I_8_4_lcs_eat_elsewhere</t>
  </si>
  <si>
    <t>Prefer not to answer_I_8_4_lcs_eat_elsewhere</t>
  </si>
  <si>
    <t>Yes_I_8_4_lcs_eat_elsewhere</t>
  </si>
  <si>
    <t>num_samples_I_8_6_lcs_reduce_health_expenditures</t>
  </si>
  <si>
    <t>No, had no need to use this coping strategy_I_8_6_lcs_reduce_health_expenditures</t>
  </si>
  <si>
    <t>No, have already exhausted this coping strategy and cannot use it again_I_8_6_lcs_reduce_health_expenditures</t>
  </si>
  <si>
    <t>Not applicable / This coping strategy is not available to me_I_8_6_lcs_reduce_health_expenditures</t>
  </si>
  <si>
    <t>Prefer not to answer_I_8_6_lcs_reduce_health_expenditures</t>
  </si>
  <si>
    <t>Yes_I_8_6_lcs_reduce_health_expenditures</t>
  </si>
  <si>
    <t>num_samples_I_8_7_lcs_reduce_education_expenditures</t>
  </si>
  <si>
    <t>No, had no need to use this coping strategy_I_8_7_lcs_reduce_education_expenditures</t>
  </si>
  <si>
    <t>Not applicable / This coping strategy is not available to me_I_8_7_lcs_reduce_education_expenditures</t>
  </si>
  <si>
    <t>Prefer not to answer_I_8_7_lcs_reduce_education_expenditures</t>
  </si>
  <si>
    <t>Yes_I_8_7_lcs_reduce_education_expenditures</t>
  </si>
  <si>
    <t>No, have already exhausted this coping strategy and cannot use it again_I_8_7_lcs_reduce_education_expenditures</t>
  </si>
  <si>
    <t>num_samples_I_8_8_lcs_sell_house</t>
  </si>
  <si>
    <t>No, had no need to use this coping strategy_I_8_8_lcs_sell_house</t>
  </si>
  <si>
    <t>No, have already exhausted this coping strategy and cannot use it again_I_8_8_lcs_sell_house</t>
  </si>
  <si>
    <t>Not applicable / This coping strategy is not available to me_I_8_8_lcs_sell_house</t>
  </si>
  <si>
    <t>Prefer not to answer_I_8_8_lcs_sell_house</t>
  </si>
  <si>
    <t>Yes_I_8_8_lcs_sell_house</t>
  </si>
  <si>
    <t>num_samples_I_8_9_lcs_move_elsewhere</t>
  </si>
  <si>
    <t>No, had no need to use this coping strategy_I_8_9_lcs_move_elsewhere</t>
  </si>
  <si>
    <t>No, have already exhausted this coping strategy and cannot use it again_I_8_9_lcs_move_elsewhere</t>
  </si>
  <si>
    <t>Not applicable / This coping strategy is not available to me_I_8_9_lcs_move_elsewhere</t>
  </si>
  <si>
    <t>Prefer not to answer_I_8_9_lcs_move_elsewhere</t>
  </si>
  <si>
    <t>Yes_I_8_9_lcs_move_elsewhere</t>
  </si>
  <si>
    <t>num_samples_I_8_10_lcs_degrading_income_source</t>
  </si>
  <si>
    <t>No, had no need to use this coping strategy_I_8_10_lcs_degrading_income_source</t>
  </si>
  <si>
    <t>Not applicable / This coping strategy is not available to me_I_8_10_lcs_degrading_income_source</t>
  </si>
  <si>
    <t>Prefer not to answer_I_8_10_lcs_degrading_income_source</t>
  </si>
  <si>
    <t>Yes_I_8_10_lcs_degrading_income_source</t>
  </si>
  <si>
    <t>No, have already exhausted this coping strategy and cannot use it again_I_8_10_lcs_degrading_income_source</t>
  </si>
  <si>
    <t>num_samples_I_8_5_lcs_sell_productive_assets</t>
  </si>
  <si>
    <t>No, had no need to use this coping strategy_I_8_5_lcs_sell_productive_assets</t>
  </si>
  <si>
    <t>No, have already exhausted this coping strategy and cannot use it again_I_8_5_lcs_sell_productive_assets</t>
  </si>
  <si>
    <t>Not applicable / This coping strategy is not available to me_I_8_5_lcs_sell_productive_assets</t>
  </si>
  <si>
    <t>Prefer not to answer_I_8_5_lcs_sell_productive_assets</t>
  </si>
  <si>
    <t>Yes_I_8_5_lcs_sell_productive_assets</t>
  </si>
  <si>
    <t>num_samples_I_8_13_lcs_ask_stranger</t>
  </si>
  <si>
    <t>No, had no need to use this coping strategy_I_8_13_lcs_ask_stranger</t>
  </si>
  <si>
    <t>Not applicable / This coping strategy is not available to me_I_8_13_lcs_ask_stranger</t>
  </si>
  <si>
    <t>Prefer not to answer_I_8_13_lcs_ask_stranger</t>
  </si>
  <si>
    <t>Yes_I_8_13_lcs_ask_stranger</t>
  </si>
  <si>
    <t>No, have already exhausted this coping strategy and cannot use it again_I_8_13_lcs_ask_stranger</t>
  </si>
  <si>
    <t>Households Reportedly Adopting Livelihood Coping Strategies by HHs with a member with a disability</t>
  </si>
  <si>
    <t>Households Reportedly Adopting Livelihood Coping Strategies by rural or urban</t>
  </si>
  <si>
    <t>Households Reportedly Adopting Livelihood Coping Strategies by displacement status</t>
  </si>
  <si>
    <t>Households Reportedly Adopting Livelihood Coping Strategies by HoHH sex</t>
  </si>
  <si>
    <t>I_8_14 Main Reasons Households Reported for Using Livelihood Coping Strategies overall</t>
  </si>
  <si>
    <t>To access or pay for food</t>
  </si>
  <si>
    <t>To access or pay for healthcare</t>
  </si>
  <si>
    <t>To access or pay for shelter</t>
  </si>
  <si>
    <t>To access or pay for education</t>
  </si>
  <si>
    <t>I_8_14 Main Reasons Households Reported for Using Livelihood Coping Strategies by HH size</t>
  </si>
  <si>
    <t>I_8_14 Main Reasons Households Reported for Using Livelihood Coping Strategies by HH proximity to frontline or Russian border</t>
  </si>
  <si>
    <t>I_8_14 Main Reasons Households Reported for Using Livelihood Coping Strategies by HHs with a member with a disability</t>
  </si>
  <si>
    <t>I_8_14 Main Reasons Households Reported for Using Livelihood Coping Strategies by displacement status</t>
  </si>
  <si>
    <t>I_9 Households Reporting to Own Land Used for Agricultural Activities overall</t>
  </si>
  <si>
    <t>I_9 Households Reporting to Own Land Used for Agricultural Activities by HoHH sex</t>
  </si>
  <si>
    <t>I_9 Households Reporting to Own Land Used for Agricultural Activities by rural or urban</t>
  </si>
  <si>
    <t>I_9 Households Reporting to Own Land Used for Agricultural Activities by HH size</t>
  </si>
  <si>
    <t>I_9 Households Reporting to Own Land Used for Agricultural Activities by HH proximity to frontline or Russian border</t>
  </si>
  <si>
    <t>I_9 Households Reporting to Own Land Used for Agricultural Activities by HHs with a member with a disability</t>
  </si>
  <si>
    <t>I_9 Households Reporting to Own Land Used for Agricultural Activities by displacement status</t>
  </si>
  <si>
    <t>I_9_1 Purposes of the Agricultural Land Used Reported by Households overall</t>
  </si>
  <si>
    <t>Production for own consumption</t>
  </si>
  <si>
    <t>Production for sale</t>
  </si>
  <si>
    <t>Renting</t>
  </si>
  <si>
    <t>Not used at all</t>
  </si>
  <si>
    <t>I_9_1 Purposes of the Agricultural Land Used Reported by Households by HoHH sex</t>
  </si>
  <si>
    <t>I_9_1 Purposes of the Agricultural Land Used Reported by Households by rural or urban</t>
  </si>
  <si>
    <t>I_9_1 Purposes of the Agricultural Land Used Reported by Households by HH size</t>
  </si>
  <si>
    <t>I_9_1 Purposes of the Agricultural Land Used Reported by Households by HH proximity to frontline or Russian border</t>
  </si>
  <si>
    <t>I_9_1 Purposes of the Agricultural Land Used Reported by Households by sex and age</t>
  </si>
  <si>
    <t>hohh_sex_age</t>
  </si>
  <si>
    <t>18-25 y.o. Female HoHH</t>
  </si>
  <si>
    <t>18-25 y.o. Male HoHH</t>
  </si>
  <si>
    <t>26-50 y.o. Female HoHH</t>
  </si>
  <si>
    <t>26-50 y.o. Male HoHH</t>
  </si>
  <si>
    <t>51-65 y.o. Female HoHH</t>
  </si>
  <si>
    <t>51-65 y.o. Male HoHH</t>
  </si>
  <si>
    <t>66+ y.o. Female HoHH</t>
  </si>
  <si>
    <t>66+ y.o. Male HoHH</t>
  </si>
  <si>
    <t>I_10 Barriers Households Reported to Accessing Marketplaces Consistently over the Last 30 days Prior to Data Collection by overall</t>
  </si>
  <si>
    <t>No barrier faced accessing marketplace</t>
  </si>
  <si>
    <t>Live too far from market/no means of transport.</t>
  </si>
  <si>
    <t>Transportation too expensive.</t>
  </si>
  <si>
    <t>Marketplace timing (opening hours).</t>
  </si>
  <si>
    <t>Damage to marketplace.</t>
  </si>
  <si>
    <t>Security travelling to and from marketplace.</t>
  </si>
  <si>
    <t>I_10 Barriers Households Reported to Accessing Marketplaces Consistently over the Last 30 days Prior to Data Collection by Individuals with a disability</t>
  </si>
  <si>
    <t>I_10 Barriers Households Reported to Accessing Marketplaces Consistently over the Last 30 days Prior to Data Collection by rural or urban</t>
  </si>
  <si>
    <t>I_10 Barriers Households Reported to Accessing Marketplaces Consistently over the Last 30 days Prior to Data Collection by HH with member employed</t>
  </si>
  <si>
    <t>I_10 Barriers Households Reported to Accessing Marketplaces Consistently over the Last 30 days Prior to Data Collection by type of drinking water sources</t>
  </si>
  <si>
    <t>I_10 Barriers Households Reported to Accessing Marketplaces Consistently over the Last 30 days Prior to Data Collection by HHs with an elderly member</t>
  </si>
  <si>
    <t>hh_elderly_member</t>
  </si>
  <si>
    <t>HHs with at least one elderly member</t>
  </si>
  <si>
    <t>HHs with no elderly member</t>
  </si>
  <si>
    <t>I_10 Barriers Households Reported to Accessing Marketplaces Consistently over the Last 30 days Prior to Data Collection by HHs with a member with a disability</t>
  </si>
  <si>
    <t>I_10 Barriers Households Reported to Accessing Marketplaces Consistently over the Last 30 days Prior to Data Collection by HH proximity to frontline or Russian border</t>
  </si>
  <si>
    <t>I_12 Households Reportedly Borrowing Money or Taking on Additional Debt to Cover Basic Needs Since the Escalation of the War overall</t>
  </si>
  <si>
    <t>No, did not request additional debts</t>
  </si>
  <si>
    <t>I_12 Households Reportedly Borrowing Money or Taking on Additional Debt to Cover Basic Needs Since the Escalation of the War by HHs with challenge to obtain money</t>
  </si>
  <si>
    <t>I_12 Households Reportedly Borrowing Money or Taking on Additional Debt to Cover Basic Needs Since the Escalation of the War by sex and age</t>
  </si>
  <si>
    <t>I_12 Households Reportedly Borrowing Money or Taking on Additional Debt to Cover Basic Needs Since the Escalation of the War by Individuals with a disability</t>
  </si>
  <si>
    <t>I_12 Households Reportedly Borrowing Money or Taking on Additional Debt to Cover Basic Needs Since the Escalation of the War by rural or urban</t>
  </si>
  <si>
    <t>I_12 Households Reportedly Borrowing Money or Taking on Additional Debt to Cover Basic Needs Since the Escalation of the War by HH with member employed</t>
  </si>
  <si>
    <t>I_12 Households Reportedly Borrowing Money or Taking on Additional Debt to Cover Basic Needs Since the Escalation of the War by type of drinking water sources</t>
  </si>
  <si>
    <t>J_1 Individuals Reporting a Medical Problem that made them Consider Seeking Healthcare Services in the Last 3 Months Prior to Data Collection by overall</t>
  </si>
  <si>
    <t>J_1 Individuals Reporting a Medical Problem that made them Consider Seeking Healthcare Services in the Last 3 Months Prior to Data Collection by sex and age</t>
  </si>
  <si>
    <t>individual_age_sex</t>
  </si>
  <si>
    <t>Boys 6-11 y.o.</t>
  </si>
  <si>
    <t>Boys &lt;6 y.o.</t>
  </si>
  <si>
    <t>Female 18-25 y.o.</t>
  </si>
  <si>
    <t>Female 26-50 y.o.</t>
  </si>
  <si>
    <t>Female 51-65 y.o.</t>
  </si>
  <si>
    <t>Female 66+ y.o.</t>
  </si>
  <si>
    <t>Girls 6-11 y.o.</t>
  </si>
  <si>
    <t>Girls &lt;6 y.o.</t>
  </si>
  <si>
    <t>Male 18-25 y.o.</t>
  </si>
  <si>
    <t>Male 26-50 y.o.</t>
  </si>
  <si>
    <t>Male 51-65 y.o.</t>
  </si>
  <si>
    <t>Male 66+ y.o.</t>
  </si>
  <si>
    <t>J_1 Individuals Reporting a Medical Problem that made them Consider Seeking Healthcare Services in the Last 3 Months Prior to Data Collection by Individuals with a disability</t>
  </si>
  <si>
    <t>ind_disability_level_3_4</t>
  </si>
  <si>
    <t>Individual with disability</t>
  </si>
  <si>
    <t>Individual without disability</t>
  </si>
  <si>
    <t>J_1 Individuals Reporting a Medical Problem that made them Consider Seeking Healthcare Services in the Last 3 Months Prior to Data Collection by rural or urban</t>
  </si>
  <si>
    <t>J_1 Individuals Reporting a Medical Problem that made them Consider Seeking Healthcare Services in the Last 3 Months Prior to Data Collection by HH with member employed</t>
  </si>
  <si>
    <t>J_1 Individuals Reporting a Medical Problem that made them Consider Seeking Healthcare Services in the Last 3 Months Prior to Data Collection by type of drinking water sources</t>
  </si>
  <si>
    <t>J_1 Individuals Reporting a Medical Problem that made them Consider Seeking Healthcare Services in the Last 3 Months Prior to Data Collection by HHs with an elderly member</t>
  </si>
  <si>
    <t>J_1 Individuals Reporting a Medical Problem that made them Consider Seeking Healthcare Services in the Last 3 Months Prior to Data Collection by HHs with a member with a disability</t>
  </si>
  <si>
    <t>J_1 Individuals Reporting a Medical Problem that made them Consider Seeking Healthcare Services in the Last 3 Months Prior to Data Collection by HH proximity to frontline or Russian border</t>
  </si>
  <si>
    <t>J_1 Individuals Reporting a Medical Problem that made them Consider Seeking Healthcare Services in the Last 3 Months Prior to Data Collection by HHs with challenge to obtain money</t>
  </si>
  <si>
    <t>J_2 Healthcare Services Desired by Individuals whom Reported Having a Medical Problem that made them Consider Seeking Healthcare Services in the Last 3 Months Prior to Data Collection by overall</t>
  </si>
  <si>
    <t>Consultation for an acute illness (fever, diarrhoea, cough, etc.)</t>
  </si>
  <si>
    <t>Consultation for a chronic, non-communicable illness (diabetes, high blood pressure, heart disease, etc.)</t>
  </si>
  <si>
    <t>Cancer treatment</t>
  </si>
  <si>
    <t>Mental health and psychosocial support services</t>
  </si>
  <si>
    <t>Substance abuse services</t>
  </si>
  <si>
    <t>Consultation for a chronic, communicable illness (HIV, TB, etc.)</t>
  </si>
  <si>
    <t>Trauma care (injury, accident, conflict-related wounds)</t>
  </si>
  <si>
    <t>Rehabilitation</t>
  </si>
  <si>
    <t>Child health (acute and chronic illnesses, vaccination)</t>
  </si>
  <si>
    <t>Sexual and reproductive health (including maternal and neonatal health),</t>
  </si>
  <si>
    <t>Diagnostic services (Laboratory, imaging</t>
  </si>
  <si>
    <t>Dental services</t>
  </si>
  <si>
    <t>J_2 Healthcare Services Desired by Individuals whom Reported Having a Medical Problem that made them Consider Seeking Healthcare Services in the Last 3 Months Prior to Data Collection by sex and age</t>
  </si>
  <si>
    <t>J_2 Healthcare Services Desired by Individuals whom Reported Having a Medical Problem that made them Consider Seeking Healthcare Services in the Last 3 Months Prior to Data Collection by Individuals with a disability</t>
  </si>
  <si>
    <t>J_2 Healthcare Services Desired by Individuals whom Reported Having a Medical Problem that made them Consider Seeking Healthcare Services in the Last 3 Months Prior to Data Collection by rural or urban</t>
  </si>
  <si>
    <t>J_2 Healthcare Services Desired by Individuals whom Reported Having a Medical Problem that made them Consider Seeking Healthcare Services in the Last 3 Months Prior to Data Collection by HH with member employed</t>
  </si>
  <si>
    <t>J_2 Healthcare Services Desired by Individuals whom Reported Having a Medical Problem that made them Consider Seeking Healthcare Services in the Last 3 Months Prior to Data Collection by type of drinking water sources</t>
  </si>
  <si>
    <t>J_2 Healthcare Services Desired by Individuals whom Reported Having a Medical Problem that made them Consider Seeking Healthcare Services in the Last 3 Months Prior to Data Collection by HHs with an elderly member</t>
  </si>
  <si>
    <t>J_2 Healthcare Services Desired by Individuals whom Reported Having a Medical Problem that made them Consider Seeking Healthcare Services in the Last 3 Months Prior to Data Collection by HHs with a member with a disability</t>
  </si>
  <si>
    <t>J_2 Healthcare Services Desired by Individuals whom Reported Having a Medical Problem that made them Consider Seeking Healthcare Services in the Last 3 Months Prior to Data Collection by HH proximity to frontline or Russian border</t>
  </si>
  <si>
    <t>J_2 Healthcare Services Desired by Individuals whom Reported Having a Medical Problem that made them Consider Seeking Healthcare Services in the Last 3 Months Prior to Data Collection by HHs with challenge to obtain money</t>
  </si>
  <si>
    <t>J_3 Healthcare Services Sought by Individuals whom Reported Having a Medical Problem that made them Consider Seeking Healthcare Services in the Last 3 Months Prior to Data Collection by overall</t>
  </si>
  <si>
    <t>J_3 Healthcare Services Sought by Individuals whom Reported Having a Medical Problem that made them Consider Seeking Healthcare Services in the Last 3 Months Prior to Data Collection by sex and age</t>
  </si>
  <si>
    <t>J_3 Healthcare Services Sought by Individuals whom Reported Having a Medical Problem that made them Consider Seeking Healthcare Services in the Last 3 Months Prior to Data Collection by Individuals with a disability</t>
  </si>
  <si>
    <t>J_3 Healthcare Services Sought by Individuals whom Reported Having a Medical Problem that made them Consider Seeking Healthcare Services in the Last 3 Months Prior to Data Collection by rural or urban</t>
  </si>
  <si>
    <t>J_3 Healthcare Services Sought by Individuals whom Reported Having a Medical Problem that made them Consider Seeking Healthcare Services in the Last 3 Months Prior to Data Collection by HH with member employed</t>
  </si>
  <si>
    <t>J_3 Healthcare Services Sought by Individuals whom Reported Having a Medical Problem that made them Consider Seeking Healthcare Services in the Last 3 Months Prior to Data Collection by HHs with an elderly member</t>
  </si>
  <si>
    <t>J_3 Healthcare Services Sought by Individuals whom Reported Having a Medical Problem that made them Consider Seeking Healthcare Services in the Last 3 Months Prior to Data Collection by HHs with a member with a disability</t>
  </si>
  <si>
    <t>J_3 Healthcare Services Sought by Individuals whom Reported Having a Medical Problem that made them Consider Seeking Healthcare Services in the Last 3 Months Prior to Data Collection by HH proximity to frontline or Russian border</t>
  </si>
  <si>
    <t>J_3 Healthcare Services Sought by Individuals whom Reported Having a Medical Problem that made them Consider Seeking Healthcare Services in the Last 3 Months Prior to Data Collection by HHs with challenge to obtain money</t>
  </si>
  <si>
    <t>J_9 Access to Healthcare Services Desired by Individuals whom Reported Having Sought Healthcare Services in the Last 3 Months Prior to Data Collection by overall</t>
  </si>
  <si>
    <t>J_9 Access to Healthcare Services Desired by Individuals whom Reported Having Sought Healthcare Services in the Last 3 Months Prior to Data Collection by sex and age</t>
  </si>
  <si>
    <t>J_9 Access to Healthcare Services Desired by Individuals whom Reported Having Sought Healthcare Services in the Last 3 Months Prior to Data Collection by Individuals with a disability</t>
  </si>
  <si>
    <t>J_9 Access to Healthcare Services Desired by Individuals whom Reported Having Sought Healthcare Services in the Last 3 Months Prior to Data Collection by rural or urban</t>
  </si>
  <si>
    <t>J_9 Access to Healthcare Services Desired by Individuals whom Reported Having Sought Healthcare Services in the Last 3 Months Prior to Data Collection by HH with member employed</t>
  </si>
  <si>
    <t>J_9 Access to Healthcare Services Desired by Individuals whom Reported Having Sought Healthcare Services in the Last 3 Months Prior to Data Collection by HHs with an elderly member</t>
  </si>
  <si>
    <t>J_9 Access to Healthcare Services Desired by Individuals whom Reported Having Sought Healthcare Services in the Last 3 Months Prior to Data Collection by HHs with a member with a disability</t>
  </si>
  <si>
    <t>J_9 Access to Healthcare Services Desired by Individuals whom Reported Having Sought Healthcare Services in the Last 3 Months Prior to Data Collection by HH proximity to frontline or Russian border</t>
  </si>
  <si>
    <t>J_9 Access to Healthcare Services Desired by Individuals whom Reported Having Sought Healthcare Services in the Last 3 Months Prior to Data Collection by HHs with challenge to obtain money</t>
  </si>
  <si>
    <t>J_10 Barriers Individuals Reportedly Experienced that Prevented Access to Healthcare Services Desired in the Last 3 Months Prior to Data Collection overall</t>
  </si>
  <si>
    <t>No barriers experienced</t>
  </si>
  <si>
    <t>No functional health facility nearby</t>
  </si>
  <si>
    <t>Specific service sought unavailable</t>
  </si>
  <si>
    <t>Long waiting time for the service</t>
  </si>
  <si>
    <t>Could not afford cost of consultation/service</t>
  </si>
  <si>
    <t>No means of transport</t>
  </si>
  <si>
    <t>Could not afford transportation to health facility</t>
  </si>
  <si>
    <t>Disability prevents access to health facility</t>
  </si>
  <si>
    <t>Insecurity at health facility</t>
  </si>
  <si>
    <t>Insecurity while travelling to health facility</t>
  </si>
  <si>
    <t>Not enough or no appropriately trained staff at health facility</t>
  </si>
  <si>
    <t>Fear or distrust of health workers, examination or treatment</t>
  </si>
  <si>
    <t>Fear of stigma or prejudice</t>
  </si>
  <si>
    <t>J_10 Barriers Individuals Reportedly Experienced that Prevented Access to Healthcare Services Desired in the Last 3 Months Prior to Data Collection by sex and age</t>
  </si>
  <si>
    <t>J_10 Barriers Individuals Reportedly Experienced that Prevented Access to Healthcare Services Desired in the Last 3 Months Prior to Data Collection by Individuals with a disability</t>
  </si>
  <si>
    <t>J_10 Barriers Individuals Reportedly Experienced that Prevented Access to Healthcare Services Desired in the Last 3 Months Prior to Data Collection by rural or urban</t>
  </si>
  <si>
    <t>J_10 Barriers Individuals Reportedly Experienced that Prevented Access to Healthcare Services Desired in the Last 3 Months Prior to Data Collection by HH with member employed</t>
  </si>
  <si>
    <t>J_10 Barriers Individuals Reportedly Experienced that Prevented Access to Healthcare Services Desired in the Last 3 Months Prior to Data Collection by HHs with an elderly member</t>
  </si>
  <si>
    <t>J_10 Barriers Individuals Reportedly Experienced that Prevented Access to Healthcare Services Desired in the Last 3 Months Prior to Data Collection by HHs with a member with a disability</t>
  </si>
  <si>
    <t>J_10 Barriers Individuals Reportedly Experienced that Prevented Access to Healthcare Services Desired in the Last 3 Months Prior to Data Collection by HH proximity to frontline or Russian border</t>
  </si>
  <si>
    <t>J_10 Barriers Individuals Reportedly Experienced that Prevented Access to Healthcare Services Desired in the Last 3 Months Prior to Data Collection by HHs with challenge to obtain money</t>
  </si>
  <si>
    <t>J_13 Individuals who Reportedly Sought Medicine in the Last 3 Months Prior to Data Collection overall</t>
  </si>
  <si>
    <t>J_13 Individuals who Reportedly Sought Medicine in the Last 3 Months Prior to Data Collection by sex and age</t>
  </si>
  <si>
    <t>J_13 Individuals who Reportedly Sought Medicine in the Last 3 Months Prior to Data Collection by Individuals with a disability</t>
  </si>
  <si>
    <t>J_13 Individuals who Reportedly Sought Medicine in the Last 3 Months Prior to Data Collection by rural or urban</t>
  </si>
  <si>
    <t>J_13 Individuals who Reportedly Sought Medicine in the Last 3 Months Prior to Data Collection by HH with member employed</t>
  </si>
  <si>
    <t>J_13 Households who Reportedly Sought Medicine in the Last 3 Months Prior to Data Collection by HHs with an elderly member</t>
  </si>
  <si>
    <t>J_13 Households who Reportedly Sought Medicine in the Last 3 Months Prior to Data Collection by HHs with a member with a disability</t>
  </si>
  <si>
    <t>J_13 Households who Reportedly Sought Medicine in the Last 3 Months Prior to Data Collection by HH proximity to frontline or Russian border</t>
  </si>
  <si>
    <t>J_13 Households who Reportedly Sought Medicine in the Last 3 Months Prior to Data Collection by HHs with challenge to obtain money</t>
  </si>
  <si>
    <t>J_15 Medicines Reportedly Sought by Individuals in the Last 3 Months Prior to Data Collection overall</t>
  </si>
  <si>
    <t>Pain or fever medicine</t>
  </si>
  <si>
    <t>Antibiotics</t>
  </si>
  <si>
    <t>Cancer medicines</t>
  </si>
  <si>
    <t>Lung medicine</t>
  </si>
  <si>
    <t>Heart medicine</t>
  </si>
  <si>
    <t>High blood pressure medicine</t>
  </si>
  <si>
    <t>Diabetes medicine</t>
  </si>
  <si>
    <t>Birth control</t>
  </si>
  <si>
    <t>Medicines for mental health conditions</t>
  </si>
  <si>
    <t>Medicines for anxiety</t>
  </si>
  <si>
    <t>Heartburn/stomach upset medications (antacids)</t>
  </si>
  <si>
    <t>Sleeping pills</t>
  </si>
  <si>
    <t>Sinus/cold medicines (decongestants)</t>
  </si>
  <si>
    <t>Allergy medicines (antihistamines)</t>
  </si>
  <si>
    <t>Treatments for constipation (laxatives)</t>
  </si>
  <si>
    <t>I do not know</t>
  </si>
  <si>
    <t>J_15 Medicines Reportedly Sought by Individuals in the Last 3 Months Prior to Data Collection by sex and age</t>
  </si>
  <si>
    <t>J_15 Medicines Reportedly Sought by Individuals in the Last 3 Months Prior to Data Collection by Individuals with a disability</t>
  </si>
  <si>
    <t>J_15 Medicines Reportedly Sought by Individuals in the Last 3 Months Prior to Data Collection by rural or urban</t>
  </si>
  <si>
    <t>J_15 Medicines Reportedly Sought by Individuals in the Last 3 Months Prior to Data Collection by HH with member employed</t>
  </si>
  <si>
    <t>J_15 Medicines Reportedly Sought by Individuals in the Last 3 Months Prior to Data Collection by type of drinking water sources</t>
  </si>
  <si>
    <t>J_15 Medicines Reportedly Sought by Individuals in the Last 3 Months Prior to Data Collection by HHs with an elderly member</t>
  </si>
  <si>
    <t>J_15 Medicines Reportedly Sought by Individuals in the Last 3 Months Prior to Data Collection by HHs with a member with a disability</t>
  </si>
  <si>
    <t>J_15 Medicines Reportedly Sought by Individuals in the Last 3 Months Prior to Data Collection by HH proximity to frontline or Russian border</t>
  </si>
  <si>
    <t>J_15 Medicines Reportedly Sought by Individuals in the Last 3 Months Prior to Data Collection by HHs with challenge to obtain money</t>
  </si>
  <si>
    <t>J_14 Barriers Individuals Reportedly Experienced when Seeking Medicines in the Last 3 Months Prior to Data Collection overall</t>
  </si>
  <si>
    <t>No medicines sought in the last 3 months</t>
  </si>
  <si>
    <t>No barriers experienced when seeking medicines in the last 3 months</t>
  </si>
  <si>
    <t>Specific medicine sought unavailable</t>
  </si>
  <si>
    <t>Could not afford cost of medication</t>
  </si>
  <si>
    <t>Could not afford transportation to pharmacy</t>
  </si>
  <si>
    <t>Disability prevents access to pharmacy</t>
  </si>
  <si>
    <t>No means of transport to reach the closest pharmacy</t>
  </si>
  <si>
    <t>Not safe/insecurity at the pharmacy</t>
  </si>
  <si>
    <t>Not safe/insecurity while travelling to pharmacy</t>
  </si>
  <si>
    <t>Could not take time off work / from caring for children</t>
  </si>
  <si>
    <t>Lack of medicine in pharmacy</t>
  </si>
  <si>
    <t>Lack of necessary documents</t>
  </si>
  <si>
    <t>Specifiy other reason</t>
  </si>
  <si>
    <t>J_14 Barriers Individuals Reportedly Experienced when Seeking Medicines in the Last 3 Months Prior to Data Collection by sex and age</t>
  </si>
  <si>
    <t>J_14 Barriers Individuals Reportedly Experienced when Seeking Medicines in the Last 3 Months Prior to Data Collection by HHs with a member with a disability</t>
  </si>
  <si>
    <t>J_14 Barriers Individuals Reportedly Experienced when Seeking Medicines in the Last 3 Months Prior to Data Collection by rural or urban</t>
  </si>
  <si>
    <t>J_14 Barriers Individuals Reportedly Experienced when Seeking Medicines in the Last 3 Months Prior to Data Collection by HH with member employed</t>
  </si>
  <si>
    <t>J_14 Barriers Individuals Reportedly Experienced when Seeking Medicines in the Last 3 Months Prior to Data Collection by HHs with an elderly member</t>
  </si>
  <si>
    <t>J_14 Barriers Individuals Reportedly Experienced when Seeking Medicines in the Last 3 Months Prior to Data Collection by HH proximity to frontline or Russian border</t>
  </si>
  <si>
    <t>J_14 Barriers Individuals Reportedly Experienced when Seeking Medicines in the Last 3 Months Prior to Data Collection by HHs with challenge to obtain money</t>
  </si>
  <si>
    <t>K_1 Households Reporting a Child Living Outside of their Home overall</t>
  </si>
  <si>
    <t>K_1 Households Reporting a Child Living Outside of their Home by HHs with a member with a disability</t>
  </si>
  <si>
    <t>K_1 Households Reporting a Child Living Outside of their Home by displacement status</t>
  </si>
  <si>
    <t>K_1 Households Reporting a Child Living Outside of their Home by HoHH sex</t>
  </si>
  <si>
    <t>K_1 Households Reporting a Child Living Outside of their Home by rural or urban</t>
  </si>
  <si>
    <t>K_1 Households Reporting a Child Living Outside of their Home by HHs with children</t>
  </si>
  <si>
    <t>K_1 Households Reporting a Child Living Outside of their Home by HHs that received assistance (Protection)</t>
  </si>
  <si>
    <t>assistance_received_protection</t>
  </si>
  <si>
    <t>HHs that did not receive protection assistance</t>
  </si>
  <si>
    <t>HHs that received protection assistance</t>
  </si>
  <si>
    <t>K_2 Number of Children Households Reported as Living Outside of their Home overall</t>
  </si>
  <si>
    <t>K_2 Number of Children Households Reported as Living Outside of their Home by HHs with a member with a disability</t>
  </si>
  <si>
    <t>K_2 Number of Children Households Reported as Living Outside of their Home by displacement status</t>
  </si>
  <si>
    <t>K_2 Number of Children Households Reported as Living Outside of their Home by HoHH sex</t>
  </si>
  <si>
    <t>K_2 Number of Children Households Reported as Living Outside of their Home by rural or urban</t>
  </si>
  <si>
    <t>K_2 Number of Children Households Reported as Living Outside of their Home by HHs with children</t>
  </si>
  <si>
    <t>K_3 Reasons Households Reported for Children Living Outside of their Home overall</t>
  </si>
  <si>
    <t>Married/with partner and left the house</t>
  </si>
  <si>
    <t>Left the house to seek employment</t>
  </si>
  <si>
    <t>Left the house to study</t>
  </si>
  <si>
    <t>Left the house to seek safety and security, protection</t>
  </si>
  <si>
    <t>Left the house to engage with the army or armed groups</t>
  </si>
  <si>
    <t>Kidnapped/abducted</t>
  </si>
  <si>
    <t>Missing (left and no news, forced transfers of children in institutions, )</t>
  </si>
  <si>
    <t>Arbitrarily detained</t>
  </si>
  <si>
    <t>Child in state care institutions</t>
  </si>
  <si>
    <t>Child with foster family or kinship family or friends</t>
  </si>
  <si>
    <t>K_3 Reasons Households Reported for Children Living Outside of their Home by HHs with a member with a disability</t>
  </si>
  <si>
    <t>K_3 Reasons Households Reported for Children Living Outside of their Home by displacement status</t>
  </si>
  <si>
    <t>K_3 Reasons Households Reported for Children Living Outside of their Home by HoHH sex</t>
  </si>
  <si>
    <t>K_3 Reasons Households Reported for Children Living Outside of their Home by rural or urban</t>
  </si>
  <si>
    <t>K_3 Reasons Households Reported for Children Living Outside of their Home by HHs with children</t>
  </si>
  <si>
    <t>K_4 Concerns in the Last 3 Months Prior to Data Collection that remain actual as of today that Households Reported in Relation to Property or Land overall</t>
  </si>
  <si>
    <t>Damaged housing</t>
  </si>
  <si>
    <t>Destroyed housing</t>
  </si>
  <si>
    <t>Damage or destroyed property other than residential real estate</t>
  </si>
  <si>
    <t>Looting of private property</t>
  </si>
  <si>
    <t>Land contaminated with mines/UXO</t>
  </si>
  <si>
    <t>Property is unlawfully occupied by others</t>
  </si>
  <si>
    <t>Housing and/or land is used for military purposes</t>
  </si>
  <si>
    <t>Property owners do not have an access to it due to the military restrictions, active hostilities, location in NGCA</t>
  </si>
  <si>
    <t>Lack of documents proving ownership of housing</t>
  </si>
  <si>
    <t>Mortgage payments for conflict-affected housing</t>
  </si>
  <si>
    <t>Rental disputes (landlord/tenant problems)</t>
  </si>
  <si>
    <t>Eviction from collective centers</t>
  </si>
  <si>
    <t>Inadequate living conditions in collective centers</t>
  </si>
  <si>
    <t>No social housing available in the area</t>
  </si>
  <si>
    <t>No affordable housing for rent available in the area</t>
  </si>
  <si>
    <t>Rules and processes on housing and land not clear or changing</t>
  </si>
  <si>
    <t>Eviction</t>
  </si>
  <si>
    <t>No concern</t>
  </si>
  <si>
    <t>K_4 Concerns in the Last 3 Months Prior to Data Collection that remain actual as of today that Households Reported in Relation to Property or Land by HHs with a member with a disability</t>
  </si>
  <si>
    <t>K_4 Concerns in the Last 3 Months Prior to Data Collection that remain actual as of today that Households Reported in Relation to Property or Land by displacement status</t>
  </si>
  <si>
    <t>K_4 Concerns in the Last 3 Months Prior to Data Collection that remain actual as of today that Households Reported in Relation to Property or Land by HoHH sex</t>
  </si>
  <si>
    <t>K_4 Concerns in the Last 3 Months Prior to Data Collection that remain actual as of today that Households Reported in Relation to Property or Land by rural or urban</t>
  </si>
  <si>
    <t>K_4 Concerns in the Last 3 Months Prior to Data Collection that remain actual as of today that Households Reported in Relation to Property or Land by HHs with children</t>
  </si>
  <si>
    <t>K_4 Concerns in the Last 3 Months Prior to Data Collection that remain actual as of today that Households Reported in Relation to Property or Land by HH proximity to frontline or Russian border</t>
  </si>
  <si>
    <t>K_6 Safety and Security Incidents Households Reported as Experienced in the Last 3 Months Prior to Data Collection overall</t>
  </si>
  <si>
    <t>Armed violence/Shelling</t>
  </si>
  <si>
    <t>Presence of landmines/UXO</t>
  </si>
  <si>
    <t>Attacks on Civilian Facilities (schools, hospitals)</t>
  </si>
  <si>
    <t>Insecure environment due to crime</t>
  </si>
  <si>
    <t>Harassment to disclose information</t>
  </si>
  <si>
    <t>Abduction or forced disappearance</t>
  </si>
  <si>
    <t>Presence of military actors</t>
  </si>
  <si>
    <t>Arbitrary arrest and/or detention</t>
  </si>
  <si>
    <t>Social tension in the community</t>
  </si>
  <si>
    <t>No safety and security concern</t>
  </si>
  <si>
    <t>K_6 Safety and Security Incidents Households Reported as Experienced in the Last 3 Months Prior to Data Collection by HHs with a member with a disability</t>
  </si>
  <si>
    <t>K_6 Safety and Security Incidents Households Reported as Experienced in the Last 3 Months Prior to Data Collection by displacement status</t>
  </si>
  <si>
    <t>K_6 Safety and Security Incidents Households Reported as Experienced in the Last 3 Months Prior to Data Collection by HoHH sex</t>
  </si>
  <si>
    <t>K_6 Safety and Security Incidents Households Reported as Experienced in the Last 3 Months Prior to Data Collection by rural or urban</t>
  </si>
  <si>
    <t>K_6 Safety and Security Incidents Households Reported as Experienced in the Last 3 Months Prior to Data Collection by HHs with children</t>
  </si>
  <si>
    <t>K_6 Safety and Security Incidents Households Reported as Experienced in the Last 3 Months Prior to Data Collection by HH proximity to frontline or Russian border</t>
  </si>
  <si>
    <t>K_7 Households Reportedly Trained or Briefed on Risks and Safe Behaviours towards Explosive Ordnance overall</t>
  </si>
  <si>
    <t>Yes adequate information</t>
  </si>
  <si>
    <t>Yes but more information required</t>
  </si>
  <si>
    <t>Prefer not to Answer</t>
  </si>
  <si>
    <t>K_7 Households Reportedly Trained or Briefed on Risks and Safe Behaviours towards Explosive Ordnance by HHs with a member with a disability</t>
  </si>
  <si>
    <t>K_7 Households Reportedly Trained or Briefed on Risks and Safe Behaviours towards Explosive Ordnance by displacement status</t>
  </si>
  <si>
    <t>K_7 Households Reportedly Trained or Briefed on Risks and Safe Behaviours towards Explosive Ordnance by HoHH sex</t>
  </si>
  <si>
    <t>K_7 Households Reportedly Trained or Briefed on Risks and Safe Behaviours towards Explosive Ordnance by rural or urban</t>
  </si>
  <si>
    <t>K_7 Households Reportedly Trained or Briefed on Risks and Safe Behaviours towards Explosive Ordnance by HHs with children</t>
  </si>
  <si>
    <t>K_7 Households Reportedly Trained or Briefed on Risks and Safe Behaviours towards Explosive Ordnance by HH proximity to frontline or Russian border</t>
  </si>
  <si>
    <t>K_8 Households Reporting Explosive Ordnance Currently Present in their Community overall</t>
  </si>
  <si>
    <t>Yes, I've seen them</t>
  </si>
  <si>
    <t>Yes, I believe they are present</t>
  </si>
  <si>
    <t>K_8 Households Reporting Explosive Ordnance Currently Present in their Community by HHs with a member with a disability</t>
  </si>
  <si>
    <t>K_8 Households Reporting Explosive Ordnance Currently Present in their Community by displacement status</t>
  </si>
  <si>
    <t>K_8 Households Reporting Explosive Ordnance Currently Present in their Community by HoHH sex</t>
  </si>
  <si>
    <t>K_8 Households Reporting Explosive Ordnance Currently Present in their Community by rural or urban</t>
  </si>
  <si>
    <t>K_8 Households Reporting Explosive Ordnance Currently Present in their Community by HHs with children</t>
  </si>
  <si>
    <t>K_8 Households Reporting Explosive Ordnance Currently Present in their Community by HH proximity to frontline or Russian border</t>
  </si>
  <si>
    <t>K_9 Households Reporting that Explosive Ordnance Affect the Livelihoods of People within their Community overall</t>
  </si>
  <si>
    <t>Don’t Know</t>
  </si>
  <si>
    <t>No - Presence of EO is not affecting anyone's livelihood in the community</t>
  </si>
  <si>
    <t>Yes - Presence of EO is affecting people's livelihood in the community</t>
  </si>
  <si>
    <t>K_9 Households Reporting that Explosive Ordnance Affect the Livelihoods of People within their Community by HHs with a member with a disability</t>
  </si>
  <si>
    <t>K_9 Households Reporting that Explosive Ordnance Affect the Livelihoods of People within their Community by displacement status</t>
  </si>
  <si>
    <t>K_9 Households Reporting that Explosive Ordnance Affect the Livelihoods of People within their Community by HoHH sex</t>
  </si>
  <si>
    <t>K_9 Households Reporting that Explosive Ordnance Affect the Livelihoods of People within their Community by rural or urban</t>
  </si>
  <si>
    <t>K_9 Households Reporting that Explosive Ordnance Affect the Livelihoods of People within their Community by HH proximity to frontline or Russian border</t>
  </si>
  <si>
    <t>K_9 Households Reporting that Explosive Ordnance Affect the Livelihoods of People within their Community by HHs with children</t>
  </si>
  <si>
    <t>K_10 Households Reporting Cases of Civilian Injured or Killed by Explosive Ordnance in their Community in the Last 6 Months Prior to Data Collection overall</t>
  </si>
  <si>
    <t>K_10 Households Reporting Cases of Civilian Injured or Killed by Explosive Ordnance in their Community in the Last 6 Months Prior to Data Collection by HHs with a member with a disability</t>
  </si>
  <si>
    <t>K_10 Households Reporting Cases of Civilian Injured or Killed by Explosive Ordnance in their Community in the Last 6 Months Prior to Data Collection by displacement status</t>
  </si>
  <si>
    <t>K_10 Households Reporting Cases of Civilian Injured or Killed by Explosive Ordnance in their Community in the Last 6 Months Prior to Data Collection by HoHH sex</t>
  </si>
  <si>
    <t>K_10 Households Reporting Cases of Civilian Injured or Killed by Explosive Ordnance in their Community in the Last 6 Months Prior to Data Collection by rural or urban</t>
  </si>
  <si>
    <t>K_10 Households Reporting Cases of Civilian Injured or Killed by Explosive Ordnance in their Community in the Last 6 Months Prior to Data Collection by HHs with children</t>
  </si>
  <si>
    <t>K_10 Households Reporting Cases of Civilian Injured or Killed by Explosive Ordnance in their Community in the Last 6 Months Prior to Data Collection by HH proximity to frontline or Russian border</t>
  </si>
  <si>
    <t>K_11 Main Safety and Security Concerns for Women in the Area Reported by Households overall</t>
  </si>
  <si>
    <t>Being sent abroad to find work</t>
  </si>
  <si>
    <t>Being sent abroad for protection</t>
  </si>
  <si>
    <t>Being injured/killed by an explosive hazard (including mine / UXO)</t>
  </si>
  <si>
    <t>Being kidnapped</t>
  </si>
  <si>
    <t>Being robbed</t>
  </si>
  <si>
    <t>Suffering from physical harassment or violence (not sexual)</t>
  </si>
  <si>
    <t>Suffering from sexual harassment or violence</t>
  </si>
  <si>
    <t>Suffering from verbal harassment</t>
  </si>
  <si>
    <t>Suffering from economic violence</t>
  </si>
  <si>
    <t>Discrimination or persecution (because of ethnicity, status, etc.)</t>
  </si>
  <si>
    <t>Being killed</t>
  </si>
  <si>
    <t>Being injured</t>
  </si>
  <si>
    <t>Being detained</t>
  </si>
  <si>
    <t>Being exploited (i.e. being engaged in harmful forms of labor for economic gain of the exploiter)</t>
  </si>
  <si>
    <t>K_11 Main Safety and Security Concerns for Women in the Area Reported by Households by HHs with a member with a disability</t>
  </si>
  <si>
    <t>K_11 Main Safety and Security Concerns for Women in the Area Reported by Households by displacement status</t>
  </si>
  <si>
    <t>K_11 Main Safety and Security Concerns for Women in the Area Reported by Households by HoHH sex</t>
  </si>
  <si>
    <t>K_11 Main Safety and Security Concerns for Women in the Area Reported by Households by rural or urban</t>
  </si>
  <si>
    <t>K_11 Main Safety and Security Concerns for Women in the Area Reported by Households by HHs with children</t>
  </si>
  <si>
    <t>K_11 Main Safety and Security Concerns for Women in the Area Reported by Households by HH proximity to frontline or Russian border</t>
  </si>
  <si>
    <t>K_13 Main Safety and Security Concerns for Children in the Area Reported by Households overall</t>
  </si>
  <si>
    <t>Being recruited by armed forces</t>
  </si>
  <si>
    <t>Being separated from their caregivers</t>
  </si>
  <si>
    <t>K_13 Main Safety and Security Concerns for Children in the Area Reported by Households by HHs with a member with a disability</t>
  </si>
  <si>
    <t>K_13 Main Safety and Security Concerns for Children in the Area Reported by Households by displacement status</t>
  </si>
  <si>
    <t>K_13 Main Safety and Security Concerns for Children in the Area Reported by Households by HoHH sex</t>
  </si>
  <si>
    <t>K_13 Main Safety and Security Concerns for Children in the Area Reported by Households by rural or urban</t>
  </si>
  <si>
    <t>K_13 Main Safety and Security Concerns for Children in the Area Reported by Households by HHs with children</t>
  </si>
  <si>
    <t>K_13 Main Safety and Security Concerns for Children in the Area Reported by Households by HH proximity to frontline or Russian border</t>
  </si>
  <si>
    <t>K_12 Households Reporting Need to Access Social Services Provided by the Government in the Last 3 Months Prior to Data Collection overall</t>
  </si>
  <si>
    <t>K_12 Households Reporting Need to Access Social Services Provided by the Government in the Last 3 Months Prior to Data Collection by HHs with a member with a disability</t>
  </si>
  <si>
    <t>K_12 Households Reporting Need to Access Social Services Provided by the Government in the Last 3 Months Prior to Data Collection by displacement status</t>
  </si>
  <si>
    <t>K_12 Households Reporting Need to Access Social Services Provided by the Government in the Last 3 Months Prior to Data Collection by HoHH sex</t>
  </si>
  <si>
    <t>K_12 Households Reporting Need to Access Social Services Provided by the Government in the Last 3 Months Prior to Data Collection by HH proximity to frontline or Russian border</t>
  </si>
  <si>
    <t>K_12 Households Reporting Need to Access Social Services Provided by the Government in the Last 3 Months Prior to Data Collection by rural or urban</t>
  </si>
  <si>
    <t>K_18 Legal Assistance Households Reported to Require overall</t>
  </si>
  <si>
    <t>No,</t>
  </si>
  <si>
    <t>Don’t know,</t>
  </si>
  <si>
    <t>Yes - to obtain identity documents</t>
  </si>
  <si>
    <t>Yes - to obtain civil documents (birth, death, marriage, divorce)</t>
  </si>
  <si>
    <t>Yes - to obtain property documentation</t>
  </si>
  <si>
    <t>Yes - to apply for compensation for damaged or destroyed property</t>
  </si>
  <si>
    <t>Yes - to access pensions</t>
  </si>
  <si>
    <t>Yes - to access social benefits</t>
  </si>
  <si>
    <t>Yes - to apply for subsidies</t>
  </si>
  <si>
    <t>Yes - other reason (please specify)</t>
  </si>
  <si>
    <t>K_18 Legal Assistance Households Reported to Require by HHs with a member with a disability</t>
  </si>
  <si>
    <t>K_18 Legal Assistance Households Reported to Require by displacement status</t>
  </si>
  <si>
    <t>K_18 Legal Assistance Households Reported to Require by HoHH sex</t>
  </si>
  <si>
    <t>K_18 Legal Assistance Households Reported to Require by rural or urban</t>
  </si>
  <si>
    <t>K_18 Legal Assistance Households Reported to Require by HH proximity to frontline or Russian border</t>
  </si>
  <si>
    <t>K_18 Legal Assistance Households Reported to Require by HHs with only elderly members</t>
  </si>
  <si>
    <t>K_14 GBV Response Services Households Reported being Aware as Available in their Community overall</t>
  </si>
  <si>
    <t>Violence against women hotline</t>
  </si>
  <si>
    <t>Survivors of violence against women's relief center</t>
  </si>
  <si>
    <t>Psychosocial support for women and girls (how to seek help when under distress?)</t>
  </si>
  <si>
    <t>Psychosocial support for men and boys</t>
  </si>
  <si>
    <t>Recreational activities organized for women and girls at Women and Girls Safe Spaces</t>
  </si>
  <si>
    <t>Reproductive health services for women and girls</t>
  </si>
  <si>
    <t>Services offered for women and girls, men and boys if they experience some form of violence (sexual, physical, economic)</t>
  </si>
  <si>
    <t>Legal Services</t>
  </si>
  <si>
    <t>None of these services are available</t>
  </si>
  <si>
    <t>K_14 GBV Response Services Households Reported being Aware as Available in their Community by HHs with a member with a disability</t>
  </si>
  <si>
    <t>K_14 GBV Response Services Households Reported being Aware as Available in their Community by displacement status</t>
  </si>
  <si>
    <t>K_14 GBV Response Services Households Reported being Aware as Available in their Community by HoHH sex</t>
  </si>
  <si>
    <t>K_14 GBV Response Services Households Reported being Aware as Available in their Community by rural or urban</t>
  </si>
  <si>
    <t>K_14 GBV Response Services Households Reported being Aware as Available in their Community by HHs with children</t>
  </si>
  <si>
    <t>K_15 Barriers Households Reported in Accessing GBV Response Services overall</t>
  </si>
  <si>
    <t>No barriers</t>
  </si>
  <si>
    <t>Don’t know how to access these services</t>
  </si>
  <si>
    <t>Women and girls are too busy with household chores to access these services</t>
  </si>
  <si>
    <t>Travel to these services is difficult</t>
  </si>
  <si>
    <t>Travel to these services is unsafe</t>
  </si>
  <si>
    <t>Women and girls feel discriminated against (social stigma) while accessing these services</t>
  </si>
  <si>
    <t>There are financial constraints to access these services</t>
  </si>
  <si>
    <t>Parents do not allow girls to access these services</t>
  </si>
  <si>
    <t>These services are too busy, with long waiting times</t>
  </si>
  <si>
    <t>The quality of services is not good</t>
  </si>
  <si>
    <t>Services are not always functional</t>
  </si>
  <si>
    <t>K_15 Barriers Households Reported in Accessing GBV Response Services by HHs with a member with a disability</t>
  </si>
  <si>
    <t>K_15 Barriers Households Reported in Accessing GBV Response Services by displacement status</t>
  </si>
  <si>
    <t>K_15 Barriers Households Reported in Accessing GBV Response Services by HoHH sex</t>
  </si>
  <si>
    <t>K_15 Barriers Households Reported in Accessing GBV Response Services by rural or urban</t>
  </si>
  <si>
    <t>K_15 Barriers Households Reported in Accessing GBV Response Services by HH sex composition</t>
  </si>
  <si>
    <t>hh_composition_sex</t>
  </si>
  <si>
    <t>HHs with Female members only</t>
  </si>
  <si>
    <t>HHs with Male and Female members</t>
  </si>
  <si>
    <t>HHs with Male members only</t>
  </si>
  <si>
    <t>K_16 Child Well-being Services Households Reporting being Aware as Available in their Community overall</t>
  </si>
  <si>
    <t>Mental health and psychosocial support services for girls and boys</t>
  </si>
  <si>
    <t>Social services for girls and boys</t>
  </si>
  <si>
    <t>supportive group activities</t>
  </si>
  <si>
    <t>None of these services are available here</t>
  </si>
  <si>
    <t>K_16 Child Well-being Services Households Reporting being Aware as Available in their Community by HHs with a member with a disability</t>
  </si>
  <si>
    <t>K_16 Child Well-being Services Households Reporting being Aware as Available in their Community by displacement status</t>
  </si>
  <si>
    <t>K_16 Child Well-being Services Households Reporting being Aware as Available in their Community by HoHH sex</t>
  </si>
  <si>
    <t>K_16 Child Well-being Services Households Reporting being Aware as Available in their Community by rural or urban</t>
  </si>
  <si>
    <t>K_16 Child Well-being Services Households Reporting being Aware as Available in their Community by HHs with children</t>
  </si>
  <si>
    <t>K_16 Child Well-being Services Households Reporting being Aware as Available in their Community by HHs with boys and or or girls</t>
  </si>
  <si>
    <t>hh_children_composition</t>
  </si>
  <si>
    <t>HHs with boys</t>
  </si>
  <si>
    <t>HHs with girls</t>
  </si>
  <si>
    <t>HHs with girls and boys</t>
  </si>
  <si>
    <t>HHs without children</t>
  </si>
  <si>
    <t>K_17 Barriers Households Reported in Accessing Child Well-being Services overall</t>
  </si>
  <si>
    <t>Parents do not allow them</t>
  </si>
  <si>
    <t>They are busy with HH chore,</t>
  </si>
  <si>
    <t>Social workers from State institutions do not visit settlement often</t>
  </si>
  <si>
    <t>Difficulties to reach</t>
  </si>
  <si>
    <t>Always too many people/too long to wait</t>
  </si>
  <si>
    <t>Services are not accessible to children with disabilities/ UASCs</t>
  </si>
  <si>
    <t>Feel discriminated against</t>
  </si>
  <si>
    <t>Safety and security concerns (on the road)</t>
  </si>
  <si>
    <t>Safety and security concerns (fear of reprisals)</t>
  </si>
  <si>
    <t>Safety and privacy concern (do not trust the staff or trust that my information will be kept private)</t>
  </si>
  <si>
    <t>Financial constraints</t>
  </si>
  <si>
    <t>Lack of civil documentation to access these service</t>
  </si>
  <si>
    <t>Distance (lack of transportation/ cannot afford transportation)</t>
  </si>
  <si>
    <t>Services are not always functional (opened half of the day or some days a week)</t>
  </si>
  <si>
    <t>Lack of information on CP services (uncertain of what type of help is available and offered)</t>
  </si>
  <si>
    <t>K_17 Barriers Households Reported in Accessing Child Well-being Services by HHs with a member with a disability</t>
  </si>
  <si>
    <t>K_17 Barriers Households Reported in Accessing Child Well-being Services by displacement status</t>
  </si>
  <si>
    <t>K_17 Barriers Households Reported in Accessing Child Well-being Services by HoHH sex</t>
  </si>
  <si>
    <t>K_17 Barriers Households Reported in Accessing Child Well-being Services by rural or urban</t>
  </si>
  <si>
    <t>K_17 Barriers Households Reported in Accessing Child Well-being Services by HHs with children</t>
  </si>
  <si>
    <t>K_17 Barriers Households Reported in Accessing Child Well-being Services by HHs with boys and or or girls</t>
  </si>
  <si>
    <t>L_1 Top Five Priority Needs Reported by Households overall</t>
  </si>
  <si>
    <t>Drinking water</t>
  </si>
  <si>
    <t>Food</t>
  </si>
  <si>
    <t>Baby products and/or baby food</t>
  </si>
  <si>
    <t>Provide accommodation</t>
  </si>
  <si>
    <t>Rent support</t>
  </si>
  <si>
    <t>Repair of inadequate/damaged accommodation</t>
  </si>
  <si>
    <t>Healthcare</t>
  </si>
  <si>
    <t>Provision of medicines</t>
  </si>
  <si>
    <t>Hygiene NFIs</t>
  </si>
  <si>
    <t>Wash facilities (repair / installment of bathing, shower, toilet including hot water)</t>
  </si>
  <si>
    <t>Cooking facilities</t>
  </si>
  <si>
    <t>Clothing (including winter clothes, coats, boots)</t>
  </si>
  <si>
    <t>Bedding / blankets</t>
  </si>
  <si>
    <t>Fuel for heating</t>
  </si>
  <si>
    <t>Livelihoods support / employment</t>
  </si>
  <si>
    <t>Financial assistance to repay debt</t>
  </si>
  <si>
    <t>Education for children under 18</t>
  </si>
  <si>
    <t>Psychosocial support</t>
  </si>
  <si>
    <t>Support for survivors of GBV</t>
  </si>
  <si>
    <t>Legal services</t>
  </si>
  <si>
    <t>Assistive devices for persons with disabilities</t>
  </si>
  <si>
    <t>Home based care for older people or people with limited mobility</t>
  </si>
  <si>
    <t>Explosive Ordnance Risk Education to prevent mine injuries</t>
  </si>
  <si>
    <t>Child care services</t>
  </si>
  <si>
    <t>Assistance for evacuation</t>
  </si>
  <si>
    <t>L_1 Top Five Priority Needs Reported by Households by HHs with a member with a disability</t>
  </si>
  <si>
    <t>L_1 Top Five Priority Needs Reported by Households by displacement status</t>
  </si>
  <si>
    <t>L_1 Top Five Priority Needs Reported by Households by HoHH sex</t>
  </si>
  <si>
    <t>L_1 Top Five Priority Needs Reported by Households by rural or urban</t>
  </si>
  <si>
    <t>L_1 Top Five Priority Needs Reported by Households by assistance received</t>
  </si>
  <si>
    <t>L_1 Top Five Priority Needs Reported by Households by HHs with challenge to obtain money</t>
  </si>
  <si>
    <t>L_1 Top Five Priority Needs Reported by Households by HH proximity to frontline or Russian border</t>
  </si>
  <si>
    <t>L_1 Top Five Priority Needs Reported by Households by HH that adopted or not adopted livelihood coping strategies</t>
  </si>
  <si>
    <t>livelihood_coping_strategy</t>
  </si>
  <si>
    <t>HHs using at least one 'crisis' strategy</t>
  </si>
  <si>
    <t>HHs using at least one 'emergency' strategy</t>
  </si>
  <si>
    <t>HHs using at least one 'stress' strategy</t>
  </si>
  <si>
    <t>HHs using no coping strategies</t>
  </si>
  <si>
    <t>L_2 Preferences to Receive Future Humanitarian Assistance Reported by Households overall</t>
  </si>
  <si>
    <t>Do not want to receive humanitarian assistance</t>
  </si>
  <si>
    <t>In-kind</t>
  </si>
  <si>
    <t>Cash assistance (for basic needs)</t>
  </si>
  <si>
    <t>Services</t>
  </si>
  <si>
    <t>L_2 Preferences to Receive Future Humanitarian Assistance Reported by Households by HHs with a member with a disability</t>
  </si>
  <si>
    <t>L_2 Preferences to Receive Future Humanitarian Assistance Reported by Households by displacement status</t>
  </si>
  <si>
    <t>L_2 Preferences to Receive Future Humanitarian Assistance Reported by Households by HoHH sex</t>
  </si>
  <si>
    <t>L_2 Preferences to Receive Future Humanitarian Assistance Reported by Households by rural or urban</t>
  </si>
  <si>
    <t>L_2 Preferences to Receive Future Humanitarian Assistance Reported by Households by assistance received</t>
  </si>
  <si>
    <t>L_2 Preferences to Receive Future Humanitarian Assistance Reported by Households by HHs with challenge to obtain money</t>
  </si>
  <si>
    <t>L_2 Preferences to Receive Future Humanitarian Assistance Reported by Households by HH proximity to frontline or Russian border</t>
  </si>
  <si>
    <t>L_4 Households Reported to have Received Humanitarian Assistance in the Last 3 Months Prior to Data Collection overall</t>
  </si>
  <si>
    <t>L_4 Households Reported to have Received Humanitarian Assistance in the Last 3 Months Prior to Data Collection by HHs with a member with a disability</t>
  </si>
  <si>
    <t>L_4 Households Reported to have Received Humanitarian Assistance in the Last 3 Months Prior to Data Collection by displacement status</t>
  </si>
  <si>
    <t>L_4 Households Reported to have Received Humanitarian Assistance in the Last 3 Months Prior to Data Collection by HoHH sex</t>
  </si>
  <si>
    <t>L_4 Households Reported to have Received Humanitarian Assistance in the Last 3 Months Prior to Data Collection by rural or urban</t>
  </si>
  <si>
    <t>L_4 Households Reported to have Received Humanitarian Assistance in the Last 3 Months Prior to Data Collection by HH proximity to frontline or Russian border</t>
  </si>
  <si>
    <t>L_7 Barriers Households Faced in Accessing Humanitarian Assistance in the Last 3 Months Prior to Data Collection overall</t>
  </si>
  <si>
    <t>Yes, do not have enough information on how to register for assistance</t>
  </si>
  <si>
    <t>Yes, do not have enough information on where humanitarian assistance is provided</t>
  </si>
  <si>
    <t>Yes, do not have necessary documents</t>
  </si>
  <si>
    <t>Yes, registration process is too long/complicated</t>
  </si>
  <si>
    <t>Yes, we were considered as not eligible</t>
  </si>
  <si>
    <t>Yes, did not have information on how it would be provided</t>
  </si>
  <si>
    <t>No, no barriers</t>
  </si>
  <si>
    <t>L_7 Barriers Households Faced in Accessing Humanitarian Assistance in the Last 3 Months Prior to Data Collection by HHs with a member with a disability</t>
  </si>
  <si>
    <t>L_7 Barriers Households Faced in Accessing Humanitarian Assistance in the Last 3 Months Prior to Data Collection by displacement status</t>
  </si>
  <si>
    <t>L_7 Barriers Households Faced in Accessing Humanitarian Assistance in the Last 3 Months Prior to Data Collection by HoHH sex</t>
  </si>
  <si>
    <t>L_7 Barriers Households Faced in Accessing Humanitarian Assistance in the Last 3 Months Prior to Data Collection by rural or urban</t>
  </si>
  <si>
    <t>L_7 Barriers Households Faced in Accessing Humanitarian Assistance in the Last 3 Months Prior to Data Collection by HH proximity to frontline or Russian border</t>
  </si>
  <si>
    <t>L_8 Top Three Types of Information Households Would Like to Receive from Humanitarian Assistance Providers overall</t>
  </si>
  <si>
    <t>News on what is happening in other parts of Ukraine</t>
  </si>
  <si>
    <t>News on what is happening in area of origin</t>
  </si>
  <si>
    <t>Finding missing people</t>
  </si>
  <si>
    <t>The security situation here</t>
  </si>
  <si>
    <t>How to register for aid from the Ukraine government or humanitarian agencies</t>
  </si>
  <si>
    <t>How to stay safe in the event of missile / rocket / artillery / nuclear attacks</t>
  </si>
  <si>
    <t>How to get food assistance (food items)</t>
  </si>
  <si>
    <t>How to get shelter assistance (repairs, NFIs, winterization kits)</t>
  </si>
  <si>
    <t>How to get health assistance (cash for healthcare, medicine, treatments, services)</t>
  </si>
  <si>
    <t>How to ge WASH assistance (personal hygiene items, water, cleaning, shelter repairs)</t>
  </si>
  <si>
    <t>How to get protection assistance</t>
  </si>
  <si>
    <t>How to get cash assistance (multi-purpose cash for basic needs, including food)</t>
  </si>
  <si>
    <t>How to access Government's social benefits and assistance</t>
  </si>
  <si>
    <t>Info about relocation or evacuation</t>
  </si>
  <si>
    <t>Info about the aid agencies they are receiving aid from</t>
  </si>
  <si>
    <t>How to complain about the humanitarian assistance you are receiving</t>
  </si>
  <si>
    <t>How to complain about bad behaviour of aid workers</t>
  </si>
  <si>
    <t>L_8 Top Three Types of Information Households Would Like to Receive from Humanitarian Assistance Providers by HHs with a member with a disability</t>
  </si>
  <si>
    <t>L_8 Top Three Types of Information Households Would Like to Receive from Humanitarian Assistance Providers by displacement status</t>
  </si>
  <si>
    <t>L_8 Top Three Types of Information Households Would Like to Receive from Humanitarian Assistance Providers by HoHH sex</t>
  </si>
  <si>
    <t>L_8 Top Three Types of Information Households Would Like to Receive from Humanitarian Assistance Providers by rural or urban</t>
  </si>
  <si>
    <t>L_8 Top Three Types of Information Households Would Like to Receive from Humanitarian Assistance Providers by HH proximity to frontline or Russian border</t>
  </si>
  <si>
    <t>L_8 Top Three Types of Information Households Would Like to Receive from Humanitarian Assistance Providersby HH with or without children</t>
  </si>
  <si>
    <t>L_8 Top Three Types of Information Households Would Like to Receive from Humanitarian Assistance Providersby HH that adopted or not adopted livelihood coping strategies</t>
  </si>
  <si>
    <t>L_9 Preferences Households Reported for Communication with Humanitarian Assistance Providers overall</t>
  </si>
  <si>
    <t>Face to face (at home) with aid worker</t>
  </si>
  <si>
    <t>Face to face (in office/other venue) with aid worker</t>
  </si>
  <si>
    <t>Face to face with member of the community</t>
  </si>
  <si>
    <t>Phone call</t>
  </si>
  <si>
    <t>SMS</t>
  </si>
  <si>
    <t>Messenger apps (WhatsApp, Telegram, Viber, Signal)</t>
  </si>
  <si>
    <t>Social media (Instagram, Facebook, Twitter)</t>
  </si>
  <si>
    <t>Letter</t>
  </si>
  <si>
    <t>TV</t>
  </si>
  <si>
    <t>Newspaper, magazines</t>
  </si>
  <si>
    <t>Billboard, posters</t>
  </si>
  <si>
    <t>Leaflets</t>
  </si>
  <si>
    <t>E-Mail</t>
  </si>
  <si>
    <t>Complaint &amp; Suggestion Box</t>
  </si>
  <si>
    <t>Do not want to provide feedback</t>
  </si>
  <si>
    <t>L_9 Preferences Households Reported for Communication with Humanitarian Assistance Providers by HHs with a member with a disability</t>
  </si>
  <si>
    <t>L_9 Preferences Households Reported for Communication with Humanitarian Assistance Providers by displacement status</t>
  </si>
  <si>
    <t>L_9 Preferences Households Reported for Communication with Humanitarian Assistance Providers by HoHH sex</t>
  </si>
  <si>
    <t>L_9 Preferences Households Reported for Communication with Humanitarian Assistance Providers by rural or urban</t>
  </si>
  <si>
    <t>L_9 Preferences Households Reported for Communication with Humanitarian Assistance Providers by HH proximity to frontline or Russian border</t>
  </si>
  <si>
    <t>L_4 Household Reportedly Receiving Assistance by Types of Assistance in the Last 3 Months by overall</t>
  </si>
  <si>
    <t>num_samples_L_4_1_assistance_received_food</t>
  </si>
  <si>
    <t>No_L_4_1_assistance_received_food</t>
  </si>
  <si>
    <t>Yes_L_4_1_assistance_received_food</t>
  </si>
  <si>
    <t>Prefer not to answer_L_4_1_assistance_received_food</t>
  </si>
  <si>
    <t>num_samples_L_4_2_assistance_received_shelter</t>
  </si>
  <si>
    <t>No_L_4_2_assistance_received_shelter</t>
  </si>
  <si>
    <t>Yes_L_4_2_assistance_received_shelter</t>
  </si>
  <si>
    <t>Dont know_L_4_2_assistance_received_shelter</t>
  </si>
  <si>
    <t>Prefer not to answer_L_4_2_assistance_received_shelter</t>
  </si>
  <si>
    <t>num_samples_L_4_3_assistance_received_health</t>
  </si>
  <si>
    <t>No_L_4_3_assistance_received_health</t>
  </si>
  <si>
    <t>Yes_L_4_3_assistance_received_health</t>
  </si>
  <si>
    <t>Dont know_L_4_3_assistance_received_health</t>
  </si>
  <si>
    <t>Prefer not to answer_L_4_3_assistance_received_health</t>
  </si>
  <si>
    <t>num_samples_L_4_4_assistance_received_wash</t>
  </si>
  <si>
    <t>No_L_4_4_assistance_received_wash</t>
  </si>
  <si>
    <t>Yes_L_4_4_assistance_received_wash</t>
  </si>
  <si>
    <t>Dont know_L_4_4_assistance_received_wash</t>
  </si>
  <si>
    <t>Prefer not to answer_L_4_4_assistance_received_wash</t>
  </si>
  <si>
    <t>num_samples_L_4_5_assistance_received_protection</t>
  </si>
  <si>
    <t>No_L_4_5_assistance_received_protection</t>
  </si>
  <si>
    <t>Yes_L_4_5_assistance_received_protection</t>
  </si>
  <si>
    <t>Dont know_L_4_5_assistance_received_protection</t>
  </si>
  <si>
    <t>Prefer not to answer_L_4_5_assistance_received_protection</t>
  </si>
  <si>
    <t>num_samples_L_4_6_assistance_received_cash</t>
  </si>
  <si>
    <t>No_L_4_6_assistance_received_cash</t>
  </si>
  <si>
    <t>Yes_L_4_6_assistance_received_cash</t>
  </si>
  <si>
    <t>Dont know_L_4_6_assistance_received_cash</t>
  </si>
  <si>
    <t>Prefer not to answer_L_4_6_assistance_received_cash</t>
  </si>
  <si>
    <t>num_samples_L_4_7_assistance_received_other_assistance</t>
  </si>
  <si>
    <t>No_L_4_7_assistance_received_other_assistance</t>
  </si>
  <si>
    <t>Dont know_L_4_7_assistance_received_other_assistance</t>
  </si>
  <si>
    <t>Yes_L_4_7_assistance_received_other_assistance</t>
  </si>
  <si>
    <t>Prefer not to answer_L_4_7_assistance_received_other_assistance</t>
  </si>
  <si>
    <t>L_4 Household Reportedly Receiving Assistance by Types of Assistance in the Last 3 Months by HoHH sex</t>
  </si>
  <si>
    <t>L_4 Household Reportedly Receiving Assistance by Types of Assistance in the Last 3 Months by rural or urban</t>
  </si>
  <si>
    <t>L_4 Household Reportedly Receiving Assistance by Types of Assistance in the Last 3 Months by displacement status</t>
  </si>
  <si>
    <t>L_5 Household Satisfaction with the Food Assistance Received in the Last 3 Months by overall</t>
  </si>
  <si>
    <t>Neither satisfied nor dissatisfied</t>
  </si>
  <si>
    <t>Satisfied</t>
  </si>
  <si>
    <t>Very satisfied</t>
  </si>
  <si>
    <t>Dissatisfied</t>
  </si>
  <si>
    <t>Very Dissatisfied</t>
  </si>
  <si>
    <t>L_5 Household Satisfaction with the Shelter Assistance Received in the Last 3 Months by overall</t>
  </si>
  <si>
    <t>L_5 Household Satisfaction with the Health Assistance Received in the Last 3 Months by overall</t>
  </si>
  <si>
    <t>L_5 Household Satisfaction with the WASH Assistance Received in the Last 3 Monthsby overall</t>
  </si>
  <si>
    <t>L_5 Household Satisfaction with the Protection Assistance Received in the Last 3 Months by overall</t>
  </si>
  <si>
    <t>L_5 Household Satisfaction with the Cash Assistance Received in the Last 3 Months by overall</t>
  </si>
  <si>
    <t>L_5 Household Satisfaction with the Other Assistance Received in the Last 3 Months by overall</t>
  </si>
  <si>
    <t>L_5 Household Satisfaction with the Food Assistance Received in the Last 3 Months by head of household sex</t>
  </si>
  <si>
    <t>L_5 Household Satisfaction with the Shelter Assistance Received in the Last 3 Months by head of household sex</t>
  </si>
  <si>
    <t>L_5 Household Satisfaction with the Health Assistance Received in the Last 3 Months by head of household sex</t>
  </si>
  <si>
    <t>L_5 Household Satisfaction with the WASH Assistance Received in the Last 3 Months by head of household sex</t>
  </si>
  <si>
    <t>L_5 Household Satisfaction with the Protection Assistance Received in the Last 3 Months by head of household sex</t>
  </si>
  <si>
    <t>L_5 Household Satisfaction with the Cash Assistance Received in the Last 3 Months by head of household sex</t>
  </si>
  <si>
    <t>L_5 Household Satisfaction with the Other Assistance Received in the Last 3 Months by head of household sex</t>
  </si>
  <si>
    <t>L_5 Household Satisfaction with the Food Assistance Received in the Last 3 Months by rural or urban</t>
  </si>
  <si>
    <t>L_5 Household Satisfaction with the Shelter Assistance Received in the Last 3 Months by rural or urban</t>
  </si>
  <si>
    <t>L_5 Household Satisfaction with the Health Assistance Received in the Last 3 Months by rural or urban</t>
  </si>
  <si>
    <t>L_5 Household Satisfaction with the WASH Assistance Received in the Last 3 Months by rural or urban</t>
  </si>
  <si>
    <t>L_5 Household Satisfaction with the Protection Assistance Received in the Last 3 Months by rural or urban</t>
  </si>
  <si>
    <t>L_5 Household Satisfaction with the Cash Assistance Received in the Last 3 Months by rural or urban</t>
  </si>
  <si>
    <t>L_5 Household Satisfaction with the Other Assistance Received in the Last 3 Months by rural or urban</t>
  </si>
  <si>
    <t>L_5 Household Satisfaction with the Food Assistance Received in the Last 3 Months by displacement status</t>
  </si>
  <si>
    <t>L_5 Household Satisfaction with the Shelter Assistance Received in the Last 3 Months by displacement status</t>
  </si>
  <si>
    <t>L_5 Household Satisfaction with the Health Assistance Received in the Last 3 Months by displacement status</t>
  </si>
  <si>
    <t>L_5 Household Satisfaction with the WASH Assistance Received in the Last 3 Months by displacement status</t>
  </si>
  <si>
    <t>L_5 Household Satisfaction with the Protection Assistance Received in the Last 3 Months by displacement status</t>
  </si>
  <si>
    <t>L_5 Household Satisfaction with the Cash Assistance Received in the Last 3 Months by displacement status</t>
  </si>
  <si>
    <t>L_5 Household Satisfaction with the Other Assistance Received in the Last 3 Months by displacement status</t>
  </si>
  <si>
    <t>L_6 Reasons for Household Satisfaction with the Food Assistance Received in the Last 3 Months by overall</t>
  </si>
  <si>
    <t>Quality was not good enough</t>
  </si>
  <si>
    <t>Quantity was not good enough</t>
  </si>
  <si>
    <t>Inconsistent / irregular assistance</t>
  </si>
  <si>
    <t>Did not receive the aid on time/ Delays in delivery of aid</t>
  </si>
  <si>
    <t>Type of assistance was not appropriate/needed</t>
  </si>
  <si>
    <t>Assistance was not delivered in a fair, impartial manner</t>
  </si>
  <si>
    <t>Inappropriate behavior of aid workers</t>
  </si>
  <si>
    <t>Difficult to access distribution point (long way, expensive transport)</t>
  </si>
  <si>
    <t>Difficult to access aid for certain population groups (elderly, persons with disabilities, women, children, pregnant and lactacting women, LGBTQ, chronically ill)</t>
  </si>
  <si>
    <t>The communication about time, location, and requirement of assistance was unclear</t>
  </si>
  <si>
    <t>L_6 Reasons for Household Satisfaction with the Shelter Assistance Received in the Last 3 Months by overall</t>
  </si>
  <si>
    <t>L_6 Reasons for Household Satisfaction with the Health Assistance Received in the Last 3 Months by overall</t>
  </si>
  <si>
    <t>L_6 Reasons for Household Satisfaction with the WASH Assistance Received in the Last 3 Monthsby overall</t>
  </si>
  <si>
    <t>L_6 Reasons for Household Satisfaction with the Protection Assistance Received in the Last 3 Months by overall</t>
  </si>
  <si>
    <t>L_6 Reasons for Household Satisfaction with the Cash Assistance Received in the Last 3 Months by overall</t>
  </si>
  <si>
    <t>L_6 Reasons for Household Satisfaction with the Other Assistance Received in the Last 3 Months by overall</t>
  </si>
  <si>
    <t>L_6 Reasons for Household Satisfaction with the Food Assistance Received in the Last 3 Months by head of household sex</t>
  </si>
  <si>
    <t>L_6 Reasons for Household Satisfaction with the Shelter Assistance Received in the Last 3 Months by head of household sex</t>
  </si>
  <si>
    <t>L_6 Reasons for Household Satisfaction with the Health Assistance Received in the Last 3 Months by head of household sex</t>
  </si>
  <si>
    <t>L_6 Reasons for Household Satisfaction with the WASH Assistance Received in the Last 3 Months by head of household sex</t>
  </si>
  <si>
    <t>L_6 Reasons for Household Satisfaction with the Protection Assistance Received in the Last 3 Months by head of household sex</t>
  </si>
  <si>
    <t>L_6 Reasons for Household Satisfaction with the Cash Assistance Received in the Last 3 Months by head of household sex</t>
  </si>
  <si>
    <t>L_6 Reasons for Household Satisfaction with the Other Assistance Received in the Last 3 Months by head of household sex</t>
  </si>
  <si>
    <t>L_6 Reasons for Household Satisfaction with the Food Assistance Received in the Last 3 Months by rural or urban</t>
  </si>
  <si>
    <t>L_6 Reasons for Household Satisfaction with the Shelter Assistance Received in the Last 3 Months by rural or urban</t>
  </si>
  <si>
    <t>L_6 Reasons for Household Satisfaction with the Health Assistance Received in the Last 3 Months by rural or urban</t>
  </si>
  <si>
    <t>L_6 Reasons for Household Satisfaction with the WASH Assistance Received in the Last 3 Months by rural or urban</t>
  </si>
  <si>
    <t>L_6 Reasons for Household Satisfaction with the Protection Assistance Received in the Last 3 Months by rural or urban</t>
  </si>
  <si>
    <t>L_6 Reasons for Household Satisfaction with the Cash Assistance Received in the Last 3 Months by rural or urban</t>
  </si>
  <si>
    <t>L_6 Reasons for Household Satisfaction with the Other Assistance Received in the Last 3 Months by rural or urban</t>
  </si>
  <si>
    <t>L_6 Reasons for Household Satisfaction with the Food Assistance Received in the Last 3 Months by displacement status</t>
  </si>
  <si>
    <t>L_6 Reasons for Household Satisfaction with the Shelter Assistance Received in the Last 3 Months by displacement status</t>
  </si>
  <si>
    <t>L_6 Reasons for Household Satisfaction with the Health Assistance Received in the Last 3 Months by displacement status</t>
  </si>
  <si>
    <t>L_6 Reasons for Household Satisfaction with the WASH Assistance Received in the Last 3 Months by displacement status</t>
  </si>
  <si>
    <t>L_6 Reasons for Household Satisfaction with the Protection Assistance Received in the Last 3 Months by displacement status</t>
  </si>
  <si>
    <t>L_6 Reasons for Household Satisfaction with the Cash Assistance Received in the Last 3 Months by displacement status</t>
  </si>
  <si>
    <t>L_6 Reasons for Household Satisfaction with the Other Assistance Received in the Last 3 Months by displacement status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</si>
</sst>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rgb="FF000000"/>
      <name val="Calibri"/>
      <family val="2"/>
      <scheme val="minor"/>
    </font>
    <font>
      <sz val="11"/>
      <color theme="1"/>
      <name val="Calibri"/>
      <family val="2"/>
      <scheme val="minor"/>
    </font>
    <font>
      <u/>
      <sz val="11"/>
      <color theme="10"/>
      <name val="Calibri"/>
      <family val="2"/>
    </font>
    <font>
      <u/>
      <sz val="11"/>
      <color theme="10"/>
      <name val="Calibri"/>
      <family val="2"/>
      <scheme val="minor"/>
    </font>
    <font>
      <sz val="11"/>
      <color rgb="FF000000"/>
      <name val="Calibri"/>
      <family val="2"/>
    </font>
    <font>
      <sz val="11"/>
      <color rgb="FF000000"/>
      <name val="Calibri"/>
      <family val="2"/>
      <scheme val="minor"/>
    </font>
    <font>
      <b/>
      <sz val="20"/>
      <color rgb="FF000000"/>
      <name val="Arial Narrow"/>
      <family val="2"/>
    </font>
    <font>
      <b/>
      <sz val="28"/>
      <color rgb="FF000000"/>
      <name val="Arial Narrow"/>
      <family val="2"/>
    </font>
    <font>
      <b/>
      <sz val="11"/>
      <color rgb="FFFFFFFF"/>
      <name val="Arial Narrow"/>
      <family val="2"/>
    </font>
    <font>
      <b/>
      <sz val="10"/>
      <name val="Arial Narrow"/>
      <family val="2"/>
    </font>
    <font>
      <sz val="10"/>
      <name val="Arial Narrow"/>
      <family val="2"/>
    </font>
    <font>
      <sz val="10"/>
      <color rgb="FF000000"/>
      <name val="Arial Narrow"/>
    </font>
    <font>
      <b/>
      <sz val="10"/>
      <color rgb="FF000000"/>
      <name val="Arial Narrow"/>
    </font>
  </fonts>
  <fills count="7">
    <fill>
      <patternFill patternType="none"/>
    </fill>
    <fill>
      <patternFill patternType="gray125"/>
    </fill>
    <fill>
      <patternFill patternType="solid">
        <fgColor rgb="FFFF0000"/>
        <bgColor indexed="64"/>
      </patternFill>
    </fill>
    <fill>
      <patternFill patternType="solid">
        <fgColor rgb="FFEE5859"/>
        <bgColor rgb="FFD63F40"/>
      </patternFill>
    </fill>
    <fill>
      <patternFill patternType="solid">
        <fgColor rgb="FFD9D9D9"/>
        <bgColor rgb="FF000000"/>
      </patternFill>
    </fill>
    <fill>
      <patternFill patternType="solid">
        <fgColor rgb="FFD9D9D9"/>
        <bgColor rgb="FFA6A6A6"/>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0" fontId="3" fillId="0" borderId="0" applyNumberFormat="0" applyFill="0" applyBorder="0" applyAlignment="0" applyProtection="0"/>
    <xf numFmtId="9" fontId="5" fillId="0" borderId="0" applyFont="0" applyFill="0" applyBorder="0" applyAlignment="0" applyProtection="0"/>
    <xf numFmtId="0" fontId="1" fillId="0" borderId="0"/>
    <xf numFmtId="0" fontId="1" fillId="0" borderId="0"/>
  </cellStyleXfs>
  <cellXfs count="21">
    <xf numFmtId="0" fontId="0" fillId="0" borderId="0" xfId="0"/>
    <xf numFmtId="0" fontId="2" fillId="0" borderId="0" xfId="0" applyFont="1"/>
    <xf numFmtId="0" fontId="4" fillId="0" borderId="0" xfId="0" applyFont="1"/>
    <xf numFmtId="0" fontId="3" fillId="0" borderId="0" xfId="1" applyFill="1" applyBorder="1" applyAlignment="1"/>
    <xf numFmtId="0" fontId="3" fillId="0" borderId="0" xfId="1"/>
    <xf numFmtId="0" fontId="0" fillId="2" borderId="0" xfId="0" applyFill="1"/>
    <xf numFmtId="0" fontId="4" fillId="2" borderId="0" xfId="0" applyFont="1" applyFill="1"/>
    <xf numFmtId="0" fontId="1" fillId="0" borderId="0" xfId="3"/>
    <xf numFmtId="0" fontId="8" fillId="3" borderId="1" xfId="3" applyFont="1" applyFill="1" applyBorder="1" applyAlignment="1">
      <alignment horizontal="left" vertical="top" wrapText="1"/>
    </xf>
    <xf numFmtId="0" fontId="9" fillId="4" borderId="1" xfId="3" applyFont="1" applyFill="1" applyBorder="1" applyAlignment="1">
      <alignment horizontal="center" vertical="center" wrapText="1"/>
    </xf>
    <xf numFmtId="0" fontId="10" fillId="4" borderId="1" xfId="3" applyFont="1" applyFill="1" applyBorder="1" applyAlignment="1">
      <alignment horizontal="left" vertical="center" wrapText="1"/>
    </xf>
    <xf numFmtId="0" fontId="9" fillId="0" borderId="1" xfId="3" applyFont="1" applyBorder="1" applyAlignment="1">
      <alignment horizontal="center" vertical="center" wrapText="1"/>
    </xf>
    <xf numFmtId="0" fontId="10" fillId="4" borderId="1" xfId="3" applyFont="1" applyFill="1" applyBorder="1" applyAlignment="1">
      <alignment horizontal="left" vertical="top" wrapText="1"/>
    </xf>
    <xf numFmtId="0" fontId="11" fillId="0" borderId="1" xfId="3" applyFont="1" applyBorder="1" applyAlignment="1">
      <alignment horizontal="left" vertical="center" wrapText="1"/>
    </xf>
    <xf numFmtId="14" fontId="10" fillId="6" borderId="1" xfId="4" applyNumberFormat="1" applyFont="1" applyFill="1" applyBorder="1" applyAlignment="1">
      <alignment horizontal="left" vertical="center" wrapText="1"/>
    </xf>
    <xf numFmtId="0" fontId="10" fillId="4" borderId="2" xfId="0" applyFont="1" applyFill="1" applyBorder="1" applyAlignment="1">
      <alignment vertical="center" wrapText="1"/>
    </xf>
    <xf numFmtId="0" fontId="9" fillId="4" borderId="1" xfId="0" applyFont="1" applyFill="1" applyBorder="1" applyAlignment="1">
      <alignment horizontal="center" vertical="center" wrapText="1"/>
    </xf>
    <xf numFmtId="0" fontId="11" fillId="5" borderId="1" xfId="3" applyFont="1" applyFill="1" applyBorder="1" applyAlignment="1">
      <alignment horizontal="left" vertical="center" wrapText="1"/>
    </xf>
    <xf numFmtId="0" fontId="6" fillId="0" borderId="1" xfId="3" applyFont="1" applyBorder="1" applyAlignment="1">
      <alignment horizontal="center" vertical="center" wrapText="1"/>
    </xf>
    <xf numFmtId="0" fontId="7" fillId="0" borderId="1" xfId="3" applyFont="1" applyBorder="1" applyAlignment="1">
      <alignment horizontal="center" vertical="center" wrapText="1"/>
    </xf>
    <xf numFmtId="14" fontId="9" fillId="0" borderId="1" xfId="3" applyNumberFormat="1" applyFont="1" applyBorder="1" applyAlignment="1">
      <alignment horizontal="center" vertical="center" wrapText="1"/>
    </xf>
  </cellXfs>
  <cellStyles count="5">
    <cellStyle name="Hyperlink" xfId="1" builtinId="8"/>
    <cellStyle name="Normal" xfId="0" builtinId="0"/>
    <cellStyle name="Normal 2" xfId="3" xr:uid="{B1AE7504-D823-46FC-BBED-EA81D955B829}"/>
    <cellStyle name="Normal 2 3" xfId="4" xr:uid="{7F8EFE13-0754-42B4-B970-BA01FAD4E0B8}"/>
    <cellStyle name="Percent 2" xfId="2" xr:uid="{51690BAD-5BDF-4E4B-A37B-57A3B15658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418737</xdr:colOff>
      <xdr:row>1</xdr:row>
      <xdr:rowOff>28575</xdr:rowOff>
    </xdr:from>
    <xdr:to>
      <xdr:col>7</xdr:col>
      <xdr:colOff>250303</xdr:colOff>
      <xdr:row>2</xdr:row>
      <xdr:rowOff>505896</xdr:rowOff>
    </xdr:to>
    <xdr:pic>
      <xdr:nvPicPr>
        <xdr:cNvPr id="2" name="Picture 1">
          <a:extLst>
            <a:ext uri="{FF2B5EF4-FFF2-40B4-BE49-F238E27FC236}">
              <a16:creationId xmlns:a16="http://schemas.microsoft.com/office/drawing/2014/main" id="{F065B28C-95C2-435B-8DCB-1062C91B2E7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856857" y="417195"/>
          <a:ext cx="2803366" cy="66020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836D86-00EC-4A19-AEA7-905B0B6E7D73}">
  <sheetPr>
    <tabColor rgb="FF0070C0"/>
  </sheetPr>
  <dimension ref="A1:B13"/>
  <sheetViews>
    <sheetView zoomScaleNormal="100" workbookViewId="0">
      <selection activeCell="D4" sqref="D4"/>
    </sheetView>
  </sheetViews>
  <sheetFormatPr defaultColWidth="8.6640625" defaultRowHeight="14.4" x14ac:dyDescent="0.3"/>
  <cols>
    <col min="1" max="1" width="23.6640625" style="7" customWidth="1"/>
    <col min="2" max="2" width="201.44140625" style="7" customWidth="1"/>
    <col min="3" max="16384" width="8.6640625" style="7"/>
  </cols>
  <sheetData>
    <row r="1" spans="1:2" ht="30.6" customHeight="1" x14ac:dyDescent="0.3">
      <c r="A1" s="18" t="s">
        <v>0</v>
      </c>
      <c r="B1" s="19"/>
    </row>
    <row r="2" spans="1:2" x14ac:dyDescent="0.3">
      <c r="A2" s="8" t="s">
        <v>1</v>
      </c>
      <c r="B2" s="8" t="s">
        <v>2</v>
      </c>
    </row>
    <row r="3" spans="1:2" ht="102" customHeight="1" x14ac:dyDescent="0.3">
      <c r="A3" s="9" t="s">
        <v>3</v>
      </c>
      <c r="B3" s="10" t="s">
        <v>4</v>
      </c>
    </row>
    <row r="4" spans="1:2" ht="62.25" customHeight="1" x14ac:dyDescent="0.3">
      <c r="A4" s="11" t="s">
        <v>5</v>
      </c>
      <c r="B4" s="13" t="s">
        <v>6</v>
      </c>
    </row>
    <row r="5" spans="1:2" ht="409.5" customHeight="1" x14ac:dyDescent="0.3">
      <c r="A5" s="9" t="s">
        <v>7</v>
      </c>
      <c r="B5" s="17" t="s">
        <v>8</v>
      </c>
    </row>
    <row r="6" spans="1:2" ht="15" customHeight="1" x14ac:dyDescent="0.3">
      <c r="A6" s="20" t="s">
        <v>9</v>
      </c>
      <c r="B6" s="14" t="s">
        <v>10</v>
      </c>
    </row>
    <row r="7" spans="1:2" x14ac:dyDescent="0.3">
      <c r="A7" s="20"/>
      <c r="B7" s="14" t="s">
        <v>11</v>
      </c>
    </row>
    <row r="8" spans="1:2" x14ac:dyDescent="0.3">
      <c r="A8" s="20"/>
      <c r="B8" s="14" t="s">
        <v>12</v>
      </c>
    </row>
    <row r="9" spans="1:2" x14ac:dyDescent="0.3">
      <c r="A9" s="16" t="s">
        <v>13</v>
      </c>
      <c r="B9" s="15" t="s">
        <v>14</v>
      </c>
    </row>
    <row r="10" spans="1:2" x14ac:dyDescent="0.3">
      <c r="A10" s="8" t="s">
        <v>15</v>
      </c>
      <c r="B10" s="8" t="s">
        <v>2</v>
      </c>
    </row>
    <row r="11" spans="1:2" x14ac:dyDescent="0.3">
      <c r="A11" s="12" t="s">
        <v>16</v>
      </c>
      <c r="B11" s="12" t="s">
        <v>17</v>
      </c>
    </row>
    <row r="12" spans="1:2" x14ac:dyDescent="0.3">
      <c r="A12" s="12" t="s">
        <v>18</v>
      </c>
      <c r="B12" s="12" t="s">
        <v>19</v>
      </c>
    </row>
    <row r="13" spans="1:2" x14ac:dyDescent="0.3">
      <c r="A13" s="12" t="s">
        <v>20</v>
      </c>
      <c r="B13" s="12" t="s">
        <v>21</v>
      </c>
    </row>
  </sheetData>
  <mergeCells count="2">
    <mergeCell ref="A1:B1"/>
    <mergeCell ref="A6:A8"/>
  </mergeCells>
  <pageMargins left="0.7" right="0.7" top="0.75" bottom="0.75" header="0.3" footer="0.3"/>
  <pageSetup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724"/>
  <sheetViews>
    <sheetView topLeftCell="A287" workbookViewId="0">
      <selection activeCell="A298" sqref="A298"/>
    </sheetView>
  </sheetViews>
  <sheetFormatPr defaultColWidth="11.5546875" defaultRowHeight="14.4" x14ac:dyDescent="0.3"/>
  <sheetData>
    <row r="1" spans="1:1" x14ac:dyDescent="0.3">
      <c r="A1" t="s">
        <v>22</v>
      </c>
    </row>
    <row r="2" spans="1:1" x14ac:dyDescent="0.3">
      <c r="A2" s="1" t="str">
        <f>HYPERLINK("#'Data'!A1", "Macroregion")</f>
        <v>Macroregion</v>
      </c>
    </row>
    <row r="3" spans="1:1" x14ac:dyDescent="0.3">
      <c r="A3" s="1" t="str">
        <f>HYPERLINK("#'Data'!A5", "A_1  Respondent Age overall")</f>
        <v>A_1  Respondent Age overall</v>
      </c>
    </row>
    <row r="4" spans="1:1" x14ac:dyDescent="0.3">
      <c r="A4" s="1" t="str">
        <f>HYPERLINK("#'Data'!A14", "A_2 Respondent Sex overall")</f>
        <v>A_2 Respondent Sex overall</v>
      </c>
    </row>
    <row r="5" spans="1:1" x14ac:dyDescent="0.3">
      <c r="A5" s="1" t="str">
        <f>HYPERLINK("#'Data'!A23", "A_3 Respondents Reportedly Head of the Household overall")</f>
        <v>A_3 Respondents Reportedly Head of the Household overall</v>
      </c>
    </row>
    <row r="6" spans="1:1" x14ac:dyDescent="0.3">
      <c r="A6" s="1" t="str">
        <f>HYPERLINK("#'Data'!A32", "A_8 Number of Household Members overall")</f>
        <v>A_8 Number of Household Members overall</v>
      </c>
    </row>
    <row r="7" spans="1:1" x14ac:dyDescent="0.3">
      <c r="A7" s="1" t="str">
        <f>HYPERLINK("#'Data'!A41", "A_17 Employment Situation of Household Members overall")</f>
        <v>A_17 Employment Situation of Household Members overall</v>
      </c>
    </row>
    <row r="8" spans="1:1" x14ac:dyDescent="0.3">
      <c r="A8" s="1" t="str">
        <f>HYPERLINK("#'Data'!A50", "A_9_1 Household Members with Money Spending Decision-Making Authority overall")</f>
        <v>A_9_1 Household Members with Money Spending Decision-Making Authority overall</v>
      </c>
    </row>
    <row r="9" spans="1:1" x14ac:dyDescent="0.3">
      <c r="A9" s="1" t="str">
        <f>HYPERLINK("#'Data'!A59", "A_9_2 Household Members with Healthcare and Education of Children Decision-Making Authority overall")</f>
        <v>A_9_2 Household Members with Healthcare and Education of Children Decision-Making Authority overall</v>
      </c>
    </row>
    <row r="10" spans="1:1" x14ac:dyDescent="0.3">
      <c r="A10" s="1" t="str">
        <f>HYPERLINK("#'Data'!A68", "A_9_3 Household Members with Migration Decision-Making Authority overall")</f>
        <v>A_9_3 Household Members with Migration Decision-Making Authority overall</v>
      </c>
    </row>
    <row r="11" spans="1:1" x14ac:dyDescent="0.3">
      <c r="A11" s="1" t="str">
        <f>HYPERLINK("#'Data'!A77", "J_22 Women with infant child by type of child birth giving overall")</f>
        <v>J_22 Women with infant child by type of child birth giving overall</v>
      </c>
    </row>
    <row r="12" spans="1:1" x14ac:dyDescent="0.3">
      <c r="A12" s="1" t="str">
        <f>HYPERLINK("#'Data'!A86", "J_23 Women with infant child by type of child birth giving by displacement status")</f>
        <v>J_23 Women with infant child by type of child birth giving by displacement status</v>
      </c>
    </row>
    <row r="13" spans="1:1" x14ac:dyDescent="0.3">
      <c r="A13" s="1" t="str">
        <f>HYPERLINK("#'Data'!A107", "J_24 Women with infant child by type of child birth giving by rural or urban")</f>
        <v>J_24 Women with infant child by type of child birth giving by rural or urban</v>
      </c>
    </row>
    <row r="14" spans="1:1" x14ac:dyDescent="0.3">
      <c r="A14" s="1" t="str">
        <f>HYPERLINK("#'Data'!A122", "J_25 Women with infant child by type of child birth giving by HH proximity to frontline or Russian border")</f>
        <v>J_25 Women with infant child by type of child birth giving by HH proximity to frontline or Russian border</v>
      </c>
    </row>
    <row r="15" spans="1:1" x14ac:dyDescent="0.3">
      <c r="A15" s="1" t="str">
        <f>HYPERLINK("#'Data'!A135", "A_19 Household Members with Difficulty Seeing, Even When Wearing Glasses overall")</f>
        <v>A_19 Household Members with Difficulty Seeing, Even When Wearing Glasses overall</v>
      </c>
    </row>
    <row r="16" spans="1:1" x14ac:dyDescent="0.3">
      <c r="A16" s="1" t="str">
        <f>HYPERLINK("#'Data'!A144", "A_20 Household Members with Difficulty Heating, Even When Using Hearing Aids overall")</f>
        <v>A_20 Household Members with Difficulty Heating, Even When Using Hearing Aids overall</v>
      </c>
    </row>
    <row r="17" spans="1:1" x14ac:dyDescent="0.3">
      <c r="A17" s="1" t="str">
        <f>HYPERLINK("#'Data'!A153", "A_21 Household Members with Difficulty Walking or Climbing Steps overall")</f>
        <v>A_21 Household Members with Difficulty Walking or Climbing Steps overall</v>
      </c>
    </row>
    <row r="18" spans="1:1" x14ac:dyDescent="0.3">
      <c r="A18" s="1" t="str">
        <f>HYPERLINK("#'Data'!A162", "A_22 Household Members with Difficulty Remembering or Concentrating overall")</f>
        <v>A_22 Household Members with Difficulty Remembering or Concentrating overall</v>
      </c>
    </row>
    <row r="19" spans="1:1" x14ac:dyDescent="0.3">
      <c r="A19" s="1" t="str">
        <f>HYPERLINK("#'Data'!A171", "A_23 Household Members with Difficulty with Self-Care overall")</f>
        <v>A_23 Household Members with Difficulty with Self-Care overall</v>
      </c>
    </row>
    <row r="20" spans="1:1" x14ac:dyDescent="0.3">
      <c r="A20" s="1" t="str">
        <f>HYPERLINK("#'Data'!A180", "A_24 Household Members with Difficulty Communicating when using Usual Language overall")</f>
        <v>A_24 Household Members with Difficulty Communicating when using Usual Language overall</v>
      </c>
    </row>
    <row r="21" spans="1:1" x14ac:dyDescent="0.3">
      <c r="A21" s="1" t="str">
        <f>HYPERLINK("#'Data'!A189", "WG-SS Household Members with Washington Group Severity Score 3 or 4 overall")</f>
        <v>WG-SS Household Members with Washington Group Severity Score 3 or 4 overall</v>
      </c>
    </row>
    <row r="22" spans="1:1" x14ac:dyDescent="0.3">
      <c r="A22" s="1" t="str">
        <f>HYPERLINK("#'Data'!A198", "B_1 Households Reporting this is their Habitual Place of Residence overall")</f>
        <v>B_1 Households Reporting this is their Habitual Place of Residence overall</v>
      </c>
    </row>
    <row r="23" spans="1:1" x14ac:dyDescent="0.3">
      <c r="A23" s="1" t="str">
        <f>HYPERLINK("#'Data'!A207", "B_1 Households Reporting this is their Habitual Place of Residence by HHs with a member with a disability")</f>
        <v>B_1 Households Reporting this is their Habitual Place of Residence by HHs with a member with a disability</v>
      </c>
    </row>
    <row r="24" spans="1:1" x14ac:dyDescent="0.3">
      <c r="A24" s="1" t="str">
        <f>HYPERLINK("#'Data'!A228", "B_1 Households Reporting this is their Habitual Place of Residence by displacement status")</f>
        <v>B_1 Households Reporting this is their Habitual Place of Residence by displacement status</v>
      </c>
    </row>
    <row r="25" spans="1:1" x14ac:dyDescent="0.3">
      <c r="A25" s="1" t="str">
        <f>HYPERLINK("#'Data'!A249", "B_1 Households Reporting this is their Habitual Place of Residence by HoHH sex")</f>
        <v>B_1 Households Reporting this is their Habitual Place of Residence by HoHH sex</v>
      </c>
    </row>
    <row r="26" spans="1:1" x14ac:dyDescent="0.3">
      <c r="A26" s="1" t="str">
        <f>HYPERLINK("#'Data'!A270", "B_1 Households Reporting this is their Habitual Place of Residence by rural or urban")</f>
        <v>B_1 Households Reporting this is their Habitual Place of Residence by rural or urban</v>
      </c>
    </row>
    <row r="27" spans="1:1" x14ac:dyDescent="0.3">
      <c r="A27" s="1" t="str">
        <f>HYPERLINK("#'Data'!A285", "B_1 Households Reporting this is their Habitual Place of Residence by HH proximity to frontline or Russian border")</f>
        <v>B_1 Households Reporting this is their Habitual Place of Residence by HH proximity to frontline or Russian border</v>
      </c>
    </row>
    <row r="28" spans="1:1" x14ac:dyDescent="0.3">
      <c r="A28" s="1" t="str">
        <f>HYPERLINK("#'Data'!A298", "B_4 Households Left their Place of Habitual Residence for 14+ days as a Result of the Escalation of the War since 24th Feb 2022 overall")</f>
        <v>B_4 Households Left their Place of Habitual Residence for 14+ days as a Result of the Escalation of the War since 24th Feb 2022 overall</v>
      </c>
    </row>
    <row r="29" spans="1:1" x14ac:dyDescent="0.3">
      <c r="A29" s="1" t="str">
        <f>HYPERLINK("#'Data'!A307", "B_4 Households Left their Place of Habitual Residence for 14+ days as a Result of the Escalation of the War since 24th Feb 2022 by HHs with a member with a disability")</f>
        <v>B_4 Households Left their Place of Habitual Residence for 14+ days as a Result of the Escalation of the War since 24th Feb 2022 by HHs with a member with a disability</v>
      </c>
    </row>
    <row r="30" spans="1:1" x14ac:dyDescent="0.3">
      <c r="A30" s="1" t="str">
        <f>HYPERLINK("#'Data'!A328", "B_4 Households Left their Place of Habitual Residence for 14+ days as a Result of the Escalation of the War since 24th Feb 2022 by displacement status")</f>
        <v>B_4 Households Left their Place of Habitual Residence for 14+ days as a Result of the Escalation of the War since 24th Feb 2022 by displacement status</v>
      </c>
    </row>
    <row r="31" spans="1:1" x14ac:dyDescent="0.3">
      <c r="A31" s="1" t="str">
        <f>HYPERLINK("#'Data'!A343", "B_4 Households Left their Place of Habitual Residence for 14+ days as a Result of the Escalation of the War since 24th Feb 2022 by HoHH sex")</f>
        <v>B_4 Households Left their Place of Habitual Residence for 14+ days as a Result of the Escalation of the War since 24th Feb 2022 by HoHH sex</v>
      </c>
    </row>
    <row r="32" spans="1:1" x14ac:dyDescent="0.3">
      <c r="A32" s="1" t="str">
        <f>HYPERLINK("#'Data'!A364", "B_4 Households Left their Place of Habitual Residence for 14+ days as a Result of the Escalation of the War since 24th Feb 2022 by rural or urban")</f>
        <v>B_4 Households Left their Place of Habitual Residence for 14+ days as a Result of the Escalation of the War since 24th Feb 2022 by rural or urban</v>
      </c>
    </row>
    <row r="33" spans="1:1" x14ac:dyDescent="0.3">
      <c r="A33" s="1" t="str">
        <f>HYPERLINK("#'Data'!A379", "B_4 Households Left their Place of Habitual Residence for 14+ days as a Result of the Escalation of the War since 24th Feb 2022 by HH proximity to frontline or Russian border")</f>
        <v>B_4 Households Left their Place of Habitual Residence for 14+ days as a Result of the Escalation of the War since 24th Feb 2022 by HH proximity to frontline or Russian border</v>
      </c>
    </row>
    <row r="34" spans="1:1" x14ac:dyDescent="0.3">
      <c r="A34" s="1" t="str">
        <f>HYPERLINK("#'Data'!A392", "B_5 Households Reporting they had to Leave their Habitual Place of Residence as a Result of theEscalation of the War on 24 Feb 2022 overall")</f>
        <v>B_5 Households Reporting they had to Leave their Habitual Place of Residence as a Result of theEscalation of the War on 24 Feb 2022 overall</v>
      </c>
    </row>
    <row r="35" spans="1:1" x14ac:dyDescent="0.3">
      <c r="A35" s="1" t="str">
        <f>HYPERLINK("#'Data'!A401", "B_5 Households Reporting they had to Leave their Habitual Place of Residence as a Result of theEscalation of the War on 24 Feb 2022 by HHs with a member with a disability")</f>
        <v>B_5 Households Reporting they had to Leave their Habitual Place of Residence as a Result of theEscalation of the War on 24 Feb 2022 by HHs with a member with a disability</v>
      </c>
    </row>
    <row r="36" spans="1:1" x14ac:dyDescent="0.3">
      <c r="A36" s="1" t="str">
        <f>HYPERLINK("#'Data'!A422", "B_5 Households Reporting they had to Leave their Habitual Place of Residence as a Result of theEscalation of the War on 24 Feb 2022 by displacement status")</f>
        <v>B_5 Households Reporting they had to Leave their Habitual Place of Residence as a Result of theEscalation of the War on 24 Feb 2022 by displacement status</v>
      </c>
    </row>
    <row r="37" spans="1:1" x14ac:dyDescent="0.3">
      <c r="A37" s="1" t="str">
        <f>HYPERLINK("#'Data'!A437", "B_5 Households Reporting they had to Leave their Habitual Place of Residence as a Result of theEscalation of the War on 24 Feb 2022 by HoHH sex")</f>
        <v>B_5 Households Reporting they had to Leave their Habitual Place of Residence as a Result of theEscalation of the War on 24 Feb 2022 by HoHH sex</v>
      </c>
    </row>
    <row r="38" spans="1:1" x14ac:dyDescent="0.3">
      <c r="A38" s="1" t="str">
        <f>HYPERLINK("#'Data'!A458", "B_5 Households Reporting they had to Leave their Habitual Place of Residence as a Result of theEscalation of the War on 24 Feb 2022 by rural or urban")</f>
        <v>B_5 Households Reporting they had to Leave their Habitual Place of Residence as a Result of theEscalation of the War on 24 Feb 2022 by rural or urban</v>
      </c>
    </row>
    <row r="39" spans="1:1" x14ac:dyDescent="0.3">
      <c r="A39" s="1" t="str">
        <f>HYPERLINK("#'Data'!A473", "B_5 Households Reporting they had to Leave their Habitual Place of Residence as a Result of theEscalation of the War on 24 Feb 2022 by HH proximity to frontline or Russian border")</f>
        <v>B_5 Households Reporting they had to Leave their Habitual Place of Residence as a Result of theEscalation of the War on 24 Feb 2022 by HH proximity to frontline or Russian border</v>
      </c>
    </row>
    <row r="40" spans="1:1" x14ac:dyDescent="0.3">
      <c r="A40" s="1" t="str">
        <f>HYPERLINK("#'Data'!A486", "B_3 Households Reporting to have been Separated from a Member of their Regular Household as a Result of the Escalation of the War overall")</f>
        <v>B_3 Households Reporting to have been Separated from a Member of their Regular Household as a Result of the Escalation of the War overall</v>
      </c>
    </row>
    <row r="41" spans="1:1" x14ac:dyDescent="0.3">
      <c r="A41" s="1" t="str">
        <f>HYPERLINK("#'Data'!A495", "B_3 Households Reporting to have been Separated from a Member of their Regular Household as a Result of the Escalation of the War by HHs with a member with a disability")</f>
        <v>B_3 Households Reporting to have been Separated from a Member of their Regular Household as a Result of the Escalation of the War by HHs with a member with a disability</v>
      </c>
    </row>
    <row r="42" spans="1:1" x14ac:dyDescent="0.3">
      <c r="A42" s="1" t="str">
        <f>HYPERLINK("#'Data'!A516", "B_3 Households Reporting to have been Separated from a Member of their Regular Household as a Result of the Escalation of the War by displacement status")</f>
        <v>B_3 Households Reporting to have been Separated from a Member of their Regular Household as a Result of the Escalation of the War by displacement status</v>
      </c>
    </row>
    <row r="43" spans="1:1" x14ac:dyDescent="0.3">
      <c r="A43" s="1" t="str">
        <f>HYPERLINK("#'Data'!A531", "B_3 Households Reporting to have been Separated from a Member of their Regular Household as a Result of the Escalation of the War by HoHH sex")</f>
        <v>B_3 Households Reporting to have been Separated from a Member of their Regular Household as a Result of the Escalation of the War by HoHH sex</v>
      </c>
    </row>
    <row r="44" spans="1:1" x14ac:dyDescent="0.3">
      <c r="A44" s="1" t="str">
        <f>HYPERLINK("#'Data'!A552", "B_3 Households Reporting to have been Separated from a Member of their Regular Household as a Result of the Escalation of the War by rural or urban")</f>
        <v>B_3 Households Reporting to have been Separated from a Member of their Regular Household as a Result of the Escalation of the War by rural or urban</v>
      </c>
    </row>
    <row r="45" spans="1:1" x14ac:dyDescent="0.3">
      <c r="A45" s="1" t="str">
        <f>HYPERLINK("#'Data'!A567", "B_3 Households Reporting to have been Separated from a Member of their Regular Household as a Result of the Escalation of the War by HH proximity to frontline or Russian border")</f>
        <v>B_3 Households Reporting to have been Separated from a Member of their Regular Household as a Result of the Escalation of the War by HH proximity to frontline or Russian border</v>
      </c>
    </row>
    <row r="46" spans="1:1" x14ac:dyDescent="0.3">
      <c r="A46" s="1" t="str">
        <f>HYPERLINK("#'Data'!A580", "B_9 Length of time Households Report to have been Displaced (Currently or in the Past) Since the Escalation of the War on 24 Feb 2022 by HHs with a member with a disability")</f>
        <v>B_9 Length of time Households Report to have been Displaced (Currently or in the Past) Since the Escalation of the War on 24 Feb 2022 by HHs with a member with a disability</v>
      </c>
    </row>
    <row r="47" spans="1:1" x14ac:dyDescent="0.3">
      <c r="A47" s="1" t="str">
        <f>HYPERLINK("#'Data'!A601", "B_9 Length of time Households Report to have been Displaced (Currently or in the Past) Since the Escalation of the War on 24 Feb 2022 by displacement status")</f>
        <v>B_9 Length of time Households Report to have been Displaced (Currently or in the Past) Since the Escalation of the War on 24 Feb 2022 by displacement status</v>
      </c>
    </row>
    <row r="48" spans="1:1" x14ac:dyDescent="0.3">
      <c r="A48" s="1" t="str">
        <f>HYPERLINK("#'Data'!A616", "B_9 Length of time Households Report to have been Displaced (Currently or in the Past) Since the Escalation of the War on 24 Feb 2022 by HoHH sex")</f>
        <v>B_9 Length of time Households Report to have been Displaced (Currently or in the Past) Since the Escalation of the War on 24 Feb 2022 by HoHH sex</v>
      </c>
    </row>
    <row r="49" spans="1:1" x14ac:dyDescent="0.3">
      <c r="A49" s="1" t="str">
        <f>HYPERLINK("#'Data'!A637", "B_9 Length of time Households Report to have been Displaced (Currently or in the Past) Since the Escalation of the War on 24 Feb 2022 by rural or urban")</f>
        <v>B_9 Length of time Households Report to have been Displaced (Currently or in the Past) Since the Escalation of the War on 24 Feb 2022 by rural or urban</v>
      </c>
    </row>
    <row r="50" spans="1:1" x14ac:dyDescent="0.3">
      <c r="A50" s="1" t="str">
        <f>HYPERLINK("#'Data'!A652", "B_9 Length of time Households Report to have been Displaced (Currently or in the Past) Since the Escalation of the War on 24 Feb 2022 by HH proximity to frontline or Russian border")</f>
        <v>B_9 Length of time Households Report to have been Displaced (Currently or in the Past) Since the Escalation of the War on 24 Feb 2022 by HH proximity to frontline or Russian border</v>
      </c>
    </row>
    <row r="51" spans="1:1" x14ac:dyDescent="0.3">
      <c r="A51" s="1" t="str">
        <f>HYPERLINK("#'Data'!A665", "B_9 Length of time Households Report to have been Displaced (Currently or in the Past) Since the Escalation of the War on 24 Feb 2022 overall")</f>
        <v>B_9 Length of time Households Report to have been Displaced (Currently or in the Past) Since the Escalation of the War on 24 Feb 2022 overall</v>
      </c>
    </row>
    <row r="52" spans="1:1" x14ac:dyDescent="0.3">
      <c r="A52" s="1" t="str">
        <f>HYPERLINK("#'Data'!A674", "B_11 Households Reported Accommodation Intentions Regarding Accomodation for the Medium to Long Term (from 3 to 6 Months) overall")</f>
        <v>B_11 Households Reported Accommodation Intentions Regarding Accomodation for the Medium to Long Term (from 3 to 6 Months) overall</v>
      </c>
    </row>
    <row r="53" spans="1:1" x14ac:dyDescent="0.3">
      <c r="A53" s="1" t="str">
        <f>HYPERLINK("#'Data'!A683", "B_11 Households Reported Accommodation Intentions Regarding Accomodation for the Medium to Long Term (from 3 to 6 Months) by HHs with a member with a disability")</f>
        <v>B_11 Households Reported Accommodation Intentions Regarding Accomodation for the Medium to Long Term (from 3 to 6 Months) by HHs with a member with a disability</v>
      </c>
    </row>
    <row r="54" spans="1:1" x14ac:dyDescent="0.3">
      <c r="A54" s="1" t="str">
        <f>HYPERLINK("#'Data'!A704", "B_11 Households Reported Accommodation Intentions Regarding Accomodation for the Medium to Long Term (from 3 to 6 Months) by displacement status")</f>
        <v>B_11 Households Reported Accommodation Intentions Regarding Accomodation for the Medium to Long Term (from 3 to 6 Months) by displacement status</v>
      </c>
    </row>
    <row r="55" spans="1:1" x14ac:dyDescent="0.3">
      <c r="A55" s="1" t="str">
        <f>HYPERLINK("#'Data'!A725", "B_11 Households Reported Accommodation Intentions Regarding Accomodation for the Medium to Long Term (from 3 to 6 Months) by HoHH sex")</f>
        <v>B_11 Households Reported Accommodation Intentions Regarding Accomodation for the Medium to Long Term (from 3 to 6 Months) by HoHH sex</v>
      </c>
    </row>
    <row r="56" spans="1:1" x14ac:dyDescent="0.3">
      <c r="A56" s="1" t="str">
        <f>HYPERLINK("#'Data'!A746", "B_11 Households Reported Accommodation Intentions Regarding Accomodation for the Medium to Long Term (from 3 to 6 Months) by rural or urban")</f>
        <v>B_11 Households Reported Accommodation Intentions Regarding Accomodation for the Medium to Long Term (from 3 to 6 Months) by rural or urban</v>
      </c>
    </row>
    <row r="57" spans="1:1" x14ac:dyDescent="0.3">
      <c r="A57" s="1" t="str">
        <f>HYPERLINK("#'Data'!A761", "B_11 Households Reported Accommodation Intentions Regarding Accomodation for the Medium to Long Term (from 3 to 6 Months) by HH proximity to frontline or Russian border")</f>
        <v>B_11 Households Reported Accommodation Intentions Regarding Accomodation for the Medium to Long Term (from 3 to 6 Months) by HH proximity to frontline or Russian border</v>
      </c>
    </row>
    <row r="58" spans="1:1" x14ac:dyDescent="0.3">
      <c r="A58" s="1" t="str">
        <f>HYPERLINK("#'Data'!A774", "B_12 Households Reported Accommodation Intentions Regarding Location for the Medium to Long Term (from 3 to 6 Months) overall")</f>
        <v>B_12 Households Reported Accommodation Intentions Regarding Location for the Medium to Long Term (from 3 to 6 Months) overall</v>
      </c>
    </row>
    <row r="59" spans="1:1" x14ac:dyDescent="0.3">
      <c r="A59" s="1" t="str">
        <f>HYPERLINK("#'Data'!A783", "B_12 Households Reported Accommodation Intentions Regarding Location for the Medium to Long Term (from 3 to 6 Months) by HHs with a member with a disability")</f>
        <v>B_12 Households Reported Accommodation Intentions Regarding Location for the Medium to Long Term (from 3 to 6 Months) by HHs with a member with a disability</v>
      </c>
    </row>
    <row r="60" spans="1:1" x14ac:dyDescent="0.3">
      <c r="A60" s="1" t="str">
        <f>HYPERLINK("#'Data'!A803", "B_12 Households Reported Accommodation Intentions Regarding Location for the Medium to Long Term (from 3 to 6 Months) by displacement status")</f>
        <v>B_12 Households Reported Accommodation Intentions Regarding Location for the Medium to Long Term (from 3 to 6 Months) by displacement status</v>
      </c>
    </row>
    <row r="61" spans="1:1" x14ac:dyDescent="0.3">
      <c r="A61" s="1" t="str">
        <f>HYPERLINK("#'Data'!A824", "B_12 Households Reported Accommodation Intentions Regarding Location for the Medium to Long Term (from 3 to 6 Months) by HoHH sex")</f>
        <v>B_12 Households Reported Accommodation Intentions Regarding Location for the Medium to Long Term (from 3 to 6 Months) by HoHH sex</v>
      </c>
    </row>
    <row r="62" spans="1:1" x14ac:dyDescent="0.3">
      <c r="A62" s="1" t="str">
        <f>HYPERLINK("#'Data'!A844", "B_12 Households Reported Accommodation Intentions Regarding Location for the Medium to Long Term (from 3 to 6 Months) by rural or urban")</f>
        <v>B_12 Households Reported Accommodation Intentions Regarding Location for the Medium to Long Term (from 3 to 6 Months) by rural or urban</v>
      </c>
    </row>
    <row r="63" spans="1:1" x14ac:dyDescent="0.3">
      <c r="A63" s="1" t="str">
        <f>HYPERLINK("#'Data'!A859", "B_12 Households Reported Accommodation Intentions Regarding Location for the Medium to Long Term (from 3 to 6 Months) by HH proximity to frontline or Russian border")</f>
        <v>B_12 Households Reported Accommodation Intentions Regarding Location for the Medium to Long Term (from 3 to 6 Months) by HH proximity to frontline or Russian border</v>
      </c>
    </row>
    <row r="64" spans="1:1" x14ac:dyDescent="0.3">
      <c r="A64" s="1" t="str">
        <f>HYPERLINK("#'Data'!A872", "C_1 School Aged Children Reportedly Enrolled in Formal School during the 2022-2023 school year overall")</f>
        <v>C_1 School Aged Children Reportedly Enrolled in Formal School during the 2022-2023 school year overall</v>
      </c>
    </row>
    <row r="65" spans="1:1" x14ac:dyDescent="0.3">
      <c r="A65" s="1" t="str">
        <f>HYPERLINK("#'Data'!A881", "C_1 School Aged Children Reportedly Enrolled in Formal School during the 2022-2023 school year by child with a disability")</f>
        <v>C_1 School Aged Children Reportedly Enrolled in Formal School during the 2022-2023 school year by child with a disability</v>
      </c>
    </row>
    <row r="66" spans="1:1" x14ac:dyDescent="0.3">
      <c r="A66" s="1" t="str">
        <f>HYPERLINK("#'Data'!A918", "C_1 School Aged Children Reportedly Enrolled in Formal School during the 2022-2023 school year by rural or urban")</f>
        <v>C_1 School Aged Children Reportedly Enrolled in Formal School during the 2022-2023 school year by rural or urban</v>
      </c>
    </row>
    <row r="67" spans="1:1" x14ac:dyDescent="0.3">
      <c r="A67" s="1" t="str">
        <f>HYPERLINK("#'Data'!A933", "C_1 School Aged Children Reportedly Enrolled in Formal School during the 2022-2023 school year by displacement status")</f>
        <v>C_1 School Aged Children Reportedly Enrolled in Formal School during the 2022-2023 school year by displacement status</v>
      </c>
    </row>
    <row r="68" spans="1:1" x14ac:dyDescent="0.3">
      <c r="A68" s="1" t="str">
        <f>HYPERLINK("#'Data'!A954", "C_1 School Aged Children Reportedly Enrolled in Formal School during the 2022-2023 school year by HoHH sex")</f>
        <v>C_1 School Aged Children Reportedly Enrolled in Formal School during the 2022-2023 school year by HoHH sex</v>
      </c>
    </row>
    <row r="69" spans="1:1" x14ac:dyDescent="0.3">
      <c r="A69" s="1" t="str">
        <f>HYPERLINK("#'Data'!A975", "C_1 School Aged Children Reportedly Enrolled in Formal School during the 2022-2023 school year by HH with a member employed")</f>
        <v>C_1 School Aged Children Reportedly Enrolled in Formal School during the 2022-2023 school year by HH with a member employed</v>
      </c>
    </row>
    <row r="70" spans="1:1" x14ac:dyDescent="0.3">
      <c r="A70" s="1" t="str">
        <f>HYPERLINK("#'Data'!A996", "C_1 School Aged Children Reportedly Enrolled in Formal School during the 2022-2023 school year by HH proximity to frontline or Russian border")</f>
        <v>C_1 School Aged Children Reportedly Enrolled in Formal School during the 2022-2023 school year by HH proximity to frontline or Russian border</v>
      </c>
    </row>
    <row r="71" spans="1:1" x14ac:dyDescent="0.3">
      <c r="A71" s="1" t="str">
        <f>HYPERLINK("#'Data'!A1009", "C_2 School Aged Children Reportedly Enrolled in Learning Modalities during the 2022-2023 school year overall")</f>
        <v>C_2 School Aged Children Reportedly Enrolled in Learning Modalities during the 2022-2023 school year overall</v>
      </c>
    </row>
    <row r="72" spans="1:1" x14ac:dyDescent="0.3">
      <c r="A72" s="1" t="str">
        <f>HYPERLINK("#'Data'!A1018", "C_2 School Aged Children Reportedly Enrolled in Learning Modalities during the 2022-2023 school year by child with a disability")</f>
        <v>C_2 School Aged Children Reportedly Enrolled in Learning Modalities during the 2022-2023 school year by child with a disability</v>
      </c>
    </row>
    <row r="73" spans="1:1" x14ac:dyDescent="0.3">
      <c r="A73" s="1" t="str">
        <f>HYPERLINK("#'Data'!A1053", "C_2 School Aged Children Reportedly Enrolled in Learning Modalities during the 2022-2023 school year by rural or urban")</f>
        <v>C_2 School Aged Children Reportedly Enrolled in Learning Modalities during the 2022-2023 school year by rural or urban</v>
      </c>
    </row>
    <row r="74" spans="1:1" x14ac:dyDescent="0.3">
      <c r="A74" s="1" t="str">
        <f>HYPERLINK("#'Data'!A1068", "C_2 School Aged Children Reportedly Enrolled in Learning Modalities during the 2022-2023 school year by displacement status")</f>
        <v>C_2 School Aged Children Reportedly Enrolled in Learning Modalities during the 2022-2023 school year by displacement status</v>
      </c>
    </row>
    <row r="75" spans="1:1" x14ac:dyDescent="0.3">
      <c r="A75" s="1" t="str">
        <f>HYPERLINK("#'Data'!A1089", "C_2 School Aged Children Reportedly Enrolled in Learning Modalities during the 2022-2023 school year by HoHH sex")</f>
        <v>C_2 School Aged Children Reportedly Enrolled in Learning Modalities during the 2022-2023 school year by HoHH sex</v>
      </c>
    </row>
    <row r="76" spans="1:1" x14ac:dyDescent="0.3">
      <c r="A76" s="1" t="str">
        <f>HYPERLINK("#'Data'!A1110", "C_2 School Aged Children Reportedly Enrolled in Learning Modalities during the 2022-2023 school year by HH with member employed")</f>
        <v>C_2 School Aged Children Reportedly Enrolled in Learning Modalities during the 2022-2023 school year by HH with member employed</v>
      </c>
    </row>
    <row r="77" spans="1:1" x14ac:dyDescent="0.3">
      <c r="A77" s="1" t="str">
        <f>HYPERLINK("#'Data'!A1130", "C_2 School Aged Children Reportedly Enrolled in Learning Modalities during the 2022-2023 school year by HH proximity to frontline or Russian border")</f>
        <v>C_2 School Aged Children Reportedly Enrolled in Learning Modalities during the 2022-2023 school year by HH proximity to frontline or Russian border</v>
      </c>
    </row>
    <row r="78" spans="1:1" x14ac:dyDescent="0.3">
      <c r="A78" s="1" t="str">
        <f>HYPERLINK("#'Data'!A1143", "C_3 School Aged Children Reportedly Attending Schools In-Person during the 2022-2023 school year overall")</f>
        <v>C_3 School Aged Children Reportedly Attending Schools In-Person during the 2022-2023 school year overall</v>
      </c>
    </row>
    <row r="79" spans="1:1" x14ac:dyDescent="0.3">
      <c r="A79" s="1" t="str">
        <f>HYPERLINK("#'Data'!A1152", "C_3 School Aged Children Reportedly Enrolled in Learning Modalities during the 2022-2023 school year by child sex and age")</f>
        <v>C_3 School Aged Children Reportedly Enrolled in Learning Modalities during the 2022-2023 school year by child sex and age</v>
      </c>
    </row>
    <row r="80" spans="1:1" x14ac:dyDescent="0.3">
      <c r="A80" s="1" t="str">
        <f>HYPERLINK("#'Data'!A1185", "C_3 School Aged Children Reportedly Attending Schools In-Person during the 2022-2023 school year by child with a disability")</f>
        <v>C_3 School Aged Children Reportedly Attending Schools In-Person during the 2022-2023 school year by child with a disability</v>
      </c>
    </row>
    <row r="81" spans="1:1" x14ac:dyDescent="0.3">
      <c r="A81" s="1" t="str">
        <f>HYPERLINK("#'Data'!A1213", "C_3 School Aged Children Reportedly Attending Schools In-Person during the 2022-2023 school year by rural or urban")</f>
        <v>C_3 School Aged Children Reportedly Attending Schools In-Person during the 2022-2023 school year by rural or urban</v>
      </c>
    </row>
    <row r="82" spans="1:1" x14ac:dyDescent="0.3">
      <c r="A82" s="1" t="str">
        <f>HYPERLINK("#'Data'!A1228", "C_3 School Aged Children Reportedly Attending Schools In-Person during the 2022-2023 school year by displacement status")</f>
        <v>C_3 School Aged Children Reportedly Attending Schools In-Person during the 2022-2023 school year by displacement status</v>
      </c>
    </row>
    <row r="83" spans="1:1" x14ac:dyDescent="0.3">
      <c r="A83" s="1" t="str">
        <f>HYPERLINK("#'Data'!A1248", "C_3 School Aged Children Reportedly Attending Schools In-Person during the 2022-2023 school year by HoHH sex")</f>
        <v>C_3 School Aged Children Reportedly Attending Schools In-Person during the 2022-2023 school year by HoHH sex</v>
      </c>
    </row>
    <row r="84" spans="1:1" x14ac:dyDescent="0.3">
      <c r="A84" s="1" t="str">
        <f>HYPERLINK("#'Data'!A1268", "C_3 School Aged Children Reportedly Attending Schools In-Person during the 2022-2023 school year by HH with member employed")</f>
        <v>C_3 School Aged Children Reportedly Attending Schools In-Person during the 2022-2023 school year by HH with member employed</v>
      </c>
    </row>
    <row r="85" spans="1:1" x14ac:dyDescent="0.3">
      <c r="A85" s="1" t="str">
        <f>HYPERLINK("#'Data'!A1287", "C_3 School Aged Children Reportedly Attending Schools In-Person during the 2022-2023 school year by HH proximity to frontline or Russian border")</f>
        <v>C_3 School Aged Children Reportedly Attending Schools In-Person during the 2022-2023 school year by HH proximity to frontline or Russian border</v>
      </c>
    </row>
    <row r="86" spans="1:1" x14ac:dyDescent="0.3">
      <c r="A86" s="1" t="str">
        <f>HYPERLINK("#'Data'!A1300", "C_4 School Aged Children Reportedly Attending Schools Remotely during the 2022-2023 school year overall")</f>
        <v>C_4 School Aged Children Reportedly Attending Schools Remotely during the 2022-2023 school year overall</v>
      </c>
    </row>
    <row r="87" spans="1:1" x14ac:dyDescent="0.3">
      <c r="A87" s="1" t="str">
        <f>HYPERLINK("#'Data'!A1309", "C_4 School Aged Children Reportedly Attending Schools Remotely during the 2022-2023 school year by child with a disability")</f>
        <v>C_4 School Aged Children Reportedly Attending Schools Remotely during the 2022-2023 school year by child with a disability</v>
      </c>
    </row>
    <row r="88" spans="1:1" x14ac:dyDescent="0.3">
      <c r="A88" s="1" t="str">
        <f>HYPERLINK("#'Data'!A1335", "C_4 School Aged Children Reportedly Attending Schools Remotely during the 2022-2023 school year by rural or urban")</f>
        <v>C_4 School Aged Children Reportedly Attending Schools Remotely during the 2022-2023 school year by rural or urban</v>
      </c>
    </row>
    <row r="89" spans="1:1" x14ac:dyDescent="0.3">
      <c r="A89" s="1" t="str">
        <f>HYPERLINK("#'Data'!A1350", "C_4 School Aged Children Reportedly Attending Schools Remotely during the 2022-2023 school year by displacement status")</f>
        <v>C_4 School Aged Children Reportedly Attending Schools Remotely during the 2022-2023 school year by displacement status</v>
      </c>
    </row>
    <row r="90" spans="1:1" x14ac:dyDescent="0.3">
      <c r="A90" s="1" t="str">
        <f>HYPERLINK("#'Data'!A1371", "C_4 School Aged Children Reportedly Attending Schools Remotely during the 2022-2023 school year by HoHH sex")</f>
        <v>C_4 School Aged Children Reportedly Attending Schools Remotely during the 2022-2023 school year by HoHH sex</v>
      </c>
    </row>
    <row r="91" spans="1:1" x14ac:dyDescent="0.3">
      <c r="A91" s="1" t="str">
        <f>HYPERLINK("#'Data'!A1392", "C_4 School Aged Children Reportedly Attending Schools Remotely during the 2022-2023 school year by HH with member employed")</f>
        <v>C_4 School Aged Children Reportedly Attending Schools Remotely during the 2022-2023 school year by HH with member employed</v>
      </c>
    </row>
    <row r="92" spans="1:1" x14ac:dyDescent="0.3">
      <c r="A92" s="1" t="str">
        <f>HYPERLINK("#'Data'!A1410", "C_4 School Aged Children Reportedly Attending Schools Remotely during the 2022-2023 school year by HH proximity to frontline or Russian border")</f>
        <v>C_4 School Aged Children Reportedly Attending Schools Remotely during the 2022-2023 school year by HH proximity to frontline or Russian border</v>
      </c>
    </row>
    <row r="93" spans="1:1" x14ac:dyDescent="0.3">
      <c r="A93" s="1" t="str">
        <f>HYPERLINK("#'Data'!A1423", "C_4 School Aged Children Reportedly Attending Schools In-Person and Remotely (Blended Learning) during the 2022-2023 school year overall")</f>
        <v>C_4 School Aged Children Reportedly Attending Schools In-Person and Remotely (Blended Learning) during the 2022-2023 school year overall</v>
      </c>
    </row>
    <row r="94" spans="1:1" x14ac:dyDescent="0.3">
      <c r="A94" s="1" t="str">
        <f>HYPERLINK("#'Data'!A1432", "C_4 School Aged Children Reportedly Attending Schools In-Person and Remotely (Blended Learning) during the 2022-2023 school year by child with a disability")</f>
        <v>C_4 School Aged Children Reportedly Attending Schools In-Person and Remotely (Blended Learning) during the 2022-2023 school year by child with a disability</v>
      </c>
    </row>
    <row r="95" spans="1:1" x14ac:dyDescent="0.3">
      <c r="A95" s="1" t="str">
        <f>HYPERLINK("#'Data'!A1459", "C_4 School Aged Children Reportedly Attending Schools In-Person and Remotely (Blended Learning) during the 2022-2023 school year by child sex and age")</f>
        <v>C_4 School Aged Children Reportedly Attending Schools In-Person and Remotely (Blended Learning) during the 2022-2023 school year by child sex and age</v>
      </c>
    </row>
    <row r="96" spans="1:1" x14ac:dyDescent="0.3">
      <c r="A96" s="1" t="str">
        <f>HYPERLINK("#'Data'!A1492", "C_4 School Aged Children Reportedly Attending Schools In-Person and Remotely (Blended Learning) during the 2022-2023 school year by rural or urban")</f>
        <v>C_4 School Aged Children Reportedly Attending Schools In-Person and Remotely (Blended Learning) during the 2022-2023 school year by rural or urban</v>
      </c>
    </row>
    <row r="97" spans="1:1" x14ac:dyDescent="0.3">
      <c r="A97" s="1" t="str">
        <f>HYPERLINK("#'Data'!A1507", "C_4 School Aged Children Reportedly Attending Schools In-Person and Remotely (Blended Learning) during the 2022-2023 school year by displacement status")</f>
        <v>C_4 School Aged Children Reportedly Attending Schools In-Person and Remotely (Blended Learning) during the 2022-2023 school year by displacement status</v>
      </c>
    </row>
    <row r="98" spans="1:1" x14ac:dyDescent="0.3">
      <c r="A98" s="1" t="str">
        <f>HYPERLINK("#'Data'!A1528", "C_4 School Aged Children Reportedly Attending Schools In-Person and Remotely (Blended Learning) during the 2022-2023 school year by HoHH sex")</f>
        <v>C_4 School Aged Children Reportedly Attending Schools In-Person and Remotely (Blended Learning) during the 2022-2023 school year by HoHH sex</v>
      </c>
    </row>
    <row r="99" spans="1:1" x14ac:dyDescent="0.3">
      <c r="A99" s="1" t="str">
        <f>HYPERLINK("#'Data'!A1549", "C_4 School Aged Children Reportedly Attending Schools In-Person and Remotely (Blended Learning) during the 2022-2023 school year by HH with member employed")</f>
        <v>C_4 School Aged Children Reportedly Attending Schools In-Person and Remotely (Blended Learning) during the 2022-2023 school year by HH with member employed</v>
      </c>
    </row>
    <row r="100" spans="1:1" x14ac:dyDescent="0.3">
      <c r="A100" s="1" t="str">
        <f>HYPERLINK("#'Data'!A1569", "C_4 School Aged Children Reportedly Attending Schools In-Person and Remotely (Blended Learning) during the 2022-2023 school year by HH proximity to frontline or Russian border")</f>
        <v>C_4 School Aged Children Reportedly Attending Schools In-Person and Remotely (Blended Learning) during the 2022-2023 school year by HH proximity to frontline or Russian border</v>
      </c>
    </row>
    <row r="101" spans="1:1" x14ac:dyDescent="0.3">
      <c r="A101" s="3" t="s">
        <v>23</v>
      </c>
    </row>
    <row r="102" spans="1:1" x14ac:dyDescent="0.3">
      <c r="A102" s="3" t="s">
        <v>24</v>
      </c>
    </row>
    <row r="103" spans="1:1" x14ac:dyDescent="0.3">
      <c r="A103" s="3" t="s">
        <v>25</v>
      </c>
    </row>
    <row r="104" spans="1:1" x14ac:dyDescent="0.3">
      <c r="A104" s="3" t="s">
        <v>26</v>
      </c>
    </row>
    <row r="105" spans="1:1" x14ac:dyDescent="0.3">
      <c r="A105" s="3" t="s">
        <v>27</v>
      </c>
    </row>
    <row r="106" spans="1:1" x14ac:dyDescent="0.3">
      <c r="A106" s="3" t="s">
        <v>28</v>
      </c>
    </row>
    <row r="107" spans="1:1" x14ac:dyDescent="0.3">
      <c r="A107" s="3" t="s">
        <v>29</v>
      </c>
    </row>
    <row r="108" spans="1:1" x14ac:dyDescent="0.3">
      <c r="A108" s="3" t="s">
        <v>30</v>
      </c>
    </row>
    <row r="109" spans="1:1" x14ac:dyDescent="0.3">
      <c r="A109" s="1" t="str">
        <f>HYPERLINK("#'Data'!A1731", "C_7 School Aged Children Reportedly Able to Travel Safely and Learn in Safe Conditions at School During the 2022-2023 school year overall")</f>
        <v>C_7 School Aged Children Reportedly Able to Travel Safely and Learn in Safe Conditions at School During the 2022-2023 school year overall</v>
      </c>
    </row>
    <row r="110" spans="1:1" x14ac:dyDescent="0.3">
      <c r="A110" s="1" t="str">
        <f>HYPERLINK("#'Data'!A1740", "C_7 School Aged Children Reportedly Able to Travel Safely and Learn in Safe Conditions at School During the 2022-2023 school year by child with a disability")</f>
        <v>C_7 School Aged Children Reportedly Able to Travel Safely and Learn in Safe Conditions at School During the 2022-2023 school year by child with a disability</v>
      </c>
    </row>
    <row r="111" spans="1:1" x14ac:dyDescent="0.3">
      <c r="A111" s="1" t="str">
        <f>HYPERLINK("#'Data'!A1772", "C_7 School Aged Children Reportedly Able to Travel Safely and Learn in Safe Conditions at School During the 2022-2023 school year by rural or urban")</f>
        <v>C_7 School Aged Children Reportedly Able to Travel Safely and Learn in Safe Conditions at School During the 2022-2023 school year by rural or urban</v>
      </c>
    </row>
    <row r="112" spans="1:1" x14ac:dyDescent="0.3">
      <c r="A112" s="1" t="str">
        <f>HYPERLINK("#'Data'!A1787", "C_7 School Aged Children Reportedly Able to Travel Safely and Learn in Safe Conditions at School During the 2022-2023 school year by child sex and age")</f>
        <v>C_7 School Aged Children Reportedly Able to Travel Safely and Learn in Safe Conditions at School During the 2022-2023 school year by child sex and age</v>
      </c>
    </row>
    <row r="113" spans="1:1" x14ac:dyDescent="0.3">
      <c r="A113" s="1" t="str">
        <f>HYPERLINK("#'Data'!A1820", "C_7 School Aged Children Reportedly Able to Travel Safely and Learn in Safe Conditions at School During the 2022-2023 school year by displacement status")</f>
        <v>C_7 School Aged Children Reportedly Able to Travel Safely and Learn in Safe Conditions at School During the 2022-2023 school year by displacement status</v>
      </c>
    </row>
    <row r="114" spans="1:1" x14ac:dyDescent="0.3">
      <c r="A114" s="1" t="str">
        <f>HYPERLINK("#'Data'!A1841", "C_7 School Aged Children Reportedly Able to Travel Safely and Learn in Safe Conditions at School During the 2022-2023 school year by HoHH sex")</f>
        <v>C_7 School Aged Children Reportedly Able to Travel Safely and Learn in Safe Conditions at School During the 2022-2023 school year by HoHH sex</v>
      </c>
    </row>
    <row r="115" spans="1:1" x14ac:dyDescent="0.3">
      <c r="A115" s="1" t="str">
        <f>HYPERLINK("#'Data'!A1862", "C_7 School Aged Children Reportedly Able to Travel Safely and Learn in Safe Conditions at School During the 2022-2023 school year by HH with member employed")</f>
        <v>C_7 School Aged Children Reportedly Able to Travel Safely and Learn in Safe Conditions at School During the 2022-2023 school year by HH with member employed</v>
      </c>
    </row>
    <row r="116" spans="1:1" x14ac:dyDescent="0.3">
      <c r="A116" s="1" t="str">
        <f>HYPERLINK("#'Data'!A1882", "C_7 School Aged Children Reportedly Able to Travel Safely and Learn in Safe Conditions at School During the 2022-2023 school year by HH proximity to frontline or Russian border")</f>
        <v>C_7 School Aged Children Reportedly Able to Travel Safely and Learn in Safe Conditions at School During the 2022-2023 school year by HH proximity to frontline or Russian border</v>
      </c>
    </row>
    <row r="117" spans="1:1" x14ac:dyDescent="0.3">
      <c r="A117" s="1" t="str">
        <f>HYPERLINK("#'Data'!A1895", "C_8 Main Barriers School Aged Children Reportedly Faced to Travel and Learn Safely at School During the 2022-2023 school year overall")</f>
        <v>C_8 Main Barriers School Aged Children Reportedly Faced to Travel and Learn Safely at School During the 2022-2023 school year overall</v>
      </c>
    </row>
    <row r="118" spans="1:1" x14ac:dyDescent="0.3">
      <c r="A118" s="1" t="str">
        <f>HYPERLINK("#'Data'!A1904", "C_8 Main Barriers School Aged Children Reportedly Faced to Travel and Learn Safely at School During the 2022-2023 school year by child with a disability")</f>
        <v>C_8 Main Barriers School Aged Children Reportedly Faced to Travel and Learn Safely at School During the 2022-2023 school year by child with a disability</v>
      </c>
    </row>
    <row r="119" spans="1:1" x14ac:dyDescent="0.3">
      <c r="A119" s="1" t="str">
        <f>HYPERLINK("#'Data'!A1917", "C_8 Main Barriers School Aged Children Reportedly Faced to Travel and Learn Safely at School During the 2022-2023 school year by child sex and age")</f>
        <v>C_8 Main Barriers School Aged Children Reportedly Faced to Travel and Learn Safely at School During the 2022-2023 school year by child sex and age</v>
      </c>
    </row>
    <row r="120" spans="1:1" x14ac:dyDescent="0.3">
      <c r="A120" s="1" t="str">
        <f>HYPERLINK("#'Data'!A1945", "C_8 Main Barriers School Aged Children Reportedly Faced to Travel and Learn Safely at School During the 2022-2023 school year by rural or urban")</f>
        <v>C_8 Main Barriers School Aged Children Reportedly Faced to Travel and Learn Safely at School During the 2022-2023 school year by rural or urban</v>
      </c>
    </row>
    <row r="121" spans="1:1" x14ac:dyDescent="0.3">
      <c r="A121" s="1" t="str">
        <f>HYPERLINK("#'Data'!A1960", "C_8 Main Barriers School Aged Children Reportedly Faced to Travel and Learn Safely at School During the 2022-2023 school year by displacement status")</f>
        <v>C_8 Main Barriers School Aged Children Reportedly Faced to Travel and Learn Safely at School During the 2022-2023 school year by displacement status</v>
      </c>
    </row>
    <row r="122" spans="1:1" x14ac:dyDescent="0.3">
      <c r="A122" s="1" t="str">
        <f>HYPERLINK("#'Data'!A1977", "C_8 Main Barriers School Aged Children Reportedly Faced to Travel and Learn Safely at School During the 2022-2023 school year by HoHH sex")</f>
        <v>C_8 Main Barriers School Aged Children Reportedly Faced to Travel and Learn Safely at School During the 2022-2023 school year by HoHH sex</v>
      </c>
    </row>
    <row r="123" spans="1:1" x14ac:dyDescent="0.3">
      <c r="A123" s="1" t="str">
        <f>HYPERLINK("#'Data'!A1997", "C_8 Main Barriers School Aged Children Reportedly Faced to Travel and Learn Safely at School During the 2022-2023 school year by HH with member employed")</f>
        <v>C_8 Main Barriers School Aged Children Reportedly Faced to Travel and Learn Safely at School During the 2022-2023 school year by HH with member employed</v>
      </c>
    </row>
    <row r="124" spans="1:1" x14ac:dyDescent="0.3">
      <c r="A124" s="1" t="str">
        <f>HYPERLINK("#'Data'!A2012", "C_8 Main Barriers School Aged Children Reportedly Faced to Travel and Learn Safely at School During the 2022-2023 school year by HH proximity to frontline or Russian border")</f>
        <v>C_8 Main Barriers School Aged Children Reportedly Faced to Travel and Learn Safely at School During the 2022-2023 school year by HH proximity to frontline or Russian border</v>
      </c>
    </row>
    <row r="125" spans="1:1" x14ac:dyDescent="0.3">
      <c r="A125" s="1" t="str">
        <f>HYPERLINK("#'Data'!A2025", "C_9 School Aged Children Reportedly Able to Learn in Acceptable Conditions at School During the 2022-2023 school year overall")</f>
        <v>C_9 School Aged Children Reportedly Able to Learn in Acceptable Conditions at School During the 2022-2023 school year overall</v>
      </c>
    </row>
    <row r="126" spans="1:1" x14ac:dyDescent="0.3">
      <c r="A126" s="1" t="str">
        <f>HYPERLINK("#'Data'!A2034", "C_9 School Aged Children Reportedly Able to Learn in Acceptable Conditions at School During the 2022-2023 school year by child with a disability")</f>
        <v>C_9 School Aged Children Reportedly Able to Learn in Acceptable Conditions at School During the 2022-2023 school year by child with a disability</v>
      </c>
    </row>
    <row r="127" spans="1:1" x14ac:dyDescent="0.3">
      <c r="A127" s="1" t="str">
        <f>HYPERLINK("#'Data'!A2067", "C_9 School Aged Children Reportedly Able to Learn in Acceptable Conditions at School During the 2022-2023 school year by rural or urban")</f>
        <v>C_9 School Aged Children Reportedly Able to Learn in Acceptable Conditions at School During the 2022-2023 school year by rural or urban</v>
      </c>
    </row>
    <row r="128" spans="1:1" x14ac:dyDescent="0.3">
      <c r="A128" s="1" t="str">
        <f>HYPERLINK("#'Data'!A2082", "C_9 School Aged Children Reportedly Able to Learn in Acceptable Conditions at School During the 2022-2023 school year by displacement status")</f>
        <v>C_9 School Aged Children Reportedly Able to Learn in Acceptable Conditions at School During the 2022-2023 school year by displacement status</v>
      </c>
    </row>
    <row r="129" spans="1:1" x14ac:dyDescent="0.3">
      <c r="A129" s="1" t="str">
        <f>HYPERLINK("#'Data'!A2103", "C_9 School Aged Children Reportedly Able to Learn in Acceptable Conditions at School During the 2022-2023 school year by HoHH sex")</f>
        <v>C_9 School Aged Children Reportedly Able to Learn in Acceptable Conditions at School During the 2022-2023 school year by HoHH sex</v>
      </c>
    </row>
    <row r="130" spans="1:1" x14ac:dyDescent="0.3">
      <c r="A130" s="1" t="str">
        <f>HYPERLINK("#'Data'!A2124", "C_9 School Aged Children Reportedly Able to Learn in Acceptable Conditions at School During the 2022-2023 school year by HH with member employed")</f>
        <v>C_9 School Aged Children Reportedly Able to Learn in Acceptable Conditions at School During the 2022-2023 school year by HH with member employed</v>
      </c>
    </row>
    <row r="131" spans="1:1" x14ac:dyDescent="0.3">
      <c r="A131" s="1" t="str">
        <f>HYPERLINK("#'Data'!A2144", "C_9 School Aged Children Reportedly Able to Learn in Acceptable Conditions at School During the 2022-2023 school year by HH proximity to frontline or Russian border")</f>
        <v>C_9 School Aged Children Reportedly Able to Learn in Acceptable Conditions at School During the 2022-2023 school year by HH proximity to frontline or Russian border</v>
      </c>
    </row>
    <row r="132" spans="1:1" x14ac:dyDescent="0.3">
      <c r="A132" s="1" t="str">
        <f>HYPERLINK("#'Data'!A2157", "C_10 Main Barriers School Aged Children Reportedly Faced to Learn in Acceptable Conditions at School During the 2022-2023 school year overall")</f>
        <v>C_10 Main Barriers School Aged Children Reportedly Faced to Learn in Acceptable Conditions at School During the 2022-2023 school year overall</v>
      </c>
    </row>
    <row r="133" spans="1:1" x14ac:dyDescent="0.3">
      <c r="A133" s="1" t="str">
        <f>HYPERLINK("#'Data'!A2166", "C_10 Main Barriers School Aged Children Reportedly Faced to Learn in Acceptable Conditions at School During the 2022-2023 school year by child with a disability")</f>
        <v>C_10 Main Barriers School Aged Children Reportedly Faced to Learn in Acceptable Conditions at School During the 2022-2023 school year by child with a disability</v>
      </c>
    </row>
    <row r="134" spans="1:1" x14ac:dyDescent="0.3">
      <c r="A134" s="1" t="str">
        <f>HYPERLINK("#'Data'!A2180", "C_10 Main Barriers School Aged Children Reportedly Faced to Learn in Acceptable Conditions at School During the 2022-2023 school year by rural or urban")</f>
        <v>C_10 Main Barriers School Aged Children Reportedly Faced to Learn in Acceptable Conditions at School During the 2022-2023 school year by rural or urban</v>
      </c>
    </row>
    <row r="135" spans="1:1" x14ac:dyDescent="0.3">
      <c r="A135" s="1" t="str">
        <f>HYPERLINK("#'Data'!A2194", "C_10 Main Barriers School Aged Children Reportedly Faced to Learn in Acceptable Conditions at School During the 2022-2023 school year by child sex and age")</f>
        <v>C_10 Main Barriers School Aged Children Reportedly Faced to Learn in Acceptable Conditions at School During the 2022-2023 school year by child sex and age</v>
      </c>
    </row>
    <row r="136" spans="1:1" x14ac:dyDescent="0.3">
      <c r="A136" s="1" t="str">
        <f>HYPERLINK("#'Data'!A2221", "C_10 Main Barriers School Aged Children Reportedly Faced to Learn in Acceptable Conditions at School During the 2022-2023 school year by displacement status")</f>
        <v>C_10 Main Barriers School Aged Children Reportedly Faced to Learn in Acceptable Conditions at School During the 2022-2023 school year by displacement status</v>
      </c>
    </row>
    <row r="137" spans="1:1" x14ac:dyDescent="0.3">
      <c r="A137" s="1" t="str">
        <f>HYPERLINK("#'Data'!A2239", "C_10 Main Barriers School Aged Children Reportedly Faced to Learn in Acceptable Conditions at School During the 2022-2023 school year by HoHH sex")</f>
        <v>C_10 Main Barriers School Aged Children Reportedly Faced to Learn in Acceptable Conditions at School During the 2022-2023 school year by HoHH sex</v>
      </c>
    </row>
    <row r="138" spans="1:1" x14ac:dyDescent="0.3">
      <c r="A138" s="1" t="str">
        <f>HYPERLINK("#'Data'!A2256", "C_10 Main Barriers School Aged Children Reportedly Faced to Learn in Acceptable Conditions at School During the 2022-2023 school year by HH with member employed")</f>
        <v>C_10 Main Barriers School Aged Children Reportedly Faced to Learn in Acceptable Conditions at School During the 2022-2023 school year by HH with member employed</v>
      </c>
    </row>
    <row r="139" spans="1:1" x14ac:dyDescent="0.3">
      <c r="A139" s="1" t="str">
        <f>HYPERLINK("#'Data'!A2270", "C_10 Main Barriers School Aged Children Reportedly Faced to Learn in Acceptable Conditions at School During the 2022-2023 school year by HH proximity to frontline or Russian border")</f>
        <v>C_10 Main Barriers School Aged Children Reportedly Faced to Learn in Acceptable Conditions at School During the 2022-2023 school year by HH proximity to frontline or Russian border</v>
      </c>
    </row>
    <row r="140" spans="1:1" x14ac:dyDescent="0.3">
      <c r="A140" s="1" t="str">
        <f>HYPERLINK("#'Data'!A2283", "C_11 Young Children (2 to 5 years old) Reportedly Attending Early Childhood Education Programmes overall")</f>
        <v>C_11 Young Children (2 to 5 years old) Reportedly Attending Early Childhood Education Programmes overall</v>
      </c>
    </row>
    <row r="141" spans="1:1" x14ac:dyDescent="0.3">
      <c r="A141" s="1" t="str">
        <f>HYPERLINK("#'Data'!A2292", "C_11 Young Children (2 to 5 years old) Reportedly Attending Early Childhood Education Programmes by child with a disability")</f>
        <v>C_11 Young Children (2 to 5 years old) Reportedly Attending Early Childhood Education Programmes by child with a disability</v>
      </c>
    </row>
    <row r="142" spans="1:1" x14ac:dyDescent="0.3">
      <c r="A142" s="1" t="str">
        <f>HYPERLINK("#'Data'!A2305", "C_11 Young Children (2 to 5 years old) Reportedly Attending Early Childhood Education Programmes by rural or urban")</f>
        <v>C_11 Young Children (2 to 5 years old) Reportedly Attending Early Childhood Education Programmes by rural or urban</v>
      </c>
    </row>
    <row r="143" spans="1:1" x14ac:dyDescent="0.3">
      <c r="A143" s="1" t="str">
        <f>HYPERLINK("#'Data'!A2320", "C_11 Young Children (2 to 5 years old) Reportedly Attending Early Childhood Education Programmes by displacement status")</f>
        <v>C_11 Young Children (2 to 5 years old) Reportedly Attending Early Childhood Education Programmes by displacement status</v>
      </c>
    </row>
    <row r="144" spans="1:1" x14ac:dyDescent="0.3">
      <c r="A144" s="1" t="str">
        <f>HYPERLINK("#'Data'!A2341", "C_11 Young Children (2 to 5 years old) Reportedly Attending Early Childhood Education Programmes by HoHH sex")</f>
        <v>C_11 Young Children (2 to 5 years old) Reportedly Attending Early Childhood Education Programmes by HoHH sex</v>
      </c>
    </row>
    <row r="145" spans="1:1" x14ac:dyDescent="0.3">
      <c r="A145" s="1" t="str">
        <f>HYPERLINK("#'Data'!A2362", "C_11 Young Children (2 to 5 years old) Reportedly Attending Early Childhood Education Programmes by HH with member employed")</f>
        <v>C_11 Young Children (2 to 5 years old) Reportedly Attending Early Childhood Education Programmes by HH with member employed</v>
      </c>
    </row>
    <row r="146" spans="1:1" x14ac:dyDescent="0.3">
      <c r="A146" s="1" t="str">
        <f>HYPERLINK("#'Data'!A2377", "C_11 Young Children (2 to 5 years old) Reportedly Attending Early Childhood Education Programmes by HH proximity to frontline or Russian border")</f>
        <v>C_11 Young Children (2 to 5 years old) Reportedly Attending Early Childhood Education Programmes by HH proximity to frontline or Russian border</v>
      </c>
    </row>
    <row r="147" spans="1:1" x14ac:dyDescent="0.3">
      <c r="A147" s="1" t="str">
        <f>HYPERLINK("#'Data'!A2390", "C_12 Main Barriers Reported for Young Children (2 to 5 years old) Faced to child Attending Early Childhood Education Programmes overall")</f>
        <v>C_12 Main Barriers Reported for Young Children (2 to 5 years old) Faced to child Attending Early Childhood Education Programmes overall</v>
      </c>
    </row>
    <row r="148" spans="1:1" x14ac:dyDescent="0.3">
      <c r="A148" s="1" t="str">
        <f>HYPERLINK("#'Data'!A2399", "C_12 Main Barriers Reported for Young Children (2 to 5 years old) Faced to child Attending Early Childhood Education Programmes by child with a disability")</f>
        <v>C_12 Main Barriers Reported for Young Children (2 to 5 years old) Faced to child Attending Early Childhood Education Programmes by child with a disability</v>
      </c>
    </row>
    <row r="149" spans="1:1" x14ac:dyDescent="0.3">
      <c r="A149" s="1" t="str">
        <f>HYPERLINK("#'Data'!A2410", "C_12 Main Barriers Reported for Young Children (2 to 5 years old) Faced to child Attending Early Childhood Education Programmes by rural or urban")</f>
        <v>C_12 Main Barriers Reported for Young Children (2 to 5 years old) Faced to child Attending Early Childhood Education Programmes by rural or urban</v>
      </c>
    </row>
    <row r="150" spans="1:1" x14ac:dyDescent="0.3">
      <c r="A150" s="1" t="str">
        <f>HYPERLINK("#'Data'!A2425", "C_12 Main Barriers Reported for Young Children (2 to 5 years old) Faced to child Attending Early Childhood Education Programmes by displacement status")</f>
        <v>C_12 Main Barriers Reported for Young Children (2 to 5 years old) Faced to child Attending Early Childhood Education Programmes by displacement status</v>
      </c>
    </row>
    <row r="151" spans="1:1" x14ac:dyDescent="0.3">
      <c r="A151" s="1" t="str">
        <f>HYPERLINK("#'Data'!A2446", "C_12 Main Barriers Reported for Young Children (2 to 5 years old) Faced to child Attending Early Childhood Education Programmes by HoHH sex")</f>
        <v>C_12 Main Barriers Reported for Young Children (2 to 5 years old) Faced to child Attending Early Childhood Education Programmes by HoHH sex</v>
      </c>
    </row>
    <row r="152" spans="1:1" x14ac:dyDescent="0.3">
      <c r="A152" s="1" t="str">
        <f>HYPERLINK("#'Data'!A2467", "C_12 Main Barriers Reported for Young Children (2 to 5 years old) Faced to child Attending Early Childhood Education Programmes by HH with member employed")</f>
        <v>C_12 Main Barriers Reported for Young Children (2 to 5 years old) Faced to child Attending Early Childhood Education Programmes by HH with member employed</v>
      </c>
    </row>
    <row r="153" spans="1:1" x14ac:dyDescent="0.3">
      <c r="A153" s="1" t="str">
        <f>HYPERLINK("#'Data'!A2482", "C_12 Main Barriers Reported for Young Children (2 to 5 years old) Faced to child Attending Early Childhood Education Programmes by HH proximity to frontline or Russian border")</f>
        <v>C_12 Main Barriers Reported for Young Children (2 to 5 years old) Faced to child Attending Early Childhood Education Programmes by HH proximity to frontline or Russian border</v>
      </c>
    </row>
    <row r="154" spans="1:1" x14ac:dyDescent="0.3">
      <c r="A154" s="1" t="str">
        <f>HYPERLINK("#'Data'!A2495", "D_1 Households by Type of Shelter Reported overall")</f>
        <v>D_1 Households by Type of Shelter Reported overall</v>
      </c>
    </row>
    <row r="155" spans="1:1" x14ac:dyDescent="0.3">
      <c r="A155" s="1" t="str">
        <f>HYPERLINK("#'Data'!A2504", "D_1 Households by Type of Shelter Reported by HHs with a member with a disability")</f>
        <v>D_1 Households by Type of Shelter Reported by HHs with a member with a disability</v>
      </c>
    </row>
    <row r="156" spans="1:1" x14ac:dyDescent="0.3">
      <c r="A156" s="1" t="str">
        <f>HYPERLINK("#'Data'!A2525", "D_1 Households by Type of Shelter Reported by displacement status")</f>
        <v>D_1 Households by Type of Shelter Reported by displacement status</v>
      </c>
    </row>
    <row r="157" spans="1:1" x14ac:dyDescent="0.3">
      <c r="A157" s="1" t="str">
        <f>HYPERLINK("#'Data'!A2546", "D_1 Households by Type of Shelter Reported by HoHH sex")</f>
        <v>D_1 Households by Type of Shelter Reported by HoHH sex</v>
      </c>
    </row>
    <row r="158" spans="1:1" x14ac:dyDescent="0.3">
      <c r="A158" s="1" t="str">
        <f>HYPERLINK("#'Data'!A2567", "D_1 Households by Type of Shelter Reported by rural or urban")</f>
        <v>D_1 Households by Type of Shelter Reported by rural or urban</v>
      </c>
    </row>
    <row r="159" spans="1:1" x14ac:dyDescent="0.3">
      <c r="A159" s="1" t="str">
        <f>HYPERLINK("#'Data'!A2582", "D_1 Households by Type of Shelter Reported by HH with unimproved drinking water source")</f>
        <v>D_1 Households by Type of Shelter Reported by HH with unimproved drinking water source</v>
      </c>
    </row>
    <row r="160" spans="1:1" x14ac:dyDescent="0.3">
      <c r="A160" s="1" t="str">
        <f>HYPERLINK("#'Data'!A2609", "D_1 Households by Type of Shelter Reported by HH with unimproved sanitation facility")</f>
        <v>D_1 Households by Type of Shelter Reported by HH with unimproved sanitation facility</v>
      </c>
    </row>
    <row r="161" spans="1:1" x14ac:dyDescent="0.3">
      <c r="A161" s="1" t="str">
        <f>HYPERLINK("#'Data'!A2632", "D_1 Households by Type of Shelter Reported by HH with member employed")</f>
        <v>D_1 Households by Type of Shelter Reported by HH with member employed</v>
      </c>
    </row>
    <row r="162" spans="1:1" x14ac:dyDescent="0.3">
      <c r="A162" s="1" t="str">
        <f>HYPERLINK("#'Data'!A2653", "D_2 Households by Type of Conflict-Related Damages or Defects Reported overall")</f>
        <v>D_2 Households by Type of Conflict-Related Damages or Defects Reported overall</v>
      </c>
    </row>
    <row r="163" spans="1:1" x14ac:dyDescent="0.3">
      <c r="A163" s="1" t="str">
        <f>HYPERLINK("#'Data'!A2662", "D_2 Households by Type of Conflict-Related Damages or Defects Reported by HHs with a member with a disability")</f>
        <v>D_2 Households by Type of Conflict-Related Damages or Defects Reported by HHs with a member with a disability</v>
      </c>
    </row>
    <row r="164" spans="1:1" x14ac:dyDescent="0.3">
      <c r="A164" s="1" t="str">
        <f>HYPERLINK("#'Data'!A2683", "D_2 Households by Type of Conflict-Related Damages or Defects Reported by displacement status")</f>
        <v>D_2 Households by Type of Conflict-Related Damages or Defects Reported by displacement status</v>
      </c>
    </row>
    <row r="165" spans="1:1" x14ac:dyDescent="0.3">
      <c r="A165" s="1" t="str">
        <f>HYPERLINK("#'Data'!A2704", "D_2 Households by Type of Conflict-Related Damages or Defects Reported by HoHH sex")</f>
        <v>D_2 Households by Type of Conflict-Related Damages or Defects Reported by HoHH sex</v>
      </c>
    </row>
    <row r="166" spans="1:1" x14ac:dyDescent="0.3">
      <c r="A166" s="1" t="str">
        <f>HYPERLINK("#'Data'!A2725", "D_2 Households by Type of Conflict-Related Damages or Defects Reported by rural or urban")</f>
        <v>D_2 Households by Type of Conflict-Related Damages or Defects Reported by rural or urban</v>
      </c>
    </row>
    <row r="167" spans="1:1" x14ac:dyDescent="0.3">
      <c r="A167" s="1" t="str">
        <f>HYPERLINK("#'Data'!A2740", "D_2 Households by Type of Conflict-Related Damages or Defects Reported by HH proximity to frontline or Russian border")</f>
        <v>D_2 Households by Type of Conflict-Related Damages or Defects Reported by HH proximity to frontline or Russian border</v>
      </c>
    </row>
    <row r="168" spans="1:1" x14ac:dyDescent="0.3">
      <c r="A168" s="1" t="str">
        <f>HYPERLINK("#'Data'!A2753", "D_2 Households by Type of Conflict-Related Damages or Defects Reported by Shelter assistance received")</f>
        <v>D_2 Households by Type of Conflict-Related Damages or Defects Reported by Shelter assistance received</v>
      </c>
    </row>
    <row r="169" spans="1:1" x14ac:dyDescent="0.3">
      <c r="A169" s="1" t="str">
        <f>HYPERLINK("#'Data'!A2780", "D_3 Households by Shelter Living Condition Issues Reported overall")</f>
        <v>D_3 Households by Shelter Living Condition Issues Reported overall</v>
      </c>
    </row>
    <row r="170" spans="1:1" x14ac:dyDescent="0.3">
      <c r="A170" s="1" t="str">
        <f>HYPERLINK("#'Data'!A2789", "D_3 Households by Shelter Living Condition Issues Reported by displacement status")</f>
        <v>D_3 Households by Shelter Living Condition Issues Reported by displacement status</v>
      </c>
    </row>
    <row r="171" spans="1:1" x14ac:dyDescent="0.3">
      <c r="A171" s="1" t="str">
        <f>HYPERLINK("#'Data'!A2810", "D_3 Households by Shelter Living Condition Issues Reported by HoHH sex")</f>
        <v>D_3 Households by Shelter Living Condition Issues Reported by HoHH sex</v>
      </c>
    </row>
    <row r="172" spans="1:1" x14ac:dyDescent="0.3">
      <c r="A172" s="1" t="str">
        <f>HYPERLINK("#'Data'!A2831", "D_3 Households by Shelter Living Condition Issues Reported by rural or urban")</f>
        <v>D_3 Households by Shelter Living Condition Issues Reported by rural or urban</v>
      </c>
    </row>
    <row r="173" spans="1:1" x14ac:dyDescent="0.3">
      <c r="A173" s="1" t="str">
        <f>HYPERLINK("#'Data'!A2846", "D_3 Households by Shelter Living Condition Issues Reported by Shelter assistance received")</f>
        <v>D_3 Households by Shelter Living Condition Issues Reported by Shelter assistance received</v>
      </c>
    </row>
    <row r="174" spans="1:1" x14ac:dyDescent="0.3">
      <c r="A174" s="1" t="str">
        <f>HYPERLINK("#'Data'!A2873", "D_9 NFI Households Reported as Missing overall")</f>
        <v>D_9 NFI Households Reported as Missing overall</v>
      </c>
    </row>
    <row r="175" spans="1:1" x14ac:dyDescent="0.3">
      <c r="A175" s="1" t="str">
        <f>HYPERLINK("#'Data'!A2882", "D_9 NFI Households Reported as Missing by HHs with a member with a disability")</f>
        <v>D_9 NFI Households Reported as Missing by HHs with a member with a disability</v>
      </c>
    </row>
    <row r="176" spans="1:1" x14ac:dyDescent="0.3">
      <c r="A176" s="1" t="str">
        <f>HYPERLINK("#'Data'!A2903", "D_9 NFI Households Reported as Missing by displacement status")</f>
        <v>D_9 NFI Households Reported as Missing by displacement status</v>
      </c>
    </row>
    <row r="177" spans="1:1" x14ac:dyDescent="0.3">
      <c r="A177" s="1" t="str">
        <f>HYPERLINK("#'Data'!A2924", "D_9 NFI Households Reported as Missing by HoHH sex")</f>
        <v>D_9 NFI Households Reported as Missing by HoHH sex</v>
      </c>
    </row>
    <row r="178" spans="1:1" x14ac:dyDescent="0.3">
      <c r="A178" s="1" t="str">
        <f>HYPERLINK("#'Data'!A2945", "D_9 NFI Households Reported as Missing by rural or urban")</f>
        <v>D_9 NFI Households Reported as Missing by rural or urban</v>
      </c>
    </row>
    <row r="179" spans="1:1" x14ac:dyDescent="0.3">
      <c r="A179" s="1" t="str">
        <f>HYPERLINK("#'Data'!A2960", "D_9 NFI Households Reported as Missing by HH size")</f>
        <v>D_9 NFI Households Reported as Missing by HH size</v>
      </c>
    </row>
    <row r="180" spans="1:1" x14ac:dyDescent="0.3">
      <c r="A180" s="1" t="str">
        <f>HYPERLINK("#'Data'!A2981", "D_9 NFI Households Reported as Missing by HH with or without young children")</f>
        <v>D_9 NFI Households Reported as Missing by HH with or without young children</v>
      </c>
    </row>
    <row r="181" spans="1:1" x14ac:dyDescent="0.3">
      <c r="A181" s="1" t="str">
        <f>HYPERLINK("#'Data'!A2996", "D_9 NFI Households Reported as Missing by HH with or without infant children")</f>
        <v>D_9 NFI Households Reported as Missing by HH with or without infant children</v>
      </c>
    </row>
    <row r="182" spans="1:1" x14ac:dyDescent="0.3">
      <c r="A182" s="1" t="str">
        <f>HYPERLINK("#'Data'!A3017", "D_10 Shelter Occupancy Arranagement Reported by Households overall")</f>
        <v>D_10 Shelter Occupancy Arranagement Reported by Households overall</v>
      </c>
    </row>
    <row r="183" spans="1:1" x14ac:dyDescent="0.3">
      <c r="A183" s="1" t="str">
        <f>HYPERLINK("#'Data'!A3026", "D_10 Shelter Occupancy Arranagement Reported by Households by HHs with a member with a disability")</f>
        <v>D_10 Shelter Occupancy Arranagement Reported by Households by HHs with a member with a disability</v>
      </c>
    </row>
    <row r="184" spans="1:1" x14ac:dyDescent="0.3">
      <c r="A184" s="1" t="str">
        <f>HYPERLINK("#'Data'!A3047", "D_10 Shelter Occupancy Arranagement Reported by Households by displacement status")</f>
        <v>D_10 Shelter Occupancy Arranagement Reported by Households by displacement status</v>
      </c>
    </row>
    <row r="185" spans="1:1" x14ac:dyDescent="0.3">
      <c r="A185" s="1" t="str">
        <f>HYPERLINK("#'Data'!A3068", "D_10 Shelter Occupancy Arranagement Reported by Households by HoHH sex")</f>
        <v>D_10 Shelter Occupancy Arranagement Reported by Households by HoHH sex</v>
      </c>
    </row>
    <row r="186" spans="1:1" x14ac:dyDescent="0.3">
      <c r="A186" s="1" t="str">
        <f>HYPERLINK("#'Data'!A3089", "D_10 Shelter Occupancy Arranagement Reported by Households by rural or urban")</f>
        <v>D_10 Shelter Occupancy Arranagement Reported by Households by rural or urban</v>
      </c>
    </row>
    <row r="187" spans="1:1" x14ac:dyDescent="0.3">
      <c r="A187" s="1" t="str">
        <f>HYPERLINK("#'Data'!A3104", "D_14 Main Heating Source Reportedly Used by Households in their Accommodation during the last Winter Season overall")</f>
        <v>D_14 Main Heating Source Reportedly Used by Households in their Accommodation during the last Winter Season overall</v>
      </c>
    </row>
    <row r="188" spans="1:1" x14ac:dyDescent="0.3">
      <c r="A188" s="1" t="str">
        <f>HYPERLINK("#'Data'!A3113", "D_14 Main Heating Source Reportedly Used by Households in their Accommodation during the last Winter Season by HHs with a member with a disability")</f>
        <v>D_14 Main Heating Source Reportedly Used by Households in their Accommodation during the last Winter Season by HHs with a member with a disability</v>
      </c>
    </row>
    <row r="189" spans="1:1" x14ac:dyDescent="0.3">
      <c r="A189" s="1" t="str">
        <f>HYPERLINK("#'Data'!A3134", "D_14 Main Heating Source Reportedly Used by Households in their Accommodation during the last Winter Season by displacement status")</f>
        <v>D_14 Main Heating Source Reportedly Used by Households in their Accommodation during the last Winter Season by displacement status</v>
      </c>
    </row>
    <row r="190" spans="1:1" x14ac:dyDescent="0.3">
      <c r="A190" s="1" t="str">
        <f>HYPERLINK("#'Data'!A3155", "D_14 Main Heating Source Reportedly Used by Households in their Accommodation during the last Winter Season by HoHH sex")</f>
        <v>D_14 Main Heating Source Reportedly Used by Households in their Accommodation during the last Winter Season by HoHH sex</v>
      </c>
    </row>
    <row r="191" spans="1:1" x14ac:dyDescent="0.3">
      <c r="A191" s="1" t="str">
        <f>HYPERLINK("#'Data'!A3176", "D_14 Main Heating Source Reportedly Used by Households in their Accommodation during the last Winter Season by rural or urban")</f>
        <v>D_14 Main Heating Source Reportedly Used by Households in their Accommodation during the last Winter Season by rural or urban</v>
      </c>
    </row>
    <row r="192" spans="1:1" x14ac:dyDescent="0.3">
      <c r="A192" s="1" t="str">
        <f>HYPERLINK("#'Data'!A3191", "D_14 Main Heating Source Reportedly Used by Households in their Accommodation during the last Winter Season by HH proximity to frontline or Russian border")</f>
        <v>D_14 Main Heating Source Reportedly Used by Households in their Accommodation during the last Winter Season by HH proximity to frontline or Russian border</v>
      </c>
    </row>
    <row r="193" spans="1:1" x14ac:dyDescent="0.3">
      <c r="A193" s="1" t="str">
        <f>HYPERLINK("#'Data'!A3204", "D_14 Main Heating Source Reportedly Used by Households in their Accommodation during the last Winter Seasonby HHs reporting house damaged by conflict-related reasons")</f>
        <v>D_14 Main Heating Source Reportedly Used by Households in their Accommodation during the last Winter Seasonby HHs reporting house damaged by conflict-related reasons</v>
      </c>
    </row>
    <row r="194" spans="1:1" x14ac:dyDescent="0.3">
      <c r="A194" s="1" t="str">
        <f>HYPERLINK("#'Data'!A3225", "D_15 Households Reporting Interruption to Main Utility Services in their Current Accommodation over the Last 30 days Prior to Data Collection overall")</f>
        <v>D_15 Households Reporting Interruption to Main Utility Services in their Current Accommodation over the Last 30 days Prior to Data Collection overall</v>
      </c>
    </row>
    <row r="195" spans="1:1" x14ac:dyDescent="0.3">
      <c r="A195" s="1" t="str">
        <f>HYPERLINK("#'Data'!A3234", "D_15 Households Reporting Interruption to Main Utility Services in their Current Accommodation over the Last 30 days Prior to Data Collection by HHs with a member with a disability")</f>
        <v>D_15 Households Reporting Interruption to Main Utility Services in their Current Accommodation over the Last 30 days Prior to Data Collection by HHs with a member with a disability</v>
      </c>
    </row>
    <row r="196" spans="1:1" x14ac:dyDescent="0.3">
      <c r="A196" s="1" t="str">
        <f>HYPERLINK("#'Data'!A3255", "D_15 Households Reporting Interruption to Main Utility Services in their Current Accommodation over the Last 30 days Prior to Data Collection by displacement status")</f>
        <v>D_15 Households Reporting Interruption to Main Utility Services in their Current Accommodation over the Last 30 days Prior to Data Collection by displacement status</v>
      </c>
    </row>
    <row r="197" spans="1:1" x14ac:dyDescent="0.3">
      <c r="A197" s="1" t="str">
        <f>HYPERLINK("#'Data'!A3276", "D_15 Households Reporting Interruption to Main Utility Services in their Current Accommodation over the Last 30 days Prior to Data Collection by HoHH sex")</f>
        <v>D_15 Households Reporting Interruption to Main Utility Services in their Current Accommodation over the Last 30 days Prior to Data Collection by HoHH sex</v>
      </c>
    </row>
    <row r="198" spans="1:1" x14ac:dyDescent="0.3">
      <c r="A198" s="1" t="str">
        <f>HYPERLINK("#'Data'!A3297", "D_15 Households Reporting Interruption to Main Utility Services in their Current Accommodation over the Last 30 days Prior to Data Collection by rural or urban")</f>
        <v>D_15 Households Reporting Interruption to Main Utility Services in their Current Accommodation over the Last 30 days Prior to Data Collection by rural or urban</v>
      </c>
    </row>
    <row r="199" spans="1:1" x14ac:dyDescent="0.3">
      <c r="A199" s="1" t="str">
        <f>HYPERLINK("#'Data'!A3312", "D_15 Households Reporting Interruption to Main Utility Services in their Current Accommodation over the Last 30 days Prior to Data Collection by HH proximity to frontline or Russian border")</f>
        <v>D_15 Households Reporting Interruption to Main Utility Services in their Current Accommodation over the Last 30 days Prior to Data Collection by HH proximity to frontline or Russian border</v>
      </c>
    </row>
    <row r="200" spans="1:1" x14ac:dyDescent="0.3">
      <c r="A200" s="1" t="str">
        <f>HYPERLINK("#'Data'!A3325", "D_16 Distance of the Nearest Bomb Shelter to the Residence Reported by Households overall")</f>
        <v>D_16 Distance of the Nearest Bomb Shelter to the Residence Reported by Households overall</v>
      </c>
    </row>
    <row r="201" spans="1:1" x14ac:dyDescent="0.3">
      <c r="A201" s="1" t="str">
        <f>HYPERLINK("#'Data'!A3334", "D_16 Distance of the Nearest Bomb Shelter to the Residence Reported by Households by HHs with a member with a disability")</f>
        <v>D_16 Distance of the Nearest Bomb Shelter to the Residence Reported by Households by HHs with a member with a disability</v>
      </c>
    </row>
    <row r="202" spans="1:1" x14ac:dyDescent="0.3">
      <c r="A202" s="1" t="str">
        <f>HYPERLINK("#'Data'!A3355", "D_16 Distance of the Nearest Bomb Shelter to the Residence Reported by Households by displacement status")</f>
        <v>D_16 Distance of the Nearest Bomb Shelter to the Residence Reported by Households by displacement status</v>
      </c>
    </row>
    <row r="203" spans="1:1" x14ac:dyDescent="0.3">
      <c r="A203" s="1" t="str">
        <f>HYPERLINK("#'Data'!A3376", "D_16 Distance of the Nearest Bomb Shelter to the Residence Reported by Households by HoHH sex")</f>
        <v>D_16 Distance of the Nearest Bomb Shelter to the Residence Reported by Households by HoHH sex</v>
      </c>
    </row>
    <row r="204" spans="1:1" x14ac:dyDescent="0.3">
      <c r="A204" s="1" t="str">
        <f>HYPERLINK("#'Data'!A3397", "D_16 Distance of the Nearest Bomb Shelter to the Residence Reported by Households by rural or urban")</f>
        <v>D_16 Distance of the Nearest Bomb Shelter to the Residence Reported by Households by rural or urban</v>
      </c>
    </row>
    <row r="205" spans="1:1" x14ac:dyDescent="0.3">
      <c r="A205" s="1" t="str">
        <f>HYPERLINK("#'Data'!A3412", "Overcrowding Shelter Overcrowding overall")</f>
        <v>Overcrowding Shelter Overcrowding overall</v>
      </c>
    </row>
    <row r="206" spans="1:1" x14ac:dyDescent="0.3">
      <c r="A206" s="1" t="str">
        <f>HYPERLINK("#'Data'!A3421", "Overcrowding Shelter Overcrowding by HHs with a member with a disability")</f>
        <v>Overcrowding Shelter Overcrowding by HHs with a member with a disability</v>
      </c>
    </row>
    <row r="207" spans="1:1" x14ac:dyDescent="0.3">
      <c r="A207" s="1" t="str">
        <f>HYPERLINK("#'Data'!A3442", "Overcrowding Shelter Overcrowding by displacement status")</f>
        <v>Overcrowding Shelter Overcrowding by displacement status</v>
      </c>
    </row>
    <row r="208" spans="1:1" x14ac:dyDescent="0.3">
      <c r="A208" s="1" t="str">
        <f>HYPERLINK("#'Data'!A3463", "Overcrowding Shelter Overcrowding by HoHH sex")</f>
        <v>Overcrowding Shelter Overcrowding by HoHH sex</v>
      </c>
    </row>
    <row r="209" spans="1:1" x14ac:dyDescent="0.3">
      <c r="A209" s="1" t="str">
        <f>HYPERLINK("#'Data'!A3484", "Overcrowding Shelter Overcrowding by rural or urban")</f>
        <v>Overcrowding Shelter Overcrowding by rural or urban</v>
      </c>
    </row>
    <row r="210" spans="1:1" x14ac:dyDescent="0.3">
      <c r="A210" s="1" t="str">
        <f>HYPERLINK("#'Data'!A3499", "Overcrowding Shelter Overcrowding by HH with member employed")</f>
        <v>Overcrowding Shelter Overcrowding by HH with member employed</v>
      </c>
    </row>
    <row r="211" spans="1:1" x14ac:dyDescent="0.3">
      <c r="A211" s="1" t="str">
        <f>HYPERLINK("#'Data'!A3520", "Households Reporting Functional Domestic Space by overall")</f>
        <v>Households Reporting Functional Domestic Space by overall</v>
      </c>
    </row>
    <row r="212" spans="1:1" x14ac:dyDescent="0.3">
      <c r="A212" s="1" t="str">
        <f>HYPERLINK("#'Data'!A3529", "Households Reporting Functional Domestic Space by disability")</f>
        <v>Households Reporting Functional Domestic Space by disability</v>
      </c>
    </row>
    <row r="213" spans="1:1" x14ac:dyDescent="0.3">
      <c r="A213" s="1" t="str">
        <f>HYPERLINK("#'Data'!A3550", "Households Reporting Functional Domestic Space by rural or urban")</f>
        <v>Households Reporting Functional Domestic Space by rural or urban</v>
      </c>
    </row>
    <row r="214" spans="1:1" x14ac:dyDescent="0.3">
      <c r="A214" s="1" t="str">
        <f>HYPERLINK("#'Data'!A3565", "Households Reporting Functional Domestic Space by displacement status")</f>
        <v>Households Reporting Functional Domestic Space by displacement status</v>
      </c>
    </row>
    <row r="215" spans="1:1" x14ac:dyDescent="0.3">
      <c r="A215" s="1" t="str">
        <f>HYPERLINK("#'Data'!A3586", "E_4 Household Reported Daily Hours of Access to Internet Network overall")</f>
        <v>E_4 Household Reported Daily Hours of Access to Internet Network overall</v>
      </c>
    </row>
    <row r="216" spans="1:1" x14ac:dyDescent="0.3">
      <c r="A216" s="1" t="str">
        <f>HYPERLINK("#'Data'!A3595", "E_4 Household Reported Daily Hours of Access to Internet Network by rural or urban")</f>
        <v>E_4 Household Reported Daily Hours of Access to Internet Network by rural or urban</v>
      </c>
    </row>
    <row r="217" spans="1:1" x14ac:dyDescent="0.3">
      <c r="A217" s="1" t="str">
        <f>HYPERLINK("#'Data'!A3610", "E_4 Household Reported Daily Hours of Access to Internet Network by HHs with a member with a disability")</f>
        <v>E_4 Household Reported Daily Hours of Access to Internet Network by HHs with a member with a disability</v>
      </c>
    </row>
    <row r="218" spans="1:1" x14ac:dyDescent="0.3">
      <c r="A218" s="1" t="str">
        <f>HYPERLINK("#'Data'!A3631", "E_4 Household Reported Daily Hours of Access to Internet Network by displacement status")</f>
        <v>E_4 Household Reported Daily Hours of Access to Internet Network by displacement status</v>
      </c>
    </row>
    <row r="219" spans="1:1" x14ac:dyDescent="0.3">
      <c r="A219" s="1" t="str">
        <f>HYPERLINK("#'Data'!A3652", "E_4 Household Reported Daily Hours of Access to Internet Network by HH with member employed")</f>
        <v>E_4 Household Reported Daily Hours of Access to Internet Network by HH with member employed</v>
      </c>
    </row>
    <row r="220" spans="1:1" x14ac:dyDescent="0.3">
      <c r="A220" s="1" t="str">
        <f>HYPERLINK("#'Data'!A3673", "E_4 Household Reported Daily Hours of Access to Internet Network by HoHH sex")</f>
        <v>E_4 Household Reported Daily Hours of Access to Internet Network by HoHH sex</v>
      </c>
    </row>
    <row r="221" spans="1:1" x14ac:dyDescent="0.3">
      <c r="A221" s="1" t="str">
        <f>HYPERLINK("#'Data'!A3694", "E_5 Household Reported Main Sources of Access to Internet overall")</f>
        <v>E_5 Household Reported Main Sources of Access to Internet overall</v>
      </c>
    </row>
    <row r="222" spans="1:1" x14ac:dyDescent="0.3">
      <c r="A222" s="1" t="str">
        <f>HYPERLINK("#'Data'!A3703", "E_5 Household Reported Main Sources of Access to Internet by rural or urban")</f>
        <v>E_5 Household Reported Main Sources of Access to Internet by rural or urban</v>
      </c>
    </row>
    <row r="223" spans="1:1" x14ac:dyDescent="0.3">
      <c r="A223" s="1" t="str">
        <f>HYPERLINK("#'Data'!A3718", "E_5 Household Reported Main Sources of Access to Internet by HHs with a member with a disability")</f>
        <v>E_5 Household Reported Main Sources of Access to Internet by HHs with a member with a disability</v>
      </c>
    </row>
    <row r="224" spans="1:1" x14ac:dyDescent="0.3">
      <c r="A224" s="1" t="str">
        <f>HYPERLINK("#'Data'!A3739", "E_5 Household Reported Main Sources of Access to Internet by displacement status")</f>
        <v>E_5 Household Reported Main Sources of Access to Internet by displacement status</v>
      </c>
    </row>
    <row r="225" spans="1:1" x14ac:dyDescent="0.3">
      <c r="A225" s="1" t="str">
        <f>HYPERLINK("#'Data'!A3760", "E_5 Household Reported Main Sources of Access to Internet by HH with member employed")</f>
        <v>E_5 Household Reported Main Sources of Access to Internet by HH with member employed</v>
      </c>
    </row>
    <row r="226" spans="1:1" x14ac:dyDescent="0.3">
      <c r="A226" s="1" t="str">
        <f>HYPERLINK("#'Data'!A3781", "E_5 Household Reported Main Sources of Access to Internet by HoHH sex")</f>
        <v>E_5 Household Reported Main Sources of Access to Internet by HoHH sex</v>
      </c>
    </row>
    <row r="227" spans="1:1" x14ac:dyDescent="0.3">
      <c r="A227" s="1" t="str">
        <f>HYPERLINK("#'Data'!A3802", "F_1 Main Sources of Water used for Drinking Reported by Households overall")</f>
        <v>F_1 Main Sources of Water used for Drinking Reported by Households overall</v>
      </c>
    </row>
    <row r="228" spans="1:1" x14ac:dyDescent="0.3">
      <c r="A228" s="1" t="str">
        <f>HYPERLINK("#'Data'!A3811", "F_1 Main Sources of Water used for Drinking Reported by Households by rural or urban")</f>
        <v>F_1 Main Sources of Water used for Drinking Reported by Households by rural or urban</v>
      </c>
    </row>
    <row r="229" spans="1:1" x14ac:dyDescent="0.3">
      <c r="A229" s="1" t="str">
        <f>HYPERLINK("#'Data'!A3826", "F_1 Main Sources of Water used for Drinking Reported by Households by HHs with a member with a disability")</f>
        <v>F_1 Main Sources of Water used for Drinking Reported by Households by HHs with a member with a disability</v>
      </c>
    </row>
    <row r="230" spans="1:1" x14ac:dyDescent="0.3">
      <c r="A230" s="1" t="str">
        <f>HYPERLINK("#'Data'!A3847", "F_1 Main Sources of Water used for Drinking Reported by Households by displacement status")</f>
        <v>F_1 Main Sources of Water used for Drinking Reported by Households by displacement status</v>
      </c>
    </row>
    <row r="231" spans="1:1" x14ac:dyDescent="0.3">
      <c r="A231" s="1" t="str">
        <f>HYPERLINK("#'Data'!A3868", "F_1 Main Sources of Water used for Drinking Reported by Households by HH with member employed")</f>
        <v>F_1 Main Sources of Water used for Drinking Reported by Households by HH with member employed</v>
      </c>
    </row>
    <row r="232" spans="1:1" x14ac:dyDescent="0.3">
      <c r="A232" s="1" t="str">
        <f>HYPERLINK("#'Data'!A3889", "F_1 Main Sources of Water used for Drinking Reported by Households by HoHH sex")</f>
        <v>F_1 Main Sources of Water used for Drinking Reported by Households by HoHH sex</v>
      </c>
    </row>
    <row r="233" spans="1:1" x14ac:dyDescent="0.3">
      <c r="A233" s="1" t="str">
        <f>HYPERLINK("#'Data'!A3910", "F_5 Time reported by Households to Fetch Water from Main Source of Water used for Drinking overall")</f>
        <v>F_5 Time reported by Households to Fetch Water from Main Source of Water used for Drinking overall</v>
      </c>
    </row>
    <row r="234" spans="1:1" x14ac:dyDescent="0.3">
      <c r="A234" s="1" t="str">
        <f>HYPERLINK("#'Data'!A3919", "F_5 Time reported by Households to Fetch Water from Main Source of Water used for Drinking by rural or urban")</f>
        <v>F_5 Time reported by Households to Fetch Water from Main Source of Water used for Drinking by rural or urban</v>
      </c>
    </row>
    <row r="235" spans="1:1" x14ac:dyDescent="0.3">
      <c r="A235" s="1" t="str">
        <f>HYPERLINK("#'Data'!A3934", "F_5 Time reported by Households to Fetch Water from Main Source of Water used for Drinking by HHs with a member with a disability")</f>
        <v>F_5 Time reported by Households to Fetch Water from Main Source of Water used for Drinking by HHs with a member with a disability</v>
      </c>
    </row>
    <row r="236" spans="1:1" x14ac:dyDescent="0.3">
      <c r="A236" s="1" t="str">
        <f>HYPERLINK("#'Data'!A3955", "F_5 Time reported by Households to Fetch Water from Main Source of Water used for Drinking by displacement status")</f>
        <v>F_5 Time reported by Households to Fetch Water from Main Source of Water used for Drinking by displacement status</v>
      </c>
    </row>
    <row r="237" spans="1:1" x14ac:dyDescent="0.3">
      <c r="A237" s="1" t="str">
        <f>HYPERLINK("#'Data'!A3976", "F_5 Time reported by Households to Fetch Water from Main Source of Water used for Drinking by HH with member employed")</f>
        <v>F_5 Time reported by Households to Fetch Water from Main Source of Water used for Drinking by HH with member employed</v>
      </c>
    </row>
    <row r="238" spans="1:1" x14ac:dyDescent="0.3">
      <c r="A238" s="1" t="str">
        <f>HYPERLINK("#'Data'!A3997", "F_5 Time reported by Households to Fetch Water from Main Source of Water used for Drinking by HoHH sex")</f>
        <v>F_5 Time reported by Households to Fetch Water from Main Source of Water used for Drinking by HoHH sex</v>
      </c>
    </row>
    <row r="239" spans="1:1" x14ac:dyDescent="0.3">
      <c r="A239" s="1" t="str">
        <f>HYPERLINK("#'Data'!A4018", "F_2 Household Considering Water from their Main sources Safe to Drink Without Treatment overall")</f>
        <v>F_2 Household Considering Water from their Main sources Safe to Drink Without Treatment overall</v>
      </c>
    </row>
    <row r="240" spans="1:1" x14ac:dyDescent="0.3">
      <c r="A240" s="1" t="str">
        <f>HYPERLINK("#'Data'!A4027", "F_2 Household Considering Water from their Main sources Safe to Drink Without Treatment by rural or urban")</f>
        <v>F_2 Household Considering Water from their Main sources Safe to Drink Without Treatment by rural or urban</v>
      </c>
    </row>
    <row r="241" spans="1:1" x14ac:dyDescent="0.3">
      <c r="A241" s="1" t="str">
        <f>HYPERLINK("#'Data'!A4042", "F_2 Household Considering Water from their Main sources Safe to Drink Without Treatment by HHs with a member with a disability")</f>
        <v>F_2 Household Considering Water from their Main sources Safe to Drink Without Treatment by HHs with a member with a disability</v>
      </c>
    </row>
    <row r="242" spans="1:1" x14ac:dyDescent="0.3">
      <c r="A242" s="1" t="str">
        <f>HYPERLINK("#'Data'!A4063", "F_2 Household Considering Water from their Main sources Safe to Drink Without Treatment by displacement status")</f>
        <v>F_2 Household Considering Water from their Main sources Safe to Drink Without Treatment by displacement status</v>
      </c>
    </row>
    <row r="243" spans="1:1" x14ac:dyDescent="0.3">
      <c r="A243" s="1" t="str">
        <f>HYPERLINK("#'Data'!A4084", "F_2 Household Considering Water from their Main sources Safe to Drink Without Treatment by HH with member employed")</f>
        <v>F_2 Household Considering Water from their Main sources Safe to Drink Without Treatment by HH with member employed</v>
      </c>
    </row>
    <row r="244" spans="1:1" x14ac:dyDescent="0.3">
      <c r="A244" s="1" t="str">
        <f>HYPERLINK("#'Data'!A4105", "F_2 Household Considering Water from their Main sources Safe to Drink Without Treatment by HoHH sex")</f>
        <v>F_2 Household Considering Water from their Main sources Safe to Drink Without Treatment by HoHH sex</v>
      </c>
    </row>
    <row r="245" spans="1:1" x14ac:dyDescent="0.3">
      <c r="A245" s="1" t="str">
        <f>HYPERLINK("#'Data'!A4126", "F_3 Households Treating Water from their Main sources Before Drinking overall")</f>
        <v>F_3 Households Treating Water from their Main sources Before Drinking overall</v>
      </c>
    </row>
    <row r="246" spans="1:1" x14ac:dyDescent="0.3">
      <c r="A246" s="1" t="str">
        <f>HYPERLINK("#'Data'!A4135", "F_3 Households Treating Water from their Main sources Before Drinking by rural or urban")</f>
        <v>F_3 Households Treating Water from their Main sources Before Drinking by rural or urban</v>
      </c>
    </row>
    <row r="247" spans="1:1" x14ac:dyDescent="0.3">
      <c r="A247" s="1" t="str">
        <f>HYPERLINK("#'Data'!A4150", "F_3 Households Treating Water from their Main sources Before Drinking by HHs with a member with a disability")</f>
        <v>F_3 Households Treating Water from their Main sources Before Drinking by HHs with a member with a disability</v>
      </c>
    </row>
    <row r="248" spans="1:1" x14ac:dyDescent="0.3">
      <c r="A248" s="1" t="str">
        <f>HYPERLINK("#'Data'!A4171", "F_3 Households Treating Water from their Main sources Before Drinking by displacement status")</f>
        <v>F_3 Households Treating Water from their Main sources Before Drinking by displacement status</v>
      </c>
    </row>
    <row r="249" spans="1:1" x14ac:dyDescent="0.3">
      <c r="A249" s="1" t="str">
        <f>HYPERLINK("#'Data'!A4192", "F_3 Households Treating Water from their Main sources Before Drinking by HH with member employed")</f>
        <v>F_3 Households Treating Water from their Main sources Before Drinking by HH with member employed</v>
      </c>
    </row>
    <row r="250" spans="1:1" x14ac:dyDescent="0.3">
      <c r="A250" s="1" t="str">
        <f>HYPERLINK("#'Data'!A4213", "F_3 Households Treating Water from their Main sources Before Drinking by HoHH sex")</f>
        <v>F_3 Households Treating Water from their Main sources Before Drinking by HoHH sex</v>
      </c>
    </row>
    <row r="251" spans="1:1" x14ac:dyDescent="0.3">
      <c r="A251" s="1" t="str">
        <f>HYPERLINK("#'Data'!A4234", "F_4 Households Reporting Insufficient Drinking Water overall")</f>
        <v>F_4 Households Reporting Insufficient Drinking Water overall</v>
      </c>
    </row>
    <row r="252" spans="1:1" x14ac:dyDescent="0.3">
      <c r="A252" s="1" t="str">
        <f>HYPERLINK("#'Data'!A4243", "F_4 Households Reporting Insufficient Drinking Water by rural or urban")</f>
        <v>F_4 Households Reporting Insufficient Drinking Water by rural or urban</v>
      </c>
    </row>
    <row r="253" spans="1:1" x14ac:dyDescent="0.3">
      <c r="A253" s="1" t="str">
        <f>HYPERLINK("#'Data'!A4258", "F_4 Households Reporting Insufficient Drinking Water by HHs with a member with a disability")</f>
        <v>F_4 Households Reporting Insufficient Drinking Water by HHs with a member with a disability</v>
      </c>
    </row>
    <row r="254" spans="1:1" x14ac:dyDescent="0.3">
      <c r="A254" s="1" t="str">
        <f>HYPERLINK("#'Data'!A4279", "F_4 Households Reporting Insufficient Drinking Water by displacement status")</f>
        <v>F_4 Households Reporting Insufficient Drinking Water by displacement status</v>
      </c>
    </row>
    <row r="255" spans="1:1" x14ac:dyDescent="0.3">
      <c r="A255" s="1" t="str">
        <f>HYPERLINK("#'Data'!A4300", "F_4 Households Reporting Insufficient Drinking Water by HH with member employed")</f>
        <v>F_4 Households Reporting Insufficient Drinking Water by HH with member employed</v>
      </c>
    </row>
    <row r="256" spans="1:1" x14ac:dyDescent="0.3">
      <c r="A256" s="1" t="str">
        <f>HYPERLINK("#'Data'!A4321", "F_7 Households Reporting Access to Water Quantity Adequate to Meet Needs overall")</f>
        <v>F_7 Households Reporting Access to Water Quantity Adequate to Meet Needs overall</v>
      </c>
    </row>
    <row r="257" spans="1:1" x14ac:dyDescent="0.3">
      <c r="A257" s="1" t="str">
        <f>HYPERLINK("#'Data'!A4330", "F_7 Households Reporting Access to Water Quantity Adequate to Meet Needs by HoHH sex")</f>
        <v>F_7 Households Reporting Access to Water Quantity Adequate to Meet Needs by HoHH sex</v>
      </c>
    </row>
    <row r="258" spans="1:1" x14ac:dyDescent="0.3">
      <c r="A258" s="1" t="str">
        <f>HYPERLINK("#'Data'!A4351", "F_7 Households Reporting Access to Water Quantity Adequate to Meet Needs by rural or urban")</f>
        <v>F_7 Households Reporting Access to Water Quantity Adequate to Meet Needs by rural or urban</v>
      </c>
    </row>
    <row r="259" spans="1:1" x14ac:dyDescent="0.3">
      <c r="A259" s="1" t="str">
        <f>HYPERLINK("#'Data'!A4366", "F_7 Households Reporting Access to Water Quantity Adequate to Meet Needs by HHs with a member with a disability")</f>
        <v>F_7 Households Reporting Access to Water Quantity Adequate to Meet Needs by HHs with a member with a disability</v>
      </c>
    </row>
    <row r="260" spans="1:1" x14ac:dyDescent="0.3">
      <c r="A260" s="1" t="str">
        <f>HYPERLINK("#'Data'!A4387", "F_7 Households Reporting Access to Water Quantity Adequate to Meet Needs by displacement status")</f>
        <v>F_7 Households Reporting Access to Water Quantity Adequate to Meet Needs by displacement status</v>
      </c>
    </row>
    <row r="261" spans="1:1" x14ac:dyDescent="0.3">
      <c r="A261" s="1" t="str">
        <f>HYPERLINK("#'Data'!A4408", "F_7 Households Reporting Access to Water Quantity Adequate to Meet Needs by HH with member employed")</f>
        <v>F_7 Households Reporting Access to Water Quantity Adequate to Meet Needs by HH with member employed</v>
      </c>
    </row>
    <row r="262" spans="1:1" x14ac:dyDescent="0.3">
      <c r="A262" s="1" t="str">
        <f>HYPERLINK("#'Data'!A4429", "F_8 Type of Sanitation Facility Reportedly Used by Household Members overall")</f>
        <v>F_8 Type of Sanitation Facility Reportedly Used by Household Members overall</v>
      </c>
    </row>
    <row r="263" spans="1:1" x14ac:dyDescent="0.3">
      <c r="A263" s="1" t="str">
        <f>HYPERLINK("#'Data'!A4438", "F_8 Type of Sanitation Facility Reportedly Used by Household Members by rural or urban")</f>
        <v>F_8 Type of Sanitation Facility Reportedly Used by Household Members by rural or urban</v>
      </c>
    </row>
    <row r="264" spans="1:1" x14ac:dyDescent="0.3">
      <c r="A264" s="1" t="str">
        <f>HYPERLINK("#'Data'!A4453", "F_8 Type of Sanitation Facility Reportedly Used by Household Members by HHs with a member with a disability")</f>
        <v>F_8 Type of Sanitation Facility Reportedly Used by Household Members by HHs with a member with a disability</v>
      </c>
    </row>
    <row r="265" spans="1:1" x14ac:dyDescent="0.3">
      <c r="A265" s="1" t="str">
        <f>HYPERLINK("#'Data'!A4474", "F_8 Type of Sanitation Facility Reportedly Used by Household Members by displacement status")</f>
        <v>F_8 Type of Sanitation Facility Reportedly Used by Household Members by displacement status</v>
      </c>
    </row>
    <row r="266" spans="1:1" x14ac:dyDescent="0.3">
      <c r="A266" s="1" t="str">
        <f>HYPERLINK("#'Data'!A4495", "F_8 Type of Sanitation Facility Reportedly Used by Household Members by HH with member employed")</f>
        <v>F_8 Type of Sanitation Facility Reportedly Used by Household Members by HH with member employed</v>
      </c>
    </row>
    <row r="267" spans="1:1" x14ac:dyDescent="0.3">
      <c r="A267" s="1" t="str">
        <f>HYPERLINK("#'Data'!A4516", "F_8 Type of Sanitation Facility Reportedly Used by Household Members by HoHH sex")</f>
        <v>F_8 Type of Sanitation Facility Reportedly Used by Household Members by HoHH sex</v>
      </c>
    </row>
    <row r="268" spans="1:1" x14ac:dyDescent="0.3">
      <c r="A268" s="1" t="str">
        <f>HYPERLINK("#'Data'!A4537", "F_9 Household Reporting to Share a Sanitation Facility with Another Household overall")</f>
        <v>F_9 Household Reporting to Share a Sanitation Facility with Another Household overall</v>
      </c>
    </row>
    <row r="269" spans="1:1" x14ac:dyDescent="0.3">
      <c r="A269" s="1" t="str">
        <f>HYPERLINK("#'Data'!A4546", "F_9 Household Reporting to Share a Sanitation Facility with Another Household by rural or urban")</f>
        <v>F_9 Household Reporting to Share a Sanitation Facility with Another Household by rural or urban</v>
      </c>
    </row>
    <row r="270" spans="1:1" x14ac:dyDescent="0.3">
      <c r="A270" s="1" t="str">
        <f>HYPERLINK("#'Data'!A4561", "F_9 Household Reporting to Share a Sanitation Facility with Another Household by HHs with a member with a disability")</f>
        <v>F_9 Household Reporting to Share a Sanitation Facility with Another Household by HHs with a member with a disability</v>
      </c>
    </row>
    <row r="271" spans="1:1" x14ac:dyDescent="0.3">
      <c r="A271" s="1" t="str">
        <f>HYPERLINK("#'Data'!A4582", "F_9 Household Reporting to Share a Sanitation Facility with Another Household by displacement status")</f>
        <v>F_9 Household Reporting to Share a Sanitation Facility with Another Household by displacement status</v>
      </c>
    </row>
    <row r="272" spans="1:1" x14ac:dyDescent="0.3">
      <c r="A272" s="1" t="str">
        <f>HYPERLINK("#'Data'!A4603", "F_9 Household Reporting to Share a Sanitation Facility with Another Household by HH with member employed")</f>
        <v>F_9 Household Reporting to Share a Sanitation Facility with Another Household by HH with member employed</v>
      </c>
    </row>
    <row r="273" spans="1:1" x14ac:dyDescent="0.3">
      <c r="A273" s="1" t="str">
        <f>HYPERLINK("#'Data'!A4624", "F_9 Household Reporting to Share a Sanitation Facility with Another Household by HoHH sex")</f>
        <v>F_9 Household Reporting to Share a Sanitation Facility with Another Household by HoHH sex</v>
      </c>
    </row>
    <row r="274" spans="1:1" x14ac:dyDescent="0.3">
      <c r="A274" s="1" t="str">
        <f>HYPERLINK("#'Data'!A4645", "F_10 Number of Households Sharing Sanitation Facility Reported overall")</f>
        <v>F_10 Number of Households Sharing Sanitation Facility Reported overall</v>
      </c>
    </row>
    <row r="275" spans="1:1" x14ac:dyDescent="0.3">
      <c r="A275" s="1" t="str">
        <f>HYPERLINK("#'Data'!A4654", "F_10 Number of Households Sharing Sanitation Facility Reported by rural or urban")</f>
        <v>F_10 Number of Households Sharing Sanitation Facility Reported by rural or urban</v>
      </c>
    </row>
    <row r="276" spans="1:1" x14ac:dyDescent="0.3">
      <c r="A276" s="1" t="str">
        <f>HYPERLINK("#'Data'!A4669", "F_10 Number of Households Sharing Sanitation Facility Reported by WASH assistance received")</f>
        <v>F_10 Number of Households Sharing Sanitation Facility Reported by WASH assistance received</v>
      </c>
    </row>
    <row r="277" spans="1:1" x14ac:dyDescent="0.3">
      <c r="A277" s="1" t="str">
        <f>HYPERLINK("#'Data'!A4690", "F_10 Number of Households Sharing Sanitation Facility Reported by HHs with challenge to obtain money")</f>
        <v>F_10 Number of Households Sharing Sanitation Facility Reported by HHs with challenge to obtain money</v>
      </c>
    </row>
    <row r="278" spans="1:1" x14ac:dyDescent="0.3">
      <c r="A278" s="1" t="str">
        <f>HYPERLINK("#'Data'!A4708", "F_10 Number of Households Sharing Sanitation Facility Reported by HH with member employed")</f>
        <v>F_10 Number of Households Sharing Sanitation Facility Reported by HH with member employed</v>
      </c>
    </row>
    <row r="279" spans="1:1" x14ac:dyDescent="0.3">
      <c r="A279" s="1" t="str">
        <f>HYPERLINK("#'Data'!A4729", "F_10 Number of Households Sharing Sanitation Facility Reported by HHs with a member with a disability")</f>
        <v>F_10 Number of Households Sharing Sanitation Facility Reported by HHs with a member with a disability</v>
      </c>
    </row>
    <row r="280" spans="1:1" x14ac:dyDescent="0.3">
      <c r="A280" s="1" t="str">
        <f>HYPERLINK("#'Data'!A4747", "F_17 Household Reporting Access to Handwashing Facility with Water and Soap by overall")</f>
        <v>F_17 Household Reporting Access to Handwashing Facility with Water and Soap by overall</v>
      </c>
    </row>
    <row r="281" spans="1:1" x14ac:dyDescent="0.3">
      <c r="A281" s="1" t="str">
        <f>HYPERLINK("#'Data'!A4756", "F_17 Household Reporting Access to Handwashing Facility with Water and Soap by displacement status")</f>
        <v>F_17 Household Reporting Access to Handwashing Facility with Water and Soap by displacement status</v>
      </c>
    </row>
    <row r="282" spans="1:1" x14ac:dyDescent="0.3">
      <c r="A282" s="1" t="str">
        <f>HYPERLINK("#'Data'!A4777", "F_17 Household Reporting Access to Handwashing Facility with Water and Soap by HH with member employed")</f>
        <v>F_17 Household Reporting Access to Handwashing Facility with Water and Soap by HH with member employed</v>
      </c>
    </row>
    <row r="283" spans="1:1" x14ac:dyDescent="0.3">
      <c r="A283" s="1" t="str">
        <f>HYPERLINK("#'Data'!A4798", "F_17 Household Reporting Access to Handwashing Facility with Water and Soap by HoHH sex")</f>
        <v>F_17 Household Reporting Access to Handwashing Facility with Water and Soap by HoHH sex</v>
      </c>
    </row>
    <row r="284" spans="1:1" x14ac:dyDescent="0.3">
      <c r="A284" s="1" t="str">
        <f>HYPERLINK("#'Data'!A4819", "F_17 Household Reporting Access to Handwashing Facility with Water and Soap by HHs with a member with a disability")</f>
        <v>F_17 Household Reporting Access to Handwashing Facility with Water and Soap by HHs with a member with a disability</v>
      </c>
    </row>
    <row r="285" spans="1:1" x14ac:dyDescent="0.3">
      <c r="A285" s="1" t="str">
        <f>HYPERLINK("#'Data'!A4840", "F_18 Items Households Reported as Needing and Unable to Afford over the last 30 days prior to Data Collection overall")</f>
        <v>F_18 Items Households Reported as Needing and Unable to Afford over the last 30 days prior to Data Collection overall</v>
      </c>
    </row>
    <row r="286" spans="1:1" x14ac:dyDescent="0.3">
      <c r="A286" s="1" t="str">
        <f>HYPERLINK("#'Data'!A4849", "F_18 Items Households Reported as Needing and Unable to Afford over the last 30 days prior to Data Collection by HoHH sex")</f>
        <v>F_18 Items Households Reported as Needing and Unable to Afford over the last 30 days prior to Data Collection by HoHH sex</v>
      </c>
    </row>
    <row r="287" spans="1:1" x14ac:dyDescent="0.3">
      <c r="A287" s="1" t="str">
        <f>HYPERLINK("#'Data'!A4870", "F_18 Items Households Reported as Needing and Unable to Afford over the last 30 days prior to Data Collection by rural or urban")</f>
        <v>F_18 Items Households Reported as Needing and Unable to Afford over the last 30 days prior to Data Collection by rural or urban</v>
      </c>
    </row>
    <row r="288" spans="1:1" x14ac:dyDescent="0.3">
      <c r="A288" s="1" t="str">
        <f>HYPERLINK("#'Data'!A4885", "F_18 Items Households Reported as Needing and Unable to Afford over the last 30 days prior to Data Collection by HH size")</f>
        <v>F_18 Items Households Reported as Needing and Unable to Afford over the last 30 days prior to Data Collection by HH size</v>
      </c>
    </row>
    <row r="289" spans="1:1" x14ac:dyDescent="0.3">
      <c r="A289" s="1" t="str">
        <f>HYPERLINK("#'Data'!A4906", "F_18 Items Households Reported as Needing and Unable to Afford over the last 30 days prior to Data Collection by HH proximity to frontline or Russian border")</f>
        <v>F_18 Items Households Reported as Needing and Unable to Afford over the last 30 days prior to Data Collection by HH proximity to frontline or Russian border</v>
      </c>
    </row>
    <row r="290" spans="1:1" x14ac:dyDescent="0.3">
      <c r="A290" s="1" t="str">
        <f>HYPERLINK("#'Data'!A4919", "F_18 Items Households Reported as Needing and Unable to Afford over the last 30 days prior to Data Collection by HHs with only elderly members")</f>
        <v>F_18 Items Households Reported as Needing and Unable to Afford over the last 30 days prior to Data Collection by HHs with only elderly members</v>
      </c>
    </row>
    <row r="291" spans="1:1" x14ac:dyDescent="0.3">
      <c r="A291" s="1" t="str">
        <f>HYPERLINK("#'Data'!A4940", "F_18 Items Households Reported as Needing and Unable to Afford over the last 30 days prior to Data Collection by HHs with a member with a disability")</f>
        <v>F_18 Items Households Reported as Needing and Unable to Afford over the last 30 days prior to Data Collection by HHs with a member with a disability</v>
      </c>
    </row>
    <row r="292" spans="1:1" x14ac:dyDescent="0.3">
      <c r="A292" s="1" t="str">
        <f>HYPERLINK("#'Data'!A4961", "F_18 Items Households Reported as Needing and Unable to Afford over the last 30 days prior to Data Collection by displacement status")</f>
        <v>F_18 Items Households Reported as Needing and Unable to Afford over the last 30 days prior to Data Collection by displacement status</v>
      </c>
    </row>
    <row r="293" spans="1:1" x14ac:dyDescent="0.3">
      <c r="A293" s="1" t="str">
        <f>HYPERLINK("#'Data'!A4982", "F_19 Most Common Garbage Disposal Methods Reported by Households overall")</f>
        <v>F_19 Most Common Garbage Disposal Methods Reported by Households overall</v>
      </c>
    </row>
    <row r="294" spans="1:1" x14ac:dyDescent="0.3">
      <c r="A294" s="1" t="str">
        <f>HYPERLINK("#'Data'!A4991", "F_19 Most Common Garbage Disposal Methods Reported by Households by rural or urban")</f>
        <v>F_19 Most Common Garbage Disposal Methods Reported by Households by rural or urban</v>
      </c>
    </row>
    <row r="295" spans="1:1" x14ac:dyDescent="0.3">
      <c r="A295" s="1" t="str">
        <f>HYPERLINK("#'Data'!A5006", "F_19 Most Common Garbage Disposal Methods Reported by Households by HH size")</f>
        <v>F_19 Most Common Garbage Disposal Methods Reported by Households by HH size</v>
      </c>
    </row>
    <row r="296" spans="1:1" x14ac:dyDescent="0.3">
      <c r="A296" s="1" t="str">
        <f>HYPERLINK("#'Data'!A5027", "F_19 Most Common Garbage Disposal Methods Reported by Households by HH with member employed")</f>
        <v>F_19 Most Common Garbage Disposal Methods Reported by Households by HH with member employed</v>
      </c>
    </row>
    <row r="297" spans="1:1" x14ac:dyDescent="0.3">
      <c r="A297" s="1" t="str">
        <f>HYPERLINK("#'Data'!A5048", "F_19 Most Common Garbage Disposal Methods Reported by Households by HH proximity to frontline or Russian border")</f>
        <v>F_19 Most Common Garbage Disposal Methods Reported by Households by HH proximity to frontline or Russian border</v>
      </c>
    </row>
    <row r="298" spans="1:1" x14ac:dyDescent="0.3">
      <c r="A298" s="1" t="str">
        <f>HYPERLINK("#'Data'!A5061", "RCSI Reduced Coping Strategies Score overall")</f>
        <v>RCSI Reduced Coping Strategies Score overall</v>
      </c>
    </row>
    <row r="299" spans="1:1" x14ac:dyDescent="0.3">
      <c r="A299" s="1" t="str">
        <f>HYPERLINK("#'Data'!A5070", "RCSI Reduced Coping Strategies Score by HHs with a member with a disability")</f>
        <v>RCSI Reduced Coping Strategies Score by HHs with a member with a disability</v>
      </c>
    </row>
    <row r="300" spans="1:1" x14ac:dyDescent="0.3">
      <c r="A300" s="1" t="str">
        <f>HYPERLINK("#'Data'!A5091", "RCSI Reduced Coping Strategies Score by displacement status")</f>
        <v>RCSI Reduced Coping Strategies Score by displacement status</v>
      </c>
    </row>
    <row r="301" spans="1:1" x14ac:dyDescent="0.3">
      <c r="A301" s="1" t="str">
        <f>HYPERLINK("#'Data'!A5112", "RCSI Reduced Coping Strategies Score by HoHH sex")</f>
        <v>RCSI Reduced Coping Strategies Score by HoHH sex</v>
      </c>
    </row>
    <row r="302" spans="1:1" x14ac:dyDescent="0.3">
      <c r="A302" s="1" t="str">
        <f>HYPERLINK("#'Data'!A5133", "RCSI Reduced Coping Strategies Score by rural or urban")</f>
        <v>RCSI Reduced Coping Strategies Score by rural or urban</v>
      </c>
    </row>
    <row r="303" spans="1:1" x14ac:dyDescent="0.3">
      <c r="A303" s="1" t="str">
        <f>HYPERLINK("#'Data'!A5148", "Households Reportedly Adopting Reduced Coping Strategies by overall")</f>
        <v>Households Reportedly Adopting Reduced Coping Strategies by overall</v>
      </c>
    </row>
    <row r="304" spans="1:1" x14ac:dyDescent="0.3">
      <c r="A304" s="1" t="str">
        <f>HYPERLINK("#'Data'!A5157", "Households Reportedly Adopting Reduced Coping Strategies by HHs with a member with a disability")</f>
        <v>Households Reportedly Adopting Reduced Coping Strategies by HHs with a member with a disability</v>
      </c>
    </row>
    <row r="305" spans="1:1" x14ac:dyDescent="0.3">
      <c r="A305" s="1" t="str">
        <f>HYPERLINK("#'Data'!A5178", "Households Reportedly Adopting Reduced Coping Strategies by displacement status")</f>
        <v>Households Reportedly Adopting Reduced Coping Strategies by displacement status</v>
      </c>
    </row>
    <row r="306" spans="1:1" x14ac:dyDescent="0.3">
      <c r="A306" s="1" t="str">
        <f>HYPERLINK("#'Data'!A5199", "Households Reportedly Adopting Reduced Coping Strategies by head of household sex")</f>
        <v>Households Reportedly Adopting Reduced Coping Strategies by head of household sex</v>
      </c>
    </row>
    <row r="307" spans="1:1" x14ac:dyDescent="0.3">
      <c r="A307" s="1" t="str">
        <f>HYPERLINK("#'Data'!A5220", "Households Reportedly Adopting Reduced Coping Strategies by rural or urban")</f>
        <v>Households Reportedly Adopting Reduced Coping Strategies by rural or urban</v>
      </c>
    </row>
    <row r="308" spans="1:1" x14ac:dyDescent="0.3">
      <c r="A308" s="1" t="str">
        <f>HYPERLINK("#'Data'!A5235", "Households Reportedly Adopting Reduced Coping Strategies by employment status")</f>
        <v>Households Reportedly Adopting Reduced Coping Strategies by employment status</v>
      </c>
    </row>
    <row r="309" spans="1:1" x14ac:dyDescent="0.3">
      <c r="A309" s="1" t="str">
        <f>HYPERLINK("#'Data'!A5256", "FCS Food Consumption Score overall")</f>
        <v>FCS Food Consumption Score overall</v>
      </c>
    </row>
    <row r="310" spans="1:1" x14ac:dyDescent="0.3">
      <c r="A310" s="1" t="str">
        <f>HYPERLINK("#'Data'!A5265", "FCS Food Consumption Score by HHs with a member with a disability")</f>
        <v>FCS Food Consumption Score by HHs with a member with a disability</v>
      </c>
    </row>
    <row r="311" spans="1:1" x14ac:dyDescent="0.3">
      <c r="A311" s="1" t="str">
        <f>HYPERLINK("#'Data'!A5286", "FCS Food Consumption Score by displacement status")</f>
        <v>FCS Food Consumption Score by displacement status</v>
      </c>
    </row>
    <row r="312" spans="1:1" x14ac:dyDescent="0.3">
      <c r="A312" s="1" t="str">
        <f>HYPERLINK("#'Data'!A5307", "FCS Food Consumption Score by HoHH sex")</f>
        <v>FCS Food Consumption Score by HoHH sex</v>
      </c>
    </row>
    <row r="313" spans="1:1" x14ac:dyDescent="0.3">
      <c r="A313" s="1" t="str">
        <f>HYPERLINK("#'Data'!A5328", "FCS Food Consumption Score by rural or urban")</f>
        <v>FCS Food Consumption Score by rural or urban</v>
      </c>
    </row>
    <row r="314" spans="1:1" x14ac:dyDescent="0.3">
      <c r="A314" s="1" t="str">
        <f>HYPERLINK("#'Data'!A5343", "FCS Food Consumption Score by HHs with children")</f>
        <v>FCS Food Consumption Score by HHs with children</v>
      </c>
    </row>
    <row r="315" spans="1:1" x14ac:dyDescent="0.3">
      <c r="A315" s="1" t="str">
        <f>HYPERLINK("#'Data'!A5358", "HHS Household Hunger Scale Score overall")</f>
        <v>HHS Household Hunger Scale Score overall</v>
      </c>
    </row>
    <row r="316" spans="1:1" x14ac:dyDescent="0.3">
      <c r="A316" s="1" t="str">
        <f>HYPERLINK("#'Data'!A5367", "HHS Household Hunger Scale Score by HHs with a member with a disability")</f>
        <v>HHS Household Hunger Scale Score by HHs with a member with a disability</v>
      </c>
    </row>
    <row r="317" spans="1:1" x14ac:dyDescent="0.3">
      <c r="A317" s="1" t="str">
        <f>HYPERLINK("#'Data'!A5388", "HHS Household Hunger Scale Score by displacement status")</f>
        <v>HHS Household Hunger Scale Score by displacement status</v>
      </c>
    </row>
    <row r="318" spans="1:1" x14ac:dyDescent="0.3">
      <c r="A318" s="1" t="str">
        <f>HYPERLINK("#'Data'!A5409", "HHS Household Hunger Scale Score by HoHH sex")</f>
        <v>HHS Household Hunger Scale Score by HoHH sex</v>
      </c>
    </row>
    <row r="319" spans="1:1" x14ac:dyDescent="0.3">
      <c r="A319" s="1" t="str">
        <f>HYPERLINK("#'Data'!A5430", "HHS Household Hunger Scale Score by rural or urban")</f>
        <v>HHS Household Hunger Scale Score by rural or urban</v>
      </c>
    </row>
    <row r="320" spans="1:1" x14ac:dyDescent="0.3">
      <c r="A320" s="1" t="str">
        <f>HYPERLINK("#'Data'!A5445", "HHS Household Hunger Scale Score by HHs with children")</f>
        <v>HHS Household Hunger Scale Score by HHs with children</v>
      </c>
    </row>
    <row r="321" spans="1:9" x14ac:dyDescent="0.3">
      <c r="A321" s="1" t="str">
        <f>HYPERLINK("#'Data'!A5460", "H_1 Everbreastfed overall")</f>
        <v>H_1 Everbreastfed overall</v>
      </c>
    </row>
    <row r="322" spans="1:9" x14ac:dyDescent="0.3">
      <c r="A322" s="1" t="str">
        <f>HYPERLINK("#'Data'!A5469", "H_2 Breastfed the day before Data Collection overall")</f>
        <v>H_2 Breastfed the day before Data Collection overall</v>
      </c>
    </row>
    <row r="323" spans="1:9" x14ac:dyDescent="0.3">
      <c r="A323" s="1" t="str">
        <f>HYPERLINK("#'Data'!A5478", "I_1 Primary Income Sources Reported by Households Over the Last 30 Days Prior to Data Collection by overall")</f>
        <v>I_1 Primary Income Sources Reported by Households Over the Last 30 Days Prior to Data Collection by overall</v>
      </c>
    </row>
    <row r="324" spans="1:9" x14ac:dyDescent="0.3">
      <c r="A324" s="1" t="str">
        <f>HYPERLINK("#'Data'!A5487", "I_1 Primary Income Sources Reported by Households Over the Last 30 Days Prior to Data Collection by HHs with a member with a disability")</f>
        <v>I_1 Primary Income Sources Reported by Households Over the Last 30 Days Prior to Data Collection by HHs with a member with a disability</v>
      </c>
    </row>
    <row r="325" spans="1:9" x14ac:dyDescent="0.3">
      <c r="A325" s="1" t="str">
        <f>HYPERLINK("#'Data'!A5508", "I_1 Primary Income Sources Reported by Households Over the Last 30 Days Prior to Data Collection by displacement status")</f>
        <v>I_1 Primary Income Sources Reported by Households Over the Last 30 Days Prior to Data Collection by displacement status</v>
      </c>
    </row>
    <row r="326" spans="1:9" x14ac:dyDescent="0.3">
      <c r="A326" s="1" t="str">
        <f>HYPERLINK("#'Data'!A5529", "I_1 Primary Income Sources Reported by Households Over the Last 30 Days Prior to Data Collection by HoHH sex")</f>
        <v>I_1 Primary Income Sources Reported by Households Over the Last 30 Days Prior to Data Collection by HoHH sex</v>
      </c>
    </row>
    <row r="327" spans="1:9" x14ac:dyDescent="0.3">
      <c r="A327" s="1" t="str">
        <f>HYPERLINK("#'Data'!A5550", "I_1 Primary Income Sources Reported by Households Over the Last 30 Days Prior to Data Collection by rural or urban")</f>
        <v>I_1 Primary Income Sources Reported by Households Over the Last 30 Days Prior to Data Collection by rural or urban</v>
      </c>
    </row>
    <row r="328" spans="1:9" x14ac:dyDescent="0.3">
      <c r="A328" s="1" t="str">
        <f>HYPERLINK("#'Data'!A5565", "I_1 Primary Income Sources Reported by Households Over the Last 30 Days Prior to Data Collection by HH size")</f>
        <v>I_1 Primary Income Sources Reported by Households Over the Last 30 Days Prior to Data Collection by HH size</v>
      </c>
    </row>
    <row r="329" spans="1:9" x14ac:dyDescent="0.3">
      <c r="A329" s="1" t="str">
        <f>HYPERLINK("#'Data'!A5586", "I_1 Primary Income Sources Reported by Households Over the Last 30 Days Prior to Data Collection by HH with member employed")</f>
        <v>I_1 Primary Income Sources Reported by Households Over the Last 30 Days Prior to Data Collection by HH with member employed</v>
      </c>
    </row>
    <row r="330" spans="1:9" x14ac:dyDescent="0.3">
      <c r="A330" s="1" t="str">
        <f>HYPERLINK("#'Data'!A5607", "I_1 Primary Income Sources Reported by Households Over the Last 30 Days Prior to Data Collection by HH proximity to frontline or Russian border")</f>
        <v>I_1 Primary Income Sources Reported by Households Over the Last 30 Days Prior to Data Collection by HH proximity to frontline or Russian border</v>
      </c>
    </row>
    <row r="331" spans="1:9" x14ac:dyDescent="0.3">
      <c r="A331" s="4" t="str">
        <f>HYPERLINK("#'Data'!A5620", "I_1 Primary Income Sources Reported by Households Over the Last 30 Days Prior to Data Collection by assistance received")</f>
        <v>I_1 Primary Income Sources Reported by Households Over the Last 30 Days Prior to Data Collection by assistance received</v>
      </c>
    </row>
    <row r="332" spans="1:9" x14ac:dyDescent="0.3">
      <c r="A332" s="4" t="str">
        <f>HYPERLINK("#'Data'!A5641", "Total Income Total Household Income from all Reported Primary Income Sources over the Last 30 days Prior to Data Collection overall")</f>
        <v>Total Income Total Household Income from all Reported Primary Income Sources over the Last 30 days Prior to Data Collection overall</v>
      </c>
      <c r="I332" s="4" t="str">
        <f>HYPERLINK("#'Data'!J5641", "Total Household Income Per Capita from all Reported Primary Income Sources over the Last 30 days Prior to Data Collection overall")</f>
        <v>Total Household Income Per Capita from all Reported Primary Income Sources over the Last 30 days Prior to Data Collection overall</v>
      </c>
    </row>
    <row r="333" spans="1:9" x14ac:dyDescent="0.3">
      <c r="A333" s="1" t="str">
        <f>HYPERLINK("#'Data'!A5650", "Total Income Total Household Income from all Reported Primary Income Sources over the Last 30 days Prior to Data Collection by HHs with a member with a disability")</f>
        <v>Total Income Total Household Income from all Reported Primary Income Sources over the Last 30 days Prior to Data Collection by HHs with a member with a disability</v>
      </c>
      <c r="I333" s="4" t="str">
        <f>HYPERLINK("#'Data'!J5650", "Total Household Income Per Capita from all Reported Primary Income Sources over the Last 30 days Prior to Data Collection by HHs with a member with a disability")</f>
        <v>Total Household Income Per Capita from all Reported Primary Income Sources over the Last 30 days Prior to Data Collection by HHs with a member with a disability</v>
      </c>
    </row>
    <row r="334" spans="1:9" x14ac:dyDescent="0.3">
      <c r="A334" s="4" t="str">
        <f>HYPERLINK("#'Data'!A5671", "Total Income Total Household Income from all Reported Primary Income Sources over the Last 30 days Prior to Data Collection by displacement status")</f>
        <v>Total Income Total Household Income from all Reported Primary Income Sources over the Last 30 days Prior to Data Collection by displacement status</v>
      </c>
      <c r="I334" s="4" t="str">
        <f>HYPERLINK("#'Data'!J5671", "Total Household Income Per Capita from all Reported Primary Income Sources over the Last 30 days Prior to Data Collection by displacement status")</f>
        <v>Total Household Income Per Capita from all Reported Primary Income Sources over the Last 30 days Prior to Data Collection by displacement status</v>
      </c>
    </row>
    <row r="335" spans="1:9" x14ac:dyDescent="0.3">
      <c r="A335" s="4" t="str">
        <f>HYPERLINK("#'Data'!A5692", "Total Income Total Household Income from all Reported Primary Income Sources over the Last 30 days Prior to Data Collection by HoHH sex")</f>
        <v>Total Income Total Household Income from all Reported Primary Income Sources over the Last 30 days Prior to Data Collection by HoHH sex</v>
      </c>
      <c r="I335" s="4" t="str">
        <f>HYPERLINK("#'Data'!J5692", "Total Household Income Per Capita from all Reported Primary Income Sources over the Last 30 days Prior to Data Collection by HoHH sex")</f>
        <v>Total Household Income Per Capita from all Reported Primary Income Sources over the Last 30 days Prior to Data Collection by HoHH sex</v>
      </c>
    </row>
    <row r="336" spans="1:9" x14ac:dyDescent="0.3">
      <c r="A336" s="4" t="str">
        <f>HYPERLINK("#'Data'!A5713", "Total Income Total Household Income from all Reported Primary Income Sources over the Last 30 days Prior to Data Collection by rural or urban")</f>
        <v>Total Income Total Household Income from all Reported Primary Income Sources over the Last 30 days Prior to Data Collection by rural or urban</v>
      </c>
      <c r="I336" s="4" t="str">
        <f>HYPERLINK("#'Data'!J5713", "Total Household Income Per Capita from all Reported Primary Income Sources over the Last 30 days Prior to Data Collection by rural or urban")</f>
        <v>Total Household Income Per Capita from all Reported Primary Income Sources over the Last 30 days Prior to Data Collection by rural or urban</v>
      </c>
    </row>
    <row r="337" spans="1:9" x14ac:dyDescent="0.3">
      <c r="A337" s="4" t="str">
        <f>HYPERLINK("#'Data'!A5728", "Total Income Total Household Income from all Reported Primary Income Sources over the Last 30 days Prior to Data Collection by HH size")</f>
        <v>Total Income Total Household Income from all Reported Primary Income Sources over the Last 30 days Prior to Data Collection by HH size</v>
      </c>
      <c r="I337" s="4" t="str">
        <f>HYPERLINK("#'Data'!J5728", "Total Household Income Per Capita from all Reported Primary Income Sources over the Last 30 days Prior to Data Collection by HH size")</f>
        <v>Total Household Income Per Capita from all Reported Primary Income Sources over the Last 30 days Prior to Data Collection by HH size</v>
      </c>
    </row>
    <row r="338" spans="1:9" x14ac:dyDescent="0.3">
      <c r="A338" s="4" t="str">
        <f>HYPERLINK("#'Data'!A5749", "Total Income Total Household Income from all Reported Primary Income Sources over the Last 30 days Prior to Data Collection by HHs relying exclusively on humanitarian assistance")</f>
        <v>Total Income Total Household Income from all Reported Primary Income Sources over the Last 30 days Prior to Data Collection by HHs relying exclusively on humanitarian assistance</v>
      </c>
      <c r="I338" s="4" t="str">
        <f>HYPERLINK("#'Data'!J5749", "Total Household Income Per Capita from all Reported Primary Income Sources over the Last 30 days Prior to Data Collection by HHs relying exclusively on humanitarian assistance")</f>
        <v>Total Household Income Per Capita from all Reported Primary Income Sources over the Last 30 days Prior to Data Collection by HHs relying exclusively on humanitarian assistance</v>
      </c>
    </row>
    <row r="339" spans="1:9" x14ac:dyDescent="0.3">
      <c r="A339" s="4" t="str">
        <f>HYPERLINK("#'Data'!A5762", "Total Income Total Household Income from all Reported Primary Income Sources over the Last 30 days Prior to Data Collection by HH with member employed")</f>
        <v>Total Income Total Household Income from all Reported Primary Income Sources over the Last 30 days Prior to Data Collection by HH with member employed</v>
      </c>
      <c r="I339" s="4" t="str">
        <f>HYPERLINK("#'Data'!J5762", "Total Household Income Per Capita from all Reported Primary Income Sources over the Last 30 days Prior to Data Collection by HH with member employed")</f>
        <v>Total Household Income Per Capita from all Reported Primary Income Sources over the Last 30 days Prior to Data Collection by HH with member employed</v>
      </c>
    </row>
    <row r="340" spans="1:9" x14ac:dyDescent="0.3">
      <c r="A340" s="4" t="str">
        <f>HYPERLINK("#'Data'!A5783", "Estimated Household's Income Over the Last 30 days by Types of Income Source overall")</f>
        <v>Estimated Household's Income Over the Last 30 days by Types of Income Source overall</v>
      </c>
      <c r="I340" s="4" t="str">
        <f>HYPERLINK("#'Data'!BQ5783", "I_2 Estimated Household's Income Over the Last 30 days by Types of Income Source per capita overall")</f>
        <v>I_2 Estimated Household's Income Over the Last 30 days by Types of Income Source per capita overall</v>
      </c>
    </row>
    <row r="341" spans="1:9" x14ac:dyDescent="0.3">
      <c r="A341" s="4" t="str">
        <f>HYPERLINK("#'Data'!A5792", "Estimated Household's Income Over the Last 30 days by Types of Income Source by rural or urban")</f>
        <v>Estimated Household's Income Over the Last 30 days by Types of Income Source by rural or urban</v>
      </c>
      <c r="I341" s="4" t="str">
        <f>HYPERLINK("#'Data'!BQ5792", "I_2 Estimated Household's Income Over the Last 30 days by Types of Income Source per capita by rural or urban")</f>
        <v>I_2 Estimated Household's Income Over the Last 30 days by Types of Income Source per capita by rural or urban</v>
      </c>
    </row>
    <row r="342" spans="1:9" x14ac:dyDescent="0.3">
      <c r="A342" s="4" t="str">
        <f>HYPERLINK("#'Data'!A5809", "Estimated Household's Income Over the Last 30 days by Types of Income Source by displacement status")</f>
        <v>Estimated Household's Income Over the Last 30 days by Types of Income Source by displacement status</v>
      </c>
      <c r="I342" s="4" t="str">
        <f>HYPERLINK("#'Data'!BQ5809", "I_2 Estimated Household's Income Over the Last 30 days by Types of Income Source per capita by displacement status")</f>
        <v>I_2 Estimated Household's Income Over the Last 30 days by Types of Income Source per capita by displacement status</v>
      </c>
    </row>
    <row r="343" spans="1:9" x14ac:dyDescent="0.3">
      <c r="A343" s="4" t="str">
        <f>HYPERLINK("#'Data'!A5832", "Estimated Household's Income Over the Last 30 days by Types of Income Source by HoHH sex")</f>
        <v>Estimated Household's Income Over the Last 30 days by Types of Income Source by HoHH sex</v>
      </c>
      <c r="I343" s="4" t="str">
        <f>HYPERLINK("#'Data'!BQ5832", "I_2 Estimated Household's Income Over the Last 30 days by Types of Income Source per capita by HoHH sex")</f>
        <v>I_2 Estimated Household's Income Over the Last 30 days by Types of Income Source per capita by HoHH sex</v>
      </c>
    </row>
    <row r="344" spans="1:9" x14ac:dyDescent="0.3">
      <c r="A344" s="4" t="str">
        <f>HYPERLINK("#'Data'!A5853", "Estimated Household's Income Over the Last 30 days by Types of Income Source by by HHs with a member with a disability")</f>
        <v>Estimated Household's Income Over the Last 30 days by Types of Income Source by by HHs with a member with a disability</v>
      </c>
      <c r="I344" s="4" t="str">
        <f>HYPERLINK("#'Data'!BQ5853", "I_2 Estimated Household's Income Over the Last 30 days by Types of Income Source per capita by HHs with a member with a disability")</f>
        <v>I_2 Estimated Household's Income Over the Last 30 days by Types of Income Source per capita by HHs with a member with a disability</v>
      </c>
    </row>
    <row r="345" spans="1:9" x14ac:dyDescent="0.3">
      <c r="A345" s="1" t="str">
        <f>HYPERLINK("#'Data'!A5874", "Total Food Expenditure Total Household Food Expenditure Reported over the Last 30 days Prior to Data Collection overall")</f>
        <v>Total Food Expenditure Total Household Food Expenditure Reported over the Last 30 days Prior to Data Collection overall</v>
      </c>
      <c r="I345" s="1"/>
    </row>
    <row r="346" spans="1:9" x14ac:dyDescent="0.3">
      <c r="A346" s="1" t="str">
        <f>HYPERLINK("#'Data'!A5883", "Total Food Expenditure Total Household Food Expenditure Reported over the Last 30 days Prior to Data Collection by HHs with a member with a disability")</f>
        <v>Total Food Expenditure Total Household Food Expenditure Reported over the Last 30 days Prior to Data Collection by HHs with a member with a disability</v>
      </c>
    </row>
    <row r="347" spans="1:9" x14ac:dyDescent="0.3">
      <c r="A347" s="1" t="str">
        <f>HYPERLINK("#'Data'!A5904", "Total Food Expenditure Total Household Food Expenditure Reported over the Last 30 days Prior to Data Collection by displacement status")</f>
        <v>Total Food Expenditure Total Household Food Expenditure Reported over the Last 30 days Prior to Data Collection by displacement status</v>
      </c>
    </row>
    <row r="348" spans="1:9" x14ac:dyDescent="0.3">
      <c r="A348" s="1" t="str">
        <f>HYPERLINK("#'Data'!A5925", "Total Food Expenditure Total Household Food Expenditure Reported over the Last 30 days Prior to Data Collection by HoHH sex")</f>
        <v>Total Food Expenditure Total Household Food Expenditure Reported over the Last 30 days Prior to Data Collection by HoHH sex</v>
      </c>
    </row>
    <row r="349" spans="1:9" x14ac:dyDescent="0.3">
      <c r="A349" s="1" t="str">
        <f>HYPERLINK("#'Data'!A5946", "Total Food Expenditure Total Household Food Expenditure Reported over the Last 30 days Prior to Data Collection by rural or urban")</f>
        <v>Total Food Expenditure Total Household Food Expenditure Reported over the Last 30 days Prior to Data Collection by rural or urban</v>
      </c>
    </row>
    <row r="350" spans="1:9" x14ac:dyDescent="0.3">
      <c r="A350" s="1" t="str">
        <f>HYPERLINK("#'Data'!A5961", "Total Food Expenditure Total Household Food Expenditure Reported over the Last 30 days Prior to Data Collection by HH size")</f>
        <v>Total Food Expenditure Total Household Food Expenditure Reported over the Last 30 days Prior to Data Collection by HH size</v>
      </c>
    </row>
    <row r="351" spans="1:9" x14ac:dyDescent="0.3">
      <c r="A351" s="1" t="str">
        <f>HYPERLINK("#'Data'!A5982", "Total Food Expenditure Total Household Food Expenditure Reported over the Last 30 days Prior to Data Collection by HHs relying exclusively on humanitarian assistance")</f>
        <v>Total Food Expenditure Total Household Food Expenditure Reported over the Last 30 days Prior to Data Collection by HHs relying exclusively on humanitarian assistance</v>
      </c>
    </row>
    <row r="352" spans="1:9" x14ac:dyDescent="0.3">
      <c r="A352" s="1" t="str">
        <f>HYPERLINK("#'Data'!A6009", "Total Food Expenditure Total Household Food Expenditure Reported over the Last 30 days Prior to Data Collection by HH proximity to frontline or Russian border")</f>
        <v>Total Food Expenditure Total Household Food Expenditure Reported over the Last 30 days Prior to Data Collection by HH proximity to frontline or Russian border</v>
      </c>
    </row>
    <row r="353" spans="1:1" x14ac:dyDescent="0.3">
      <c r="A353" s="1" t="str">
        <f>HYPERLINK("#'Data'!A6022", "Estimated Household's Food Expenditure Over the Last 30 days overall")</f>
        <v>Estimated Household's Food Expenditure Over the Last 30 days overall</v>
      </c>
    </row>
    <row r="354" spans="1:1" x14ac:dyDescent="0.3">
      <c r="A354" s="1" t="str">
        <f>HYPERLINK("#'Data'!A6031", "Estimated Household's Food Expenditure Over the Last 30 days by rural or urban")</f>
        <v>Estimated Household's Food Expenditure Over the Last 30 days by rural or urban</v>
      </c>
    </row>
    <row r="355" spans="1:1" x14ac:dyDescent="0.3">
      <c r="A355" s="1" t="str">
        <f>HYPERLINK("#'Data'!A6046", "Estimated Household's Food Expenditure Over the Last 30 days by displacement status")</f>
        <v>Estimated Household's Food Expenditure Over the Last 30 days by displacement status</v>
      </c>
    </row>
    <row r="356" spans="1:1" x14ac:dyDescent="0.3">
      <c r="A356" s="1" t="str">
        <f>HYPERLINK("#'Data'!A6067", "Estimated Household's Food Expenditure Over the Last 30 days by HoHH sex")</f>
        <v>Estimated Household's Food Expenditure Over the Last 30 days by HoHH sex</v>
      </c>
    </row>
    <row r="357" spans="1:1" x14ac:dyDescent="0.3">
      <c r="A357" s="1" t="str">
        <f>HYPERLINK("#'Data'!A6088", "Estimated Household's Food Expenditure Over the Last 30 days by HHs with a member with a disability")</f>
        <v>Estimated Household's Food Expenditure Over the Last 30 days by HHs with a member with a disability</v>
      </c>
    </row>
    <row r="358" spans="1:1" x14ac:dyDescent="0.3">
      <c r="A358" s="1" t="str">
        <f>HYPERLINK("#'Data'!A6109", "Total Monthly Expenditure Total Monthly Expenditure Reported by Households overall")</f>
        <v>Total Monthly Expenditure Total Monthly Expenditure Reported by Households overall</v>
      </c>
    </row>
    <row r="359" spans="1:1" x14ac:dyDescent="0.3">
      <c r="A359" s="1" t="str">
        <f>HYPERLINK("#'Data'!A6118", "Total Monthly Expenditure Total Monthly Expenditure Reported by Households by HHs with a member with a disability")</f>
        <v>Total Monthly Expenditure Total Monthly Expenditure Reported by Households by HHs with a member with a disability</v>
      </c>
    </row>
    <row r="360" spans="1:1" x14ac:dyDescent="0.3">
      <c r="A360" s="1" t="str">
        <f>HYPERLINK("#'Data'!A6139", "Total Monthly Expenditure Total Monthly Expenditure Reported by Households by displacement status")</f>
        <v>Total Monthly Expenditure Total Monthly Expenditure Reported by Households by displacement status</v>
      </c>
    </row>
    <row r="361" spans="1:1" x14ac:dyDescent="0.3">
      <c r="A361" s="1" t="str">
        <f>HYPERLINK("#'Data'!A6160", "Total Monthly Expenditure Total Monthly Expenditure Reported by Households by HoHH sex")</f>
        <v>Total Monthly Expenditure Total Monthly Expenditure Reported by Households by HoHH sex</v>
      </c>
    </row>
    <row r="362" spans="1:1" x14ac:dyDescent="0.3">
      <c r="A362" s="1" t="str">
        <f>HYPERLINK("#'Data'!A6181", "Total Monthly Expenditure Total Monthly Expenditure Reported by Households by rural or urban")</f>
        <v>Total Monthly Expenditure Total Monthly Expenditure Reported by Households by rural or urban</v>
      </c>
    </row>
    <row r="363" spans="1:1" x14ac:dyDescent="0.3">
      <c r="A363" s="1" t="str">
        <f>HYPERLINK("#'Data'!A6196", "Total Monthly Expenditure Total Monthly Expenditure Reported by Households by HH size")</f>
        <v>Total Monthly Expenditure Total Monthly Expenditure Reported by Households by HH size</v>
      </c>
    </row>
    <row r="364" spans="1:1" x14ac:dyDescent="0.3">
      <c r="A364" s="1" t="str">
        <f>HYPERLINK("#'Data'!A6217", "Total Monthly Expenditure Total Monthly Expenditure Reported by Households by HHs with only elderly members")</f>
        <v>Total Monthly Expenditure Total Monthly Expenditure Reported by Households by HHs with only elderly members</v>
      </c>
    </row>
    <row r="365" spans="1:1" x14ac:dyDescent="0.3">
      <c r="A365" s="1" t="str">
        <f>HYPERLINK("#'Data'!A6238", "Total Monthly Expenditure Total Monthly Expenditure Reported by Households by HHs relying exclusively on humanitarian assistance")</f>
        <v>Total Monthly Expenditure Total Monthly Expenditure Reported by Households by HHs relying exclusively on humanitarian assistance</v>
      </c>
    </row>
    <row r="366" spans="1:1" x14ac:dyDescent="0.3">
      <c r="A366" s="1" t="str">
        <f>HYPERLINK("#'Data'!A6259", "Total Monthly Expenditure Total Monthly Expenditure Reported by Households by HH proximity to frontline or Russian border")</f>
        <v>Total Monthly Expenditure Total Monthly Expenditure Reported by Households by HH proximity to frontline or Russian border</v>
      </c>
    </row>
    <row r="367" spans="1:1" x14ac:dyDescent="0.3">
      <c r="A367" s="1" t="str">
        <f>HYPERLINK("#'Data'!A6272", "Estimated Household's Domestic Expenditure Over the Last 30 days overall")</f>
        <v>Estimated Household's Domestic Expenditure Over the Last 30 days overall</v>
      </c>
    </row>
    <row r="368" spans="1:1" x14ac:dyDescent="0.3">
      <c r="A368" s="1" t="str">
        <f>HYPERLINK("#'Data'!A6281", "Estimated Household's Domestic Expenditure Over the Last 30 days by HHs with a member with a disability")</f>
        <v>Estimated Household's Domestic Expenditure Over the Last 30 days by HHs with a member with a disability</v>
      </c>
    </row>
    <row r="369" spans="1:1" x14ac:dyDescent="0.3">
      <c r="A369" s="1" t="str">
        <f>HYPERLINK("#'Data'!A6302", "Estimated Household's Domestic Expenditure Over the Last 30 days by displacement status")</f>
        <v>Estimated Household's Domestic Expenditure Over the Last 30 days by displacement status</v>
      </c>
    </row>
    <row r="370" spans="1:1" x14ac:dyDescent="0.3">
      <c r="A370" s="1" t="str">
        <f>HYPERLINK("#'Data'!A6323", "Estimated Household's Domestic Expenditure Over the Last 30 days by HoHH sex")</f>
        <v>Estimated Household's Domestic Expenditure Over the Last 30 days by HoHH sex</v>
      </c>
    </row>
    <row r="371" spans="1:1" x14ac:dyDescent="0.3">
      <c r="A371" s="1" t="str">
        <f>HYPERLINK("#'Data'!A6344", "Estimated Household's Domestic Expenditure Over the Last 30 days by rural or urban")</f>
        <v>Estimated Household's Domestic Expenditure Over the Last 30 days by rural or urban</v>
      </c>
    </row>
    <row r="372" spans="1:1" x14ac:dyDescent="0.3">
      <c r="A372" s="1" t="str">
        <f>HYPERLINK("#'Data'!A6359", "Estimated Household's Domestic Expenditure Over the Last 6 Months overall")</f>
        <v>Estimated Household's Domestic Expenditure Over the Last 6 Months overall</v>
      </c>
    </row>
    <row r="373" spans="1:1" x14ac:dyDescent="0.3">
      <c r="A373" s="1" t="str">
        <f>HYPERLINK("#'Data'!A6368", "Estimated Household's Domestic Expenditure Over the Last 6 Months rural or urban")</f>
        <v>Estimated Household's Domestic Expenditure Over the Last 6 Months rural or urban</v>
      </c>
    </row>
    <row r="374" spans="1:1" x14ac:dyDescent="0.3">
      <c r="A374" s="1" t="str">
        <f>HYPERLINK("#'Data'!A6383", "Estimated Household's Domestic Expenditure Over the Last 6 Months by displacement status")</f>
        <v>Estimated Household's Domestic Expenditure Over the Last 6 Months by displacement status</v>
      </c>
    </row>
    <row r="375" spans="1:1" x14ac:dyDescent="0.3">
      <c r="A375" s="1" t="str">
        <f>HYPERLINK("#'Data'!A6404", "Estimated Household's Domestic Expenditure Over the Last 6 Months by HoHH sex")</f>
        <v>Estimated Household's Domestic Expenditure Over the Last 6 Months by HoHH sex</v>
      </c>
    </row>
    <row r="376" spans="1:1" x14ac:dyDescent="0.3">
      <c r="A376" s="1" t="str">
        <f>HYPERLINK("#'Data'!A6425", "Estimated Household's Domestic Expenditure Over the Last 6 Months by HHs with a member with a disability")</f>
        <v>Estimated Household's Domestic Expenditure Over the Last 6 Months by HHs with a member with a disability</v>
      </c>
    </row>
    <row r="377" spans="1:1" x14ac:dyDescent="0.3">
      <c r="A377" s="1" t="str">
        <f>HYPERLINK("#'Data'!A6446", "I_6 Households Reporting Challenges to Obtain Money to Meet Needs Over the Last 30 days Prior to Data Collection overall")</f>
        <v>I_6 Households Reporting Challenges to Obtain Money to Meet Needs Over the Last 30 days Prior to Data Collection overall</v>
      </c>
    </row>
    <row r="378" spans="1:1" x14ac:dyDescent="0.3">
      <c r="A378" s="1" t="str">
        <f>HYPERLINK("#'Data'!A6455", "I_6 Households Reporting Challenges to Obtain Money to Meet Needs Over the Last 30 days Prior to Data Collection by Individuals with a disability")</f>
        <v>I_6 Households Reporting Challenges to Obtain Money to Meet Needs Over the Last 30 days Prior to Data Collection by Individuals with a disability</v>
      </c>
    </row>
    <row r="379" spans="1:1" x14ac:dyDescent="0.3">
      <c r="A379" s="1" t="str">
        <f>HYPERLINK("#'Data'!A6476", "I_6 Households Reporting Challenges to Obtain Money to Meet Needs Over the Last 30 days Prior to Data Collection by displacement status")</f>
        <v>I_6 Households Reporting Challenges to Obtain Money to Meet Needs Over the Last 30 days Prior to Data Collection by displacement status</v>
      </c>
    </row>
    <row r="380" spans="1:1" x14ac:dyDescent="0.3">
      <c r="A380" s="1" t="str">
        <f>HYPERLINK("#'Data'!A6497", "I_6 Households Reporting Challenges to Obtain Money to Meet Needs Over the Last 30 days Prior to Data Collection by HoHH sex")</f>
        <v>I_6 Households Reporting Challenges to Obtain Money to Meet Needs Over the Last 30 days Prior to Data Collection by HoHH sex</v>
      </c>
    </row>
    <row r="381" spans="1:1" x14ac:dyDescent="0.3">
      <c r="A381" s="1" t="str">
        <f>HYPERLINK("#'Data'!A6518", "I_6 Households Reporting Challenges to Obtain Money to Meet Needs Over the Last 30 days Prior to Data Collection by rural or urban")</f>
        <v>I_6 Households Reporting Challenges to Obtain Money to Meet Needs Over the Last 30 days Prior to Data Collection by rural or urban</v>
      </c>
    </row>
    <row r="382" spans="1:1" x14ac:dyDescent="0.3">
      <c r="A382" s="1" t="str">
        <f>HYPERLINK("#'Data'!A6533", "I_6 Households Reporting Challenges to Obtain Money to Meet Needs Over the Last 30 days Prior to Data Collection by HHs with only elderly members")</f>
        <v>I_6 Households Reporting Challenges to Obtain Money to Meet Needs Over the Last 30 days Prior to Data Collection by HHs with only elderly members</v>
      </c>
    </row>
    <row r="383" spans="1:1" x14ac:dyDescent="0.3">
      <c r="A383" s="1" t="str">
        <f>HYPERLINK("#'Data'!A6554", "I_6 Households Reporting Challenges to Obtain Money to Meet Needs Over the Last 30 days Prior to Data Collection by HHs with a member with a disability")</f>
        <v>I_6 Households Reporting Challenges to Obtain Money to Meet Needs Over the Last 30 days Prior to Data Collection by HHs with a member with a disability</v>
      </c>
    </row>
    <row r="384" spans="1:1" x14ac:dyDescent="0.3">
      <c r="A384" s="1" t="str">
        <f>HYPERLINK("#'Data'!A6575", "I_7 Main Challenges Reported by Households to Obtain Money to Meet Needs Over the Last 30 days Prior to Data Collection by overall")</f>
        <v>I_7 Main Challenges Reported by Households to Obtain Money to Meet Needs Over the Last 30 days Prior to Data Collection by overall</v>
      </c>
    </row>
    <row r="385" spans="1:1" x14ac:dyDescent="0.3">
      <c r="A385" s="4" t="str">
        <f>HYPERLINK("#'Data'!A6584", "I_7 Main Challenges Reported by Households to Obtain Money to Meet Needs Over the Last 30 days Prior to Data Collection by HoHH sex")</f>
        <v>I_7 Main Challenges Reported by Households to Obtain Money to Meet Needs Over the Last 30 days Prior to Data Collection by HoHH sex</v>
      </c>
    </row>
    <row r="386" spans="1:1" x14ac:dyDescent="0.3">
      <c r="A386" s="1" t="str">
        <f>HYPERLINK("#'Data'!A6605", "I_7 Main Challenges Reported by Households to Obtain Money to Meet Needs Over the Last 30 days Prior to Data Collection by rural or urban")</f>
        <v>I_7 Main Challenges Reported by Households to Obtain Money to Meet Needs Over the Last 30 days Prior to Data Collection by rural or urban</v>
      </c>
    </row>
    <row r="387" spans="1:1" x14ac:dyDescent="0.3">
      <c r="A387" s="1" t="str">
        <f>HYPERLINK("#'Data'!A6620", "I_7 Main Challenges Reported by Households to Obtain Money to Meet Needs Over the Last 30 days Prior to Data Collection by HH size")</f>
        <v>I_7 Main Challenges Reported by Households to Obtain Money to Meet Needs Over the Last 30 days Prior to Data Collection by HH size</v>
      </c>
    </row>
    <row r="388" spans="1:1" x14ac:dyDescent="0.3">
      <c r="A388" s="1" t="str">
        <f>HYPERLINK("#'Data'!A6641", "I_7 Main Challenges Reported by Households to Obtain Money to Meet Needs Over the Last 30 days Prior to Data Collection by HHs with a member with a disability")</f>
        <v>I_7 Main Challenges Reported by Households to Obtain Money to Meet Needs Over the Last 30 days Prior to Data Collection by HHs with a member with a disability</v>
      </c>
    </row>
    <row r="389" spans="1:1" x14ac:dyDescent="0.3">
      <c r="A389" s="1" t="str">
        <f>HYPERLINK("#'Data'!A6662", "I_7 Main Challenges Reported by Households to Obtain Money to Meet Needs Over the Last 30 days Prior to Data Collection by displacement status")</f>
        <v>I_7 Main Challenges Reported by Households to Obtain Money to Meet Needs Over the Last 30 days Prior to Data Collection by displacement status</v>
      </c>
    </row>
    <row r="390" spans="1:1" x14ac:dyDescent="0.3">
      <c r="A390" s="1" t="str">
        <f>HYPERLINK("#'Data'!A6683", "I_7 Main Challenges Reported by Households to Obtain Money to Meet Needs Over the Last 30 days Prior to Data Collection by HH proximity to frontline or Russian border")</f>
        <v>I_7 Main Challenges Reported by Households to Obtain Money to Meet Needs Over the Last 30 days Prior to Data Collection by HH proximity to frontline or Russian border</v>
      </c>
    </row>
    <row r="391" spans="1:1" x14ac:dyDescent="0.3">
      <c r="A391" s="1" t="str">
        <f>HYPERLINK("#'Data'!A6696", "LCSI Living Coping Strategies (LCSI) Index Score overall")</f>
        <v>LCSI Living Coping Strategies (LCSI) Index Score overall</v>
      </c>
    </row>
    <row r="392" spans="1:1" x14ac:dyDescent="0.3">
      <c r="A392" s="4" t="str">
        <f>HYPERLINK("#'Data'!A6705", "LCSI Living Coping Strategies (LCSI) Index Score by HHs with a member with a disability")</f>
        <v>LCSI Living Coping Strategies (LCSI) Index Score by HHs with a member with a disability</v>
      </c>
    </row>
    <row r="393" spans="1:1" x14ac:dyDescent="0.3">
      <c r="A393" s="4" t="str">
        <f>HYPERLINK("#'Data'!A6726", "LCSI Living Coping Strategies (LCSI) Index Score by displacement status")</f>
        <v>LCSI Living Coping Strategies (LCSI) Index Score by displacement status</v>
      </c>
    </row>
    <row r="394" spans="1:1" x14ac:dyDescent="0.3">
      <c r="A394" s="4" t="str">
        <f>HYPERLINK("#'Data'!A6747", "LCSI Living Coping Strategies (LCSI) Index Score by HoHH sex")</f>
        <v>LCSI Living Coping Strategies (LCSI) Index Score by HoHH sex</v>
      </c>
    </row>
    <row r="395" spans="1:1" x14ac:dyDescent="0.3">
      <c r="A395" s="4" t="str">
        <f>HYPERLINK("#'Data'!A6768", "LCSI Living Coping Strategies (LCSI) Index Score by rural or urban")</f>
        <v>LCSI Living Coping Strategies (LCSI) Index Score by rural or urban</v>
      </c>
    </row>
    <row r="396" spans="1:1" x14ac:dyDescent="0.3">
      <c r="A396" s="1" t="str">
        <f>HYPERLINK("#'Data'!A6783", "Households Reportedly Adopting Livelihood Coping Strategies by overall")</f>
        <v>Households Reportedly Adopting Livelihood Coping Strategies by overall</v>
      </c>
    </row>
    <row r="397" spans="1:1" x14ac:dyDescent="0.3">
      <c r="A397" s="1" t="str">
        <f>HYPERLINK("#'Data'!A6792", "Households Reportedly Adopting Livelihood Coping Strategies by HHs with a member with a disability")</f>
        <v>Households Reportedly Adopting Livelihood Coping Strategies by HHs with a member with a disability</v>
      </c>
    </row>
    <row r="398" spans="1:1" x14ac:dyDescent="0.3">
      <c r="A398" s="1" t="str">
        <f>HYPERLINK("#'Data'!A6813", "Households Reportedly Adopting Livelihood Coping Strategies by rural or urban")</f>
        <v>Households Reportedly Adopting Livelihood Coping Strategies by rural or urban</v>
      </c>
    </row>
    <row r="399" spans="1:1" x14ac:dyDescent="0.3">
      <c r="A399" s="1" t="str">
        <f>HYPERLINK("#'Data'!A6828", "Households Reportedly Adopting Livelihood Coping Strategies by displacement status")</f>
        <v>Households Reportedly Adopting Livelihood Coping Strategies by displacement status</v>
      </c>
    </row>
    <row r="400" spans="1:1" x14ac:dyDescent="0.3">
      <c r="A400" s="1" t="str">
        <f>HYPERLINK("#'Data'!A6849", "Households Reportedly Adopting Livelihood Coping Strategies by HoHH sex")</f>
        <v>Households Reportedly Adopting Livelihood Coping Strategies by HoHH sex</v>
      </c>
    </row>
    <row r="401" spans="1:1" x14ac:dyDescent="0.3">
      <c r="A401" s="1" t="str">
        <f>HYPERLINK("#'Data'!A6870", "I_8_14 Main Reasons Households Reported for Using Livelihood Coping Strategies overall")</f>
        <v>I_8_14 Main Reasons Households Reported for Using Livelihood Coping Strategies overall</v>
      </c>
    </row>
    <row r="402" spans="1:1" x14ac:dyDescent="0.3">
      <c r="A402" s="1" t="str">
        <f>HYPERLINK("#'Data'!A6879", "I_8_14 Main Reasons Households Reported for Using Livelihood Coping Strategies by HH size")</f>
        <v>I_8_14 Main Reasons Households Reported for Using Livelihood Coping Strategies by HH size</v>
      </c>
    </row>
    <row r="403" spans="1:1" x14ac:dyDescent="0.3">
      <c r="A403" s="1" t="str">
        <f>HYPERLINK("#'Data'!A6900", "I_8_14 Main Reasons Households Reported for Using Livelihood Coping Strategies by HH proximity to frontline or Russian border")</f>
        <v>I_8_14 Main Reasons Households Reported for Using Livelihood Coping Strategies by HH proximity to frontline or Russian border</v>
      </c>
    </row>
    <row r="404" spans="1:1" x14ac:dyDescent="0.3">
      <c r="A404" s="1" t="str">
        <f>HYPERLINK("#'Data'!A6913", "I_8_14 Main Reasons Households Reported for Using Livelihood Coping Strategies by HHs with a member with a disability")</f>
        <v>I_8_14 Main Reasons Households Reported for Using Livelihood Coping Strategies by HHs with a member with a disability</v>
      </c>
    </row>
    <row r="405" spans="1:1" x14ac:dyDescent="0.3">
      <c r="A405" s="1" t="str">
        <f>HYPERLINK("#'Data'!A6933", "I_8_14 Main Reasons Households Reported for Using Livelihood Coping Strategies by displacement status")</f>
        <v>I_8_14 Main Reasons Households Reported for Using Livelihood Coping Strategies by displacement status</v>
      </c>
    </row>
    <row r="406" spans="1:1" x14ac:dyDescent="0.3">
      <c r="A406" s="1" t="str">
        <f>HYPERLINK("#'Data'!A6954", "I_9 Households Reporting to Own Land Used for Agricultural Activities overall")</f>
        <v>I_9 Households Reporting to Own Land Used for Agricultural Activities overall</v>
      </c>
    </row>
    <row r="407" spans="1:1" x14ac:dyDescent="0.3">
      <c r="A407" s="1" t="str">
        <f>HYPERLINK("#'Data'!A6963", "I_9 Households Reporting to Own Land Used for Agricultural Activities by HoHH sex")</f>
        <v>I_9 Households Reporting to Own Land Used for Agricultural Activities by HoHH sex</v>
      </c>
    </row>
    <row r="408" spans="1:1" x14ac:dyDescent="0.3">
      <c r="A408" s="1" t="str">
        <f>HYPERLINK("#'Data'!A6984", "I_9 Households Reporting to Own Land Used for Agricultural Activities by rural or urban")</f>
        <v>I_9 Households Reporting to Own Land Used for Agricultural Activities by rural or urban</v>
      </c>
    </row>
    <row r="409" spans="1:1" x14ac:dyDescent="0.3">
      <c r="A409" s="1" t="str">
        <f>HYPERLINK("#'Data'!A6999", "I_9 Households Reporting to Own Land Used for Agricultural Activities by HH size")</f>
        <v>I_9 Households Reporting to Own Land Used for Agricultural Activities by HH size</v>
      </c>
    </row>
    <row r="410" spans="1:1" x14ac:dyDescent="0.3">
      <c r="A410" s="1" t="str">
        <f>HYPERLINK("#'Data'!A7020", "I_9 Households Reporting to Own Land Used for Agricultural Activities by HH proximity to frontline or Russian border")</f>
        <v>I_9 Households Reporting to Own Land Used for Agricultural Activities by HH proximity to frontline or Russian border</v>
      </c>
    </row>
    <row r="411" spans="1:1" x14ac:dyDescent="0.3">
      <c r="A411" s="1" t="str">
        <f>HYPERLINK("#'Data'!A7033", "I_9 Households Reporting to Own Land Used for Agricultural Activities by HHs with a member with a disability")</f>
        <v>I_9 Households Reporting to Own Land Used for Agricultural Activities by HHs with a member with a disability</v>
      </c>
    </row>
    <row r="412" spans="1:1" x14ac:dyDescent="0.3">
      <c r="A412" s="1" t="str">
        <f>HYPERLINK("#'Data'!A7054", "I_9 Households Reporting to Own Land Used for Agricultural Activities by displacement status")</f>
        <v>I_9 Households Reporting to Own Land Used for Agricultural Activities by displacement status</v>
      </c>
    </row>
    <row r="413" spans="1:1" x14ac:dyDescent="0.3">
      <c r="A413" s="1" t="str">
        <f>HYPERLINK("#'Data'!A7075", "I_9_1 Purposes of the Agricultural Land Used Reported by Households overall")</f>
        <v>I_9_1 Purposes of the Agricultural Land Used Reported by Households overall</v>
      </c>
    </row>
    <row r="414" spans="1:1" x14ac:dyDescent="0.3">
      <c r="A414" s="1" t="str">
        <f>HYPERLINK("#'Data'!A7084", "I_9_1 Purposes of the Agricultural Land Used Reported by Households by HoHH sex")</f>
        <v>I_9_1 Purposes of the Agricultural Land Used Reported by Households by HoHH sex</v>
      </c>
    </row>
    <row r="415" spans="1:1" x14ac:dyDescent="0.3">
      <c r="A415" s="1" t="str">
        <f>HYPERLINK("#'Data'!A7105", "I_9_1 Purposes of the Agricultural Land Used Reported by Households by rural or urban")</f>
        <v>I_9_1 Purposes of the Agricultural Land Used Reported by Households by rural or urban</v>
      </c>
    </row>
    <row r="416" spans="1:1" x14ac:dyDescent="0.3">
      <c r="A416" s="1" t="str">
        <f>HYPERLINK("#'Data'!A7120", "I_9_1 Purposes of the Agricultural Land Used Reported by Households by HH size")</f>
        <v>I_9_1 Purposes of the Agricultural Land Used Reported by Households by HH size</v>
      </c>
    </row>
    <row r="417" spans="1:1" x14ac:dyDescent="0.3">
      <c r="A417" s="1" t="str">
        <f>HYPERLINK("#'Data'!A7141", "I_9_1 Purposes of the Agricultural Land Used Reported by Households by HH proximity to frontline or Russian border")</f>
        <v>I_9_1 Purposes of the Agricultural Land Used Reported by Households by HH proximity to frontline or Russian border</v>
      </c>
    </row>
    <row r="418" spans="1:1" x14ac:dyDescent="0.3">
      <c r="A418" s="1" t="str">
        <f>HYPERLINK("#'Data'!A7154", "I_9_1 Purposes of the Agricultural Land Used Reported by Households by sex and age")</f>
        <v>I_9_1 Purposes of the Agricultural Land Used Reported by Households by sex and age</v>
      </c>
    </row>
    <row r="419" spans="1:1" x14ac:dyDescent="0.3">
      <c r="A419" s="1" t="str">
        <f>HYPERLINK("#'Data'!A7211", "I_10 Barriers Households Reported to Accessing Marketplaces Consistently over the Last 30 days Prior to Data Collection by overall")</f>
        <v>I_10 Barriers Households Reported to Accessing Marketplaces Consistently over the Last 30 days Prior to Data Collection by overall</v>
      </c>
    </row>
    <row r="420" spans="1:1" x14ac:dyDescent="0.3">
      <c r="A420" s="1" t="str">
        <f>HYPERLINK("#'Data'!A7220", "I_10 Barriers Households Reported to Accessing Marketplaces Consistently over the Last 30 days Prior to Data Collection by Individuals with a disability")</f>
        <v>I_10 Barriers Households Reported to Accessing Marketplaces Consistently over the Last 30 days Prior to Data Collection by Individuals with a disability</v>
      </c>
    </row>
    <row r="421" spans="1:1" x14ac:dyDescent="0.3">
      <c r="A421" s="1" t="str">
        <f>HYPERLINK("#'Data'!A7241", "I_10 Barriers Households Reported to Accessing Marketplaces Consistently over the Last 30 days Prior to Data Collection by rural or urban")</f>
        <v>I_10 Barriers Households Reported to Accessing Marketplaces Consistently over the Last 30 days Prior to Data Collection by rural or urban</v>
      </c>
    </row>
    <row r="422" spans="1:1" x14ac:dyDescent="0.3">
      <c r="A422" s="1" t="str">
        <f>HYPERLINK("#'Data'!A7256", "I_10 Barriers Households Reported to Accessing Marketplaces Consistently over the Last 30 days Prior to Data Collection by HH with member employed")</f>
        <v>I_10 Barriers Households Reported to Accessing Marketplaces Consistently over the Last 30 days Prior to Data Collection by HH with member employed</v>
      </c>
    </row>
    <row r="423" spans="1:1" x14ac:dyDescent="0.3">
      <c r="A423" s="1" t="str">
        <f>HYPERLINK("#'Data'!A7277", "I_10 Barriers Households Reported to Accessing Marketplaces Consistently over the Last 30 days Prior to Data Collection by type of drinking water sources")</f>
        <v>I_10 Barriers Households Reported to Accessing Marketplaces Consistently over the Last 30 days Prior to Data Collection by type of drinking water sources</v>
      </c>
    </row>
    <row r="424" spans="1:1" x14ac:dyDescent="0.3">
      <c r="A424" s="1" t="str">
        <f>HYPERLINK("#'Data'!A7304", "I_10 Barriers Households Reported to Accessing Marketplaces Consistently over the Last 30 days Prior to Data Collection by HHs with an elderly member")</f>
        <v>I_10 Barriers Households Reported to Accessing Marketplaces Consistently over the Last 30 days Prior to Data Collection by HHs with an elderly member</v>
      </c>
    </row>
    <row r="425" spans="1:1" x14ac:dyDescent="0.3">
      <c r="A425" s="1" t="str">
        <f>HYPERLINK("#'Data'!A7325", "I_10 Barriers Households Reported to Accessing Marketplaces Consistently over the Last 30 days Prior to Data Collection by HHs with a member with a disability")</f>
        <v>I_10 Barriers Households Reported to Accessing Marketplaces Consistently over the Last 30 days Prior to Data Collection by HHs with a member with a disability</v>
      </c>
    </row>
    <row r="426" spans="1:1" x14ac:dyDescent="0.3">
      <c r="A426" s="1" t="str">
        <f>HYPERLINK("#'Data'!A7346", "I_10 Barriers Households Reported to Accessing Marketplaces Consistently over the Last 30 days Prior to Data Collection by HH proximity to frontline or Russian border")</f>
        <v>I_10 Barriers Households Reported to Accessing Marketplaces Consistently over the Last 30 days Prior to Data Collection by HH proximity to frontline or Russian border</v>
      </c>
    </row>
    <row r="427" spans="1:1" x14ac:dyDescent="0.3">
      <c r="A427" s="1" t="str">
        <f>HYPERLINK("#'Data'!A7359", "I_12 Households Reportedly Borrowing Money or Taking on Additional Debt to Cover Basic Needs Since the Escalation of the War overall")</f>
        <v>I_12 Households Reportedly Borrowing Money or Taking on Additional Debt to Cover Basic Needs Since the Escalation of the War overall</v>
      </c>
    </row>
    <row r="428" spans="1:1" x14ac:dyDescent="0.3">
      <c r="A428" s="1" t="str">
        <f>HYPERLINK("#'Data'!A7380", "I_12 Households Reportedly Borrowing Money or Taking on Additional Debt to Cover Basic Needs Since the Escalation of the War by HHs with challenge to obtain money")</f>
        <v>I_12 Households Reportedly Borrowing Money or Taking on Additional Debt to Cover Basic Needs Since the Escalation of the War by HHs with challenge to obtain money</v>
      </c>
    </row>
    <row r="429" spans="1:1" x14ac:dyDescent="0.3">
      <c r="A429" s="1" t="str">
        <f>HYPERLINK("#'Data'!A7401", "I_12 Households Reportedly Borrowing Money or Taking on Additional Debt to Cover Basic Needs Since the Escalation of the War by sex and age")</f>
        <v>I_12 Households Reportedly Borrowing Money or Taking on Additional Debt to Cover Basic Needs Since the Escalation of the War by sex and age</v>
      </c>
    </row>
    <row r="430" spans="1:1" x14ac:dyDescent="0.3">
      <c r="A430" s="1" t="str">
        <f>HYPERLINK("#'Data'!A7458", "I_12 Households Reportedly Borrowing Money or Taking on Additional Debt to Cover Basic Needs Since the Escalation of the War by Individuals with a disability")</f>
        <v>I_12 Households Reportedly Borrowing Money or Taking on Additional Debt to Cover Basic Needs Since the Escalation of the War by Individuals with a disability</v>
      </c>
    </row>
    <row r="431" spans="1:1" x14ac:dyDescent="0.3">
      <c r="A431" s="1" t="str">
        <f>HYPERLINK("#'Data'!A7479", "I_12 Households Reportedly Borrowing Money or Taking on Additional Debt to Cover Basic Needs Since the Escalation of the War by rural or urban")</f>
        <v>I_12 Households Reportedly Borrowing Money or Taking on Additional Debt to Cover Basic Needs Since the Escalation of the War by rural or urban</v>
      </c>
    </row>
    <row r="432" spans="1:1" x14ac:dyDescent="0.3">
      <c r="A432" s="1" t="str">
        <f>HYPERLINK("#'Data'!A7494", "I_12 Households Reportedly Borrowing Money or Taking on Additional Debt to Cover Basic Needs Since the Escalation of the War by HH with member employed")</f>
        <v>I_12 Households Reportedly Borrowing Money or Taking on Additional Debt to Cover Basic Needs Since the Escalation of the War by HH with member employed</v>
      </c>
    </row>
    <row r="433" spans="1:1" x14ac:dyDescent="0.3">
      <c r="A433" s="1" t="str">
        <f>HYPERLINK("#'Data'!A7515", "I_12 Households Reportedly Borrowing Money or Taking on Additional Debt to Cover Basic Needs Since the Escalation of the War by type of drinking water sources")</f>
        <v>I_12 Households Reportedly Borrowing Money or Taking on Additional Debt to Cover Basic Needs Since the Escalation of the War by type of drinking water sources</v>
      </c>
    </row>
    <row r="434" spans="1:1" x14ac:dyDescent="0.3">
      <c r="A434" s="1" t="str">
        <f>HYPERLINK("#'Data'!A7542", "J_1 Individuals Reporting a Medical Problem that made them Consider Seeking Healthcare Services in the Last 3 Months Prior to Data Collection by overall")</f>
        <v>J_1 Individuals Reporting a Medical Problem that made them Consider Seeking Healthcare Services in the Last 3 Months Prior to Data Collection by overall</v>
      </c>
    </row>
    <row r="435" spans="1:1" x14ac:dyDescent="0.3">
      <c r="A435" s="1" t="str">
        <f>HYPERLINK("#'Data'!A7551", "J_1 Individuals Reporting a Medical Problem that made them Consider Seeking Healthcare Services in the Last 3 Months Prior to Data Collection by sex and age")</f>
        <v>J_1 Individuals Reporting a Medical Problem that made them Consider Seeking Healthcare Services in the Last 3 Months Prior to Data Collection by sex and age</v>
      </c>
    </row>
    <row r="436" spans="1:1" x14ac:dyDescent="0.3">
      <c r="A436" s="1" t="str">
        <f>HYPERLINK("#'Data'!A7644", "J_1 Individuals Reporting a Medical Problem that made them Consider Seeking Healthcare Services in the Last 3 Months Prior to Data Collection by Individuals with a disability")</f>
        <v>J_1 Individuals Reporting a Medical Problem that made them Consider Seeking Healthcare Services in the Last 3 Months Prior to Data Collection by Individuals with a disability</v>
      </c>
    </row>
    <row r="437" spans="1:1" x14ac:dyDescent="0.3">
      <c r="A437" s="1" t="str">
        <f>HYPERLINK("#'Data'!A7665", "J_1 Individuals Reporting a Medical Problem that made them Consider Seeking Healthcare Services in the Last 3 Months Prior to Data Collection by rural or urban")</f>
        <v>J_1 Individuals Reporting a Medical Problem that made them Consider Seeking Healthcare Services in the Last 3 Months Prior to Data Collection by rural or urban</v>
      </c>
    </row>
    <row r="438" spans="1:1" x14ac:dyDescent="0.3">
      <c r="A438" s="1" t="str">
        <f>HYPERLINK("#'Data'!A7680", "J_1 Individuals Reporting a Medical Problem that made them Consider Seeking Healthcare Services in the Last 3 Months Prior to Data Collection by HH with member employed")</f>
        <v>J_1 Individuals Reporting a Medical Problem that made them Consider Seeking Healthcare Services in the Last 3 Months Prior to Data Collection by HH with member employed</v>
      </c>
    </row>
    <row r="439" spans="1:1" x14ac:dyDescent="0.3">
      <c r="A439" s="1" t="str">
        <f>HYPERLINK("#'Data'!A7701", "J_1 Individuals Reporting a Medical Problem that made them Consider Seeking Healthcare Services in the Last 3 Months Prior to Data Collection by type of drinking water sources")</f>
        <v>J_1 Individuals Reporting a Medical Problem that made them Consider Seeking Healthcare Services in the Last 3 Months Prior to Data Collection by type of drinking water sources</v>
      </c>
    </row>
    <row r="440" spans="1:1" x14ac:dyDescent="0.3">
      <c r="A440" s="1" t="str">
        <f>HYPERLINK("#'Data'!A7728", "J_1 Individuals Reporting a Medical Problem that made them Consider Seeking Healthcare Services in the Last 3 Months Prior to Data Collection by HHs with an elderly member")</f>
        <v>J_1 Individuals Reporting a Medical Problem that made them Consider Seeking Healthcare Services in the Last 3 Months Prior to Data Collection by HHs with an elderly member</v>
      </c>
    </row>
    <row r="441" spans="1:1" x14ac:dyDescent="0.3">
      <c r="A441" s="1" t="str">
        <f>HYPERLINK("#'Data'!A7749", "J_1 Individuals Reporting a Medical Problem that made them Consider Seeking Healthcare Services in the Last 3 Months Prior to Data Collection by HHs with a member with a disability")</f>
        <v>J_1 Individuals Reporting a Medical Problem that made them Consider Seeking Healthcare Services in the Last 3 Months Prior to Data Collection by HHs with a member with a disability</v>
      </c>
    </row>
    <row r="442" spans="1:1" x14ac:dyDescent="0.3">
      <c r="A442" s="1" t="str">
        <f>HYPERLINK("#'Data'!A7770", "J_1 Individuals Reporting a Medical Problem that made them Consider Seeking Healthcare Services in the Last 3 Months Prior to Data Collection by HH proximity to frontline or Russian border")</f>
        <v>J_1 Individuals Reporting a Medical Problem that made them Consider Seeking Healthcare Services in the Last 3 Months Prior to Data Collection by HH proximity to frontline or Russian border</v>
      </c>
    </row>
    <row r="443" spans="1:1" x14ac:dyDescent="0.3">
      <c r="A443" s="1" t="str">
        <f>HYPERLINK("#'Data'!A7783", "J_1 Individuals Reporting a Medical Problem that made them Consider Seeking Healthcare Services in the Last 3 Months Prior to Data Collection by HHs with challenge to obtain money")</f>
        <v>J_1 Individuals Reporting a Medical Problem that made them Consider Seeking Healthcare Services in the Last 3 Months Prior to Data Collection by HHs with challenge to obtain money</v>
      </c>
    </row>
    <row r="444" spans="1:1" x14ac:dyDescent="0.3">
      <c r="A444" s="1" t="str">
        <f>HYPERLINK("#'Data'!A7804", "J_2 Healthcare Services Desired by Individuals whom Reported Having a Medical Problem that made them Consider Seeking Healthcare Services in the Last 3 Months Prior to Data Collection by overall")</f>
        <v>J_2 Healthcare Services Desired by Individuals whom Reported Having a Medical Problem that made them Consider Seeking Healthcare Services in the Last 3 Months Prior to Data Collection by overall</v>
      </c>
    </row>
    <row r="445" spans="1:1" x14ac:dyDescent="0.3">
      <c r="A445" s="1" t="str">
        <f>HYPERLINK("#'Data'!A7813", "J_2 Healthcare Services Desired by Individuals whom Reported Having a Medical Problem that made them Consider Seeking Healthcare Services in the Last 3 Months Prior to Data Collection by sex and age")</f>
        <v>J_2 Healthcare Services Desired by Individuals whom Reported Having a Medical Problem that made them Consider Seeking Healthcare Services in the Last 3 Months Prior to Data Collection by sex and age</v>
      </c>
    </row>
    <row r="446" spans="1:1" x14ac:dyDescent="0.3">
      <c r="A446" s="1" t="str">
        <f>HYPERLINK("#'Data'!A7906", "J_2 Healthcare Services Desired by Individuals whom Reported Having a Medical Problem that made them Consider Seeking Healthcare Services in the Last 3 Months Prior to Data Collection by Individuals with a disability")</f>
        <v>J_2 Healthcare Services Desired by Individuals whom Reported Having a Medical Problem that made them Consider Seeking Healthcare Services in the Last 3 Months Prior to Data Collection by Individuals with a disability</v>
      </c>
    </row>
    <row r="447" spans="1:1" x14ac:dyDescent="0.3">
      <c r="A447" s="1" t="str">
        <f>HYPERLINK("#'Data'!A7927", "J_2 Healthcare Services Desired by Individuals whom Reported Having a Medical Problem that made them Consider Seeking Healthcare Services in the Last 3 Months Prior to Data Collection by rural or urban")</f>
        <v>J_2 Healthcare Services Desired by Individuals whom Reported Having a Medical Problem that made them Consider Seeking Healthcare Services in the Last 3 Months Prior to Data Collection by rural or urban</v>
      </c>
    </row>
    <row r="448" spans="1:1" x14ac:dyDescent="0.3">
      <c r="A448" s="1" t="str">
        <f>HYPERLINK("#'Data'!A7942", "J_2 Healthcare Services Desired by Individuals whom Reported Having a Medical Problem that made them Consider Seeking Healthcare Services in the Last 3 Months Prior to Data Collection by HH with member employed")</f>
        <v>J_2 Healthcare Services Desired by Individuals whom Reported Having a Medical Problem that made them Consider Seeking Healthcare Services in the Last 3 Months Prior to Data Collection by HH with member employed</v>
      </c>
    </row>
    <row r="449" spans="1:1" x14ac:dyDescent="0.3">
      <c r="A449" s="1" t="str">
        <f>HYPERLINK("#'Data'!A7963", "J_2 Healthcare Services Desired by Individuals whom Reported Having a Medical Problem that made them Consider Seeking Healthcare Services in the Last 3 Months Prior to Data Collection by type of drinking water sources")</f>
        <v>J_2 Healthcare Services Desired by Individuals whom Reported Having a Medical Problem that made them Consider Seeking Healthcare Services in the Last 3 Months Prior to Data Collection by type of drinking water sources</v>
      </c>
    </row>
    <row r="450" spans="1:1" x14ac:dyDescent="0.3">
      <c r="A450" s="1" t="str">
        <f>HYPERLINK("#'Data'!A7988", "J_2 Healthcare Services Desired by Individuals whom Reported Having a Medical Problem that made them Consider Seeking Healthcare Services in the Last 3 Months Prior to Data Collection by HHs with an elderly member")</f>
        <v>J_2 Healthcare Services Desired by Individuals whom Reported Having a Medical Problem that made them Consider Seeking Healthcare Services in the Last 3 Months Prior to Data Collection by HHs with an elderly member</v>
      </c>
    </row>
    <row r="451" spans="1:1" x14ac:dyDescent="0.3">
      <c r="A451" s="1" t="str">
        <f>HYPERLINK("#'Data'!A8009", "J_2 Healthcare Services Desired by Individuals whom Reported Having a Medical Problem that made them Consider Seeking Healthcare Services in the Last 3 Months Prior to Data Collection by HHs with a member with a disability")</f>
        <v>J_2 Healthcare Services Desired by Individuals whom Reported Having a Medical Problem that made them Consider Seeking Healthcare Services in the Last 3 Months Prior to Data Collection by HHs with a member with a disability</v>
      </c>
    </row>
    <row r="452" spans="1:1" x14ac:dyDescent="0.3">
      <c r="A452" s="1" t="str">
        <f>HYPERLINK("#'Data'!A8030", "J_2 Healthcare Services Desired by Individuals whom Reported Having a Medical Problem that made them Consider Seeking Healthcare Services in the Last 3 Months Prior to Data Collection by HH proximity to frontline or Russian border")</f>
        <v>J_2 Healthcare Services Desired by Individuals whom Reported Having a Medical Problem that made them Consider Seeking Healthcare Services in the Last 3 Months Prior to Data Collection by HH proximity to frontline or Russian border</v>
      </c>
    </row>
    <row r="453" spans="1:1" x14ac:dyDescent="0.3">
      <c r="A453" s="1" t="str">
        <f>HYPERLINK("#'Data'!A8043", "J_2 Healthcare Services Desired by Individuals whom Reported Having a Medical Problem that made them Consider Seeking Healthcare Services in the Last 3 Months Prior to Data Collection by HHs with challenge to obtain money")</f>
        <v>J_2 Healthcare Services Desired by Individuals whom Reported Having a Medical Problem that made them Consider Seeking Healthcare Services in the Last 3 Months Prior to Data Collection by HHs with challenge to obtain money</v>
      </c>
    </row>
    <row r="454" spans="1:1" x14ac:dyDescent="0.3">
      <c r="A454" s="1" t="str">
        <f>HYPERLINK("#'Data'!A8064", "J_3 Healthcare Services Sought by Individuals whom Reported Having a Medical Problem that made them Consider Seeking Healthcare Services in the Last 3 Months Prior to Data Collection by overall")</f>
        <v>J_3 Healthcare Services Sought by Individuals whom Reported Having a Medical Problem that made them Consider Seeking Healthcare Services in the Last 3 Months Prior to Data Collection by overall</v>
      </c>
    </row>
    <row r="455" spans="1:1" x14ac:dyDescent="0.3">
      <c r="A455" s="1" t="str">
        <f>HYPERLINK("#'Data'!A8073", "J_3 Healthcare Services Sought by Individuals whom Reported Having a Medical Problem that made them Consider Seeking Healthcare Services in the Last 3 Months Prior to Data Collection by sex and age")</f>
        <v>J_3 Healthcare Services Sought by Individuals whom Reported Having a Medical Problem that made them Consider Seeking Healthcare Services in the Last 3 Months Prior to Data Collection by sex and age</v>
      </c>
    </row>
    <row r="456" spans="1:1" x14ac:dyDescent="0.3">
      <c r="A456" s="1" t="str">
        <f>HYPERLINK("#'Data'!A8166", "J_3 Healthcare Services Sought by Individuals whom Reported Having a Medical Problem that made them Consider Seeking Healthcare Services in the Last 3 Months Prior to Data Collection by Individuals with a disability")</f>
        <v>J_3 Healthcare Services Sought by Individuals whom Reported Having a Medical Problem that made them Consider Seeking Healthcare Services in the Last 3 Months Prior to Data Collection by Individuals with a disability</v>
      </c>
    </row>
    <row r="457" spans="1:1" x14ac:dyDescent="0.3">
      <c r="A457" s="1" t="str">
        <f>HYPERLINK("#'Data'!A8187", "J_3 Healthcare Services Sought by Individuals whom Reported Having a Medical Problem that made them Consider Seeking Healthcare Services in the Last 3 Months Prior to Data Collection by rural or urban")</f>
        <v>J_3 Healthcare Services Sought by Individuals whom Reported Having a Medical Problem that made them Consider Seeking Healthcare Services in the Last 3 Months Prior to Data Collection by rural or urban</v>
      </c>
    </row>
    <row r="458" spans="1:1" x14ac:dyDescent="0.3">
      <c r="A458" s="1" t="str">
        <f>HYPERLINK("#'Data'!A8202", "J_3 Healthcare Services Sought by Individuals whom Reported Having a Medical Problem that made them Consider Seeking Healthcare Services in the Last 3 Months Prior to Data Collection by HH with member employed")</f>
        <v>J_3 Healthcare Services Sought by Individuals whom Reported Having a Medical Problem that made them Consider Seeking Healthcare Services in the Last 3 Months Prior to Data Collection by HH with member employed</v>
      </c>
    </row>
    <row r="459" spans="1:1" x14ac:dyDescent="0.3">
      <c r="A459" s="1" t="str">
        <f>HYPERLINK("#'Data'!A8223", "J_3 Healthcare Services Sought by Individuals whom Reported Having a Medical Problem that made them Consider Seeking Healthcare Services in the Last 3 Months Prior to Data Collection by HHs with an elderly member")</f>
        <v>J_3 Healthcare Services Sought by Individuals whom Reported Having a Medical Problem that made them Consider Seeking Healthcare Services in the Last 3 Months Prior to Data Collection by HHs with an elderly member</v>
      </c>
    </row>
    <row r="460" spans="1:1" x14ac:dyDescent="0.3">
      <c r="A460" s="1" t="str">
        <f>HYPERLINK("#'Data'!A8244", "J_3 Healthcare Services Sought by Individuals whom Reported Having a Medical Problem that made them Consider Seeking Healthcare Services in the Last 3 Months Prior to Data Collection by HHs with a member with a disability")</f>
        <v>J_3 Healthcare Services Sought by Individuals whom Reported Having a Medical Problem that made them Consider Seeking Healthcare Services in the Last 3 Months Prior to Data Collection by HHs with a member with a disability</v>
      </c>
    </row>
    <row r="461" spans="1:1" x14ac:dyDescent="0.3">
      <c r="A461" s="1" t="str">
        <f>HYPERLINK("#'Data'!A8265", "J_3 Healthcare Services Sought by Individuals whom Reported Having a Medical Problem that made them Consider Seeking Healthcare Services in the Last 3 Months Prior to Data Collection by HH proximity to frontline or Russian border")</f>
        <v>J_3 Healthcare Services Sought by Individuals whom Reported Having a Medical Problem that made them Consider Seeking Healthcare Services in the Last 3 Months Prior to Data Collection by HH proximity to frontline or Russian border</v>
      </c>
    </row>
    <row r="462" spans="1:1" x14ac:dyDescent="0.3">
      <c r="A462" s="1" t="str">
        <f>HYPERLINK("#'Data'!A8278", "J_3 Healthcare Services Sought by Individuals whom Reported Having a Medical Problem that made them Consider Seeking Healthcare Services in the Last 3 Months Prior to Data Collection by HHs with challenge to obtain money")</f>
        <v>J_3 Healthcare Services Sought by Individuals whom Reported Having a Medical Problem that made them Consider Seeking Healthcare Services in the Last 3 Months Prior to Data Collection by HHs with challenge to obtain money</v>
      </c>
    </row>
    <row r="463" spans="1:1" x14ac:dyDescent="0.3">
      <c r="A463" s="1" t="str">
        <f>HYPERLINK("#'Data'!A8299", "J_9 Access to Healthcare Services Desired by Individuals whom Reported Having Sought Healthcare Services in the Last 3 Months Prior to Data Collection by overall")</f>
        <v>J_9 Access to Healthcare Services Desired by Individuals whom Reported Having Sought Healthcare Services in the Last 3 Months Prior to Data Collection by overall</v>
      </c>
    </row>
    <row r="464" spans="1:1" x14ac:dyDescent="0.3">
      <c r="A464" s="1" t="str">
        <f>HYPERLINK("#'Data'!A8308", "J_9 Access to Healthcare Services Desired by Individuals whom Reported Having Sought Healthcare Services in the Last 3 Months Prior to Data Collection by sex and age")</f>
        <v>J_9 Access to Healthcare Services Desired by Individuals whom Reported Having Sought Healthcare Services in the Last 3 Months Prior to Data Collection by sex and age</v>
      </c>
    </row>
    <row r="465" spans="1:1" x14ac:dyDescent="0.3">
      <c r="A465" s="1" t="str">
        <f>HYPERLINK("#'Data'!A8401", "J_9 Access to Healthcare Services Desired by Individuals whom Reported Having Sought Healthcare Services in the Last 3 Months Prior to Data Collection by Individuals with a disability")</f>
        <v>J_9 Access to Healthcare Services Desired by Individuals whom Reported Having Sought Healthcare Services in the Last 3 Months Prior to Data Collection by Individuals with a disability</v>
      </c>
    </row>
    <row r="466" spans="1:1" x14ac:dyDescent="0.3">
      <c r="A466" s="1" t="str">
        <f>HYPERLINK("#'Data'!A8422", "J_9 Access to Healthcare Services Desired by Individuals whom Reported Having Sought Healthcare Services in the Last 3 Months Prior to Data Collection by rural or urban")</f>
        <v>J_9 Access to Healthcare Services Desired by Individuals whom Reported Having Sought Healthcare Services in the Last 3 Months Prior to Data Collection by rural or urban</v>
      </c>
    </row>
    <row r="467" spans="1:1" x14ac:dyDescent="0.3">
      <c r="A467" s="1" t="str">
        <f>HYPERLINK("#'Data'!A8437", "J_9 Access to Healthcare Services Desired by Individuals whom Reported Having Sought Healthcare Services in the Last 3 Months Prior to Data Collection by HH with member employed")</f>
        <v>J_9 Access to Healthcare Services Desired by Individuals whom Reported Having Sought Healthcare Services in the Last 3 Months Prior to Data Collection by HH with member employed</v>
      </c>
    </row>
    <row r="468" spans="1:1" x14ac:dyDescent="0.3">
      <c r="A468" s="1" t="str">
        <f>HYPERLINK("#'Data'!A8458", "J_9 Access to Healthcare Services Desired by Individuals whom Reported Having Sought Healthcare Services in the Last 3 Months Prior to Data Collection by HHs with an elderly member")</f>
        <v>J_9 Access to Healthcare Services Desired by Individuals whom Reported Having Sought Healthcare Services in the Last 3 Months Prior to Data Collection by HHs with an elderly member</v>
      </c>
    </row>
    <row r="469" spans="1:1" x14ac:dyDescent="0.3">
      <c r="A469" s="1" t="str">
        <f>HYPERLINK("#'Data'!A8479", "J_9 Access to Healthcare Services Desired by Individuals whom Reported Having Sought Healthcare Services in the Last 3 Months Prior to Data Collection by HHs with a member with a disability")</f>
        <v>J_9 Access to Healthcare Services Desired by Individuals whom Reported Having Sought Healthcare Services in the Last 3 Months Prior to Data Collection by HHs with a member with a disability</v>
      </c>
    </row>
    <row r="470" spans="1:1" x14ac:dyDescent="0.3">
      <c r="A470" s="1" t="str">
        <f>HYPERLINK("#'Data'!A8500", "J_9 Access to Healthcare Services Desired by Individuals whom Reported Having Sought Healthcare Services in the Last 3 Months Prior to Data Collection by HH proximity to frontline or Russian border")</f>
        <v>J_9 Access to Healthcare Services Desired by Individuals whom Reported Having Sought Healthcare Services in the Last 3 Months Prior to Data Collection by HH proximity to frontline or Russian border</v>
      </c>
    </row>
    <row r="471" spans="1:1" x14ac:dyDescent="0.3">
      <c r="A471" s="1" t="str">
        <f>HYPERLINK("#'Data'!A8513", "J_9 Access to Healthcare Services Desired by Individuals whom Reported Having Sought Healthcare Services in the Last 3 Months Prior to Data Collection by HHs with challenge to obtain money")</f>
        <v>J_9 Access to Healthcare Services Desired by Individuals whom Reported Having Sought Healthcare Services in the Last 3 Months Prior to Data Collection by HHs with challenge to obtain money</v>
      </c>
    </row>
    <row r="472" spans="1:1" x14ac:dyDescent="0.3">
      <c r="A472" s="1" t="str">
        <f>HYPERLINK("#'Data'!A8534", "J_10 Barriers Individuals Reportedly Experienced that Prevented Access to Healthcare Services Desired in the Last 3 Months Prior to Data Collection overall")</f>
        <v>J_10 Barriers Individuals Reportedly Experienced that Prevented Access to Healthcare Services Desired in the Last 3 Months Prior to Data Collection overall</v>
      </c>
    </row>
    <row r="473" spans="1:1" x14ac:dyDescent="0.3">
      <c r="A473" s="1" t="str">
        <f>HYPERLINK("#'Data'!A8543", "J_10 Barriers Individuals Reportedly Experienced that Prevented Access to Healthcare Services Desired in the Last 3 Months Prior to Data Collection by sex and age")</f>
        <v>J_10 Barriers Individuals Reportedly Experienced that Prevented Access to Healthcare Services Desired in the Last 3 Months Prior to Data Collection by sex and age</v>
      </c>
    </row>
    <row r="474" spans="1:1" x14ac:dyDescent="0.3">
      <c r="A474" s="1" t="str">
        <f>HYPERLINK("#'Data'!A8636", "J_10 Barriers Individuals Reportedly Experienced that Prevented Access to Healthcare Services Desired in the Last 3 Months Prior to Data Collection by Individuals with a disability")</f>
        <v>J_10 Barriers Individuals Reportedly Experienced that Prevented Access to Healthcare Services Desired in the Last 3 Months Prior to Data Collection by Individuals with a disability</v>
      </c>
    </row>
    <row r="475" spans="1:1" x14ac:dyDescent="0.3">
      <c r="A475" s="1" t="str">
        <f>HYPERLINK("#'Data'!A8657", "J_10 Barriers Individuals Reportedly Experienced that Prevented Access to Healthcare Services Desired in the Last 3 Months Prior to Data Collection by rural or urban")</f>
        <v>J_10 Barriers Individuals Reportedly Experienced that Prevented Access to Healthcare Services Desired in the Last 3 Months Prior to Data Collection by rural or urban</v>
      </c>
    </row>
    <row r="476" spans="1:1" x14ac:dyDescent="0.3">
      <c r="A476" s="1" t="str">
        <f>HYPERLINK("#'Data'!A8672", "J_10 Barriers Individuals Reportedly Experienced that Prevented Access to Healthcare Services Desired in the Last 3 Months Prior to Data Collection by HH with member employed")</f>
        <v>J_10 Barriers Individuals Reportedly Experienced that Prevented Access to Healthcare Services Desired in the Last 3 Months Prior to Data Collection by HH with member employed</v>
      </c>
    </row>
    <row r="477" spans="1:1" x14ac:dyDescent="0.3">
      <c r="A477" s="1" t="str">
        <f>HYPERLINK("#'Data'!A8693", "J_10 Barriers Individuals Reportedly Experienced that Prevented Access to Healthcare Services Desired in the Last 3 Months Prior to Data Collection by HHs with an elderly member")</f>
        <v>J_10 Barriers Individuals Reportedly Experienced that Prevented Access to Healthcare Services Desired in the Last 3 Months Prior to Data Collection by HHs with an elderly member</v>
      </c>
    </row>
    <row r="478" spans="1:1" x14ac:dyDescent="0.3">
      <c r="A478" s="1" t="str">
        <f>HYPERLINK("#'Data'!A8714", "J_10 Barriers Individuals Reportedly Experienced that Prevented Access to Healthcare Services Desired in the Last 3 Months Prior to Data Collection by HHs with a member with a disability")</f>
        <v>J_10 Barriers Individuals Reportedly Experienced that Prevented Access to Healthcare Services Desired in the Last 3 Months Prior to Data Collection by HHs with a member with a disability</v>
      </c>
    </row>
    <row r="479" spans="1:1" x14ac:dyDescent="0.3">
      <c r="A479" s="1" t="str">
        <f>HYPERLINK("#'Data'!A8735", "J_10 Barriers Individuals Reportedly Experienced that Prevented Access to Healthcare Services Desired in the Last 3 Months Prior to Data Collection by HH proximity to frontline or Russian border")</f>
        <v>J_10 Barriers Individuals Reportedly Experienced that Prevented Access to Healthcare Services Desired in the Last 3 Months Prior to Data Collection by HH proximity to frontline or Russian border</v>
      </c>
    </row>
    <row r="480" spans="1:1" x14ac:dyDescent="0.3">
      <c r="A480" s="1" t="str">
        <f>HYPERLINK("#'Data'!A8748", "J_10 Barriers Individuals Reportedly Experienced that Prevented Access to Healthcare Services Desired in the Last 3 Months Prior to Data Collection by HHs with challenge to obtain money")</f>
        <v>J_10 Barriers Individuals Reportedly Experienced that Prevented Access to Healthcare Services Desired in the Last 3 Months Prior to Data Collection by HHs with challenge to obtain money</v>
      </c>
    </row>
    <row r="481" spans="1:1" x14ac:dyDescent="0.3">
      <c r="A481" s="1" t="str">
        <f>HYPERLINK("#'Data'!A8769", "J_13 Individuals who Reportedly Sought Medicine in the Last 3 Months Prior to Data Collection overall")</f>
        <v>J_13 Individuals who Reportedly Sought Medicine in the Last 3 Months Prior to Data Collection overall</v>
      </c>
    </row>
    <row r="482" spans="1:1" x14ac:dyDescent="0.3">
      <c r="A482" s="1" t="str">
        <f>HYPERLINK("#'Data'!A8778", "J_13 Individuals who Reportedly Sought Medicine in the Last 3 Months Prior to Data Collection by sex and age")</f>
        <v>J_13 Individuals who Reportedly Sought Medicine in the Last 3 Months Prior to Data Collection by sex and age</v>
      </c>
    </row>
    <row r="483" spans="1:1" x14ac:dyDescent="0.3">
      <c r="A483" s="1" t="str">
        <f>HYPERLINK("#'Data'!A8871", "J_13 Individuals who Reportedly Sought Medicine in the Last 3 Months Prior to Data Collection by Individuals with a disability")</f>
        <v>J_13 Individuals who Reportedly Sought Medicine in the Last 3 Months Prior to Data Collection by Individuals with a disability</v>
      </c>
    </row>
    <row r="484" spans="1:1" x14ac:dyDescent="0.3">
      <c r="A484" s="1" t="str">
        <f>HYPERLINK("#'Data'!A8892", "J_13 Individuals who Reportedly Sought Medicine in the Last 3 Months Prior to Data Collection by rural or urban")</f>
        <v>J_13 Individuals who Reportedly Sought Medicine in the Last 3 Months Prior to Data Collection by rural or urban</v>
      </c>
    </row>
    <row r="485" spans="1:1" x14ac:dyDescent="0.3">
      <c r="A485" s="1" t="str">
        <f>HYPERLINK("#'Data'!A8907", "J_13 Individuals who Reportedly Sought Medicine in the Last 3 Months Prior to Data Collection by HH with member employed")</f>
        <v>J_13 Individuals who Reportedly Sought Medicine in the Last 3 Months Prior to Data Collection by HH with member employed</v>
      </c>
    </row>
    <row r="486" spans="1:1" x14ac:dyDescent="0.3">
      <c r="A486" s="1" t="str">
        <f>HYPERLINK("#'Data'!A8928", "J_13 Households who Reportedly Sought Medicine in the Last 3 Months Prior to Data Collection by HHs with an elderly member")</f>
        <v>J_13 Households who Reportedly Sought Medicine in the Last 3 Months Prior to Data Collection by HHs with an elderly member</v>
      </c>
    </row>
    <row r="487" spans="1:1" x14ac:dyDescent="0.3">
      <c r="A487" s="1" t="str">
        <f>HYPERLINK("#'Data'!A8949", "J_13 Households who Reportedly Sought Medicine in the Last 3 Months Prior to Data Collection by HHs with a member with a disability")</f>
        <v>J_13 Households who Reportedly Sought Medicine in the Last 3 Months Prior to Data Collection by HHs with a member with a disability</v>
      </c>
    </row>
    <row r="488" spans="1:1" x14ac:dyDescent="0.3">
      <c r="A488" s="1" t="str">
        <f>HYPERLINK("#'Data'!A8970", "J_13 Households who Reportedly Sought Medicine in the Last 3 Months Prior to Data Collection by HH proximity to frontline or Russian border")</f>
        <v>J_13 Households who Reportedly Sought Medicine in the Last 3 Months Prior to Data Collection by HH proximity to frontline or Russian border</v>
      </c>
    </row>
    <row r="489" spans="1:1" x14ac:dyDescent="0.3">
      <c r="A489" s="1" t="str">
        <f>HYPERLINK("#'Data'!A8983", "J_13 Households who Reportedly Sought Medicine in the Last 3 Months Prior to Data Collection by HHs with challenge to obtain money")</f>
        <v>J_13 Households who Reportedly Sought Medicine in the Last 3 Months Prior to Data Collection by HHs with challenge to obtain money</v>
      </c>
    </row>
    <row r="490" spans="1:1" x14ac:dyDescent="0.3">
      <c r="A490" s="1" t="str">
        <f>HYPERLINK("#'Data'!A9004", "J_15 Medicines Reportedly Sought by Individuals in the Last 3 Months Prior to Data Collection overall")</f>
        <v>J_15 Medicines Reportedly Sought by Individuals in the Last 3 Months Prior to Data Collection overall</v>
      </c>
    </row>
    <row r="491" spans="1:1" x14ac:dyDescent="0.3">
      <c r="A491" s="1" t="str">
        <f>HYPERLINK("#'Data'!A9013", "J_15 Medicines Reportedly Sought by Individuals in the Last 3 Months Prior to Data Collection by sex and age")</f>
        <v>J_15 Medicines Reportedly Sought by Individuals in the Last 3 Months Prior to Data Collection by sex and age</v>
      </c>
    </row>
    <row r="492" spans="1:1" x14ac:dyDescent="0.3">
      <c r="A492" s="1" t="str">
        <f>HYPERLINK("#'Data'!A9105", "J_15 Medicines Reportedly Sought by Individuals in the Last 3 Months Prior to Data Collection by Individuals with a disability")</f>
        <v>J_15 Medicines Reportedly Sought by Individuals in the Last 3 Months Prior to Data Collection by Individuals with a disability</v>
      </c>
    </row>
    <row r="493" spans="1:1" x14ac:dyDescent="0.3">
      <c r="A493" s="1" t="str">
        <f>HYPERLINK("#'Data'!A9126", "J_15 Medicines Reportedly Sought by Individuals in the Last 3 Months Prior to Data Collection by rural or urban")</f>
        <v>J_15 Medicines Reportedly Sought by Individuals in the Last 3 Months Prior to Data Collection by rural or urban</v>
      </c>
    </row>
    <row r="494" spans="1:1" x14ac:dyDescent="0.3">
      <c r="A494" s="1" t="str">
        <f>HYPERLINK("#'Data'!A9141", "J_15 Medicines Reportedly Sought by Individuals in the Last 3 Months Prior to Data Collection by HH with member employed")</f>
        <v>J_15 Medicines Reportedly Sought by Individuals in the Last 3 Months Prior to Data Collection by HH with member employed</v>
      </c>
    </row>
    <row r="495" spans="1:1" x14ac:dyDescent="0.3">
      <c r="A495" s="1" t="str">
        <f>HYPERLINK("#'Data'!A9162", "J_15 Medicines Reportedly Sought by Individuals in the Last 3 Months Prior to Data Collection by type of drinking water sources")</f>
        <v>J_15 Medicines Reportedly Sought by Individuals in the Last 3 Months Prior to Data Collection by type of drinking water sources</v>
      </c>
    </row>
    <row r="496" spans="1:1" x14ac:dyDescent="0.3">
      <c r="A496" s="1" t="str">
        <f>HYPERLINK("#'Data'!A9189", "J_15 Medicines Reportedly Sought by Individuals in the Last 3 Months Prior to Data Collection by HHs with an elderly member")</f>
        <v>J_15 Medicines Reportedly Sought by Individuals in the Last 3 Months Prior to Data Collection by HHs with an elderly member</v>
      </c>
    </row>
    <row r="497" spans="1:1" x14ac:dyDescent="0.3">
      <c r="A497" s="1" t="str">
        <f>HYPERLINK("#'Data'!A9209", "J_15 Medicines Reportedly Sought by Individuals in the Last 3 Months Prior to Data Collection by HHs with a member with a disability")</f>
        <v>J_15 Medicines Reportedly Sought by Individuals in the Last 3 Months Prior to Data Collection by HHs with a member with a disability</v>
      </c>
    </row>
    <row r="498" spans="1:1" x14ac:dyDescent="0.3">
      <c r="A498" s="1" t="str">
        <f>HYPERLINK("#'Data'!A9230", "J_15 Medicines Reportedly Sought by Individuals in the Last 3 Months Prior to Data Collection by HH proximity to frontline or Russian border")</f>
        <v>J_15 Medicines Reportedly Sought by Individuals in the Last 3 Months Prior to Data Collection by HH proximity to frontline or Russian border</v>
      </c>
    </row>
    <row r="499" spans="1:1" x14ac:dyDescent="0.3">
      <c r="A499" s="1" t="str">
        <f>HYPERLINK("#'Data'!A9243", "J_15 Medicines Reportedly Sought by Individuals in the Last 3 Months Prior to Data Collection by HHs with challenge to obtain money")</f>
        <v>J_15 Medicines Reportedly Sought by Individuals in the Last 3 Months Prior to Data Collection by HHs with challenge to obtain money</v>
      </c>
    </row>
    <row r="500" spans="1:1" x14ac:dyDescent="0.3">
      <c r="A500" s="1" t="str">
        <f>HYPERLINK("#'Data'!A9264", "J_14 Barriers Individuals Reportedly Experienced when Seeking Medicines in the Last 3 Months Prior to Data Collection overall")</f>
        <v>J_14 Barriers Individuals Reportedly Experienced when Seeking Medicines in the Last 3 Months Prior to Data Collection overall</v>
      </c>
    </row>
    <row r="501" spans="1:1" x14ac:dyDescent="0.3">
      <c r="A501" s="1" t="str">
        <f>HYPERLINK("#'Data'!A9273", "J_14 Barriers Individuals Reportedly Experienced when Seeking Medicines in the Last 3 Months Prior to Data Collection by sex and age")</f>
        <v>J_14 Barriers Individuals Reportedly Experienced when Seeking Medicines in the Last 3 Months Prior to Data Collection by sex and age</v>
      </c>
    </row>
    <row r="502" spans="1:1" x14ac:dyDescent="0.3">
      <c r="A502" s="1" t="str">
        <f>HYPERLINK("#'Data'!A9365", "J_14 Barriers Individuals Reportedly Experienced when Seeking Medicines in the Last 3 Months Prior to Data Collection by HHs with a member with a disability")</f>
        <v>J_14 Barriers Individuals Reportedly Experienced when Seeking Medicines in the Last 3 Months Prior to Data Collection by HHs with a member with a disability</v>
      </c>
    </row>
    <row r="503" spans="1:1" x14ac:dyDescent="0.3">
      <c r="A503" s="1" t="str">
        <f>HYPERLINK("#'Data'!A9386", "J_14 Barriers Individuals Reportedly Experienced when Seeking Medicines in the Last 3 Months Prior to Data Collection by rural or urban")</f>
        <v>J_14 Barriers Individuals Reportedly Experienced when Seeking Medicines in the Last 3 Months Prior to Data Collection by rural or urban</v>
      </c>
    </row>
    <row r="504" spans="1:1" x14ac:dyDescent="0.3">
      <c r="A504" s="1" t="str">
        <f>HYPERLINK("#'Data'!A9401", "J_14 Barriers Individuals Reportedly Experienced when Seeking Medicines in the Last 3 Months Prior to Data Collection by HH with member employed")</f>
        <v>J_14 Barriers Individuals Reportedly Experienced when Seeking Medicines in the Last 3 Months Prior to Data Collection by HH with member employed</v>
      </c>
    </row>
    <row r="505" spans="1:1" x14ac:dyDescent="0.3">
      <c r="A505" s="1" t="str">
        <f>HYPERLINK("#'Data'!A9422", "J_14 Barriers Individuals Reportedly Experienced when Seeking Medicines in the Last 3 Months Prior to Data Collection by HHs with an elderly member")</f>
        <v>J_14 Barriers Individuals Reportedly Experienced when Seeking Medicines in the Last 3 Months Prior to Data Collection by HHs with an elderly member</v>
      </c>
    </row>
    <row r="506" spans="1:1" x14ac:dyDescent="0.3">
      <c r="A506" s="1" t="str">
        <f>HYPERLINK("#'Data'!A9442", "J_14 Barriers Individuals Reportedly Experienced when Seeking Medicines in the Last 3 Months Prior to Data Collection by HH proximity to frontline or Russian border")</f>
        <v>J_14 Barriers Individuals Reportedly Experienced when Seeking Medicines in the Last 3 Months Prior to Data Collection by HH proximity to frontline or Russian border</v>
      </c>
    </row>
    <row r="507" spans="1:1" x14ac:dyDescent="0.3">
      <c r="A507" s="1" t="str">
        <f>HYPERLINK("#'Data'!A9455", "J_14 Barriers Individuals Reportedly Experienced when Seeking Medicines in the Last 3 Months Prior to Data Collection by HHs with challenge to obtain money")</f>
        <v>J_14 Barriers Individuals Reportedly Experienced when Seeking Medicines in the Last 3 Months Prior to Data Collection by HHs with challenge to obtain money</v>
      </c>
    </row>
    <row r="508" spans="1:1" x14ac:dyDescent="0.3">
      <c r="A508" s="1" t="str">
        <f>HYPERLINK("#'Data'!A9476", "K_1 Households Reporting a Child Living Outside of their Home overall")</f>
        <v>K_1 Households Reporting a Child Living Outside of their Home overall</v>
      </c>
    </row>
    <row r="509" spans="1:1" x14ac:dyDescent="0.3">
      <c r="A509" s="1" t="str">
        <f>HYPERLINK("#'Data'!A9485", "K_1 Households Reporting a Child Living Outside of their Home by HHs with a member with a disability")</f>
        <v>K_1 Households Reporting a Child Living Outside of their Home by HHs with a member with a disability</v>
      </c>
    </row>
    <row r="510" spans="1:1" x14ac:dyDescent="0.3">
      <c r="A510" s="1" t="str">
        <f>HYPERLINK("#'Data'!A9506", "K_1 Households Reporting a Child Living Outside of their Home by displacement status")</f>
        <v>K_1 Households Reporting a Child Living Outside of their Home by displacement status</v>
      </c>
    </row>
    <row r="511" spans="1:1" x14ac:dyDescent="0.3">
      <c r="A511" s="1" t="str">
        <f>HYPERLINK("#'Data'!A9527", "K_1 Households Reporting a Child Living Outside of their Home by HoHH sex")</f>
        <v>K_1 Households Reporting a Child Living Outside of their Home by HoHH sex</v>
      </c>
    </row>
    <row r="512" spans="1:1" x14ac:dyDescent="0.3">
      <c r="A512" s="1" t="str">
        <f>HYPERLINK("#'Data'!A9548", "K_1 Households Reporting a Child Living Outside of their Home by rural or urban")</f>
        <v>K_1 Households Reporting a Child Living Outside of their Home by rural or urban</v>
      </c>
    </row>
    <row r="513" spans="1:1" x14ac:dyDescent="0.3">
      <c r="A513" s="1" t="str">
        <f>HYPERLINK("#'Data'!A9563", "K_1 Households Reporting a Child Living Outside of their Home by HHs with children")</f>
        <v>K_1 Households Reporting a Child Living Outside of their Home by HHs with children</v>
      </c>
    </row>
    <row r="514" spans="1:1" x14ac:dyDescent="0.3">
      <c r="A514" s="1" t="str">
        <f>HYPERLINK("#'Data'!A9578", "K_1 Households Reporting a Child Living Outside of their Home by HHs that received assistance (Protection)")</f>
        <v>K_1 Households Reporting a Child Living Outside of their Home by HHs that received assistance (Protection)</v>
      </c>
    </row>
    <row r="515" spans="1:1" x14ac:dyDescent="0.3">
      <c r="A515" s="1" t="str">
        <f>HYPERLINK("#'Data'!A9605", "K_2 Number of Children Households Reported as Living Outside of their Home overall")</f>
        <v>K_2 Number of Children Households Reported as Living Outside of their Home overall</v>
      </c>
    </row>
    <row r="516" spans="1:1" x14ac:dyDescent="0.3">
      <c r="A516" s="1" t="str">
        <f>HYPERLINK("#'Data'!A9614", "K_2 Number of Children Households Reported as Living Outside of their Home by HHs with a member with a disability")</f>
        <v>K_2 Number of Children Households Reported as Living Outside of their Home by HHs with a member with a disability</v>
      </c>
    </row>
    <row r="517" spans="1:1" x14ac:dyDescent="0.3">
      <c r="A517" s="1" t="str">
        <f>HYPERLINK("#'Data'!A9633", "K_2 Number of Children Households Reported as Living Outside of their Home by displacement status")</f>
        <v>K_2 Number of Children Households Reported as Living Outside of their Home by displacement status</v>
      </c>
    </row>
    <row r="518" spans="1:1" x14ac:dyDescent="0.3">
      <c r="A518" s="1" t="str">
        <f>HYPERLINK("#'Data'!A9653", "K_2 Number of Children Households Reported as Living Outside of their Home by HoHH sex")</f>
        <v>K_2 Number of Children Households Reported as Living Outside of their Home by HoHH sex</v>
      </c>
    </row>
    <row r="519" spans="1:1" x14ac:dyDescent="0.3">
      <c r="A519" s="1" t="str">
        <f>HYPERLINK("#'Data'!A9674", "K_2 Number of Children Households Reported as Living Outside of their Home by rural or urban")</f>
        <v>K_2 Number of Children Households Reported as Living Outside of their Home by rural or urban</v>
      </c>
    </row>
    <row r="520" spans="1:1" x14ac:dyDescent="0.3">
      <c r="A520" s="1" t="str">
        <f>HYPERLINK("#'Data'!A9689", "K_2 Number of Children Households Reported as Living Outside of their Home by HHs with children")</f>
        <v>K_2 Number of Children Households Reported as Living Outside of their Home by HHs with children</v>
      </c>
    </row>
    <row r="521" spans="1:1" x14ac:dyDescent="0.3">
      <c r="A521" s="1" t="str">
        <f>HYPERLINK("#'Data'!A9704", "K_3 Reasons Households Reported for Children Living Outside of their Home overall")</f>
        <v>K_3 Reasons Households Reported for Children Living Outside of their Home overall</v>
      </c>
    </row>
    <row r="522" spans="1:1" x14ac:dyDescent="0.3">
      <c r="A522" s="1" t="str">
        <f>HYPERLINK("#'Data'!A9713", "K_3 Reasons Households Reported for Children Living Outside of their Home by HHs with a member with a disability")</f>
        <v>K_3 Reasons Households Reported for Children Living Outside of their Home by HHs with a member with a disability</v>
      </c>
    </row>
    <row r="523" spans="1:1" x14ac:dyDescent="0.3">
      <c r="A523" s="1" t="str">
        <f>HYPERLINK("#'Data'!A9733", "K_3 Reasons Households Reported for Children Living Outside of their Home by displacement status")</f>
        <v>K_3 Reasons Households Reported for Children Living Outside of their Home by displacement status</v>
      </c>
    </row>
    <row r="524" spans="1:1" x14ac:dyDescent="0.3">
      <c r="A524" s="1" t="str">
        <f>HYPERLINK("#'Data'!A9753", "K_3 Reasons Households Reported for Children Living Outside of their Home by HoHH sex")</f>
        <v>K_3 Reasons Households Reported for Children Living Outside of their Home by HoHH sex</v>
      </c>
    </row>
    <row r="525" spans="1:1" x14ac:dyDescent="0.3">
      <c r="A525" s="1" t="str">
        <f>HYPERLINK("#'Data'!A9774", "K_3 Reasons Households Reported for Children Living Outside of their Home by rural or urban")</f>
        <v>K_3 Reasons Households Reported for Children Living Outside of their Home by rural or urban</v>
      </c>
    </row>
    <row r="526" spans="1:1" x14ac:dyDescent="0.3">
      <c r="A526" s="1" t="str">
        <f>HYPERLINK("#'Data'!A9789", "K_3 Reasons Households Reported for Children Living Outside of their Home by HHs with children")</f>
        <v>K_3 Reasons Households Reported for Children Living Outside of their Home by HHs with children</v>
      </c>
    </row>
    <row r="527" spans="1:1" x14ac:dyDescent="0.3">
      <c r="A527" s="1" t="str">
        <f>HYPERLINK("#'Data'!A9804", "K_4 Concerns in the Last 3 Months Prior to Data Collection that remain actual as of today that Households Reported in Relation to Property or Land overall")</f>
        <v>K_4 Concerns in the Last 3 Months Prior to Data Collection that remain actual as of today that Households Reported in Relation to Property or Land overall</v>
      </c>
    </row>
    <row r="528" spans="1:1" x14ac:dyDescent="0.3">
      <c r="A528" s="1" t="str">
        <f>HYPERLINK("#'Data'!A9813", "K_4 Concerns in the Last 3 Months Prior to Data Collection that remain actual as of today that Households Reported in Relation to Property or Land by HHs with a member with a disability")</f>
        <v>K_4 Concerns in the Last 3 Months Prior to Data Collection that remain actual as of today that Households Reported in Relation to Property or Land by HHs with a member with a disability</v>
      </c>
    </row>
    <row r="529" spans="1:1" x14ac:dyDescent="0.3">
      <c r="A529" s="1" t="str">
        <f>HYPERLINK("#'Data'!A9834", "K_4 Concerns in the Last 3 Months Prior to Data Collection that remain actual as of today that Households Reported in Relation to Property or Land by displacement status")</f>
        <v>K_4 Concerns in the Last 3 Months Prior to Data Collection that remain actual as of today that Households Reported in Relation to Property or Land by displacement status</v>
      </c>
    </row>
    <row r="530" spans="1:1" x14ac:dyDescent="0.3">
      <c r="A530" s="1" t="str">
        <f>HYPERLINK("#'Data'!A9855", "K_4 Concerns in the Last 3 Months Prior to Data Collection that remain actual as of today that Households Reported in Relation to Property or Land by HoHH sex")</f>
        <v>K_4 Concerns in the Last 3 Months Prior to Data Collection that remain actual as of today that Households Reported in Relation to Property or Land by HoHH sex</v>
      </c>
    </row>
    <row r="531" spans="1:1" x14ac:dyDescent="0.3">
      <c r="A531" s="1" t="str">
        <f>HYPERLINK("#'Data'!A9876", "K_4 Concerns in the Last 3 Months Prior to Data Collection that remain actual as of today that Households Reported in Relation to Property or Land by rural or urban")</f>
        <v>K_4 Concerns in the Last 3 Months Prior to Data Collection that remain actual as of today that Households Reported in Relation to Property or Land by rural or urban</v>
      </c>
    </row>
    <row r="532" spans="1:1" x14ac:dyDescent="0.3">
      <c r="A532" s="1" t="str">
        <f>HYPERLINK("#'Data'!A9891", "K_4 Concerns in the Last 3 Months Prior to Data Collection that remain actual as of today that Households Reported in Relation to Property or Land by HHs with children")</f>
        <v>K_4 Concerns in the Last 3 Months Prior to Data Collection that remain actual as of today that Households Reported in Relation to Property or Land by HHs with children</v>
      </c>
    </row>
    <row r="533" spans="1:1" x14ac:dyDescent="0.3">
      <c r="A533" s="1" t="str">
        <f>HYPERLINK("#'Data'!A9906", "K_4 Concerns in the Last 3 Months Prior to Data Collection that remain actual as of today that Households Reported in Relation to Property or Land by HH proximity to frontline or Russian border")</f>
        <v>K_4 Concerns in the Last 3 Months Prior to Data Collection that remain actual as of today that Households Reported in Relation to Property or Land by HH proximity to frontline or Russian border</v>
      </c>
    </row>
    <row r="534" spans="1:1" x14ac:dyDescent="0.3">
      <c r="A534" s="1" t="str">
        <f>HYPERLINK("#'Data'!A9919", "K_6 Safety and Security Incidents Households Reported as Experienced in the Last 3 Months Prior to Data Collection overall")</f>
        <v>K_6 Safety and Security Incidents Households Reported as Experienced in the Last 3 Months Prior to Data Collection overall</v>
      </c>
    </row>
    <row r="535" spans="1:1" x14ac:dyDescent="0.3">
      <c r="A535" s="1" t="str">
        <f>HYPERLINK("#'Data'!A9928", "K_6 Safety and Security Incidents Households Reported as Experienced in the Last 3 Months Prior to Data Collection by HHs with a member with a disability")</f>
        <v>K_6 Safety and Security Incidents Households Reported as Experienced in the Last 3 Months Prior to Data Collection by HHs with a member with a disability</v>
      </c>
    </row>
    <row r="536" spans="1:1" x14ac:dyDescent="0.3">
      <c r="A536" s="1" t="str">
        <f>HYPERLINK("#'Data'!A9949", "K_6 Safety and Security Incidents Households Reported as Experienced in the Last 3 Months Prior to Data Collection by displacement status")</f>
        <v>K_6 Safety and Security Incidents Households Reported as Experienced in the Last 3 Months Prior to Data Collection by displacement status</v>
      </c>
    </row>
    <row r="537" spans="1:1" x14ac:dyDescent="0.3">
      <c r="A537" s="1" t="str">
        <f>HYPERLINK("#'Data'!A9970", "K_6 Safety and Security Incidents Households Reported as Experienced in the Last 3 Months Prior to Data Collection by HoHH sex")</f>
        <v>K_6 Safety and Security Incidents Households Reported as Experienced in the Last 3 Months Prior to Data Collection by HoHH sex</v>
      </c>
    </row>
    <row r="538" spans="1:1" x14ac:dyDescent="0.3">
      <c r="A538" s="1" t="str">
        <f>HYPERLINK("#'Data'!A9991", "K_6 Safety and Security Incidents Households Reported as Experienced in the Last 3 Months Prior to Data Collection by rural or urban")</f>
        <v>K_6 Safety and Security Incidents Households Reported as Experienced in the Last 3 Months Prior to Data Collection by rural or urban</v>
      </c>
    </row>
    <row r="539" spans="1:1" x14ac:dyDescent="0.3">
      <c r="A539" s="1" t="str">
        <f>HYPERLINK("#'Data'!A10006", "K_6 Safety and Security Incidents Households Reported as Experienced in the Last 3 Months Prior to Data Collection by HHs with children")</f>
        <v>K_6 Safety and Security Incidents Households Reported as Experienced in the Last 3 Months Prior to Data Collection by HHs with children</v>
      </c>
    </row>
    <row r="540" spans="1:1" x14ac:dyDescent="0.3">
      <c r="A540" s="1" t="str">
        <f>HYPERLINK("#'Data'!A10021", "K_6 Safety and Security Incidents Households Reported as Experienced in the Last 3 Months Prior to Data Collection by HH proximity to frontline or Russian border")</f>
        <v>K_6 Safety and Security Incidents Households Reported as Experienced in the Last 3 Months Prior to Data Collection by HH proximity to frontline or Russian border</v>
      </c>
    </row>
    <row r="541" spans="1:1" x14ac:dyDescent="0.3">
      <c r="A541" s="1" t="str">
        <f>HYPERLINK("#'Data'!A10034", "K_7 Households Reportedly Trained or Briefed on Risks and Safe Behaviours towards Explosive Ordnance overall")</f>
        <v>K_7 Households Reportedly Trained or Briefed on Risks and Safe Behaviours towards Explosive Ordnance overall</v>
      </c>
    </row>
    <row r="542" spans="1:1" x14ac:dyDescent="0.3">
      <c r="A542" s="1" t="str">
        <f>HYPERLINK("#'Data'!A10043", "K_7 Households Reportedly Trained or Briefed on Risks and Safe Behaviours towards Explosive Ordnance by HHs with a member with a disability")</f>
        <v>K_7 Households Reportedly Trained or Briefed on Risks and Safe Behaviours towards Explosive Ordnance by HHs with a member with a disability</v>
      </c>
    </row>
    <row r="543" spans="1:1" x14ac:dyDescent="0.3">
      <c r="A543" s="1" t="str">
        <f>HYPERLINK("#'Data'!A10064", "K_7 Households Reportedly Trained or Briefed on Risks and Safe Behaviours towards Explosive Ordnance by displacement status")</f>
        <v>K_7 Households Reportedly Trained or Briefed on Risks and Safe Behaviours towards Explosive Ordnance by displacement status</v>
      </c>
    </row>
    <row r="544" spans="1:1" x14ac:dyDescent="0.3">
      <c r="A544" s="1" t="str">
        <f>HYPERLINK("#'Data'!A10085", "K_7 Households Reportedly Trained or Briefed on Risks and Safe Behaviours towards Explosive Ordnance by HoHH sex")</f>
        <v>K_7 Households Reportedly Trained or Briefed on Risks and Safe Behaviours towards Explosive Ordnance by HoHH sex</v>
      </c>
    </row>
    <row r="545" spans="1:1" x14ac:dyDescent="0.3">
      <c r="A545" s="1" t="str">
        <f>HYPERLINK("#'Data'!A10106", "K_7 Households Reportedly Trained or Briefed on Risks and Safe Behaviours towards Explosive Ordnance by rural or urban")</f>
        <v>K_7 Households Reportedly Trained or Briefed on Risks and Safe Behaviours towards Explosive Ordnance by rural or urban</v>
      </c>
    </row>
    <row r="546" spans="1:1" x14ac:dyDescent="0.3">
      <c r="A546" s="1" t="str">
        <f>HYPERLINK("#'Data'!A10121", "K_7 Households Reportedly Trained or Briefed on Risks and Safe Behaviours towards Explosive Ordnance by HHs with children")</f>
        <v>K_7 Households Reportedly Trained or Briefed on Risks and Safe Behaviours towards Explosive Ordnance by HHs with children</v>
      </c>
    </row>
    <row r="547" spans="1:1" x14ac:dyDescent="0.3">
      <c r="A547" s="1" t="str">
        <f>HYPERLINK("#'Data'!A10136", "K_7 Households Reportedly Trained or Briefed on Risks and Safe Behaviours towards Explosive Ordnance by HH proximity to frontline or Russian border")</f>
        <v>K_7 Households Reportedly Trained or Briefed on Risks and Safe Behaviours towards Explosive Ordnance by HH proximity to frontline or Russian border</v>
      </c>
    </row>
    <row r="548" spans="1:1" x14ac:dyDescent="0.3">
      <c r="A548" s="1" t="str">
        <f>HYPERLINK("#'Data'!A10149", "K_8 Households Reporting Explosive Ordnance Currently Present in their Community overall")</f>
        <v>K_8 Households Reporting Explosive Ordnance Currently Present in their Community overall</v>
      </c>
    </row>
    <row r="549" spans="1:1" x14ac:dyDescent="0.3">
      <c r="A549" s="1" t="str">
        <f>HYPERLINK("#'Data'!A10158", "K_8 Households Reporting Explosive Ordnance Currently Present in their Community by HHs with a member with a disability")</f>
        <v>K_8 Households Reporting Explosive Ordnance Currently Present in their Community by HHs with a member with a disability</v>
      </c>
    </row>
    <row r="550" spans="1:1" x14ac:dyDescent="0.3">
      <c r="A550" s="1" t="str">
        <f>HYPERLINK("#'Data'!A10179", "K_8 Households Reporting Explosive Ordnance Currently Present in their Community by displacement status")</f>
        <v>K_8 Households Reporting Explosive Ordnance Currently Present in their Community by displacement status</v>
      </c>
    </row>
    <row r="551" spans="1:1" x14ac:dyDescent="0.3">
      <c r="A551" s="1" t="str">
        <f>HYPERLINK("#'Data'!A10200", "K_8 Households Reporting Explosive Ordnance Currently Present in their Community by HoHH sex")</f>
        <v>K_8 Households Reporting Explosive Ordnance Currently Present in their Community by HoHH sex</v>
      </c>
    </row>
    <row r="552" spans="1:1" x14ac:dyDescent="0.3">
      <c r="A552" s="1" t="str">
        <f>HYPERLINK("#'Data'!A10221", "K_8 Households Reporting Explosive Ordnance Currently Present in their Community by rural or urban")</f>
        <v>K_8 Households Reporting Explosive Ordnance Currently Present in their Community by rural or urban</v>
      </c>
    </row>
    <row r="553" spans="1:1" x14ac:dyDescent="0.3">
      <c r="A553" s="1" t="str">
        <f>HYPERLINK("#'Data'!A10236", "K_8 Households Reporting Explosive Ordnance Currently Present in their Community by HHs with children")</f>
        <v>K_8 Households Reporting Explosive Ordnance Currently Present in their Community by HHs with children</v>
      </c>
    </row>
    <row r="554" spans="1:1" x14ac:dyDescent="0.3">
      <c r="A554" s="1" t="str">
        <f>HYPERLINK("#'Data'!A10251", "K_8 Households Reporting Explosive Ordnance Currently Present in their Community by HH proximity to frontline or Russian border")</f>
        <v>K_8 Households Reporting Explosive Ordnance Currently Present in their Community by HH proximity to frontline or Russian border</v>
      </c>
    </row>
    <row r="555" spans="1:1" x14ac:dyDescent="0.3">
      <c r="A555" s="1" t="str">
        <f>HYPERLINK("#'Data'!A10264", "K_9 Households Reporting that Explosive Ordnance Affect the Livelihoods of People within their Community overall")</f>
        <v>K_9 Households Reporting that Explosive Ordnance Affect the Livelihoods of People within their Community overall</v>
      </c>
    </row>
    <row r="556" spans="1:1" x14ac:dyDescent="0.3">
      <c r="A556" s="1" t="str">
        <f>HYPERLINK("#'Data'!A10273", "K_9 Households Reporting that Explosive Ordnance Affect the Livelihoods of People within their Community by HHs with a member with a disability")</f>
        <v>K_9 Households Reporting that Explosive Ordnance Affect the Livelihoods of People within their Community by HHs with a member with a disability</v>
      </c>
    </row>
    <row r="557" spans="1:1" x14ac:dyDescent="0.3">
      <c r="A557" s="1" t="str">
        <f>HYPERLINK("#'Data'!A10293", "K_9 Households Reporting that Explosive Ordnance Affect the Livelihoods of People within their Community by displacement status")</f>
        <v>K_9 Households Reporting that Explosive Ordnance Affect the Livelihoods of People within their Community by displacement status</v>
      </c>
    </row>
    <row r="558" spans="1:1" x14ac:dyDescent="0.3">
      <c r="A558" s="1" t="str">
        <f>HYPERLINK("#'Data'!A10313", "K_9 Households Reporting that Explosive Ordnance Affect the Livelihoods of People within their Community by HoHH sex")</f>
        <v>K_9 Households Reporting that Explosive Ordnance Affect the Livelihoods of People within their Community by HoHH sex</v>
      </c>
    </row>
    <row r="559" spans="1:1" x14ac:dyDescent="0.3">
      <c r="A559" s="1" t="str">
        <f>HYPERLINK("#'Data'!A10333", "K_9 Households Reporting that Explosive Ordnance Affect the Livelihoods of People within their Community by rural or urban")</f>
        <v>K_9 Households Reporting that Explosive Ordnance Affect the Livelihoods of People within their Community by rural or urban</v>
      </c>
    </row>
    <row r="560" spans="1:1" x14ac:dyDescent="0.3">
      <c r="A560" s="1" t="str">
        <f>HYPERLINK("#'Data'!A10348", "K_9 Households Reporting that Explosive Ordnance Affect the Livelihoods of People within their Community by HH proximity to frontline or Russian border")</f>
        <v>K_9 Households Reporting that Explosive Ordnance Affect the Livelihoods of People within their Community by HH proximity to frontline or Russian border</v>
      </c>
    </row>
    <row r="561" spans="1:1" x14ac:dyDescent="0.3">
      <c r="A561" s="1" t="str">
        <f>HYPERLINK("#'Data'!A10361", "K_9 Households Reporting that Explosive Ordnance Affect the Livelihoods of People within their Community by HHs with children")</f>
        <v>K_9 Households Reporting that Explosive Ordnance Affect the Livelihoods of People within their Community by HHs with children</v>
      </c>
    </row>
    <row r="562" spans="1:1" x14ac:dyDescent="0.3">
      <c r="A562" s="1" t="str">
        <f>HYPERLINK("#'Data'!A10376", "K_10 Households Reporting Cases of Civilian Injured or Killed by Explosive Ordnance in their Community in the Last 6 Months Prior to Data Collection overall")</f>
        <v>K_10 Households Reporting Cases of Civilian Injured or Killed by Explosive Ordnance in their Community in the Last 6 Months Prior to Data Collection overall</v>
      </c>
    </row>
    <row r="563" spans="1:1" x14ac:dyDescent="0.3">
      <c r="A563" s="1" t="str">
        <f>HYPERLINK("#'Data'!A10385", "K_10 Households Reporting Cases of Civilian Injured or Killed by Explosive Ordnance in their Community in the Last 6 Months Prior to Data Collection by HHs with a member with a disability")</f>
        <v>K_10 Households Reporting Cases of Civilian Injured or Killed by Explosive Ordnance in their Community in the Last 6 Months Prior to Data Collection by HHs with a member with a disability</v>
      </c>
    </row>
    <row r="564" spans="1:1" x14ac:dyDescent="0.3">
      <c r="A564" s="1" t="str">
        <f>HYPERLINK("#'Data'!A10405", "K_10 Households Reporting Cases of Civilian Injured or Killed by Explosive Ordnance in their Community in the Last 6 Months Prior to Data Collection by displacement status")</f>
        <v>K_10 Households Reporting Cases of Civilian Injured or Killed by Explosive Ordnance in their Community in the Last 6 Months Prior to Data Collection by displacement status</v>
      </c>
    </row>
    <row r="565" spans="1:1" x14ac:dyDescent="0.3">
      <c r="A565" s="1" t="str">
        <f>HYPERLINK("#'Data'!A10426", "K_10 Households Reporting Cases of Civilian Injured or Killed by Explosive Ordnance in their Community in the Last 6 Months Prior to Data Collection by HoHH sex")</f>
        <v>K_10 Households Reporting Cases of Civilian Injured or Killed by Explosive Ordnance in their Community in the Last 6 Months Prior to Data Collection by HoHH sex</v>
      </c>
    </row>
    <row r="566" spans="1:1" x14ac:dyDescent="0.3">
      <c r="A566" s="1" t="str">
        <f>HYPERLINK("#'Data'!A10446", "K_10 Households Reporting Cases of Civilian Injured or Killed by Explosive Ordnance in their Community in the Last 6 Months Prior to Data Collection by rural or urban")</f>
        <v>K_10 Households Reporting Cases of Civilian Injured or Killed by Explosive Ordnance in their Community in the Last 6 Months Prior to Data Collection by rural or urban</v>
      </c>
    </row>
    <row r="567" spans="1:1" x14ac:dyDescent="0.3">
      <c r="A567" s="1" t="str">
        <f>HYPERLINK("#'Data'!A10461", "K_10 Households Reporting Cases of Civilian Injured or Killed by Explosive Ordnance in their Community in the Last 6 Months Prior to Data Collection by HHs with children")</f>
        <v>K_10 Households Reporting Cases of Civilian Injured or Killed by Explosive Ordnance in their Community in the Last 6 Months Prior to Data Collection by HHs with children</v>
      </c>
    </row>
    <row r="568" spans="1:1" x14ac:dyDescent="0.3">
      <c r="A568" s="1" t="str">
        <f>HYPERLINK("#'Data'!A10476", "K_10 Households Reporting Cases of Civilian Injured or Killed by Explosive Ordnance in their Community in the Last 6 Months Prior to Data Collection by HH proximity to frontline or Russian border")</f>
        <v>K_10 Households Reporting Cases of Civilian Injured or Killed by Explosive Ordnance in their Community in the Last 6 Months Prior to Data Collection by HH proximity to frontline or Russian border</v>
      </c>
    </row>
    <row r="569" spans="1:1" x14ac:dyDescent="0.3">
      <c r="A569" s="1" t="str">
        <f>HYPERLINK("#'Data'!A10489", "K_11 Main Safety and Security Concerns for Women in the Area Reported by Households overall")</f>
        <v>K_11 Main Safety and Security Concerns for Women in the Area Reported by Households overall</v>
      </c>
    </row>
    <row r="570" spans="1:1" x14ac:dyDescent="0.3">
      <c r="A570" s="1" t="str">
        <f>HYPERLINK("#'Data'!A10498", "K_11 Main Safety and Security Concerns for Women in the Area Reported by Households by HHs with a member with a disability")</f>
        <v>K_11 Main Safety and Security Concerns for Women in the Area Reported by Households by HHs with a member with a disability</v>
      </c>
    </row>
    <row r="571" spans="1:1" x14ac:dyDescent="0.3">
      <c r="A571" s="1" t="str">
        <f>HYPERLINK("#'Data'!A10519", "K_11 Main Safety and Security Concerns for Women in the Area Reported by Households by displacement status")</f>
        <v>K_11 Main Safety and Security Concerns for Women in the Area Reported by Households by displacement status</v>
      </c>
    </row>
    <row r="572" spans="1:1" x14ac:dyDescent="0.3">
      <c r="A572" s="1" t="str">
        <f>HYPERLINK("#'Data'!A10540", "K_11 Main Safety and Security Concerns for Women in the Area Reported by Households by HoHH sex")</f>
        <v>K_11 Main Safety and Security Concerns for Women in the Area Reported by Households by HoHH sex</v>
      </c>
    </row>
    <row r="573" spans="1:1" x14ac:dyDescent="0.3">
      <c r="A573" s="1" t="str">
        <f>HYPERLINK("#'Data'!A10561", "K_11 Main Safety and Security Concerns for Women in the Area Reported by Households by rural or urban")</f>
        <v>K_11 Main Safety and Security Concerns for Women in the Area Reported by Households by rural or urban</v>
      </c>
    </row>
    <row r="574" spans="1:1" x14ac:dyDescent="0.3">
      <c r="A574" s="1" t="str">
        <f>HYPERLINK("#'Data'!A10576", "K_11 Main Safety and Security Concerns for Women in the Area Reported by Households by HHs with children")</f>
        <v>K_11 Main Safety and Security Concerns for Women in the Area Reported by Households by HHs with children</v>
      </c>
    </row>
    <row r="575" spans="1:1" x14ac:dyDescent="0.3">
      <c r="A575" s="1" t="str">
        <f>HYPERLINK("#'Data'!A10591", "K_11 Main Safety and Security Concerns for Women in the Area Reported by Households by HH proximity to frontline or Russian border")</f>
        <v>K_11 Main Safety and Security Concerns for Women in the Area Reported by Households by HH proximity to frontline or Russian border</v>
      </c>
    </row>
    <row r="576" spans="1:1" x14ac:dyDescent="0.3">
      <c r="A576" s="1" t="str">
        <f>HYPERLINK("#'Data'!A10604", "K_13 Main Safety and Security Concerns for Children in the Area Reported by Households overall")</f>
        <v>K_13 Main Safety and Security Concerns for Children in the Area Reported by Households overall</v>
      </c>
    </row>
    <row r="577" spans="1:1" x14ac:dyDescent="0.3">
      <c r="A577" s="1" t="str">
        <f>HYPERLINK("#'Data'!A10613", "K_13 Main Safety and Security Concerns for Children in the Area Reported by Households by HHs with a member with a disability")</f>
        <v>K_13 Main Safety and Security Concerns for Children in the Area Reported by Households by HHs with a member with a disability</v>
      </c>
    </row>
    <row r="578" spans="1:1" x14ac:dyDescent="0.3">
      <c r="A578" s="1" t="str">
        <f>HYPERLINK("#'Data'!A10634", "K_13 Main Safety and Security Concerns for Children in the Area Reported by Households by displacement status")</f>
        <v>K_13 Main Safety and Security Concerns for Children in the Area Reported by Households by displacement status</v>
      </c>
    </row>
    <row r="579" spans="1:1" x14ac:dyDescent="0.3">
      <c r="A579" s="1" t="str">
        <f>HYPERLINK("#'Data'!A10655", "K_13 Main Safety and Security Concerns for Children in the Area Reported by Households by HoHH sex")</f>
        <v>K_13 Main Safety and Security Concerns for Children in the Area Reported by Households by HoHH sex</v>
      </c>
    </row>
    <row r="580" spans="1:1" x14ac:dyDescent="0.3">
      <c r="A580" s="1" t="str">
        <f>HYPERLINK("#'Data'!A10676", "K_13 Main Safety and Security Concerns for Children in the Area Reported by Households by rural or urban")</f>
        <v>K_13 Main Safety and Security Concerns for Children in the Area Reported by Households by rural or urban</v>
      </c>
    </row>
    <row r="581" spans="1:1" x14ac:dyDescent="0.3">
      <c r="A581" s="1" t="str">
        <f>HYPERLINK("#'Data'!A10691", "K_13 Main Safety and Security Concerns for Children in the Area Reported by Households by HHs with children")</f>
        <v>K_13 Main Safety and Security Concerns for Children in the Area Reported by Households by HHs with children</v>
      </c>
    </row>
    <row r="582" spans="1:1" x14ac:dyDescent="0.3">
      <c r="A582" s="1" t="str">
        <f>HYPERLINK("#'Data'!A10706", "K_13 Main Safety and Security Concerns for Children in the Area Reported by Households by HH proximity to frontline or Russian border")</f>
        <v>K_13 Main Safety and Security Concerns for Children in the Area Reported by Households by HH proximity to frontline or Russian border</v>
      </c>
    </row>
    <row r="583" spans="1:1" x14ac:dyDescent="0.3">
      <c r="A583" s="1" t="str">
        <f>HYPERLINK("#'Data'!A10719", "K_12 Households Reporting Need to Access Social Services Provided by the Government in the Last 3 Months Prior to Data Collection overall")</f>
        <v>K_12 Households Reporting Need to Access Social Services Provided by the Government in the Last 3 Months Prior to Data Collection overall</v>
      </c>
    </row>
    <row r="584" spans="1:1" x14ac:dyDescent="0.3">
      <c r="A584" s="1" t="str">
        <f>HYPERLINK("#'Data'!A10728", "K_12 Households Reporting Need to Access Social Services Provided by the Government in the Last 3 Months Prior to Data Collection by HHs with a member with a disability")</f>
        <v>K_12 Households Reporting Need to Access Social Services Provided by the Government in the Last 3 Months Prior to Data Collection by HHs with a member with a disability</v>
      </c>
    </row>
    <row r="585" spans="1:1" x14ac:dyDescent="0.3">
      <c r="A585" s="1" t="str">
        <f>HYPERLINK("#'Data'!A10749", "K_12 Households Reporting Need to Access Social Services Provided by the Government in the Last 3 Months Prior to Data Collection by displacement status")</f>
        <v>K_12 Households Reporting Need to Access Social Services Provided by the Government in the Last 3 Months Prior to Data Collection by displacement status</v>
      </c>
    </row>
    <row r="586" spans="1:1" x14ac:dyDescent="0.3">
      <c r="A586" s="1" t="str">
        <f>HYPERLINK("#'Data'!A10770", "K_12 Households Reporting Need to Access Social Services Provided by the Government in the Last 3 Months Prior to Data Collection by HoHH sex")</f>
        <v>K_12 Households Reporting Need to Access Social Services Provided by the Government in the Last 3 Months Prior to Data Collection by HoHH sex</v>
      </c>
    </row>
    <row r="587" spans="1:1" x14ac:dyDescent="0.3">
      <c r="A587" s="1" t="str">
        <f>HYPERLINK("#'Data'!A10791", "K_12 Households Reporting Need to Access Social Services Provided by the Government in the Last 3 Months Prior to Data Collection by HH proximity to frontline or Russian border")</f>
        <v>K_12 Households Reporting Need to Access Social Services Provided by the Government in the Last 3 Months Prior to Data Collection by HH proximity to frontline or Russian border</v>
      </c>
    </row>
    <row r="588" spans="1:1" x14ac:dyDescent="0.3">
      <c r="A588" s="1" t="str">
        <f>HYPERLINK("#'Data'!A10804", "K_12 Households Reporting Need to Access Social Services Provided by the Government in the Last 3 Months Prior to Data Collection by rural or urban")</f>
        <v>K_12 Households Reporting Need to Access Social Services Provided by the Government in the Last 3 Months Prior to Data Collection by rural or urban</v>
      </c>
    </row>
    <row r="589" spans="1:1" x14ac:dyDescent="0.3">
      <c r="A589" s="1" t="str">
        <f>HYPERLINK("#'Data'!A10819", "K_18 Legal Assistance Households Reported to Require overall")</f>
        <v>K_18 Legal Assistance Households Reported to Require overall</v>
      </c>
    </row>
    <row r="590" spans="1:1" x14ac:dyDescent="0.3">
      <c r="A590" s="1" t="str">
        <f>HYPERLINK("#'Data'!A10828", "K_18 Legal Assistance Households Reported to Require by HHs with a member with a disability")</f>
        <v>K_18 Legal Assistance Households Reported to Require by HHs with a member with a disability</v>
      </c>
    </row>
    <row r="591" spans="1:1" x14ac:dyDescent="0.3">
      <c r="A591" s="1" t="str">
        <f>HYPERLINK("#'Data'!A10849", "K_18 Legal Assistance Households Reported to Require by displacement status")</f>
        <v>K_18 Legal Assistance Households Reported to Require by displacement status</v>
      </c>
    </row>
    <row r="592" spans="1:1" x14ac:dyDescent="0.3">
      <c r="A592" s="1" t="str">
        <f>HYPERLINK("#'Data'!A10870", "K_18 Legal Assistance Households Reported to Require by HoHH sex")</f>
        <v>K_18 Legal Assistance Households Reported to Require by HoHH sex</v>
      </c>
    </row>
    <row r="593" spans="1:1" x14ac:dyDescent="0.3">
      <c r="A593" s="1" t="str">
        <f>HYPERLINK("#'Data'!A10891", "K_18 Legal Assistance Households Reported to Require by rural or urban")</f>
        <v>K_18 Legal Assistance Households Reported to Require by rural or urban</v>
      </c>
    </row>
    <row r="594" spans="1:1" x14ac:dyDescent="0.3">
      <c r="A594" s="1" t="str">
        <f>HYPERLINK("#'Data'!A10906", "K_18 Legal Assistance Households Reported to Require by HH proximity to frontline or Russian border")</f>
        <v>K_18 Legal Assistance Households Reported to Require by HH proximity to frontline or Russian border</v>
      </c>
    </row>
    <row r="595" spans="1:1" x14ac:dyDescent="0.3">
      <c r="A595" s="1" t="str">
        <f>HYPERLINK("#'Data'!A10919", "K_18 Legal Assistance Households Reported to Require by HHs with only elderly members")</f>
        <v>K_18 Legal Assistance Households Reported to Require by HHs with only elderly members</v>
      </c>
    </row>
    <row r="596" spans="1:1" x14ac:dyDescent="0.3">
      <c r="A596" s="1" t="str">
        <f>HYPERLINK("#'Data'!A10940", "K_14 GBV Response Services Households Reported being Aware as Available in their Community overall")</f>
        <v>K_14 GBV Response Services Households Reported being Aware as Available in their Community overall</v>
      </c>
    </row>
    <row r="597" spans="1:1" x14ac:dyDescent="0.3">
      <c r="A597" s="1" t="str">
        <f>HYPERLINK("#'Data'!A10949", "K_14 GBV Response Services Households Reported being Aware as Available in their Community by HHs with a member with a disability")</f>
        <v>K_14 GBV Response Services Households Reported being Aware as Available in their Community by HHs with a member with a disability</v>
      </c>
    </row>
    <row r="598" spans="1:1" x14ac:dyDescent="0.3">
      <c r="A598" s="1" t="str">
        <f>HYPERLINK("#'Data'!A10970", "K_14 GBV Response Services Households Reported being Aware as Available in their Community by displacement status")</f>
        <v>K_14 GBV Response Services Households Reported being Aware as Available in their Community by displacement status</v>
      </c>
    </row>
    <row r="599" spans="1:1" x14ac:dyDescent="0.3">
      <c r="A599" s="1" t="str">
        <f>HYPERLINK("#'Data'!A10991", "K_14 GBV Response Services Households Reported being Aware as Available in their Community by HoHH sex")</f>
        <v>K_14 GBV Response Services Households Reported being Aware as Available in their Community by HoHH sex</v>
      </c>
    </row>
    <row r="600" spans="1:1" x14ac:dyDescent="0.3">
      <c r="A600" s="1" t="str">
        <f>HYPERLINK("#'Data'!A11012", "K_14 GBV Response Services Households Reported being Aware as Available in their Community by rural or urban")</f>
        <v>K_14 GBV Response Services Households Reported being Aware as Available in their Community by rural or urban</v>
      </c>
    </row>
    <row r="601" spans="1:1" x14ac:dyDescent="0.3">
      <c r="A601" s="1" t="str">
        <f>HYPERLINK("#'Data'!A11027", "K_14 GBV Response Services Households Reported being Aware as Available in their Community by HHs with children")</f>
        <v>K_14 GBV Response Services Households Reported being Aware as Available in their Community by HHs with children</v>
      </c>
    </row>
    <row r="602" spans="1:1" x14ac:dyDescent="0.3">
      <c r="A602" s="1" t="str">
        <f>HYPERLINK("#'Data'!A11042", "K_15 Barriers Households Reported in Accessing GBV Response Services overall")</f>
        <v>K_15 Barriers Households Reported in Accessing GBV Response Services overall</v>
      </c>
    </row>
    <row r="603" spans="1:1" x14ac:dyDescent="0.3">
      <c r="A603" s="1" t="str">
        <f>HYPERLINK("#'Data'!A11051", "K_15 Barriers Households Reported in Accessing GBV Response Services by HHs with a member with a disability")</f>
        <v>K_15 Barriers Households Reported in Accessing GBV Response Services by HHs with a member with a disability</v>
      </c>
    </row>
    <row r="604" spans="1:1" x14ac:dyDescent="0.3">
      <c r="A604" s="1" t="str">
        <f>HYPERLINK("#'Data'!A11072", "K_15 Barriers Households Reported in Accessing GBV Response Services by displacement status")</f>
        <v>K_15 Barriers Households Reported in Accessing GBV Response Services by displacement status</v>
      </c>
    </row>
    <row r="605" spans="1:1" x14ac:dyDescent="0.3">
      <c r="A605" s="1" t="str">
        <f>HYPERLINK("#'Data'!A11093", "K_15 Barriers Households Reported in Accessing GBV Response Services by HoHH sex")</f>
        <v>K_15 Barriers Households Reported in Accessing GBV Response Services by HoHH sex</v>
      </c>
    </row>
    <row r="606" spans="1:1" x14ac:dyDescent="0.3">
      <c r="A606" s="1" t="str">
        <f>HYPERLINK("#'Data'!A11114", "K_15 Barriers Households Reported in Accessing GBV Response Services by rural or urban")</f>
        <v>K_15 Barriers Households Reported in Accessing GBV Response Services by rural or urban</v>
      </c>
    </row>
    <row r="607" spans="1:1" x14ac:dyDescent="0.3">
      <c r="A607" s="1" t="str">
        <f>HYPERLINK("#'Data'!A11129", "K_15 Barriers Households Reported in Accessing GBV Response Services by HH sex composition")</f>
        <v>K_15 Barriers Households Reported in Accessing GBV Response Services by HH sex composition</v>
      </c>
    </row>
    <row r="608" spans="1:1" x14ac:dyDescent="0.3">
      <c r="A608" s="1" t="str">
        <f>HYPERLINK("#'Data'!A11150", "K_16 Child Well-being Services Households Reporting being Aware as Available in their Community overall")</f>
        <v>K_16 Child Well-being Services Households Reporting being Aware as Available in their Community overall</v>
      </c>
    </row>
    <row r="609" spans="1:1" x14ac:dyDescent="0.3">
      <c r="A609" s="1" t="str">
        <f>HYPERLINK("#'Data'!A11159", "K_16 Child Well-being Services Households Reporting being Aware as Available in their Community by HHs with a member with a disability")</f>
        <v>K_16 Child Well-being Services Households Reporting being Aware as Available in their Community by HHs with a member with a disability</v>
      </c>
    </row>
    <row r="610" spans="1:1" x14ac:dyDescent="0.3">
      <c r="A610" s="1" t="str">
        <f>HYPERLINK("#'Data'!A11180", "K_16 Child Well-being Services Households Reporting being Aware as Available in their Community by displacement status")</f>
        <v>K_16 Child Well-being Services Households Reporting being Aware as Available in their Community by displacement status</v>
      </c>
    </row>
    <row r="611" spans="1:1" x14ac:dyDescent="0.3">
      <c r="A611" s="1" t="str">
        <f>HYPERLINK("#'Data'!A11201", "K_16 Child Well-being Services Households Reporting being Aware as Available in their Community by HoHH sex")</f>
        <v>K_16 Child Well-being Services Households Reporting being Aware as Available in their Community by HoHH sex</v>
      </c>
    </row>
    <row r="612" spans="1:1" x14ac:dyDescent="0.3">
      <c r="A612" s="1" t="str">
        <f>HYPERLINK("#'Data'!A11222", "K_16 Child Well-being Services Households Reporting being Aware as Available in their Community by rural or urban")</f>
        <v>K_16 Child Well-being Services Households Reporting being Aware as Available in their Community by rural or urban</v>
      </c>
    </row>
    <row r="613" spans="1:1" x14ac:dyDescent="0.3">
      <c r="A613" s="1" t="str">
        <f>HYPERLINK("#'Data'!A11237", "K_16 Child Well-being Services Households Reporting being Aware as Available in their Community by HHs with children")</f>
        <v>K_16 Child Well-being Services Households Reporting being Aware as Available in their Community by HHs with children</v>
      </c>
    </row>
    <row r="614" spans="1:1" x14ac:dyDescent="0.3">
      <c r="A614" s="1" t="str">
        <f>HYPERLINK("#'Data'!A11252", "K_16 Child Well-being Services Households Reporting being Aware as Available in their Community by HHs with boys and or or girls")</f>
        <v>K_16 Child Well-being Services Households Reporting being Aware as Available in their Community by HHs with boys and or or girls</v>
      </c>
    </row>
    <row r="615" spans="1:1" x14ac:dyDescent="0.3">
      <c r="A615" s="1" t="str">
        <f>HYPERLINK("#'Data'!A11279", "K_17 Barriers Households Reported in Accessing Child Well-being Services overall")</f>
        <v>K_17 Barriers Households Reported in Accessing Child Well-being Services overall</v>
      </c>
    </row>
    <row r="616" spans="1:1" x14ac:dyDescent="0.3">
      <c r="A616" s="1" t="str">
        <f>HYPERLINK("#'Data'!A11288", "K_17 Barriers Households Reported in Accessing Child Well-being Services by HHs with a member with a disability")</f>
        <v>K_17 Barriers Households Reported in Accessing Child Well-being Services by HHs with a member with a disability</v>
      </c>
    </row>
    <row r="617" spans="1:1" x14ac:dyDescent="0.3">
      <c r="A617" s="1" t="str">
        <f>HYPERLINK("#'Data'!A11309", "K_17 Barriers Households Reported in Accessing Child Well-being Services by displacement status")</f>
        <v>K_17 Barriers Households Reported in Accessing Child Well-being Services by displacement status</v>
      </c>
    </row>
    <row r="618" spans="1:1" x14ac:dyDescent="0.3">
      <c r="A618" s="1" t="str">
        <f>HYPERLINK("#'Data'!A11330", "K_17 Barriers Households Reported in Accessing Child Well-being Services by HoHH sex")</f>
        <v>K_17 Barriers Households Reported in Accessing Child Well-being Services by HoHH sex</v>
      </c>
    </row>
    <row r="619" spans="1:1" x14ac:dyDescent="0.3">
      <c r="A619" s="1" t="str">
        <f>HYPERLINK("#'Data'!A11351", "K_17 Barriers Households Reported in Accessing Child Well-being Services by rural or urban")</f>
        <v>K_17 Barriers Households Reported in Accessing Child Well-being Services by rural or urban</v>
      </c>
    </row>
    <row r="620" spans="1:1" x14ac:dyDescent="0.3">
      <c r="A620" s="1" t="str">
        <f>HYPERLINK("#'Data'!A11366", "K_17 Barriers Households Reported in Accessing Child Well-being Services by HHs with children")</f>
        <v>K_17 Barriers Households Reported in Accessing Child Well-being Services by HHs with children</v>
      </c>
    </row>
    <row r="621" spans="1:1" x14ac:dyDescent="0.3">
      <c r="A621" s="1" t="str">
        <f>HYPERLINK("#'Data'!A11381", "K_17 Barriers Households Reported in Accessing Child Well-being Services by HHs with boys and or or girls")</f>
        <v>K_17 Barriers Households Reported in Accessing Child Well-being Services by HHs with boys and or or girls</v>
      </c>
    </row>
    <row r="622" spans="1:1" x14ac:dyDescent="0.3">
      <c r="A622" s="1" t="str">
        <f>HYPERLINK("#'Data'!A11408", "L_1 Top Five Priority Needs Reported by Households overall")</f>
        <v>L_1 Top Five Priority Needs Reported by Households overall</v>
      </c>
    </row>
    <row r="623" spans="1:1" x14ac:dyDescent="0.3">
      <c r="A623" s="1" t="str">
        <f>HYPERLINK("#'Data'!A11417", "L_1 Top Five Priority Needs Reported by Households by HHs with a member with a disability")</f>
        <v>L_1 Top Five Priority Needs Reported by Households by HHs with a member with a disability</v>
      </c>
    </row>
    <row r="624" spans="1:1" x14ac:dyDescent="0.3">
      <c r="A624" s="1" t="str">
        <f>HYPERLINK("#'Data'!A11438", "L_1 Top Five Priority Needs Reported by Households by displacement status")</f>
        <v>L_1 Top Five Priority Needs Reported by Households by displacement status</v>
      </c>
    </row>
    <row r="625" spans="1:1" x14ac:dyDescent="0.3">
      <c r="A625" s="1" t="str">
        <f>HYPERLINK("#'Data'!A11459", "L_1 Top Five Priority Needs Reported by Households by HoHH sex")</f>
        <v>L_1 Top Five Priority Needs Reported by Households by HoHH sex</v>
      </c>
    </row>
    <row r="626" spans="1:1" x14ac:dyDescent="0.3">
      <c r="A626" s="1" t="str">
        <f>HYPERLINK("#'Data'!A11480", "L_1 Top Five Priority Needs Reported by Households by rural or urban")</f>
        <v>L_1 Top Five Priority Needs Reported by Households by rural or urban</v>
      </c>
    </row>
    <row r="627" spans="1:1" x14ac:dyDescent="0.3">
      <c r="A627" s="1" t="str">
        <f>HYPERLINK("#'Data'!A11495", "L_1 Top Five Priority Needs Reported by Households by assistance received")</f>
        <v>L_1 Top Five Priority Needs Reported by Households by assistance received</v>
      </c>
    </row>
    <row r="628" spans="1:1" x14ac:dyDescent="0.3">
      <c r="A628" s="1" t="str">
        <f>HYPERLINK("#'Data'!A11516", "L_1 Top Five Priority Needs Reported by Households by HHs with challenge to obtain money")</f>
        <v>L_1 Top Five Priority Needs Reported by Households by HHs with challenge to obtain money</v>
      </c>
    </row>
    <row r="629" spans="1:1" x14ac:dyDescent="0.3">
      <c r="A629" s="1" t="str">
        <f>HYPERLINK("#'Data'!A11537", "L_1 Top Five Priority Needs Reported by Households by HH proximity to frontline or Russian border")</f>
        <v>L_1 Top Five Priority Needs Reported by Households by HH proximity to frontline or Russian border</v>
      </c>
    </row>
    <row r="630" spans="1:1" x14ac:dyDescent="0.3">
      <c r="A630" s="1" t="str">
        <f>HYPERLINK("#'Data'!A11550", "L_1 Top Five Priority Needs Reported by Households by HH that adopted or not adopted livelihood coping strategies")</f>
        <v>L_1 Top Five Priority Needs Reported by Households by HH that adopted or not adopted livelihood coping strategies</v>
      </c>
    </row>
    <row r="631" spans="1:1" x14ac:dyDescent="0.3">
      <c r="A631" s="1" t="str">
        <f>HYPERLINK("#'Data'!A11577", "L_2 Preferences to Receive Future Humanitarian Assistance Reported by Households overall")</f>
        <v>L_2 Preferences to Receive Future Humanitarian Assistance Reported by Households overall</v>
      </c>
    </row>
    <row r="632" spans="1:1" x14ac:dyDescent="0.3">
      <c r="A632" s="1" t="str">
        <f>HYPERLINK("#'Data'!A11586", "L_2 Preferences to Receive Future Humanitarian Assistance Reported by Households by HHs with a member with a disability")</f>
        <v>L_2 Preferences to Receive Future Humanitarian Assistance Reported by Households by HHs with a member with a disability</v>
      </c>
    </row>
    <row r="633" spans="1:1" x14ac:dyDescent="0.3">
      <c r="A633" s="1" t="str">
        <f>HYPERLINK("#'Data'!A11607", "L_2 Preferences to Receive Future Humanitarian Assistance Reported by Households by displacement status")</f>
        <v>L_2 Preferences to Receive Future Humanitarian Assistance Reported by Households by displacement status</v>
      </c>
    </row>
    <row r="634" spans="1:1" x14ac:dyDescent="0.3">
      <c r="A634" s="1" t="str">
        <f>HYPERLINK("#'Data'!A11628", "L_2 Preferences to Receive Future Humanitarian Assistance Reported by Households by HoHH sex")</f>
        <v>L_2 Preferences to Receive Future Humanitarian Assistance Reported by Households by HoHH sex</v>
      </c>
    </row>
    <row r="635" spans="1:1" x14ac:dyDescent="0.3">
      <c r="A635" s="1" t="str">
        <f>HYPERLINK("#'Data'!A11649", "L_2 Preferences to Receive Future Humanitarian Assistance Reported by Households by rural or urban")</f>
        <v>L_2 Preferences to Receive Future Humanitarian Assistance Reported by Households by rural or urban</v>
      </c>
    </row>
    <row r="636" spans="1:1" x14ac:dyDescent="0.3">
      <c r="A636" s="1" t="str">
        <f>HYPERLINK("#'Data'!A11664", "L_2 Preferences to Receive Future Humanitarian Assistance Reported by Households by assistance received")</f>
        <v>L_2 Preferences to Receive Future Humanitarian Assistance Reported by Households by assistance received</v>
      </c>
    </row>
    <row r="637" spans="1:1" x14ac:dyDescent="0.3">
      <c r="A637" s="1" t="str">
        <f>HYPERLINK("#'Data'!A11685", "L_2 Preferences to Receive Future Humanitarian Assistance Reported by Households by HHs with challenge to obtain money")</f>
        <v>L_2 Preferences to Receive Future Humanitarian Assistance Reported by Households by HHs with challenge to obtain money</v>
      </c>
    </row>
    <row r="638" spans="1:1" x14ac:dyDescent="0.3">
      <c r="A638" s="1" t="str">
        <f>HYPERLINK("#'Data'!A11706", "L_2 Preferences to Receive Future Humanitarian Assistance Reported by Households by HH proximity to frontline or Russian border")</f>
        <v>L_2 Preferences to Receive Future Humanitarian Assistance Reported by Households by HH proximity to frontline or Russian border</v>
      </c>
    </row>
    <row r="639" spans="1:1" x14ac:dyDescent="0.3">
      <c r="A639" s="1" t="str">
        <f>HYPERLINK("#'Data'!A11719", "L_4 Households Reported to have Received Humanitarian Assistance in the Last 3 Months Prior to Data Collection overall")</f>
        <v>L_4 Households Reported to have Received Humanitarian Assistance in the Last 3 Months Prior to Data Collection overall</v>
      </c>
    </row>
    <row r="640" spans="1:1" x14ac:dyDescent="0.3">
      <c r="A640" s="1" t="str">
        <f>HYPERLINK("#'Data'!A11728", "L_4 Households Reported to have Received Humanitarian Assistance in the Last 3 Months Prior to Data Collection by HHs with a member with a disability")</f>
        <v>L_4 Households Reported to have Received Humanitarian Assistance in the Last 3 Months Prior to Data Collection by HHs with a member with a disability</v>
      </c>
    </row>
    <row r="641" spans="1:1" x14ac:dyDescent="0.3">
      <c r="A641" s="1" t="str">
        <f>HYPERLINK("#'Data'!A11749", "L_4 Households Reported to have Received Humanitarian Assistance in the Last 3 Months Prior to Data Collection by displacement status")</f>
        <v>L_4 Households Reported to have Received Humanitarian Assistance in the Last 3 Months Prior to Data Collection by displacement status</v>
      </c>
    </row>
    <row r="642" spans="1:1" x14ac:dyDescent="0.3">
      <c r="A642" s="1" t="str">
        <f>HYPERLINK("#'Data'!A11770", "L_4 Households Reported to have Received Humanitarian Assistance in the Last 3 Months Prior to Data Collection by HoHH sex")</f>
        <v>L_4 Households Reported to have Received Humanitarian Assistance in the Last 3 Months Prior to Data Collection by HoHH sex</v>
      </c>
    </row>
    <row r="643" spans="1:1" x14ac:dyDescent="0.3">
      <c r="A643" s="1" t="str">
        <f>HYPERLINK("#'Data'!A11791", "L_4 Households Reported to have Received Humanitarian Assistance in the Last 3 Months Prior to Data Collection by rural or urban")</f>
        <v>L_4 Households Reported to have Received Humanitarian Assistance in the Last 3 Months Prior to Data Collection by rural or urban</v>
      </c>
    </row>
    <row r="644" spans="1:1" x14ac:dyDescent="0.3">
      <c r="A644" s="1" t="str">
        <f>HYPERLINK("#'Data'!A11806", "L_4 Households Reported to have Received Humanitarian Assistance in the Last 3 Months Prior to Data Collection by HH proximity to frontline or Russian border")</f>
        <v>L_4 Households Reported to have Received Humanitarian Assistance in the Last 3 Months Prior to Data Collection by HH proximity to frontline or Russian border</v>
      </c>
    </row>
    <row r="645" spans="1:1" x14ac:dyDescent="0.3">
      <c r="A645" s="1" t="str">
        <f>HYPERLINK("#'Data'!A11819", "L_7 Barriers Households Faced in Accessing Humanitarian Assistance in the Last 3 Months Prior to Data Collection overall")</f>
        <v>L_7 Barriers Households Faced in Accessing Humanitarian Assistance in the Last 3 Months Prior to Data Collection overall</v>
      </c>
    </row>
    <row r="646" spans="1:1" x14ac:dyDescent="0.3">
      <c r="A646" s="1" t="str">
        <f>HYPERLINK("#'Data'!A11828", "L_7 Barriers Households Faced in Accessing Humanitarian Assistance in the Last 3 Months Prior to Data Collection by HHs with a member with a disability")</f>
        <v>L_7 Barriers Households Faced in Accessing Humanitarian Assistance in the Last 3 Months Prior to Data Collection by HHs with a member with a disability</v>
      </c>
    </row>
    <row r="647" spans="1:1" x14ac:dyDescent="0.3">
      <c r="A647" s="1" t="str">
        <f>HYPERLINK("#'Data'!A11849", "L_7 Barriers Households Faced in Accessing Humanitarian Assistance in the Last 3 Months Prior to Data Collection by displacement status")</f>
        <v>L_7 Barriers Households Faced in Accessing Humanitarian Assistance in the Last 3 Months Prior to Data Collection by displacement status</v>
      </c>
    </row>
    <row r="648" spans="1:1" x14ac:dyDescent="0.3">
      <c r="A648" s="1" t="str">
        <f>HYPERLINK("#'Data'!A11870", "L_7 Barriers Households Faced in Accessing Humanitarian Assistance in the Last 3 Months Prior to Data Collection by HoHH sex")</f>
        <v>L_7 Barriers Households Faced in Accessing Humanitarian Assistance in the Last 3 Months Prior to Data Collection by HoHH sex</v>
      </c>
    </row>
    <row r="649" spans="1:1" x14ac:dyDescent="0.3">
      <c r="A649" s="1" t="str">
        <f>HYPERLINK("#'Data'!A11891", "L_7 Barriers Households Faced in Accessing Humanitarian Assistance in the Last 3 Months Prior to Data Collection by rural or urban")</f>
        <v>L_7 Barriers Households Faced in Accessing Humanitarian Assistance in the Last 3 Months Prior to Data Collection by rural or urban</v>
      </c>
    </row>
    <row r="650" spans="1:1" x14ac:dyDescent="0.3">
      <c r="A650" s="1" t="str">
        <f>HYPERLINK("#'Data'!A11906", "L_7 Barriers Households Faced in Accessing Humanitarian Assistance in the Last 3 Months Prior to Data Collection by HH proximity to frontline or Russian border")</f>
        <v>L_7 Barriers Households Faced in Accessing Humanitarian Assistance in the Last 3 Months Prior to Data Collection by HH proximity to frontline or Russian border</v>
      </c>
    </row>
    <row r="651" spans="1:1" x14ac:dyDescent="0.3">
      <c r="A651" s="1" t="str">
        <f>HYPERLINK("#'Data'!A11919", "L_8 Top Three Types of Information Households Would Like to Receive from Humanitarian Assistance Providers overall")</f>
        <v>L_8 Top Three Types of Information Households Would Like to Receive from Humanitarian Assistance Providers overall</v>
      </c>
    </row>
    <row r="652" spans="1:1" x14ac:dyDescent="0.3">
      <c r="A652" s="1" t="str">
        <f>HYPERLINK("#'Data'!A11928", "L_8 Top Three Types of Information Households Would Like to Receive from Humanitarian Assistance Providers by HHs with a member with a disability")</f>
        <v>L_8 Top Three Types of Information Households Would Like to Receive from Humanitarian Assistance Providers by HHs with a member with a disability</v>
      </c>
    </row>
    <row r="653" spans="1:1" x14ac:dyDescent="0.3">
      <c r="A653" s="1" t="str">
        <f>HYPERLINK("#'Data'!A11949", "L_8 Top Three Types of Information Households Would Like to Receive from Humanitarian Assistance Providers by displacement status")</f>
        <v>L_8 Top Three Types of Information Households Would Like to Receive from Humanitarian Assistance Providers by displacement status</v>
      </c>
    </row>
    <row r="654" spans="1:1" x14ac:dyDescent="0.3">
      <c r="A654" s="1" t="str">
        <f>HYPERLINK("#'Data'!A11970", "L_8 Top Three Types of Information Households Would Like to Receive from Humanitarian Assistance Providers by HoHH sex")</f>
        <v>L_8 Top Three Types of Information Households Would Like to Receive from Humanitarian Assistance Providers by HoHH sex</v>
      </c>
    </row>
    <row r="655" spans="1:1" x14ac:dyDescent="0.3">
      <c r="A655" s="1" t="str">
        <f>HYPERLINK("#'Data'!A11991", "L_8 Top Three Types of Information Households Would Like to Receive from Humanitarian Assistance Providers by rural or urban")</f>
        <v>L_8 Top Three Types of Information Households Would Like to Receive from Humanitarian Assistance Providers by rural or urban</v>
      </c>
    </row>
    <row r="656" spans="1:1" x14ac:dyDescent="0.3">
      <c r="A656" s="1" t="str">
        <f>HYPERLINK("#'Data'!A12006", "L_8 Top Three Types of Information Households Would Like to Receive from Humanitarian Assistance Providers by HH proximity to frontline or Russian border")</f>
        <v>L_8 Top Three Types of Information Households Would Like to Receive from Humanitarian Assistance Providers by HH proximity to frontline or Russian border</v>
      </c>
    </row>
    <row r="657" spans="1:1" x14ac:dyDescent="0.3">
      <c r="A657" s="1" t="str">
        <f>HYPERLINK("#'Data'!A12019", "L_8 Top Three Types of Information Households Would Like to Receive from Humanitarian Assistance Providersby HH with or without children")</f>
        <v>L_8 Top Three Types of Information Households Would Like to Receive from Humanitarian Assistance Providersby HH with or without children</v>
      </c>
    </row>
    <row r="658" spans="1:1" x14ac:dyDescent="0.3">
      <c r="A658" s="1" t="str">
        <f>HYPERLINK("#'Data'!A12034", "L_8 Top Three Types of Information Households Would Like to Receive from Humanitarian Assistance Providersby HH that adopted or not adopted livelihood coping strategies")</f>
        <v>L_8 Top Three Types of Information Households Would Like to Receive from Humanitarian Assistance Providersby HH that adopted or not adopted livelihood coping strategies</v>
      </c>
    </row>
    <row r="659" spans="1:1" x14ac:dyDescent="0.3">
      <c r="A659" s="1" t="str">
        <f>HYPERLINK("#'Data'!A12061", "L_9 Preferences Households Reported for Communication with Humanitarian Assistance Providers overall")</f>
        <v>L_9 Preferences Households Reported for Communication with Humanitarian Assistance Providers overall</v>
      </c>
    </row>
    <row r="660" spans="1:1" x14ac:dyDescent="0.3">
      <c r="A660" s="1" t="str">
        <f>HYPERLINK("#'Data'!A12070", "L_9 Preferences Households Reported for Communication with Humanitarian Assistance Providers by HHs with a member with a disability")</f>
        <v>L_9 Preferences Households Reported for Communication with Humanitarian Assistance Providers by HHs with a member with a disability</v>
      </c>
    </row>
    <row r="661" spans="1:1" x14ac:dyDescent="0.3">
      <c r="A661" s="1" t="str">
        <f>HYPERLINK("#'Data'!A12091", "L_9 Preferences Households Reported for Communication with Humanitarian Assistance Providers by displacement status")</f>
        <v>L_9 Preferences Households Reported for Communication with Humanitarian Assistance Providers by displacement status</v>
      </c>
    </row>
    <row r="662" spans="1:1" x14ac:dyDescent="0.3">
      <c r="A662" s="1" t="str">
        <f>HYPERLINK("#'Data'!A12112", "L_9 Preferences Households Reported for Communication with Humanitarian Assistance Providers by HoHH sex")</f>
        <v>L_9 Preferences Households Reported for Communication with Humanitarian Assistance Providers by HoHH sex</v>
      </c>
    </row>
    <row r="663" spans="1:1" x14ac:dyDescent="0.3">
      <c r="A663" s="1" t="str">
        <f>HYPERLINK("#'Data'!A12133", "L_9 Preferences Households Reported for Communication with Humanitarian Assistance Providers by rural or urban")</f>
        <v>L_9 Preferences Households Reported for Communication with Humanitarian Assistance Providers by rural or urban</v>
      </c>
    </row>
    <row r="664" spans="1:1" x14ac:dyDescent="0.3">
      <c r="A664" s="1" t="str">
        <f>HYPERLINK("#'Data'!A12148", "L_9 Preferences Households Reported for Communication with Humanitarian Assistance Providers by HH proximity to frontline or Russian border")</f>
        <v>L_9 Preferences Households Reported for Communication with Humanitarian Assistance Providers by HH proximity to frontline or Russian border</v>
      </c>
    </row>
    <row r="665" spans="1:1" x14ac:dyDescent="0.3">
      <c r="A665" s="1" t="str">
        <f>HYPERLINK("#'Data'!A12161", "L_4 Household Reportedly Receiving Assistance by Types of Assistance in the Last 3 Months by overall")</f>
        <v>L_4 Household Reportedly Receiving Assistance by Types of Assistance in the Last 3 Months by overall</v>
      </c>
    </row>
    <row r="666" spans="1:1" x14ac:dyDescent="0.3">
      <c r="A666" s="1" t="str">
        <f>HYPERLINK("#'Data'!A12170", "L_4 Household Reportedly Receiving Assistance by Types of Assistance in the Last 3 Months by HoHH sex")</f>
        <v>L_4 Household Reportedly Receiving Assistance by Types of Assistance in the Last 3 Months by HoHH sex</v>
      </c>
    </row>
    <row r="667" spans="1:1" x14ac:dyDescent="0.3">
      <c r="A667" s="1" t="str">
        <f>HYPERLINK("#'Data'!A12191", "L_4 Household Reportedly Receiving Assistance by Types of Assistance in the Last 3 Months by rural or urban")</f>
        <v>L_4 Household Reportedly Receiving Assistance by Types of Assistance in the Last 3 Months by rural or urban</v>
      </c>
    </row>
    <row r="668" spans="1:1" x14ac:dyDescent="0.3">
      <c r="A668" s="1" t="str">
        <f>HYPERLINK("#'Data'!A12206", "L_4 Household Reportedly Receiving Assistance by Types of Assistance in the Last 3 Months by displacement status")</f>
        <v>L_4 Household Reportedly Receiving Assistance by Types of Assistance in the Last 3 Months by displacement status</v>
      </c>
    </row>
    <row r="669" spans="1:1" x14ac:dyDescent="0.3">
      <c r="A669" s="1" t="str">
        <f>HYPERLINK("#'Data'!A12227", "L_5 Household Satisfaction with the Food Assistance Received in the Last 3 Months by overall")</f>
        <v>L_5 Household Satisfaction with the Food Assistance Received in the Last 3 Months by overall</v>
      </c>
    </row>
    <row r="670" spans="1:1" x14ac:dyDescent="0.3">
      <c r="A670" s="1" t="str">
        <f>HYPERLINK("#'Data'!A12236", "L_5 Household Satisfaction with the Shelter Assistance Received in the Last 3 Months by overall")</f>
        <v>L_5 Household Satisfaction with the Shelter Assistance Received in the Last 3 Months by overall</v>
      </c>
    </row>
    <row r="671" spans="1:1" x14ac:dyDescent="0.3">
      <c r="A671" s="1" t="str">
        <f>HYPERLINK("#'Data'!A12245", "L_5 Household Satisfaction with the Health Assistance Received in the Last 3 Months by overall")</f>
        <v>L_5 Household Satisfaction with the Health Assistance Received in the Last 3 Months by overall</v>
      </c>
    </row>
    <row r="672" spans="1:1" x14ac:dyDescent="0.3">
      <c r="A672" s="1" t="str">
        <f>HYPERLINK("#'Data'!A12254", "L_5 Household Satisfaction with the WASH Assistance Received in the Last 3 Monthsby overall")</f>
        <v>L_5 Household Satisfaction with the WASH Assistance Received in the Last 3 Monthsby overall</v>
      </c>
    </row>
    <row r="673" spans="1:1" x14ac:dyDescent="0.3">
      <c r="A673" s="1" t="str">
        <f>HYPERLINK("#'Data'!A12263", "L_5 Household Satisfaction with the Protection Assistance Received in the Last 3 Months by overall")</f>
        <v>L_5 Household Satisfaction with the Protection Assistance Received in the Last 3 Months by overall</v>
      </c>
    </row>
    <row r="674" spans="1:1" x14ac:dyDescent="0.3">
      <c r="A674" s="1" t="str">
        <f>HYPERLINK("#'Data'!A12272", "L_5 Household Satisfaction with the Cash Assistance Received in the Last 3 Months by overall")</f>
        <v>L_5 Household Satisfaction with the Cash Assistance Received in the Last 3 Months by overall</v>
      </c>
    </row>
    <row r="675" spans="1:1" x14ac:dyDescent="0.3">
      <c r="A675" s="1" t="str">
        <f>HYPERLINK("#'Data'!A12281", "L_5 Household Satisfaction with the Other Assistance Received in the Last 3 Months by overall")</f>
        <v>L_5 Household Satisfaction with the Other Assistance Received in the Last 3 Months by overall</v>
      </c>
    </row>
    <row r="676" spans="1:1" x14ac:dyDescent="0.3">
      <c r="A676" s="1" t="str">
        <f>HYPERLINK("#'Data'!A12290", "L_5 Household Satisfaction with the Food Assistance Received in the Last 3 Months by head of household sex")</f>
        <v>L_5 Household Satisfaction with the Food Assistance Received in the Last 3 Months by head of household sex</v>
      </c>
    </row>
    <row r="677" spans="1:1" x14ac:dyDescent="0.3">
      <c r="A677" s="1" t="str">
        <f>HYPERLINK("#'Data'!A12311", "L_5 Household Satisfaction with the Shelter Assistance Received in the Last 3 Months by head of household sex")</f>
        <v>L_5 Household Satisfaction with the Shelter Assistance Received in the Last 3 Months by head of household sex</v>
      </c>
    </row>
    <row r="678" spans="1:1" x14ac:dyDescent="0.3">
      <c r="A678" s="1" t="str">
        <f>HYPERLINK("#'Data'!A12330", "L_5 Household Satisfaction with the Health Assistance Received in the Last 3 Months by head of household sex")</f>
        <v>L_5 Household Satisfaction with the Health Assistance Received in the Last 3 Months by head of household sex</v>
      </c>
    </row>
    <row r="679" spans="1:1" x14ac:dyDescent="0.3">
      <c r="A679" s="1" t="str">
        <f>HYPERLINK("#'Data'!A12351", "L_5 Household Satisfaction with the WASH Assistance Received in the Last 3 Months by head of household sex")</f>
        <v>L_5 Household Satisfaction with the WASH Assistance Received in the Last 3 Months by head of household sex</v>
      </c>
    </row>
    <row r="680" spans="1:1" x14ac:dyDescent="0.3">
      <c r="A680" s="1" t="str">
        <f>HYPERLINK("#'Data'!A12372", "L_5 Household Satisfaction with the Protection Assistance Received in the Last 3 Months by head of household sex")</f>
        <v>L_5 Household Satisfaction with the Protection Assistance Received in the Last 3 Months by head of household sex</v>
      </c>
    </row>
    <row r="681" spans="1:1" x14ac:dyDescent="0.3">
      <c r="A681" s="1" t="str">
        <f>HYPERLINK("#'Data'!A12391", "L_5 Household Satisfaction with the Cash Assistance Received in the Last 3 Months by head of household sex")</f>
        <v>L_5 Household Satisfaction with the Cash Assistance Received in the Last 3 Months by head of household sex</v>
      </c>
    </row>
    <row r="682" spans="1:1" x14ac:dyDescent="0.3">
      <c r="A682" s="1" t="str">
        <f>HYPERLINK("#'Data'!A12412", "L_5 Household Satisfaction with the Other Assistance Received in the Last 3 Months by head of household sex")</f>
        <v>L_5 Household Satisfaction with the Other Assistance Received in the Last 3 Months by head of household sex</v>
      </c>
    </row>
    <row r="683" spans="1:1" x14ac:dyDescent="0.3">
      <c r="A683" s="1" t="str">
        <f>HYPERLINK("#'Data'!A12428", "L_5 Household Satisfaction with the Food Assistance Received in the Last 3 Months by rural or urban")</f>
        <v>L_5 Household Satisfaction with the Food Assistance Received in the Last 3 Months by rural or urban</v>
      </c>
    </row>
    <row r="684" spans="1:1" x14ac:dyDescent="0.3">
      <c r="A684" s="1" t="str">
        <f>HYPERLINK("#'Data'!A12443", "L_5 Household Satisfaction with the Shelter Assistance Received in the Last 3 Months by rural or urban")</f>
        <v>L_5 Household Satisfaction with the Shelter Assistance Received in the Last 3 Months by rural or urban</v>
      </c>
    </row>
    <row r="685" spans="1:1" x14ac:dyDescent="0.3">
      <c r="A685" s="1" t="str">
        <f>HYPERLINK("#'Data'!A12457", "L_5 Household Satisfaction with the Health Assistance Received in the Last 3 Months by rural or urban")</f>
        <v>L_5 Household Satisfaction with the Health Assistance Received in the Last 3 Months by rural or urban</v>
      </c>
    </row>
    <row r="686" spans="1:1" x14ac:dyDescent="0.3">
      <c r="A686" s="1" t="str">
        <f>HYPERLINK("#'Data'!A12472", "L_5 Household Satisfaction with the WASH Assistance Received in the Last 3 Months by rural or urban")</f>
        <v>L_5 Household Satisfaction with the WASH Assistance Received in the Last 3 Months by rural or urban</v>
      </c>
    </row>
    <row r="687" spans="1:1" x14ac:dyDescent="0.3">
      <c r="A687" s="1" t="str">
        <f>HYPERLINK("#'Data'!A12487", "L_5 Household Satisfaction with the Protection Assistance Received in the Last 3 Months by rural or urban")</f>
        <v>L_5 Household Satisfaction with the Protection Assistance Received in the Last 3 Months by rural or urban</v>
      </c>
    </row>
    <row r="688" spans="1:1" x14ac:dyDescent="0.3">
      <c r="A688" s="1" t="str">
        <f>HYPERLINK("#'Data'!A12502", "L_5 Household Satisfaction with the Cash Assistance Received in the Last 3 Months by rural or urban")</f>
        <v>L_5 Household Satisfaction with the Cash Assistance Received in the Last 3 Months by rural or urban</v>
      </c>
    </row>
    <row r="689" spans="1:1" x14ac:dyDescent="0.3">
      <c r="A689" s="1" t="str">
        <f>HYPERLINK("#'Data'!A12517", "L_5 Household Satisfaction with the Other Assistance Received in the Last 3 Months by rural or urban")</f>
        <v>L_5 Household Satisfaction with the Other Assistance Received in the Last 3 Months by rural or urban</v>
      </c>
    </row>
    <row r="690" spans="1:1" x14ac:dyDescent="0.3">
      <c r="A690" s="1" t="str">
        <f>HYPERLINK("#'Data'!A12531", "L_5 Household Satisfaction with the Food Assistance Received in the Last 3 Months by displacement status")</f>
        <v>L_5 Household Satisfaction with the Food Assistance Received in the Last 3 Months by displacement status</v>
      </c>
    </row>
    <row r="691" spans="1:1" x14ac:dyDescent="0.3">
      <c r="A691" s="1" t="str">
        <f>HYPERLINK("#'Data'!A12552", "L_5 Household Satisfaction with the Shelter Assistance Received in the Last 3 Months by displacement status")</f>
        <v>L_5 Household Satisfaction with the Shelter Assistance Received in the Last 3 Months by displacement status</v>
      </c>
    </row>
    <row r="692" spans="1:1" x14ac:dyDescent="0.3">
      <c r="A692" s="1" t="str">
        <f>HYPERLINK("#'Data'!A12571", "L_5 Household Satisfaction with the Health Assistance Received in the Last 3 Months by displacement status")</f>
        <v>L_5 Household Satisfaction with the Health Assistance Received in the Last 3 Months by displacement status</v>
      </c>
    </row>
    <row r="693" spans="1:1" x14ac:dyDescent="0.3">
      <c r="A693" s="1" t="str">
        <f>HYPERLINK("#'Data'!A12591", "L_5 Household Satisfaction with the WASH Assistance Received in the Last 3 Months by displacement status")</f>
        <v>L_5 Household Satisfaction with the WASH Assistance Received in the Last 3 Months by displacement status</v>
      </c>
    </row>
    <row r="694" spans="1:1" x14ac:dyDescent="0.3">
      <c r="A694" s="1" t="str">
        <f>HYPERLINK("#'Data'!A12612", "L_5 Household Satisfaction with the Protection Assistance Received in the Last 3 Months by displacement status")</f>
        <v>L_5 Household Satisfaction with the Protection Assistance Received in the Last 3 Months by displacement status</v>
      </c>
    </row>
    <row r="695" spans="1:1" x14ac:dyDescent="0.3">
      <c r="A695" s="1" t="str">
        <f>HYPERLINK("#'Data'!A12633", "L_5 Household Satisfaction with the Cash Assistance Received in the Last 3 Months by displacement status")</f>
        <v>L_5 Household Satisfaction with the Cash Assistance Received in the Last 3 Months by displacement status</v>
      </c>
    </row>
    <row r="696" spans="1:1" x14ac:dyDescent="0.3">
      <c r="A696" s="1" t="str">
        <f>HYPERLINK("#'Data'!A12654", "L_5 Household Satisfaction with the Other Assistance Received in the Last 3 Months by displacement status")</f>
        <v>L_5 Household Satisfaction with the Other Assistance Received in the Last 3 Months by displacement status</v>
      </c>
    </row>
    <row r="697" spans="1:1" x14ac:dyDescent="0.3">
      <c r="A697" s="1" t="str">
        <f>HYPERLINK("#'Data'!A12672", "L_6 Reasons for Household Satisfaction with the Food Assistance Received in the Last 3 Months by overall")</f>
        <v>L_6 Reasons for Household Satisfaction with the Food Assistance Received in the Last 3 Months by overall</v>
      </c>
    </row>
    <row r="698" spans="1:1" x14ac:dyDescent="0.3">
      <c r="A698" s="1" t="str">
        <f>HYPERLINK("#'Data'!A12681", "L_6 Reasons for Household Satisfaction with the Shelter Assistance Received in the Last 3 Months by overall")</f>
        <v>L_6 Reasons for Household Satisfaction with the Shelter Assistance Received in the Last 3 Months by overall</v>
      </c>
    </row>
    <row r="699" spans="1:1" x14ac:dyDescent="0.3">
      <c r="A699" s="1" t="str">
        <f>HYPERLINK("#'Data'!A12690", "L_6 Reasons for Household Satisfaction with the Health Assistance Received in the Last 3 Months by overall")</f>
        <v>L_6 Reasons for Household Satisfaction with the Health Assistance Received in the Last 3 Months by overall</v>
      </c>
    </row>
    <row r="700" spans="1:1" x14ac:dyDescent="0.3">
      <c r="A700" s="1" t="str">
        <f>HYPERLINK("#'Data'!A12699", "L_6 Reasons for Household Satisfaction with the WASH Assistance Received in the Last 3 Monthsby overall")</f>
        <v>L_6 Reasons for Household Satisfaction with the WASH Assistance Received in the Last 3 Monthsby overall</v>
      </c>
    </row>
    <row r="701" spans="1:1" x14ac:dyDescent="0.3">
      <c r="A701" s="1" t="str">
        <f>HYPERLINK("#'Data'!A12708", "L_6 Reasons for Household Satisfaction with the Protection Assistance Received in the Last 3 Months by overall")</f>
        <v>L_6 Reasons for Household Satisfaction with the Protection Assistance Received in the Last 3 Months by overall</v>
      </c>
    </row>
    <row r="702" spans="1:1" x14ac:dyDescent="0.3">
      <c r="A702" s="1" t="str">
        <f>HYPERLINK("#'Data'!A12717", "L_6 Reasons for Household Satisfaction with the Cash Assistance Received in the Last 3 Months by overall")</f>
        <v>L_6 Reasons for Household Satisfaction with the Cash Assistance Received in the Last 3 Months by overall</v>
      </c>
    </row>
    <row r="703" spans="1:1" x14ac:dyDescent="0.3">
      <c r="A703" s="1" t="str">
        <f>HYPERLINK("#'Data'!A12726", "L_6 Reasons for Household Satisfaction with the Other Assistance Received in the Last 3 Months by overall")</f>
        <v>L_6 Reasons for Household Satisfaction with the Other Assistance Received in the Last 3 Months by overall</v>
      </c>
    </row>
    <row r="704" spans="1:1" x14ac:dyDescent="0.3">
      <c r="A704" s="1" t="str">
        <f>HYPERLINK("#'Data'!A12735", "L_6 Reasons for Household Satisfaction with the Food Assistance Received in the Last 3 Months by head of household sex")</f>
        <v>L_6 Reasons for Household Satisfaction with the Food Assistance Received in the Last 3 Months by head of household sex</v>
      </c>
    </row>
    <row r="705" spans="1:1" x14ac:dyDescent="0.3">
      <c r="A705" s="1" t="str">
        <f>HYPERLINK("#'Data'!A12753", "L_6 Reasons for Household Satisfaction with the Shelter Assistance Received in the Last 3 Months by head of household sex")</f>
        <v>L_6 Reasons for Household Satisfaction with the Shelter Assistance Received in the Last 3 Months by head of household sex</v>
      </c>
    </row>
    <row r="706" spans="1:1" x14ac:dyDescent="0.3">
      <c r="A706" s="1" t="str">
        <f>HYPERLINK("#'Data'!A12764", "L_6 Reasons for Household Satisfaction with the Health Assistance Received in the Last 3 Months by head of household sex")</f>
        <v>L_6 Reasons for Household Satisfaction with the Health Assistance Received in the Last 3 Months by head of household sex</v>
      </c>
    </row>
    <row r="707" spans="1:1" x14ac:dyDescent="0.3">
      <c r="A707" s="1" t="str">
        <f>HYPERLINK("#'Data'!A12775", "L_6 Reasons for Household Satisfaction with the WASH Assistance Received in the Last 3 Months by head of household sex")</f>
        <v>L_6 Reasons for Household Satisfaction with the WASH Assistance Received in the Last 3 Months by head of household sex</v>
      </c>
    </row>
    <row r="708" spans="1:1" x14ac:dyDescent="0.3">
      <c r="A708" s="1" t="str">
        <f>HYPERLINK("#'Data'!A12789", "L_6 Reasons for Household Satisfaction with the Protection Assistance Received in the Last 3 Months by head of household sex")</f>
        <v>L_6 Reasons for Household Satisfaction with the Protection Assistance Received in the Last 3 Months by head of household sex</v>
      </c>
    </row>
    <row r="709" spans="1:1" x14ac:dyDescent="0.3">
      <c r="A709" s="1" t="str">
        <f>HYPERLINK("#'Data'!A12798", "L_6 Reasons for Household Satisfaction with the Cash Assistance Received in the Last 3 Months by head of household sex")</f>
        <v>L_6 Reasons for Household Satisfaction with the Cash Assistance Received in the Last 3 Months by head of household sex</v>
      </c>
    </row>
    <row r="710" spans="1:1" x14ac:dyDescent="0.3">
      <c r="A710" s="1" t="str">
        <f>HYPERLINK("#'Data'!A12814", "L_6 Reasons for Household Satisfaction with the Other Assistance Received in the Last 3 Months by head of household sex")</f>
        <v>L_6 Reasons for Household Satisfaction with the Other Assistance Received in the Last 3 Months by head of household sex</v>
      </c>
    </row>
    <row r="711" spans="1:1" x14ac:dyDescent="0.3">
      <c r="A711" s="1" t="str">
        <f>HYPERLINK("#'Data'!A12825", "L_6 Reasons for Household Satisfaction with the Food Assistance Received in the Last 3 Months by rural or urban")</f>
        <v>L_6 Reasons for Household Satisfaction with the Food Assistance Received in the Last 3 Months by rural or urban</v>
      </c>
    </row>
    <row r="712" spans="1:1" x14ac:dyDescent="0.3">
      <c r="A712" s="1" t="str">
        <f>HYPERLINK("#'Data'!A12839", "L_6 Reasons for Household Satisfaction with the Shelter Assistance Received in the Last 3 Months by rural or urban")</f>
        <v>L_6 Reasons for Household Satisfaction with the Shelter Assistance Received in the Last 3 Months by rural or urban</v>
      </c>
    </row>
    <row r="713" spans="1:1" x14ac:dyDescent="0.3">
      <c r="A713" s="1" t="str">
        <f>HYPERLINK("#'Data'!A12850", "L_6 Reasons for Household Satisfaction with the Health Assistance Received in the Last 3 Months by rural or urban")</f>
        <v>L_6 Reasons for Household Satisfaction with the Health Assistance Received in the Last 3 Months by rural or urban</v>
      </c>
    </row>
    <row r="714" spans="1:1" x14ac:dyDescent="0.3">
      <c r="A714" s="1" t="str">
        <f>HYPERLINK("#'Data'!A12861", "L_6 Reasons for Household Satisfaction with the WASH Assistance Received in the Last 3 Months by rural or urban")</f>
        <v>L_6 Reasons for Household Satisfaction with the WASH Assistance Received in the Last 3 Months by rural or urban</v>
      </c>
    </row>
    <row r="715" spans="1:1" x14ac:dyDescent="0.3">
      <c r="A715" s="1" t="str">
        <f>HYPERLINK("#'Data'!A12872", "L_6 Reasons for Household Satisfaction with the Protection Assistance Received in the Last 3 Months by rural or urban")</f>
        <v>L_6 Reasons for Household Satisfaction with the Protection Assistance Received in the Last 3 Months by rural or urban</v>
      </c>
    </row>
    <row r="716" spans="1:1" x14ac:dyDescent="0.3">
      <c r="A716" s="1" t="str">
        <f>HYPERLINK("#'Data'!A12883", "L_6 Reasons for Household Satisfaction with the Cash Assistance Received in the Last 3 Months by rural or urban")</f>
        <v>L_6 Reasons for Household Satisfaction with the Cash Assistance Received in the Last 3 Months by rural or urban</v>
      </c>
    </row>
    <row r="717" spans="1:1" x14ac:dyDescent="0.3">
      <c r="A717" s="1" t="str">
        <f>HYPERLINK("#'Data'!A12894", "L_6 Reasons for Household Satisfaction with the Other Assistance Received in the Last 3 Months by rural or urban")</f>
        <v>L_6 Reasons for Household Satisfaction with the Other Assistance Received in the Last 3 Months by rural or urban</v>
      </c>
    </row>
    <row r="718" spans="1:1" x14ac:dyDescent="0.3">
      <c r="A718" s="1" t="str">
        <f>HYPERLINK("#'Data'!A12905", "L_6 Reasons for Household Satisfaction with the Food Assistance Received in the Last 3 Months by displacement status")</f>
        <v>L_6 Reasons for Household Satisfaction with the Food Assistance Received in the Last 3 Months by displacement status</v>
      </c>
    </row>
    <row r="719" spans="1:1" x14ac:dyDescent="0.3">
      <c r="A719" s="1" t="str">
        <f>HYPERLINK("#'Data'!A12923", "L_6 Reasons for Household Satisfaction with the Shelter Assistance Received in the Last 3 Months by displacement status")</f>
        <v>L_6 Reasons for Household Satisfaction with the Shelter Assistance Received in the Last 3 Months by displacement status</v>
      </c>
    </row>
    <row r="720" spans="1:1" x14ac:dyDescent="0.3">
      <c r="A720" s="1" t="str">
        <f>HYPERLINK("#'Data'!A12934", "L_6 Reasons for Household Satisfaction with the Health Assistance Received in the Last 3 Months by displacement status")</f>
        <v>L_6 Reasons for Household Satisfaction with the Health Assistance Received in the Last 3 Months by displacement status</v>
      </c>
    </row>
    <row r="721" spans="1:1" x14ac:dyDescent="0.3">
      <c r="A721" s="1" t="str">
        <f>HYPERLINK("#'Data'!A12945", "L_6 Reasons for Household Satisfaction with the WASH Assistance Received in the Last 3 Months by displacement status")</f>
        <v>L_6 Reasons for Household Satisfaction with the WASH Assistance Received in the Last 3 Months by displacement status</v>
      </c>
    </row>
    <row r="722" spans="1:1" x14ac:dyDescent="0.3">
      <c r="A722" s="1" t="str">
        <f>HYPERLINK("#'Data'!A12957", "L_6 Reasons for Household Satisfaction with the Protection Assistance Received in the Last 3 Months by displacement status")</f>
        <v>L_6 Reasons for Household Satisfaction with the Protection Assistance Received in the Last 3 Months by displacement status</v>
      </c>
    </row>
    <row r="723" spans="1:1" x14ac:dyDescent="0.3">
      <c r="A723" s="1" t="str">
        <f>HYPERLINK("#'Data'!A12967", "L_6 Reasons for Household Satisfaction with the Cash Assistance Received in the Last 3 Months by displacement status")</f>
        <v>L_6 Reasons for Household Satisfaction with the Cash Assistance Received in the Last 3 Months by displacement status</v>
      </c>
    </row>
    <row r="724" spans="1:1" x14ac:dyDescent="0.3">
      <c r="A724" s="1" t="str">
        <f>HYPERLINK("#'Data'!A12984", "L_6 Reasons for Household Satisfaction with the Other Assistance Received in the Last 3 Months by displacement status")</f>
        <v>L_6 Reasons for Household Satisfaction with the Other Assistance Received in the Last 3 Months by displacement status</v>
      </c>
    </row>
  </sheetData>
  <hyperlinks>
    <hyperlink ref="A101" location="'Data'!A1582" display="C_6 Main Reason School Aged Children Reportedly Did Not Access Formal School during the 2022-2023 school year overall" xr:uid="{0E01ABF6-61B4-4CA4-A77B-51CAB1B73B9A}"/>
    <hyperlink ref="A102" location="'Data'!A1591" display="C_6 Main Reason School Aged Children Reportedly Did Not Access Formal School during the 2022-2023 school year by child with a disability" xr:uid="{DC6EBC61-18E2-40EA-A60D-B0B696715A70}"/>
    <hyperlink ref="A103" location="'Data'!A1612" display="C_6 Main Reason School Aged Children Reportedly Did Not Access Formal School during the 2022-2023 school year by child sex and age" xr:uid="{14978E07-6B4E-4B6D-9404-870AE028E902}"/>
    <hyperlink ref="A104" location="'Data'!A1643" display="C_6 Main Reason School Aged Children Reportedly Did Not Access Formal School during the 2022-2023 school year by rural or urban" xr:uid="{537FAB9A-5A2A-46C5-A60E-ED0AF533A62F}"/>
    <hyperlink ref="A105" location="'Data'!A1658" display="C_6 Main Reason School Aged Children Reportedly Did Not Access Formal School during the 2022-2023 school year by displacement status" xr:uid="{5556858D-A890-4FE6-9534-59B8D362F558}"/>
    <hyperlink ref="A106" location="'Data'!A1677" display="C_6 Main Reason School Aged Children Reportedly Did Not Access Formal School during the 2022-2023 school year by HoHH sex" xr:uid="{15C47C76-E48B-4E2D-8213-92A403BC555E}"/>
    <hyperlink ref="A107" location="'Data'!A1698" display="C_6 Main Reason School Aged Children Reportedly Did Not Access Formal School during the 2022-2023 school year by HH with member employed" xr:uid="{B53E7CC2-624B-476D-96A8-2F0A87CA4CD5}"/>
    <hyperlink ref="A108" location="'Data'!A1713" display="C_6 Main Reason School Aged Children Reportedly Did Not Access Formal School during the 2022-2023 school year by HH proximity to frontline or Russian border" xr:uid="{13AFC461-DC97-44CC-8F08-A85E5CCDB67E}"/>
  </hyperlinks>
  <pageMargins left="0.7" right="0.7" top="0.75" bottom="0.75" header="0.3" footer="0.3"/>
  <pageSetup paperSize="9"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E12993"/>
  <sheetViews>
    <sheetView tabSelected="1" topLeftCell="A5442" workbookViewId="0">
      <selection activeCell="I5454" sqref="I5454"/>
    </sheetView>
  </sheetViews>
  <sheetFormatPr defaultColWidth="11.5546875" defaultRowHeight="14.4" x14ac:dyDescent="0.3"/>
  <sheetData>
    <row r="1" spans="1:6" x14ac:dyDescent="0.3">
      <c r="A1" t="s">
        <v>31</v>
      </c>
    </row>
    <row r="2" spans="1:6" x14ac:dyDescent="0.3">
      <c r="A2" t="s">
        <v>32</v>
      </c>
      <c r="B2" t="s">
        <v>33</v>
      </c>
      <c r="C2" t="s">
        <v>34</v>
      </c>
      <c r="D2" t="s">
        <v>35</v>
      </c>
      <c r="E2" t="s">
        <v>36</v>
      </c>
      <c r="F2" t="s">
        <v>37</v>
      </c>
    </row>
    <row r="3" spans="1:6" x14ac:dyDescent="0.3">
      <c r="A3">
        <v>13322</v>
      </c>
      <c r="B3" t="s">
        <v>38</v>
      </c>
      <c r="C3" t="s">
        <v>39</v>
      </c>
      <c r="D3" t="s">
        <v>40</v>
      </c>
      <c r="E3" t="s">
        <v>41</v>
      </c>
      <c r="F3" t="s">
        <v>42</v>
      </c>
    </row>
    <row r="5" spans="1:6" x14ac:dyDescent="0.3">
      <c r="A5" t="s">
        <v>43</v>
      </c>
    </row>
    <row r="6" spans="1:6" x14ac:dyDescent="0.3">
      <c r="A6" t="s">
        <v>44</v>
      </c>
      <c r="B6" t="s">
        <v>32</v>
      </c>
      <c r="C6" t="s">
        <v>45</v>
      </c>
      <c r="D6" t="s">
        <v>46</v>
      </c>
      <c r="E6" t="s">
        <v>47</v>
      </c>
      <c r="F6" t="s">
        <v>48</v>
      </c>
    </row>
    <row r="7" spans="1:6" x14ac:dyDescent="0.3">
      <c r="A7" t="s">
        <v>35</v>
      </c>
      <c r="B7">
        <v>3145</v>
      </c>
      <c r="C7">
        <v>50.98</v>
      </c>
      <c r="D7">
        <v>50</v>
      </c>
      <c r="E7">
        <v>18</v>
      </c>
      <c r="F7">
        <v>96</v>
      </c>
    </row>
    <row r="8" spans="1:6" x14ac:dyDescent="0.3">
      <c r="A8" t="s">
        <v>37</v>
      </c>
      <c r="B8">
        <v>3855</v>
      </c>
      <c r="C8">
        <v>52.93</v>
      </c>
      <c r="D8">
        <v>55</v>
      </c>
      <c r="E8">
        <v>18</v>
      </c>
      <c r="F8">
        <v>95</v>
      </c>
    </row>
    <row r="9" spans="1:6" x14ac:dyDescent="0.3">
      <c r="A9" t="s">
        <v>36</v>
      </c>
      <c r="B9">
        <v>2305</v>
      </c>
      <c r="C9">
        <v>50.98</v>
      </c>
      <c r="D9">
        <v>52</v>
      </c>
      <c r="E9">
        <v>18</v>
      </c>
      <c r="F9">
        <v>95</v>
      </c>
    </row>
    <row r="10" spans="1:6" x14ac:dyDescent="0.3">
      <c r="A10" t="s">
        <v>34</v>
      </c>
      <c r="B10">
        <v>2080</v>
      </c>
      <c r="C10">
        <v>52.19</v>
      </c>
      <c r="D10">
        <v>52</v>
      </c>
      <c r="E10">
        <v>18</v>
      </c>
      <c r="F10">
        <v>95</v>
      </c>
    </row>
    <row r="11" spans="1:6" x14ac:dyDescent="0.3">
      <c r="A11" t="s">
        <v>33</v>
      </c>
      <c r="B11">
        <v>1937</v>
      </c>
      <c r="C11">
        <v>52.02</v>
      </c>
      <c r="D11">
        <v>53</v>
      </c>
      <c r="E11">
        <v>18</v>
      </c>
      <c r="F11">
        <v>97</v>
      </c>
    </row>
    <row r="12" spans="1:6" x14ac:dyDescent="0.3">
      <c r="A12" t="s">
        <v>49</v>
      </c>
      <c r="B12">
        <v>13322</v>
      </c>
      <c r="C12">
        <v>51.91</v>
      </c>
      <c r="D12">
        <v>52</v>
      </c>
      <c r="E12">
        <v>18</v>
      </c>
      <c r="F12">
        <v>97</v>
      </c>
    </row>
    <row r="14" spans="1:6" x14ac:dyDescent="0.3">
      <c r="A14" t="s">
        <v>50</v>
      </c>
    </row>
    <row r="15" spans="1:6" x14ac:dyDescent="0.3">
      <c r="A15" t="s">
        <v>44</v>
      </c>
      <c r="B15" t="s">
        <v>32</v>
      </c>
      <c r="C15" t="s">
        <v>51</v>
      </c>
      <c r="D15" t="s">
        <v>52</v>
      </c>
    </row>
    <row r="16" spans="1:6" x14ac:dyDescent="0.3">
      <c r="A16" t="s">
        <v>35</v>
      </c>
      <c r="B16">
        <v>3145</v>
      </c>
      <c r="C16" t="s">
        <v>53</v>
      </c>
      <c r="D16" t="s">
        <v>54</v>
      </c>
    </row>
    <row r="17" spans="1:4" x14ac:dyDescent="0.3">
      <c r="A17" t="s">
        <v>37</v>
      </c>
      <c r="B17">
        <v>3855</v>
      </c>
      <c r="C17" t="s">
        <v>55</v>
      </c>
      <c r="D17" t="s">
        <v>56</v>
      </c>
    </row>
    <row r="18" spans="1:4" x14ac:dyDescent="0.3">
      <c r="A18" t="s">
        <v>36</v>
      </c>
      <c r="B18">
        <v>2305</v>
      </c>
      <c r="C18" t="s">
        <v>57</v>
      </c>
      <c r="D18" t="s">
        <v>58</v>
      </c>
    </row>
    <row r="19" spans="1:4" x14ac:dyDescent="0.3">
      <c r="A19" t="s">
        <v>34</v>
      </c>
      <c r="B19">
        <v>2080</v>
      </c>
      <c r="C19" t="s">
        <v>59</v>
      </c>
      <c r="D19" t="s">
        <v>60</v>
      </c>
    </row>
    <row r="20" spans="1:4" x14ac:dyDescent="0.3">
      <c r="A20" t="s">
        <v>33</v>
      </c>
      <c r="B20">
        <v>1937</v>
      </c>
      <c r="C20" t="s">
        <v>61</v>
      </c>
      <c r="D20" t="s">
        <v>62</v>
      </c>
    </row>
    <row r="21" spans="1:4" x14ac:dyDescent="0.3">
      <c r="A21" t="s">
        <v>49</v>
      </c>
      <c r="B21">
        <v>13322</v>
      </c>
      <c r="C21" t="s">
        <v>63</v>
      </c>
      <c r="D21" t="s">
        <v>64</v>
      </c>
    </row>
    <row r="23" spans="1:4" x14ac:dyDescent="0.3">
      <c r="A23" t="s">
        <v>65</v>
      </c>
    </row>
    <row r="24" spans="1:4" x14ac:dyDescent="0.3">
      <c r="A24" t="s">
        <v>44</v>
      </c>
      <c r="B24" t="s">
        <v>32</v>
      </c>
      <c r="C24" t="s">
        <v>66</v>
      </c>
      <c r="D24" t="s">
        <v>67</v>
      </c>
    </row>
    <row r="25" spans="1:4" x14ac:dyDescent="0.3">
      <c r="A25" t="s">
        <v>35</v>
      </c>
      <c r="B25">
        <v>3145</v>
      </c>
      <c r="C25" t="s">
        <v>68</v>
      </c>
      <c r="D25" t="s">
        <v>69</v>
      </c>
    </row>
    <row r="26" spans="1:4" x14ac:dyDescent="0.3">
      <c r="A26" t="s">
        <v>37</v>
      </c>
      <c r="B26">
        <v>3855</v>
      </c>
      <c r="C26" t="s">
        <v>70</v>
      </c>
      <c r="D26" t="s">
        <v>71</v>
      </c>
    </row>
    <row r="27" spans="1:4" x14ac:dyDescent="0.3">
      <c r="A27" t="s">
        <v>36</v>
      </c>
      <c r="B27">
        <v>2305</v>
      </c>
      <c r="C27" t="s">
        <v>72</v>
      </c>
      <c r="D27" t="s">
        <v>73</v>
      </c>
    </row>
    <row r="28" spans="1:4" x14ac:dyDescent="0.3">
      <c r="A28" t="s">
        <v>34</v>
      </c>
      <c r="B28">
        <v>2080</v>
      </c>
      <c r="C28" t="s">
        <v>74</v>
      </c>
      <c r="D28" t="s">
        <v>75</v>
      </c>
    </row>
    <row r="29" spans="1:4" x14ac:dyDescent="0.3">
      <c r="A29" t="s">
        <v>33</v>
      </c>
      <c r="B29">
        <v>1937</v>
      </c>
      <c r="C29" t="s">
        <v>76</v>
      </c>
      <c r="D29" t="s">
        <v>77</v>
      </c>
    </row>
    <row r="30" spans="1:4" x14ac:dyDescent="0.3">
      <c r="A30" t="s">
        <v>49</v>
      </c>
      <c r="B30">
        <v>13322</v>
      </c>
      <c r="C30" t="s">
        <v>78</v>
      </c>
      <c r="D30" t="s">
        <v>79</v>
      </c>
    </row>
    <row r="32" spans="1:4" x14ac:dyDescent="0.3">
      <c r="A32" t="s">
        <v>80</v>
      </c>
    </row>
    <row r="33" spans="1:18" x14ac:dyDescent="0.3">
      <c r="A33" t="s">
        <v>44</v>
      </c>
      <c r="B33" t="s">
        <v>32</v>
      </c>
      <c r="C33" t="s">
        <v>45</v>
      </c>
      <c r="D33" t="s">
        <v>46</v>
      </c>
      <c r="E33" t="s">
        <v>47</v>
      </c>
      <c r="F33" t="s">
        <v>48</v>
      </c>
    </row>
    <row r="34" spans="1:18" x14ac:dyDescent="0.3">
      <c r="A34" t="s">
        <v>35</v>
      </c>
      <c r="B34">
        <v>3145</v>
      </c>
      <c r="C34">
        <v>2.41</v>
      </c>
      <c r="D34">
        <v>2</v>
      </c>
      <c r="E34">
        <v>1</v>
      </c>
      <c r="F34">
        <v>10</v>
      </c>
    </row>
    <row r="35" spans="1:18" x14ac:dyDescent="0.3">
      <c r="A35" t="s">
        <v>37</v>
      </c>
      <c r="B35">
        <v>3855</v>
      </c>
      <c r="C35">
        <v>2.6</v>
      </c>
      <c r="D35">
        <v>2</v>
      </c>
      <c r="E35">
        <v>1</v>
      </c>
      <c r="F35">
        <v>12</v>
      </c>
    </row>
    <row r="36" spans="1:18" x14ac:dyDescent="0.3">
      <c r="A36" t="s">
        <v>36</v>
      </c>
      <c r="B36">
        <v>2305</v>
      </c>
      <c r="C36">
        <v>2.58</v>
      </c>
      <c r="D36">
        <v>2</v>
      </c>
      <c r="E36">
        <v>1</v>
      </c>
      <c r="F36">
        <v>12</v>
      </c>
    </row>
    <row r="37" spans="1:18" x14ac:dyDescent="0.3">
      <c r="A37" t="s">
        <v>34</v>
      </c>
      <c r="B37">
        <v>2080</v>
      </c>
      <c r="C37">
        <v>2.48</v>
      </c>
      <c r="D37">
        <v>2</v>
      </c>
      <c r="E37">
        <v>1</v>
      </c>
      <c r="F37">
        <v>10</v>
      </c>
    </row>
    <row r="38" spans="1:18" x14ac:dyDescent="0.3">
      <c r="A38" t="s">
        <v>33</v>
      </c>
      <c r="B38">
        <v>1937</v>
      </c>
      <c r="C38">
        <v>2.36</v>
      </c>
      <c r="D38">
        <v>2</v>
      </c>
      <c r="E38">
        <v>1</v>
      </c>
      <c r="F38">
        <v>11</v>
      </c>
    </row>
    <row r="39" spans="1:18" x14ac:dyDescent="0.3">
      <c r="A39" t="s">
        <v>49</v>
      </c>
      <c r="B39">
        <v>13322</v>
      </c>
      <c r="C39">
        <v>2.48</v>
      </c>
      <c r="D39">
        <v>2</v>
      </c>
      <c r="E39">
        <v>1</v>
      </c>
      <c r="F39">
        <v>12</v>
      </c>
    </row>
    <row r="41" spans="1:18" x14ac:dyDescent="0.3">
      <c r="A41" t="s">
        <v>81</v>
      </c>
    </row>
    <row r="42" spans="1:18" x14ac:dyDescent="0.3">
      <c r="A42" t="s">
        <v>44</v>
      </c>
      <c r="B42" t="s">
        <v>32</v>
      </c>
      <c r="C42" t="s">
        <v>82</v>
      </c>
      <c r="D42" t="s">
        <v>83</v>
      </c>
      <c r="E42" t="s">
        <v>84</v>
      </c>
      <c r="F42" t="s">
        <v>85</v>
      </c>
      <c r="G42" t="s">
        <v>86</v>
      </c>
      <c r="H42" t="s">
        <v>87</v>
      </c>
      <c r="I42" t="s">
        <v>88</v>
      </c>
      <c r="J42" t="s">
        <v>89</v>
      </c>
      <c r="K42" t="s">
        <v>90</v>
      </c>
      <c r="L42" t="s">
        <v>91</v>
      </c>
      <c r="M42" t="s">
        <v>92</v>
      </c>
      <c r="N42" t="s">
        <v>93</v>
      </c>
      <c r="O42" t="s">
        <v>94</v>
      </c>
      <c r="P42" t="s">
        <v>95</v>
      </c>
      <c r="Q42" t="s">
        <v>96</v>
      </c>
      <c r="R42" t="s">
        <v>97</v>
      </c>
    </row>
    <row r="43" spans="1:18" x14ac:dyDescent="0.3">
      <c r="A43" t="s">
        <v>35</v>
      </c>
      <c r="B43">
        <v>6578</v>
      </c>
      <c r="C43" t="s">
        <v>98</v>
      </c>
      <c r="D43" t="s">
        <v>99</v>
      </c>
      <c r="E43" t="s">
        <v>100</v>
      </c>
      <c r="F43" t="s">
        <v>101</v>
      </c>
      <c r="G43" t="s">
        <v>102</v>
      </c>
      <c r="H43" t="s">
        <v>103</v>
      </c>
      <c r="I43" t="s">
        <v>104</v>
      </c>
      <c r="J43" t="s">
        <v>105</v>
      </c>
      <c r="K43" t="s">
        <v>105</v>
      </c>
      <c r="L43" t="s">
        <v>106</v>
      </c>
      <c r="M43" t="s">
        <v>107</v>
      </c>
      <c r="N43" t="s">
        <v>108</v>
      </c>
      <c r="O43" t="s">
        <v>109</v>
      </c>
      <c r="P43" t="s">
        <v>110</v>
      </c>
      <c r="Q43" t="s">
        <v>111</v>
      </c>
      <c r="R43" t="s">
        <v>112</v>
      </c>
    </row>
    <row r="44" spans="1:18" x14ac:dyDescent="0.3">
      <c r="A44" t="s">
        <v>37</v>
      </c>
      <c r="B44">
        <v>8476</v>
      </c>
      <c r="C44" t="s">
        <v>113</v>
      </c>
      <c r="D44" t="s">
        <v>99</v>
      </c>
      <c r="E44" t="s">
        <v>114</v>
      </c>
      <c r="F44" t="s">
        <v>115</v>
      </c>
      <c r="G44" t="s">
        <v>116</v>
      </c>
      <c r="H44" t="s">
        <v>117</v>
      </c>
      <c r="I44" t="s">
        <v>99</v>
      </c>
      <c r="J44" t="s">
        <v>110</v>
      </c>
      <c r="K44" t="s">
        <v>118</v>
      </c>
      <c r="L44" t="s">
        <v>119</v>
      </c>
      <c r="M44" t="s">
        <v>120</v>
      </c>
      <c r="N44" t="s">
        <v>121</v>
      </c>
      <c r="O44" t="s">
        <v>122</v>
      </c>
      <c r="P44" t="s">
        <v>117</v>
      </c>
      <c r="Q44" t="s">
        <v>123</v>
      </c>
      <c r="R44" t="s">
        <v>124</v>
      </c>
    </row>
    <row r="45" spans="1:18" x14ac:dyDescent="0.3">
      <c r="A45" t="s">
        <v>36</v>
      </c>
      <c r="B45">
        <v>4939</v>
      </c>
      <c r="C45" t="s">
        <v>125</v>
      </c>
      <c r="D45" t="s">
        <v>104</v>
      </c>
      <c r="E45" t="s">
        <v>126</v>
      </c>
      <c r="F45" t="s">
        <v>127</v>
      </c>
      <c r="G45" t="s">
        <v>106</v>
      </c>
      <c r="H45" t="s">
        <v>128</v>
      </c>
      <c r="I45" t="s">
        <v>99</v>
      </c>
      <c r="J45" t="s">
        <v>129</v>
      </c>
      <c r="K45" t="s">
        <v>130</v>
      </c>
      <c r="L45" t="s">
        <v>131</v>
      </c>
      <c r="M45" t="s">
        <v>105</v>
      </c>
      <c r="N45" t="s">
        <v>132</v>
      </c>
      <c r="O45" t="s">
        <v>133</v>
      </c>
      <c r="P45" t="s">
        <v>130</v>
      </c>
      <c r="Q45" t="s">
        <v>134</v>
      </c>
      <c r="R45" t="s">
        <v>41</v>
      </c>
    </row>
    <row r="46" spans="1:18" x14ac:dyDescent="0.3">
      <c r="A46" t="s">
        <v>34</v>
      </c>
      <c r="B46">
        <v>4191</v>
      </c>
      <c r="C46" t="s">
        <v>135</v>
      </c>
      <c r="D46" t="s">
        <v>104</v>
      </c>
      <c r="E46" t="s">
        <v>136</v>
      </c>
      <c r="F46" t="s">
        <v>115</v>
      </c>
      <c r="G46" t="s">
        <v>137</v>
      </c>
      <c r="H46" t="s">
        <v>138</v>
      </c>
      <c r="I46" t="s">
        <v>99</v>
      </c>
      <c r="J46" t="s">
        <v>139</v>
      </c>
      <c r="K46" t="s">
        <v>138</v>
      </c>
      <c r="L46" t="s">
        <v>140</v>
      </c>
      <c r="M46" t="s">
        <v>111</v>
      </c>
      <c r="N46" t="s">
        <v>141</v>
      </c>
      <c r="O46" t="s">
        <v>142</v>
      </c>
      <c r="P46" t="s">
        <v>143</v>
      </c>
      <c r="Q46" t="s">
        <v>134</v>
      </c>
      <c r="R46" t="s">
        <v>144</v>
      </c>
    </row>
    <row r="47" spans="1:18" x14ac:dyDescent="0.3">
      <c r="A47" t="s">
        <v>33</v>
      </c>
      <c r="B47">
        <v>3982</v>
      </c>
      <c r="C47" t="s">
        <v>145</v>
      </c>
      <c r="D47" t="s">
        <v>104</v>
      </c>
      <c r="E47" t="s">
        <v>114</v>
      </c>
      <c r="F47" t="s">
        <v>136</v>
      </c>
      <c r="G47" t="s">
        <v>146</v>
      </c>
      <c r="H47" t="s">
        <v>127</v>
      </c>
      <c r="I47" t="s">
        <v>99</v>
      </c>
      <c r="J47" t="s">
        <v>117</v>
      </c>
      <c r="K47" t="s">
        <v>147</v>
      </c>
      <c r="L47" t="s">
        <v>148</v>
      </c>
      <c r="M47" t="s">
        <v>149</v>
      </c>
      <c r="N47" t="s">
        <v>101</v>
      </c>
      <c r="O47" t="s">
        <v>150</v>
      </c>
      <c r="P47" t="s">
        <v>151</v>
      </c>
      <c r="Q47" t="s">
        <v>127</v>
      </c>
      <c r="R47" t="s">
        <v>138</v>
      </c>
    </row>
    <row r="48" spans="1:18" x14ac:dyDescent="0.3">
      <c r="A48" t="s">
        <v>49</v>
      </c>
      <c r="B48">
        <v>28166</v>
      </c>
      <c r="C48" t="s">
        <v>152</v>
      </c>
      <c r="D48" t="s">
        <v>104</v>
      </c>
      <c r="E48" t="s">
        <v>114</v>
      </c>
      <c r="F48" t="s">
        <v>108</v>
      </c>
      <c r="G48" t="s">
        <v>153</v>
      </c>
      <c r="H48" t="s">
        <v>103</v>
      </c>
      <c r="I48" t="s">
        <v>99</v>
      </c>
      <c r="J48" t="s">
        <v>154</v>
      </c>
      <c r="K48" t="s">
        <v>155</v>
      </c>
      <c r="L48" t="s">
        <v>156</v>
      </c>
      <c r="M48" t="s">
        <v>157</v>
      </c>
      <c r="N48" t="s">
        <v>114</v>
      </c>
      <c r="O48" t="s">
        <v>78</v>
      </c>
      <c r="P48" t="s">
        <v>154</v>
      </c>
      <c r="Q48" t="s">
        <v>103</v>
      </c>
      <c r="R48" t="s">
        <v>158</v>
      </c>
    </row>
    <row r="50" spans="1:4" x14ac:dyDescent="0.3">
      <c r="A50" t="s">
        <v>159</v>
      </c>
    </row>
    <row r="51" spans="1:4" x14ac:dyDescent="0.3">
      <c r="A51" t="s">
        <v>44</v>
      </c>
      <c r="B51" t="s">
        <v>32</v>
      </c>
      <c r="C51" t="s">
        <v>66</v>
      </c>
      <c r="D51" t="s">
        <v>67</v>
      </c>
    </row>
    <row r="52" spans="1:4" x14ac:dyDescent="0.3">
      <c r="A52" t="s">
        <v>35</v>
      </c>
      <c r="B52">
        <v>6578</v>
      </c>
      <c r="C52" t="s">
        <v>160</v>
      </c>
      <c r="D52" t="s">
        <v>161</v>
      </c>
    </row>
    <row r="53" spans="1:4" x14ac:dyDescent="0.3">
      <c r="A53" t="s">
        <v>37</v>
      </c>
      <c r="B53">
        <v>8477</v>
      </c>
      <c r="C53" t="s">
        <v>143</v>
      </c>
      <c r="D53" t="s">
        <v>162</v>
      </c>
    </row>
    <row r="54" spans="1:4" x14ac:dyDescent="0.3">
      <c r="A54" t="s">
        <v>36</v>
      </c>
      <c r="B54">
        <v>4941</v>
      </c>
      <c r="C54" t="s">
        <v>163</v>
      </c>
      <c r="D54" t="s">
        <v>164</v>
      </c>
    </row>
    <row r="55" spans="1:4" x14ac:dyDescent="0.3">
      <c r="A55" t="s">
        <v>34</v>
      </c>
      <c r="B55">
        <v>4191</v>
      </c>
      <c r="C55" t="s">
        <v>165</v>
      </c>
      <c r="D55" t="s">
        <v>166</v>
      </c>
    </row>
    <row r="56" spans="1:4" x14ac:dyDescent="0.3">
      <c r="A56" t="s">
        <v>33</v>
      </c>
      <c r="B56">
        <v>3982</v>
      </c>
      <c r="C56" t="s">
        <v>167</v>
      </c>
      <c r="D56" t="s">
        <v>168</v>
      </c>
    </row>
    <row r="57" spans="1:4" x14ac:dyDescent="0.3">
      <c r="A57" t="s">
        <v>49</v>
      </c>
      <c r="B57">
        <v>28169</v>
      </c>
      <c r="C57" t="s">
        <v>133</v>
      </c>
      <c r="D57" t="s">
        <v>169</v>
      </c>
    </row>
    <row r="59" spans="1:4" x14ac:dyDescent="0.3">
      <c r="A59" t="s">
        <v>170</v>
      </c>
    </row>
    <row r="60" spans="1:4" x14ac:dyDescent="0.3">
      <c r="A60" t="s">
        <v>44</v>
      </c>
      <c r="B60" t="s">
        <v>32</v>
      </c>
      <c r="C60" t="s">
        <v>66</v>
      </c>
      <c r="D60" t="s">
        <v>67</v>
      </c>
    </row>
    <row r="61" spans="1:4" x14ac:dyDescent="0.3">
      <c r="A61" t="s">
        <v>35</v>
      </c>
      <c r="B61">
        <v>6578</v>
      </c>
      <c r="C61" t="s">
        <v>171</v>
      </c>
      <c r="D61" t="s">
        <v>172</v>
      </c>
    </row>
    <row r="62" spans="1:4" x14ac:dyDescent="0.3">
      <c r="A62" t="s">
        <v>37</v>
      </c>
      <c r="B62">
        <v>8477</v>
      </c>
      <c r="C62" t="s">
        <v>70</v>
      </c>
      <c r="D62" t="s">
        <v>71</v>
      </c>
    </row>
    <row r="63" spans="1:4" x14ac:dyDescent="0.3">
      <c r="A63" t="s">
        <v>36</v>
      </c>
      <c r="B63">
        <v>4941</v>
      </c>
      <c r="C63" t="s">
        <v>173</v>
      </c>
      <c r="D63" t="s">
        <v>174</v>
      </c>
    </row>
    <row r="64" spans="1:4" x14ac:dyDescent="0.3">
      <c r="A64" t="s">
        <v>34</v>
      </c>
      <c r="B64">
        <v>4191</v>
      </c>
      <c r="C64" t="s">
        <v>175</v>
      </c>
      <c r="D64" t="s">
        <v>176</v>
      </c>
    </row>
    <row r="65" spans="1:8" x14ac:dyDescent="0.3">
      <c r="A65" t="s">
        <v>33</v>
      </c>
      <c r="B65">
        <v>3982</v>
      </c>
      <c r="C65" t="s">
        <v>177</v>
      </c>
      <c r="D65" t="s">
        <v>178</v>
      </c>
    </row>
    <row r="66" spans="1:8" x14ac:dyDescent="0.3">
      <c r="A66" t="s">
        <v>49</v>
      </c>
      <c r="B66">
        <v>28169</v>
      </c>
      <c r="C66" t="s">
        <v>179</v>
      </c>
      <c r="D66" t="s">
        <v>180</v>
      </c>
    </row>
    <row r="68" spans="1:8" x14ac:dyDescent="0.3">
      <c r="A68" t="s">
        <v>181</v>
      </c>
    </row>
    <row r="69" spans="1:8" x14ac:dyDescent="0.3">
      <c r="A69" t="s">
        <v>44</v>
      </c>
      <c r="B69" t="s">
        <v>32</v>
      </c>
      <c r="C69" t="s">
        <v>66</v>
      </c>
      <c r="D69" t="s">
        <v>67</v>
      </c>
    </row>
    <row r="70" spans="1:8" x14ac:dyDescent="0.3">
      <c r="A70" t="s">
        <v>35</v>
      </c>
      <c r="B70">
        <v>6578</v>
      </c>
      <c r="C70" t="s">
        <v>182</v>
      </c>
      <c r="D70" t="s">
        <v>183</v>
      </c>
    </row>
    <row r="71" spans="1:8" x14ac:dyDescent="0.3">
      <c r="A71" t="s">
        <v>37</v>
      </c>
      <c r="B71">
        <v>8477</v>
      </c>
      <c r="C71" t="s">
        <v>184</v>
      </c>
      <c r="D71" t="s">
        <v>185</v>
      </c>
    </row>
    <row r="72" spans="1:8" x14ac:dyDescent="0.3">
      <c r="A72" t="s">
        <v>36</v>
      </c>
      <c r="B72">
        <v>4941</v>
      </c>
      <c r="C72" t="s">
        <v>186</v>
      </c>
      <c r="D72" t="s">
        <v>187</v>
      </c>
    </row>
    <row r="73" spans="1:8" x14ac:dyDescent="0.3">
      <c r="A73" t="s">
        <v>34</v>
      </c>
      <c r="B73">
        <v>4191</v>
      </c>
      <c r="C73" t="s">
        <v>173</v>
      </c>
      <c r="D73" t="s">
        <v>174</v>
      </c>
    </row>
    <row r="74" spans="1:8" x14ac:dyDescent="0.3">
      <c r="A74" t="s">
        <v>33</v>
      </c>
      <c r="B74">
        <v>3982</v>
      </c>
      <c r="C74" t="s">
        <v>188</v>
      </c>
      <c r="D74" t="s">
        <v>189</v>
      </c>
    </row>
    <row r="75" spans="1:8" x14ac:dyDescent="0.3">
      <c r="A75" t="s">
        <v>49</v>
      </c>
      <c r="B75">
        <v>28169</v>
      </c>
      <c r="C75" t="s">
        <v>179</v>
      </c>
      <c r="D75" t="s">
        <v>180</v>
      </c>
    </row>
    <row r="77" spans="1:8" x14ac:dyDescent="0.3">
      <c r="A77" t="s">
        <v>190</v>
      </c>
    </row>
    <row r="78" spans="1:8" x14ac:dyDescent="0.3">
      <c r="A78" t="s">
        <v>44</v>
      </c>
      <c r="B78" t="s">
        <v>32</v>
      </c>
      <c r="C78" t="s">
        <v>191</v>
      </c>
      <c r="D78" t="s">
        <v>192</v>
      </c>
      <c r="E78" t="s">
        <v>83</v>
      </c>
      <c r="F78" t="s">
        <v>193</v>
      </c>
      <c r="G78" t="s">
        <v>194</v>
      </c>
      <c r="H78" t="s">
        <v>195</v>
      </c>
    </row>
    <row r="79" spans="1:8" x14ac:dyDescent="0.3">
      <c r="A79" t="s">
        <v>35</v>
      </c>
      <c r="B79">
        <v>119</v>
      </c>
      <c r="C79" t="s">
        <v>196</v>
      </c>
      <c r="D79" t="s">
        <v>197</v>
      </c>
      <c r="E79" t="s">
        <v>99</v>
      </c>
      <c r="F79" t="s">
        <v>132</v>
      </c>
      <c r="G79" t="s">
        <v>198</v>
      </c>
      <c r="H79" t="s">
        <v>132</v>
      </c>
    </row>
    <row r="80" spans="1:8" x14ac:dyDescent="0.3">
      <c r="A80" t="s">
        <v>37</v>
      </c>
      <c r="B80">
        <v>186</v>
      </c>
      <c r="C80" t="s">
        <v>199</v>
      </c>
      <c r="D80" t="s">
        <v>133</v>
      </c>
      <c r="E80" t="s">
        <v>99</v>
      </c>
      <c r="F80" t="s">
        <v>136</v>
      </c>
      <c r="G80" t="s">
        <v>101</v>
      </c>
      <c r="H80" t="s">
        <v>99</v>
      </c>
    </row>
    <row r="81" spans="1:9" x14ac:dyDescent="0.3">
      <c r="A81" t="s">
        <v>36</v>
      </c>
      <c r="B81">
        <v>95</v>
      </c>
      <c r="C81" t="s">
        <v>200</v>
      </c>
      <c r="D81" t="s">
        <v>201</v>
      </c>
      <c r="E81" t="s">
        <v>99</v>
      </c>
      <c r="F81" t="s">
        <v>99</v>
      </c>
      <c r="G81" t="s">
        <v>99</v>
      </c>
      <c r="H81" t="s">
        <v>99</v>
      </c>
    </row>
    <row r="82" spans="1:9" x14ac:dyDescent="0.3">
      <c r="A82" t="s">
        <v>34</v>
      </c>
      <c r="B82">
        <v>70</v>
      </c>
      <c r="C82" t="s">
        <v>202</v>
      </c>
      <c r="D82" t="s">
        <v>126</v>
      </c>
      <c r="E82" t="s">
        <v>99</v>
      </c>
      <c r="F82" t="s">
        <v>115</v>
      </c>
      <c r="G82" t="s">
        <v>99</v>
      </c>
      <c r="H82" t="s">
        <v>99</v>
      </c>
    </row>
    <row r="83" spans="1:9" x14ac:dyDescent="0.3">
      <c r="A83" t="s">
        <v>33</v>
      </c>
      <c r="B83">
        <v>40</v>
      </c>
      <c r="C83" t="s">
        <v>203</v>
      </c>
      <c r="D83" t="s">
        <v>204</v>
      </c>
      <c r="E83" t="s">
        <v>103</v>
      </c>
      <c r="F83" t="s">
        <v>99</v>
      </c>
      <c r="G83" t="s">
        <v>99</v>
      </c>
      <c r="H83" t="s">
        <v>99</v>
      </c>
    </row>
    <row r="84" spans="1:9" x14ac:dyDescent="0.3">
      <c r="A84" t="s">
        <v>49</v>
      </c>
      <c r="B84">
        <v>510</v>
      </c>
      <c r="C84" t="s">
        <v>205</v>
      </c>
      <c r="D84" t="s">
        <v>206</v>
      </c>
      <c r="E84" t="s">
        <v>198</v>
      </c>
      <c r="F84" t="s">
        <v>141</v>
      </c>
      <c r="G84" t="s">
        <v>141</v>
      </c>
      <c r="H84" t="s">
        <v>207</v>
      </c>
    </row>
    <row r="86" spans="1:9" x14ac:dyDescent="0.3">
      <c r="A86" t="s">
        <v>208</v>
      </c>
    </row>
    <row r="87" spans="1:9" x14ac:dyDescent="0.3">
      <c r="A87" t="s">
        <v>44</v>
      </c>
      <c r="B87" t="s">
        <v>209</v>
      </c>
      <c r="C87" t="s">
        <v>32</v>
      </c>
      <c r="D87" t="s">
        <v>191</v>
      </c>
      <c r="E87" t="s">
        <v>192</v>
      </c>
      <c r="F87" t="s">
        <v>83</v>
      </c>
      <c r="G87" t="s">
        <v>193</v>
      </c>
      <c r="H87" t="s">
        <v>194</v>
      </c>
      <c r="I87" t="s">
        <v>195</v>
      </c>
    </row>
    <row r="88" spans="1:9" s="5" customFormat="1" x14ac:dyDescent="0.3">
      <c r="A88" s="5" t="s">
        <v>35</v>
      </c>
      <c r="B88" s="5" t="s">
        <v>210</v>
      </c>
      <c r="C88" s="5">
        <v>16</v>
      </c>
      <c r="D88" s="5" t="s">
        <v>211</v>
      </c>
      <c r="E88" s="5" t="s">
        <v>99</v>
      </c>
      <c r="F88" s="5" t="s">
        <v>99</v>
      </c>
      <c r="G88" s="5" t="s">
        <v>99</v>
      </c>
      <c r="H88" s="5" t="s">
        <v>99</v>
      </c>
      <c r="I88" s="5" t="s">
        <v>99</v>
      </c>
    </row>
    <row r="89" spans="1:9" x14ac:dyDescent="0.3">
      <c r="A89" t="s">
        <v>35</v>
      </c>
      <c r="B89" t="s">
        <v>212</v>
      </c>
      <c r="C89">
        <v>76</v>
      </c>
      <c r="D89" t="s">
        <v>213</v>
      </c>
      <c r="E89" t="s">
        <v>214</v>
      </c>
      <c r="F89" t="s">
        <v>99</v>
      </c>
      <c r="G89" t="s">
        <v>215</v>
      </c>
      <c r="H89" t="s">
        <v>136</v>
      </c>
      <c r="I89" t="s">
        <v>215</v>
      </c>
    </row>
    <row r="90" spans="1:9" s="5" customFormat="1" x14ac:dyDescent="0.3">
      <c r="A90" s="5" t="s">
        <v>35</v>
      </c>
      <c r="B90" s="5" t="s">
        <v>216</v>
      </c>
      <c r="C90" s="5">
        <v>27</v>
      </c>
      <c r="D90" s="5" t="s">
        <v>217</v>
      </c>
      <c r="E90" s="5" t="s">
        <v>218</v>
      </c>
      <c r="F90" s="5" t="s">
        <v>99</v>
      </c>
      <c r="G90" s="5" t="s">
        <v>99</v>
      </c>
      <c r="H90" s="5" t="s">
        <v>99</v>
      </c>
      <c r="I90" s="5" t="s">
        <v>99</v>
      </c>
    </row>
    <row r="91" spans="1:9" s="5" customFormat="1" x14ac:dyDescent="0.3">
      <c r="A91" s="5" t="s">
        <v>37</v>
      </c>
      <c r="B91" s="5" t="s">
        <v>210</v>
      </c>
      <c r="C91" s="5">
        <v>10</v>
      </c>
      <c r="D91" s="5" t="s">
        <v>211</v>
      </c>
      <c r="E91" s="5" t="s">
        <v>99</v>
      </c>
      <c r="F91" s="5" t="s">
        <v>99</v>
      </c>
      <c r="G91" s="5" t="s">
        <v>99</v>
      </c>
      <c r="H91" s="5" t="s">
        <v>99</v>
      </c>
      <c r="I91" s="5" t="s">
        <v>99</v>
      </c>
    </row>
    <row r="92" spans="1:9" x14ac:dyDescent="0.3">
      <c r="A92" t="s">
        <v>37</v>
      </c>
      <c r="B92" t="s">
        <v>212</v>
      </c>
      <c r="C92">
        <v>169</v>
      </c>
      <c r="D92" t="s">
        <v>219</v>
      </c>
      <c r="E92" t="s">
        <v>220</v>
      </c>
      <c r="F92" t="s">
        <v>99</v>
      </c>
      <c r="G92" t="s">
        <v>136</v>
      </c>
      <c r="H92" t="s">
        <v>126</v>
      </c>
      <c r="I92" t="s">
        <v>99</v>
      </c>
    </row>
    <row r="93" spans="1:9" s="5" customFormat="1" x14ac:dyDescent="0.3">
      <c r="A93" s="5" t="s">
        <v>37</v>
      </c>
      <c r="B93" s="5" t="s">
        <v>216</v>
      </c>
      <c r="C93" s="5">
        <v>7</v>
      </c>
      <c r="D93" s="5" t="s">
        <v>221</v>
      </c>
      <c r="E93" s="5" t="s">
        <v>222</v>
      </c>
      <c r="F93" s="5" t="s">
        <v>99</v>
      </c>
      <c r="G93" s="5" t="s">
        <v>99</v>
      </c>
      <c r="H93" s="5" t="s">
        <v>99</v>
      </c>
      <c r="I93" s="5" t="s">
        <v>99</v>
      </c>
    </row>
    <row r="94" spans="1:9" s="5" customFormat="1" x14ac:dyDescent="0.3">
      <c r="A94" s="5" t="s">
        <v>36</v>
      </c>
      <c r="B94" s="5" t="s">
        <v>210</v>
      </c>
      <c r="C94" s="5">
        <v>16</v>
      </c>
      <c r="D94" s="5" t="s">
        <v>211</v>
      </c>
      <c r="E94" s="5" t="s">
        <v>99</v>
      </c>
      <c r="F94" s="5" t="s">
        <v>99</v>
      </c>
      <c r="G94" s="5" t="s">
        <v>99</v>
      </c>
      <c r="H94" s="5" t="s">
        <v>99</v>
      </c>
      <c r="I94" s="5" t="s">
        <v>99</v>
      </c>
    </row>
    <row r="95" spans="1:9" x14ac:dyDescent="0.3">
      <c r="A95" t="s">
        <v>36</v>
      </c>
      <c r="B95" t="s">
        <v>212</v>
      </c>
      <c r="C95">
        <v>60</v>
      </c>
      <c r="D95" t="s">
        <v>223</v>
      </c>
      <c r="E95" t="s">
        <v>224</v>
      </c>
      <c r="F95" t="s">
        <v>99</v>
      </c>
      <c r="G95" t="s">
        <v>99</v>
      </c>
      <c r="H95" t="s">
        <v>99</v>
      </c>
      <c r="I95" t="s">
        <v>99</v>
      </c>
    </row>
    <row r="96" spans="1:9" s="5" customFormat="1" x14ac:dyDescent="0.3">
      <c r="A96" s="5" t="s">
        <v>36</v>
      </c>
      <c r="B96" s="5" t="s">
        <v>216</v>
      </c>
      <c r="C96" s="5">
        <v>19</v>
      </c>
      <c r="D96" s="5" t="s">
        <v>211</v>
      </c>
      <c r="E96" s="5" t="s">
        <v>99</v>
      </c>
      <c r="F96" s="5" t="s">
        <v>99</v>
      </c>
      <c r="G96" s="5" t="s">
        <v>99</v>
      </c>
      <c r="H96" s="5" t="s">
        <v>99</v>
      </c>
      <c r="I96" s="5" t="s">
        <v>99</v>
      </c>
    </row>
    <row r="97" spans="1:9" s="5" customFormat="1" x14ac:dyDescent="0.3">
      <c r="A97" s="5" t="s">
        <v>34</v>
      </c>
      <c r="B97" s="5" t="s">
        <v>210</v>
      </c>
      <c r="C97" s="5">
        <v>9</v>
      </c>
      <c r="D97" s="5" t="s">
        <v>73</v>
      </c>
      <c r="E97" s="5" t="s">
        <v>72</v>
      </c>
      <c r="F97" s="5" t="s">
        <v>99</v>
      </c>
      <c r="G97" s="5" t="s">
        <v>99</v>
      </c>
      <c r="H97" s="5" t="s">
        <v>99</v>
      </c>
      <c r="I97" s="5" t="s">
        <v>99</v>
      </c>
    </row>
    <row r="98" spans="1:9" x14ac:dyDescent="0.3">
      <c r="A98" t="s">
        <v>34</v>
      </c>
      <c r="B98" t="s">
        <v>212</v>
      </c>
      <c r="C98">
        <v>53</v>
      </c>
      <c r="D98" t="s">
        <v>225</v>
      </c>
      <c r="E98" t="s">
        <v>99</v>
      </c>
      <c r="F98" t="s">
        <v>99</v>
      </c>
      <c r="G98" t="s">
        <v>114</v>
      </c>
      <c r="H98" t="s">
        <v>99</v>
      </c>
      <c r="I98" t="s">
        <v>99</v>
      </c>
    </row>
    <row r="99" spans="1:9" s="5" customFormat="1" x14ac:dyDescent="0.3">
      <c r="A99" s="5" t="s">
        <v>34</v>
      </c>
      <c r="B99" s="5" t="s">
        <v>216</v>
      </c>
      <c r="C99" s="5">
        <v>8</v>
      </c>
      <c r="D99" s="5" t="s">
        <v>211</v>
      </c>
      <c r="E99" s="5" t="s">
        <v>99</v>
      </c>
      <c r="F99" s="5" t="s">
        <v>99</v>
      </c>
      <c r="G99" s="5" t="s">
        <v>99</v>
      </c>
      <c r="H99" s="5" t="s">
        <v>99</v>
      </c>
      <c r="I99" s="5" t="s">
        <v>99</v>
      </c>
    </row>
    <row r="100" spans="1:9" s="5" customFormat="1" x14ac:dyDescent="0.3">
      <c r="A100" s="5" t="s">
        <v>33</v>
      </c>
      <c r="B100" s="5" t="s">
        <v>210</v>
      </c>
      <c r="C100" s="5">
        <v>8</v>
      </c>
      <c r="D100" s="5" t="s">
        <v>211</v>
      </c>
      <c r="E100" s="5" t="s">
        <v>99</v>
      </c>
      <c r="F100" s="5" t="s">
        <v>99</v>
      </c>
      <c r="G100" s="5" t="s">
        <v>99</v>
      </c>
      <c r="H100" s="5" t="s">
        <v>99</v>
      </c>
      <c r="I100" s="5" t="s">
        <v>99</v>
      </c>
    </row>
    <row r="101" spans="1:9" s="5" customFormat="1" x14ac:dyDescent="0.3">
      <c r="A101" s="5" t="s">
        <v>33</v>
      </c>
      <c r="B101" s="5" t="s">
        <v>212</v>
      </c>
      <c r="C101" s="5">
        <v>30</v>
      </c>
      <c r="D101" s="5" t="s">
        <v>226</v>
      </c>
      <c r="E101" s="5" t="s">
        <v>154</v>
      </c>
      <c r="F101" s="5" t="s">
        <v>138</v>
      </c>
      <c r="G101" s="5" t="s">
        <v>99</v>
      </c>
      <c r="H101" s="5" t="s">
        <v>99</v>
      </c>
      <c r="I101" s="5" t="s">
        <v>99</v>
      </c>
    </row>
    <row r="102" spans="1:9" s="5" customFormat="1" x14ac:dyDescent="0.3">
      <c r="A102" s="5" t="s">
        <v>33</v>
      </c>
      <c r="B102" s="5" t="s">
        <v>216</v>
      </c>
      <c r="C102" s="5">
        <v>2</v>
      </c>
      <c r="D102" s="5" t="s">
        <v>227</v>
      </c>
      <c r="E102" s="5" t="s">
        <v>228</v>
      </c>
      <c r="F102" s="5" t="s">
        <v>99</v>
      </c>
      <c r="G102" s="5" t="s">
        <v>99</v>
      </c>
      <c r="H102" s="5" t="s">
        <v>99</v>
      </c>
      <c r="I102" s="5" t="s">
        <v>99</v>
      </c>
    </row>
    <row r="103" spans="1:9" x14ac:dyDescent="0.3">
      <c r="A103" t="s">
        <v>49</v>
      </c>
      <c r="B103" t="s">
        <v>210</v>
      </c>
      <c r="C103">
        <v>59</v>
      </c>
      <c r="D103" t="s">
        <v>229</v>
      </c>
      <c r="E103" t="s">
        <v>126</v>
      </c>
      <c r="F103" t="s">
        <v>99</v>
      </c>
      <c r="G103" t="s">
        <v>99</v>
      </c>
      <c r="H103" t="s">
        <v>99</v>
      </c>
      <c r="I103" t="s">
        <v>99</v>
      </c>
    </row>
    <row r="104" spans="1:9" x14ac:dyDescent="0.3">
      <c r="A104" t="s">
        <v>49</v>
      </c>
      <c r="B104" t="s">
        <v>212</v>
      </c>
      <c r="C104">
        <v>388</v>
      </c>
      <c r="D104" t="s">
        <v>230</v>
      </c>
      <c r="E104" t="s">
        <v>231</v>
      </c>
      <c r="F104" t="s">
        <v>207</v>
      </c>
      <c r="G104" t="s">
        <v>115</v>
      </c>
      <c r="H104" t="s">
        <v>115</v>
      </c>
      <c r="I104" t="s">
        <v>136</v>
      </c>
    </row>
    <row r="105" spans="1:9" x14ac:dyDescent="0.3">
      <c r="A105" t="s">
        <v>49</v>
      </c>
      <c r="B105" t="s">
        <v>216</v>
      </c>
      <c r="C105">
        <v>63</v>
      </c>
      <c r="D105" t="s">
        <v>232</v>
      </c>
      <c r="E105" t="s">
        <v>233</v>
      </c>
      <c r="F105" t="s">
        <v>99</v>
      </c>
      <c r="G105" t="s">
        <v>99</v>
      </c>
      <c r="H105" t="s">
        <v>99</v>
      </c>
      <c r="I105" t="s">
        <v>99</v>
      </c>
    </row>
    <row r="107" spans="1:9" x14ac:dyDescent="0.3">
      <c r="A107" t="s">
        <v>234</v>
      </c>
    </row>
    <row r="108" spans="1:9" x14ac:dyDescent="0.3">
      <c r="A108" t="s">
        <v>44</v>
      </c>
      <c r="B108" t="s">
        <v>235</v>
      </c>
      <c r="C108" t="s">
        <v>32</v>
      </c>
      <c r="D108" t="s">
        <v>191</v>
      </c>
      <c r="E108" t="s">
        <v>83</v>
      </c>
      <c r="F108" t="s">
        <v>192</v>
      </c>
      <c r="G108" t="s">
        <v>193</v>
      </c>
      <c r="H108" t="s">
        <v>194</v>
      </c>
      <c r="I108" t="s">
        <v>195</v>
      </c>
    </row>
    <row r="109" spans="1:9" x14ac:dyDescent="0.3">
      <c r="A109" t="s">
        <v>35</v>
      </c>
      <c r="B109" t="s">
        <v>236</v>
      </c>
      <c r="C109">
        <v>62</v>
      </c>
      <c r="D109" t="s">
        <v>237</v>
      </c>
      <c r="E109" t="s">
        <v>99</v>
      </c>
      <c r="F109" t="s">
        <v>105</v>
      </c>
      <c r="G109" t="s">
        <v>99</v>
      </c>
      <c r="H109" t="s">
        <v>108</v>
      </c>
      <c r="I109" t="s">
        <v>99</v>
      </c>
    </row>
    <row r="110" spans="1:9" x14ac:dyDescent="0.3">
      <c r="A110" t="s">
        <v>35</v>
      </c>
      <c r="B110" t="s">
        <v>238</v>
      </c>
      <c r="C110">
        <v>57</v>
      </c>
      <c r="D110" t="s">
        <v>239</v>
      </c>
      <c r="E110" t="s">
        <v>99</v>
      </c>
      <c r="F110" t="s">
        <v>240</v>
      </c>
      <c r="G110" t="s">
        <v>114</v>
      </c>
      <c r="H110" t="s">
        <v>99</v>
      </c>
      <c r="I110" t="s">
        <v>114</v>
      </c>
    </row>
    <row r="111" spans="1:9" x14ac:dyDescent="0.3">
      <c r="A111" t="s">
        <v>37</v>
      </c>
      <c r="B111" t="s">
        <v>236</v>
      </c>
      <c r="C111">
        <v>96</v>
      </c>
      <c r="D111" t="s">
        <v>241</v>
      </c>
      <c r="E111" t="s">
        <v>99</v>
      </c>
      <c r="F111" t="s">
        <v>242</v>
      </c>
      <c r="G111" t="s">
        <v>99</v>
      </c>
      <c r="H111" t="s">
        <v>127</v>
      </c>
      <c r="I111" t="s">
        <v>99</v>
      </c>
    </row>
    <row r="112" spans="1:9" x14ac:dyDescent="0.3">
      <c r="A112" t="s">
        <v>37</v>
      </c>
      <c r="B112" t="s">
        <v>238</v>
      </c>
      <c r="C112">
        <v>90</v>
      </c>
      <c r="D112" t="s">
        <v>243</v>
      </c>
      <c r="E112" t="s">
        <v>99</v>
      </c>
      <c r="F112" t="s">
        <v>244</v>
      </c>
      <c r="G112" t="s">
        <v>132</v>
      </c>
      <c r="H112" t="s">
        <v>108</v>
      </c>
      <c r="I112" t="s">
        <v>99</v>
      </c>
    </row>
    <row r="113" spans="1:9" x14ac:dyDescent="0.3">
      <c r="A113" t="s">
        <v>36</v>
      </c>
      <c r="B113" t="s">
        <v>236</v>
      </c>
      <c r="C113">
        <v>66</v>
      </c>
      <c r="D113" t="s">
        <v>245</v>
      </c>
      <c r="E113" t="s">
        <v>99</v>
      </c>
      <c r="F113" t="s">
        <v>246</v>
      </c>
      <c r="G113" t="s">
        <v>99</v>
      </c>
      <c r="H113" t="s">
        <v>99</v>
      </c>
      <c r="I113" t="s">
        <v>99</v>
      </c>
    </row>
    <row r="114" spans="1:9" s="5" customFormat="1" x14ac:dyDescent="0.3">
      <c r="A114" s="5" t="s">
        <v>36</v>
      </c>
      <c r="B114" s="5" t="s">
        <v>238</v>
      </c>
      <c r="C114" s="5">
        <v>29</v>
      </c>
      <c r="D114" s="5" t="s">
        <v>247</v>
      </c>
      <c r="E114" s="5" t="s">
        <v>99</v>
      </c>
      <c r="F114" s="5" t="s">
        <v>248</v>
      </c>
      <c r="G114" s="5" t="s">
        <v>99</v>
      </c>
      <c r="H114" s="5" t="s">
        <v>99</v>
      </c>
      <c r="I114" s="5" t="s">
        <v>99</v>
      </c>
    </row>
    <row r="115" spans="1:9" s="5" customFormat="1" x14ac:dyDescent="0.3">
      <c r="A115" s="5" t="s">
        <v>34</v>
      </c>
      <c r="B115" s="5" t="s">
        <v>236</v>
      </c>
      <c r="C115" s="5">
        <v>20</v>
      </c>
      <c r="D115" s="5" t="s">
        <v>211</v>
      </c>
      <c r="E115" s="5" t="s">
        <v>99</v>
      </c>
      <c r="F115" s="5" t="s">
        <v>99</v>
      </c>
      <c r="G115" s="5" t="s">
        <v>99</v>
      </c>
      <c r="H115" s="5" t="s">
        <v>99</v>
      </c>
      <c r="I115" s="5" t="s">
        <v>99</v>
      </c>
    </row>
    <row r="116" spans="1:9" x14ac:dyDescent="0.3">
      <c r="A116" t="s">
        <v>34</v>
      </c>
      <c r="B116" t="s">
        <v>238</v>
      </c>
      <c r="C116">
        <v>50</v>
      </c>
      <c r="D116" t="s">
        <v>249</v>
      </c>
      <c r="E116" t="s">
        <v>99</v>
      </c>
      <c r="F116" t="s">
        <v>127</v>
      </c>
      <c r="G116" t="s">
        <v>132</v>
      </c>
      <c r="H116" t="s">
        <v>99</v>
      </c>
      <c r="I116" t="s">
        <v>99</v>
      </c>
    </row>
    <row r="117" spans="1:9" s="5" customFormat="1" x14ac:dyDescent="0.3">
      <c r="A117" s="5" t="s">
        <v>33</v>
      </c>
      <c r="B117" s="5" t="s">
        <v>236</v>
      </c>
      <c r="C117" s="5">
        <v>19</v>
      </c>
      <c r="D117" s="5" t="s">
        <v>162</v>
      </c>
      <c r="E117" s="5" t="s">
        <v>143</v>
      </c>
      <c r="F117" s="5" t="s">
        <v>99</v>
      </c>
      <c r="G117" s="5" t="s">
        <v>99</v>
      </c>
      <c r="H117" s="5" t="s">
        <v>99</v>
      </c>
      <c r="I117" s="5" t="s">
        <v>99</v>
      </c>
    </row>
    <row r="118" spans="1:9" s="5" customFormat="1" x14ac:dyDescent="0.3">
      <c r="A118" s="5" t="s">
        <v>33</v>
      </c>
      <c r="B118" s="5" t="s">
        <v>238</v>
      </c>
      <c r="C118" s="5">
        <v>21</v>
      </c>
      <c r="D118" s="5" t="s">
        <v>250</v>
      </c>
      <c r="E118" s="5" t="s">
        <v>99</v>
      </c>
      <c r="F118" s="5" t="s">
        <v>251</v>
      </c>
      <c r="G118" s="5" t="s">
        <v>99</v>
      </c>
      <c r="H118" s="5" t="s">
        <v>99</v>
      </c>
      <c r="I118" s="5" t="s">
        <v>99</v>
      </c>
    </row>
    <row r="119" spans="1:9" x14ac:dyDescent="0.3">
      <c r="A119" t="s">
        <v>49</v>
      </c>
      <c r="B119" t="s">
        <v>236</v>
      </c>
      <c r="C119">
        <v>263</v>
      </c>
      <c r="D119" t="s">
        <v>252</v>
      </c>
      <c r="E119" t="s">
        <v>253</v>
      </c>
      <c r="F119" t="s">
        <v>254</v>
      </c>
      <c r="G119" t="s">
        <v>99</v>
      </c>
      <c r="H119" t="s">
        <v>100</v>
      </c>
      <c r="I119" t="s">
        <v>99</v>
      </c>
    </row>
    <row r="120" spans="1:9" x14ac:dyDescent="0.3">
      <c r="A120" t="s">
        <v>49</v>
      </c>
      <c r="B120" t="s">
        <v>238</v>
      </c>
      <c r="C120">
        <v>247</v>
      </c>
      <c r="D120" t="s">
        <v>168</v>
      </c>
      <c r="E120" t="s">
        <v>99</v>
      </c>
      <c r="F120" t="s">
        <v>255</v>
      </c>
      <c r="G120" t="s">
        <v>115</v>
      </c>
      <c r="H120" t="s">
        <v>198</v>
      </c>
      <c r="I120" t="s">
        <v>136</v>
      </c>
    </row>
    <row r="122" spans="1:9" x14ac:dyDescent="0.3">
      <c r="A122" t="s">
        <v>256</v>
      </c>
    </row>
    <row r="123" spans="1:9" x14ac:dyDescent="0.3">
      <c r="A123" t="s">
        <v>44</v>
      </c>
      <c r="B123" t="s">
        <v>257</v>
      </c>
      <c r="C123" t="s">
        <v>32</v>
      </c>
      <c r="D123" t="s">
        <v>191</v>
      </c>
      <c r="E123" t="s">
        <v>192</v>
      </c>
      <c r="F123" t="s">
        <v>83</v>
      </c>
      <c r="G123" t="s">
        <v>193</v>
      </c>
      <c r="H123" t="s">
        <v>194</v>
      </c>
      <c r="I123" t="s">
        <v>195</v>
      </c>
    </row>
    <row r="124" spans="1:9" x14ac:dyDescent="0.3">
      <c r="A124" t="s">
        <v>35</v>
      </c>
      <c r="B124" t="s">
        <v>258</v>
      </c>
      <c r="C124">
        <v>109</v>
      </c>
      <c r="D124" t="s">
        <v>259</v>
      </c>
      <c r="E124" t="s">
        <v>131</v>
      </c>
      <c r="F124" t="s">
        <v>99</v>
      </c>
      <c r="G124" t="s">
        <v>99</v>
      </c>
      <c r="H124" t="s">
        <v>198</v>
      </c>
      <c r="I124" t="s">
        <v>99</v>
      </c>
    </row>
    <row r="125" spans="1:9" s="5" customFormat="1" x14ac:dyDescent="0.3">
      <c r="A125" s="5" t="s">
        <v>35</v>
      </c>
      <c r="B125" s="5" t="s">
        <v>260</v>
      </c>
      <c r="C125" s="5">
        <v>10</v>
      </c>
      <c r="D125" s="5" t="s">
        <v>261</v>
      </c>
      <c r="E125" s="5" t="s">
        <v>99</v>
      </c>
      <c r="F125" s="5" t="s">
        <v>99</v>
      </c>
      <c r="G125" s="5" t="s">
        <v>262</v>
      </c>
      <c r="H125" s="5" t="s">
        <v>99</v>
      </c>
      <c r="I125" s="5" t="s">
        <v>262</v>
      </c>
    </row>
    <row r="126" spans="1:9" x14ac:dyDescent="0.3">
      <c r="A126" t="s">
        <v>37</v>
      </c>
      <c r="B126" t="s">
        <v>258</v>
      </c>
      <c r="C126">
        <v>186</v>
      </c>
      <c r="D126" t="s">
        <v>199</v>
      </c>
      <c r="E126" t="s">
        <v>133</v>
      </c>
      <c r="F126" t="s">
        <v>99</v>
      </c>
      <c r="G126" t="s">
        <v>136</v>
      </c>
      <c r="H126" t="s">
        <v>101</v>
      </c>
      <c r="I126" t="s">
        <v>99</v>
      </c>
    </row>
    <row r="127" spans="1:9" x14ac:dyDescent="0.3">
      <c r="A127" t="s">
        <v>36</v>
      </c>
      <c r="B127" t="s">
        <v>258</v>
      </c>
      <c r="C127">
        <v>88</v>
      </c>
      <c r="D127" t="s">
        <v>200</v>
      </c>
      <c r="E127" t="s">
        <v>201</v>
      </c>
      <c r="F127" t="s">
        <v>99</v>
      </c>
      <c r="G127" t="s">
        <v>99</v>
      </c>
      <c r="H127" t="s">
        <v>99</v>
      </c>
      <c r="I127" t="s">
        <v>99</v>
      </c>
    </row>
    <row r="128" spans="1:9" s="5" customFormat="1" x14ac:dyDescent="0.3">
      <c r="A128" s="5" t="s">
        <v>36</v>
      </c>
      <c r="B128" s="5" t="s">
        <v>260</v>
      </c>
      <c r="C128" s="5">
        <v>7</v>
      </c>
      <c r="D128" s="5" t="s">
        <v>263</v>
      </c>
      <c r="E128" s="5" t="s">
        <v>264</v>
      </c>
      <c r="F128" s="5" t="s">
        <v>99</v>
      </c>
      <c r="G128" s="5" t="s">
        <v>99</v>
      </c>
      <c r="H128" s="5" t="s">
        <v>99</v>
      </c>
      <c r="I128" s="5" t="s">
        <v>99</v>
      </c>
    </row>
    <row r="129" spans="1:9" x14ac:dyDescent="0.3">
      <c r="A129" t="s">
        <v>34</v>
      </c>
      <c r="B129" t="s">
        <v>258</v>
      </c>
      <c r="C129">
        <v>43</v>
      </c>
      <c r="D129" t="s">
        <v>211</v>
      </c>
      <c r="E129" t="s">
        <v>99</v>
      </c>
      <c r="F129" t="s">
        <v>99</v>
      </c>
      <c r="G129" t="s">
        <v>99</v>
      </c>
      <c r="H129" t="s">
        <v>99</v>
      </c>
      <c r="I129" t="s">
        <v>99</v>
      </c>
    </row>
    <row r="130" spans="1:9" s="5" customFormat="1" x14ac:dyDescent="0.3">
      <c r="A130" s="5" t="s">
        <v>34</v>
      </c>
      <c r="B130" s="5" t="s">
        <v>260</v>
      </c>
      <c r="C130" s="5">
        <v>27</v>
      </c>
      <c r="D130" s="5" t="s">
        <v>265</v>
      </c>
      <c r="E130" s="5" t="s">
        <v>117</v>
      </c>
      <c r="F130" s="5" t="s">
        <v>99</v>
      </c>
      <c r="G130" s="5" t="s">
        <v>114</v>
      </c>
      <c r="H130" s="5" t="s">
        <v>99</v>
      </c>
      <c r="I130" s="5" t="s">
        <v>99</v>
      </c>
    </row>
    <row r="131" spans="1:9" x14ac:dyDescent="0.3">
      <c r="A131" t="s">
        <v>33</v>
      </c>
      <c r="B131" t="s">
        <v>258</v>
      </c>
      <c r="C131">
        <v>40</v>
      </c>
      <c r="D131" t="s">
        <v>203</v>
      </c>
      <c r="E131" t="s">
        <v>204</v>
      </c>
      <c r="F131" t="s">
        <v>103</v>
      </c>
      <c r="G131" t="s">
        <v>99</v>
      </c>
      <c r="H131" t="s">
        <v>99</v>
      </c>
      <c r="I131" t="s">
        <v>99</v>
      </c>
    </row>
    <row r="132" spans="1:9" x14ac:dyDescent="0.3">
      <c r="A132" t="s">
        <v>49</v>
      </c>
      <c r="B132" t="s">
        <v>258</v>
      </c>
      <c r="C132">
        <v>466</v>
      </c>
      <c r="D132" t="s">
        <v>266</v>
      </c>
      <c r="E132" t="s">
        <v>267</v>
      </c>
      <c r="F132" t="s">
        <v>198</v>
      </c>
      <c r="G132" t="s">
        <v>104</v>
      </c>
      <c r="H132" t="s">
        <v>253</v>
      </c>
      <c r="I132" t="s">
        <v>99</v>
      </c>
    </row>
    <row r="133" spans="1:9" x14ac:dyDescent="0.3">
      <c r="A133" t="s">
        <v>49</v>
      </c>
      <c r="B133" t="s">
        <v>260</v>
      </c>
      <c r="C133">
        <v>44</v>
      </c>
      <c r="D133" t="s">
        <v>185</v>
      </c>
      <c r="E133" t="s">
        <v>123</v>
      </c>
      <c r="F133" t="s">
        <v>99</v>
      </c>
      <c r="G133" t="s">
        <v>157</v>
      </c>
      <c r="H133" t="s">
        <v>99</v>
      </c>
      <c r="I133" t="s">
        <v>268</v>
      </c>
    </row>
    <row r="135" spans="1:9" x14ac:dyDescent="0.3">
      <c r="A135" t="s">
        <v>269</v>
      </c>
    </row>
    <row r="136" spans="1:9" x14ac:dyDescent="0.3">
      <c r="A136" t="s">
        <v>44</v>
      </c>
      <c r="B136" t="s">
        <v>32</v>
      </c>
      <c r="C136" t="s">
        <v>270</v>
      </c>
      <c r="D136" t="s">
        <v>271</v>
      </c>
      <c r="E136" t="s">
        <v>272</v>
      </c>
      <c r="F136" t="s">
        <v>273</v>
      </c>
      <c r="G136" t="s">
        <v>83</v>
      </c>
      <c r="H136" t="s">
        <v>274</v>
      </c>
    </row>
    <row r="137" spans="1:9" x14ac:dyDescent="0.3">
      <c r="A137" t="s">
        <v>35</v>
      </c>
      <c r="B137">
        <v>7310</v>
      </c>
      <c r="C137" t="s">
        <v>204</v>
      </c>
      <c r="D137" t="s">
        <v>198</v>
      </c>
      <c r="E137" t="s">
        <v>275</v>
      </c>
      <c r="F137" t="s">
        <v>276</v>
      </c>
      <c r="G137" t="s">
        <v>99</v>
      </c>
      <c r="H137" t="s">
        <v>99</v>
      </c>
    </row>
    <row r="138" spans="1:9" x14ac:dyDescent="0.3">
      <c r="A138" t="s">
        <v>37</v>
      </c>
      <c r="B138">
        <v>9526</v>
      </c>
      <c r="C138" t="s">
        <v>277</v>
      </c>
      <c r="D138" t="s">
        <v>198</v>
      </c>
      <c r="E138" t="s">
        <v>278</v>
      </c>
      <c r="F138" t="s">
        <v>156</v>
      </c>
      <c r="G138" t="s">
        <v>99</v>
      </c>
      <c r="H138" t="s">
        <v>99</v>
      </c>
    </row>
    <row r="139" spans="1:9" x14ac:dyDescent="0.3">
      <c r="A139" t="s">
        <v>36</v>
      </c>
      <c r="B139">
        <v>5584</v>
      </c>
      <c r="C139" t="s">
        <v>248</v>
      </c>
      <c r="D139" t="s">
        <v>136</v>
      </c>
      <c r="E139" t="s">
        <v>279</v>
      </c>
      <c r="F139" t="s">
        <v>119</v>
      </c>
      <c r="G139" t="s">
        <v>99</v>
      </c>
      <c r="H139" t="s">
        <v>104</v>
      </c>
    </row>
    <row r="140" spans="1:9" x14ac:dyDescent="0.3">
      <c r="A140" t="s">
        <v>34</v>
      </c>
      <c r="B140">
        <v>4667</v>
      </c>
      <c r="C140" t="s">
        <v>150</v>
      </c>
      <c r="D140" t="s">
        <v>136</v>
      </c>
      <c r="E140" t="s">
        <v>280</v>
      </c>
      <c r="F140" t="s">
        <v>281</v>
      </c>
      <c r="G140" t="s">
        <v>207</v>
      </c>
      <c r="H140" t="s">
        <v>99</v>
      </c>
    </row>
    <row r="141" spans="1:9" x14ac:dyDescent="0.3">
      <c r="A141" t="s">
        <v>33</v>
      </c>
      <c r="B141">
        <v>4384</v>
      </c>
      <c r="C141" t="s">
        <v>109</v>
      </c>
      <c r="D141" t="s">
        <v>104</v>
      </c>
      <c r="E141" t="s">
        <v>282</v>
      </c>
      <c r="F141" t="s">
        <v>283</v>
      </c>
      <c r="G141" t="s">
        <v>99</v>
      </c>
      <c r="H141" t="s">
        <v>99</v>
      </c>
    </row>
    <row r="142" spans="1:9" x14ac:dyDescent="0.3">
      <c r="A142" t="s">
        <v>49</v>
      </c>
      <c r="B142">
        <v>31471</v>
      </c>
      <c r="C142" t="s">
        <v>74</v>
      </c>
      <c r="D142" t="s">
        <v>198</v>
      </c>
      <c r="E142" t="s">
        <v>284</v>
      </c>
      <c r="F142" t="s">
        <v>156</v>
      </c>
      <c r="G142" t="s">
        <v>104</v>
      </c>
      <c r="H142" t="s">
        <v>99</v>
      </c>
    </row>
    <row r="144" spans="1:9" x14ac:dyDescent="0.3">
      <c r="A144" t="s">
        <v>285</v>
      </c>
    </row>
    <row r="145" spans="1:8" x14ac:dyDescent="0.3">
      <c r="A145" t="s">
        <v>44</v>
      </c>
      <c r="B145" t="s">
        <v>32</v>
      </c>
      <c r="C145" t="s">
        <v>270</v>
      </c>
      <c r="D145" t="s">
        <v>271</v>
      </c>
      <c r="E145" t="s">
        <v>83</v>
      </c>
      <c r="F145" t="s">
        <v>272</v>
      </c>
      <c r="G145" t="s">
        <v>273</v>
      </c>
      <c r="H145" t="s">
        <v>274</v>
      </c>
    </row>
    <row r="146" spans="1:8" x14ac:dyDescent="0.3">
      <c r="A146" t="s">
        <v>35</v>
      </c>
      <c r="B146">
        <v>7310</v>
      </c>
      <c r="C146" t="s">
        <v>123</v>
      </c>
      <c r="D146" t="s">
        <v>99</v>
      </c>
      <c r="E146" t="s">
        <v>104</v>
      </c>
      <c r="F146" t="s">
        <v>286</v>
      </c>
      <c r="G146" t="s">
        <v>287</v>
      </c>
      <c r="H146" t="s">
        <v>99</v>
      </c>
    </row>
    <row r="147" spans="1:8" x14ac:dyDescent="0.3">
      <c r="A147" t="s">
        <v>37</v>
      </c>
      <c r="B147">
        <v>9526</v>
      </c>
      <c r="C147" t="s">
        <v>127</v>
      </c>
      <c r="D147" t="s">
        <v>99</v>
      </c>
      <c r="E147" t="s">
        <v>99</v>
      </c>
      <c r="F147" t="s">
        <v>288</v>
      </c>
      <c r="G147" t="s">
        <v>289</v>
      </c>
      <c r="H147" t="s">
        <v>99</v>
      </c>
    </row>
    <row r="148" spans="1:8" x14ac:dyDescent="0.3">
      <c r="A148" t="s">
        <v>36</v>
      </c>
      <c r="B148">
        <v>5584</v>
      </c>
      <c r="C148" t="s">
        <v>123</v>
      </c>
      <c r="D148" t="s">
        <v>104</v>
      </c>
      <c r="E148" t="s">
        <v>99</v>
      </c>
      <c r="F148" t="s">
        <v>290</v>
      </c>
      <c r="G148" t="s">
        <v>291</v>
      </c>
      <c r="H148" t="s">
        <v>99</v>
      </c>
    </row>
    <row r="149" spans="1:8" x14ac:dyDescent="0.3">
      <c r="A149" t="s">
        <v>34</v>
      </c>
      <c r="B149">
        <v>4667</v>
      </c>
      <c r="C149" t="s">
        <v>292</v>
      </c>
      <c r="D149" t="s">
        <v>99</v>
      </c>
      <c r="E149" t="s">
        <v>198</v>
      </c>
      <c r="F149" t="s">
        <v>293</v>
      </c>
      <c r="G149" t="s">
        <v>70</v>
      </c>
      <c r="H149" t="s">
        <v>99</v>
      </c>
    </row>
    <row r="150" spans="1:8" x14ac:dyDescent="0.3">
      <c r="A150" t="s">
        <v>33</v>
      </c>
      <c r="B150">
        <v>4384</v>
      </c>
      <c r="C150" t="s">
        <v>215</v>
      </c>
      <c r="D150" t="s">
        <v>104</v>
      </c>
      <c r="E150" t="s">
        <v>99</v>
      </c>
      <c r="F150" t="s">
        <v>77</v>
      </c>
      <c r="G150" t="s">
        <v>294</v>
      </c>
      <c r="H150" t="s">
        <v>99</v>
      </c>
    </row>
    <row r="151" spans="1:8" x14ac:dyDescent="0.3">
      <c r="A151" t="s">
        <v>49</v>
      </c>
      <c r="B151">
        <v>31471</v>
      </c>
      <c r="C151" t="s">
        <v>123</v>
      </c>
      <c r="D151" t="s">
        <v>99</v>
      </c>
      <c r="E151" t="s">
        <v>104</v>
      </c>
      <c r="F151" t="s">
        <v>286</v>
      </c>
      <c r="G151" t="s">
        <v>287</v>
      </c>
      <c r="H151" t="s">
        <v>99</v>
      </c>
    </row>
    <row r="153" spans="1:8" x14ac:dyDescent="0.3">
      <c r="A153" t="s">
        <v>295</v>
      </c>
    </row>
    <row r="154" spans="1:8" x14ac:dyDescent="0.3">
      <c r="A154" t="s">
        <v>44</v>
      </c>
      <c r="B154" t="s">
        <v>32</v>
      </c>
      <c r="C154" t="s">
        <v>270</v>
      </c>
      <c r="D154" t="s">
        <v>271</v>
      </c>
      <c r="E154" t="s">
        <v>83</v>
      </c>
      <c r="F154" t="s">
        <v>272</v>
      </c>
      <c r="G154" t="s">
        <v>274</v>
      </c>
      <c r="H154" t="s">
        <v>273</v>
      </c>
    </row>
    <row r="155" spans="1:8" x14ac:dyDescent="0.3">
      <c r="A155" t="s">
        <v>35</v>
      </c>
      <c r="B155">
        <v>7310</v>
      </c>
      <c r="C155" t="s">
        <v>296</v>
      </c>
      <c r="D155" t="s">
        <v>108</v>
      </c>
      <c r="E155" t="s">
        <v>99</v>
      </c>
      <c r="F155" t="s">
        <v>297</v>
      </c>
      <c r="G155" t="s">
        <v>104</v>
      </c>
      <c r="H155" t="s">
        <v>298</v>
      </c>
    </row>
    <row r="156" spans="1:8" x14ac:dyDescent="0.3">
      <c r="A156" t="s">
        <v>37</v>
      </c>
      <c r="B156">
        <v>9526</v>
      </c>
      <c r="C156" t="s">
        <v>299</v>
      </c>
      <c r="D156" t="s">
        <v>114</v>
      </c>
      <c r="E156" t="s">
        <v>99</v>
      </c>
      <c r="F156" t="s">
        <v>300</v>
      </c>
      <c r="G156" t="s">
        <v>99</v>
      </c>
      <c r="H156" t="s">
        <v>301</v>
      </c>
    </row>
    <row r="157" spans="1:8" x14ac:dyDescent="0.3">
      <c r="A157" t="s">
        <v>36</v>
      </c>
      <c r="B157">
        <v>5584</v>
      </c>
      <c r="C157" t="s">
        <v>125</v>
      </c>
      <c r="D157" t="s">
        <v>115</v>
      </c>
      <c r="E157" t="s">
        <v>104</v>
      </c>
      <c r="F157" t="s">
        <v>302</v>
      </c>
      <c r="G157" t="s">
        <v>99</v>
      </c>
      <c r="H157" t="s">
        <v>303</v>
      </c>
    </row>
    <row r="158" spans="1:8" x14ac:dyDescent="0.3">
      <c r="A158" t="s">
        <v>34</v>
      </c>
      <c r="B158">
        <v>4667</v>
      </c>
      <c r="C158" t="s">
        <v>291</v>
      </c>
      <c r="D158" t="s">
        <v>121</v>
      </c>
      <c r="E158" t="s">
        <v>104</v>
      </c>
      <c r="F158" t="s">
        <v>304</v>
      </c>
      <c r="G158" t="s">
        <v>99</v>
      </c>
      <c r="H158" t="s">
        <v>197</v>
      </c>
    </row>
    <row r="159" spans="1:8" x14ac:dyDescent="0.3">
      <c r="A159" t="s">
        <v>33</v>
      </c>
      <c r="B159">
        <v>4384</v>
      </c>
      <c r="C159" t="s">
        <v>305</v>
      </c>
      <c r="D159" t="s">
        <v>141</v>
      </c>
      <c r="E159" t="s">
        <v>99</v>
      </c>
      <c r="F159" t="s">
        <v>306</v>
      </c>
      <c r="G159" t="s">
        <v>99</v>
      </c>
      <c r="H159" t="s">
        <v>307</v>
      </c>
    </row>
    <row r="160" spans="1:8" x14ac:dyDescent="0.3">
      <c r="A160" t="s">
        <v>49</v>
      </c>
      <c r="B160">
        <v>31471</v>
      </c>
      <c r="C160" t="s">
        <v>125</v>
      </c>
      <c r="D160" t="s">
        <v>108</v>
      </c>
      <c r="E160" t="s">
        <v>99</v>
      </c>
      <c r="F160" t="s">
        <v>308</v>
      </c>
      <c r="G160" t="s">
        <v>99</v>
      </c>
      <c r="H160" t="s">
        <v>309</v>
      </c>
    </row>
    <row r="162" spans="1:8" x14ac:dyDescent="0.3">
      <c r="A162" t="s">
        <v>310</v>
      </c>
    </row>
    <row r="163" spans="1:8" x14ac:dyDescent="0.3">
      <c r="A163" t="s">
        <v>44</v>
      </c>
      <c r="B163" t="s">
        <v>32</v>
      </c>
      <c r="C163" t="s">
        <v>270</v>
      </c>
      <c r="D163" t="s">
        <v>271</v>
      </c>
      <c r="E163" t="s">
        <v>272</v>
      </c>
      <c r="F163" t="s">
        <v>274</v>
      </c>
      <c r="G163" t="s">
        <v>273</v>
      </c>
      <c r="H163" t="s">
        <v>83</v>
      </c>
    </row>
    <row r="164" spans="1:8" x14ac:dyDescent="0.3">
      <c r="A164" t="s">
        <v>35</v>
      </c>
      <c r="B164">
        <v>7310</v>
      </c>
      <c r="C164" t="s">
        <v>268</v>
      </c>
      <c r="D164" t="s">
        <v>198</v>
      </c>
      <c r="E164" t="s">
        <v>205</v>
      </c>
      <c r="F164" t="s">
        <v>99</v>
      </c>
      <c r="G164" t="s">
        <v>311</v>
      </c>
      <c r="H164" t="s">
        <v>104</v>
      </c>
    </row>
    <row r="165" spans="1:8" x14ac:dyDescent="0.3">
      <c r="A165" t="s">
        <v>37</v>
      </c>
      <c r="B165">
        <v>9526</v>
      </c>
      <c r="C165" t="s">
        <v>101</v>
      </c>
      <c r="D165" t="s">
        <v>104</v>
      </c>
      <c r="E165" t="s">
        <v>312</v>
      </c>
      <c r="F165" t="s">
        <v>99</v>
      </c>
      <c r="G165" t="s">
        <v>313</v>
      </c>
      <c r="H165" t="s">
        <v>99</v>
      </c>
    </row>
    <row r="166" spans="1:8" x14ac:dyDescent="0.3">
      <c r="A166" t="s">
        <v>36</v>
      </c>
      <c r="B166">
        <v>5584</v>
      </c>
      <c r="C166" t="s">
        <v>292</v>
      </c>
      <c r="D166" t="s">
        <v>207</v>
      </c>
      <c r="E166" t="s">
        <v>314</v>
      </c>
      <c r="F166" t="s">
        <v>99</v>
      </c>
      <c r="G166" t="s">
        <v>315</v>
      </c>
      <c r="H166" t="s">
        <v>198</v>
      </c>
    </row>
    <row r="167" spans="1:8" x14ac:dyDescent="0.3">
      <c r="A167" t="s">
        <v>34</v>
      </c>
      <c r="B167">
        <v>4667</v>
      </c>
      <c r="C167" t="s">
        <v>316</v>
      </c>
      <c r="D167" t="s">
        <v>141</v>
      </c>
      <c r="E167" t="s">
        <v>317</v>
      </c>
      <c r="F167" t="s">
        <v>104</v>
      </c>
      <c r="G167" t="s">
        <v>318</v>
      </c>
      <c r="H167" t="s">
        <v>136</v>
      </c>
    </row>
    <row r="168" spans="1:8" x14ac:dyDescent="0.3">
      <c r="A168" t="s">
        <v>33</v>
      </c>
      <c r="B168">
        <v>4384</v>
      </c>
      <c r="C168" t="s">
        <v>319</v>
      </c>
      <c r="D168" t="s">
        <v>99</v>
      </c>
      <c r="E168" t="s">
        <v>320</v>
      </c>
      <c r="F168" t="s">
        <v>99</v>
      </c>
      <c r="G168" t="s">
        <v>321</v>
      </c>
      <c r="H168" t="s">
        <v>99</v>
      </c>
    </row>
    <row r="169" spans="1:8" x14ac:dyDescent="0.3">
      <c r="A169" t="s">
        <v>49</v>
      </c>
      <c r="B169">
        <v>31471</v>
      </c>
      <c r="C169" t="s">
        <v>123</v>
      </c>
      <c r="D169" t="s">
        <v>198</v>
      </c>
      <c r="E169" t="s">
        <v>266</v>
      </c>
      <c r="F169" t="s">
        <v>99</v>
      </c>
      <c r="G169" t="s">
        <v>206</v>
      </c>
      <c r="H169" t="s">
        <v>104</v>
      </c>
    </row>
    <row r="171" spans="1:8" x14ac:dyDescent="0.3">
      <c r="A171" t="s">
        <v>322</v>
      </c>
    </row>
    <row r="172" spans="1:8" x14ac:dyDescent="0.3">
      <c r="A172" t="s">
        <v>44</v>
      </c>
      <c r="B172" t="s">
        <v>32</v>
      </c>
      <c r="C172" t="s">
        <v>270</v>
      </c>
      <c r="D172" t="s">
        <v>271</v>
      </c>
      <c r="E172" t="s">
        <v>272</v>
      </c>
      <c r="F172" t="s">
        <v>273</v>
      </c>
      <c r="G172" t="s">
        <v>83</v>
      </c>
      <c r="H172" t="s">
        <v>274</v>
      </c>
    </row>
    <row r="173" spans="1:8" x14ac:dyDescent="0.3">
      <c r="A173" t="s">
        <v>35</v>
      </c>
      <c r="B173">
        <v>7310</v>
      </c>
      <c r="C173" t="s">
        <v>319</v>
      </c>
      <c r="D173" t="s">
        <v>253</v>
      </c>
      <c r="E173" t="s">
        <v>323</v>
      </c>
      <c r="F173" t="s">
        <v>145</v>
      </c>
      <c r="G173" t="s">
        <v>99</v>
      </c>
      <c r="H173" t="s">
        <v>99</v>
      </c>
    </row>
    <row r="174" spans="1:8" x14ac:dyDescent="0.3">
      <c r="A174" t="s">
        <v>37</v>
      </c>
      <c r="B174">
        <v>9526</v>
      </c>
      <c r="C174" t="s">
        <v>100</v>
      </c>
      <c r="D174" t="s">
        <v>141</v>
      </c>
      <c r="E174" t="s">
        <v>324</v>
      </c>
      <c r="F174" t="s">
        <v>325</v>
      </c>
      <c r="G174" t="s">
        <v>99</v>
      </c>
      <c r="H174" t="s">
        <v>99</v>
      </c>
    </row>
    <row r="175" spans="1:8" x14ac:dyDescent="0.3">
      <c r="A175" t="s">
        <v>36</v>
      </c>
      <c r="B175">
        <v>5584</v>
      </c>
      <c r="C175" t="s">
        <v>100</v>
      </c>
      <c r="D175" t="s">
        <v>207</v>
      </c>
      <c r="E175" t="s">
        <v>326</v>
      </c>
      <c r="F175" t="s">
        <v>98</v>
      </c>
      <c r="G175" t="s">
        <v>99</v>
      </c>
      <c r="H175" t="s">
        <v>99</v>
      </c>
    </row>
    <row r="176" spans="1:8" x14ac:dyDescent="0.3">
      <c r="A176" t="s">
        <v>34</v>
      </c>
      <c r="B176">
        <v>4667</v>
      </c>
      <c r="C176" t="s">
        <v>319</v>
      </c>
      <c r="D176" t="s">
        <v>253</v>
      </c>
      <c r="E176" t="s">
        <v>327</v>
      </c>
      <c r="F176" t="s">
        <v>118</v>
      </c>
      <c r="G176" t="s">
        <v>99</v>
      </c>
      <c r="H176" t="s">
        <v>99</v>
      </c>
    </row>
    <row r="177" spans="1:8" x14ac:dyDescent="0.3">
      <c r="A177" t="s">
        <v>33</v>
      </c>
      <c r="B177">
        <v>4384</v>
      </c>
      <c r="C177" t="s">
        <v>100</v>
      </c>
      <c r="D177" t="s">
        <v>198</v>
      </c>
      <c r="E177" t="s">
        <v>161</v>
      </c>
      <c r="F177" t="s">
        <v>328</v>
      </c>
      <c r="G177" t="s">
        <v>99</v>
      </c>
      <c r="H177" t="s">
        <v>99</v>
      </c>
    </row>
    <row r="178" spans="1:8" x14ac:dyDescent="0.3">
      <c r="A178" t="s">
        <v>49</v>
      </c>
      <c r="B178">
        <v>31471</v>
      </c>
      <c r="C178" t="s">
        <v>121</v>
      </c>
      <c r="D178" t="s">
        <v>141</v>
      </c>
      <c r="E178" t="s">
        <v>329</v>
      </c>
      <c r="F178" t="s">
        <v>124</v>
      </c>
      <c r="G178" t="s">
        <v>99</v>
      </c>
      <c r="H178" t="s">
        <v>99</v>
      </c>
    </row>
    <row r="180" spans="1:8" x14ac:dyDescent="0.3">
      <c r="A180" t="s">
        <v>330</v>
      </c>
    </row>
    <row r="181" spans="1:8" x14ac:dyDescent="0.3">
      <c r="A181" t="s">
        <v>44</v>
      </c>
      <c r="B181" t="s">
        <v>32</v>
      </c>
      <c r="C181" t="s">
        <v>270</v>
      </c>
      <c r="D181" t="s">
        <v>271</v>
      </c>
      <c r="E181" t="s">
        <v>272</v>
      </c>
      <c r="F181" t="s">
        <v>274</v>
      </c>
      <c r="G181" t="s">
        <v>273</v>
      </c>
      <c r="H181" t="s">
        <v>83</v>
      </c>
    </row>
    <row r="182" spans="1:8" x14ac:dyDescent="0.3">
      <c r="A182" t="s">
        <v>35</v>
      </c>
      <c r="B182">
        <v>7310</v>
      </c>
      <c r="C182" t="s">
        <v>253</v>
      </c>
      <c r="D182" t="s">
        <v>207</v>
      </c>
      <c r="E182" t="s">
        <v>331</v>
      </c>
      <c r="F182" t="s">
        <v>99</v>
      </c>
      <c r="G182" t="s">
        <v>332</v>
      </c>
      <c r="H182" t="s">
        <v>99</v>
      </c>
    </row>
    <row r="183" spans="1:8" x14ac:dyDescent="0.3">
      <c r="A183" t="s">
        <v>37</v>
      </c>
      <c r="B183">
        <v>9526</v>
      </c>
      <c r="C183" t="s">
        <v>253</v>
      </c>
      <c r="D183" t="s">
        <v>198</v>
      </c>
      <c r="E183" t="s">
        <v>333</v>
      </c>
      <c r="F183" t="s">
        <v>99</v>
      </c>
      <c r="G183" t="s">
        <v>147</v>
      </c>
      <c r="H183" t="s">
        <v>99</v>
      </c>
    </row>
    <row r="184" spans="1:8" x14ac:dyDescent="0.3">
      <c r="A184" t="s">
        <v>36</v>
      </c>
      <c r="B184">
        <v>5584</v>
      </c>
      <c r="C184" t="s">
        <v>114</v>
      </c>
      <c r="D184" t="s">
        <v>104</v>
      </c>
      <c r="E184" t="s">
        <v>334</v>
      </c>
      <c r="F184" t="s">
        <v>99</v>
      </c>
      <c r="G184" t="s">
        <v>277</v>
      </c>
      <c r="H184" t="s">
        <v>104</v>
      </c>
    </row>
    <row r="185" spans="1:8" x14ac:dyDescent="0.3">
      <c r="A185" t="s">
        <v>34</v>
      </c>
      <c r="B185">
        <v>4667</v>
      </c>
      <c r="C185" t="s">
        <v>100</v>
      </c>
      <c r="D185" t="s">
        <v>136</v>
      </c>
      <c r="E185" t="s">
        <v>335</v>
      </c>
      <c r="F185" t="s">
        <v>99</v>
      </c>
      <c r="G185" t="s">
        <v>134</v>
      </c>
      <c r="H185" t="s">
        <v>104</v>
      </c>
    </row>
    <row r="186" spans="1:8" x14ac:dyDescent="0.3">
      <c r="A186" t="s">
        <v>33</v>
      </c>
      <c r="B186">
        <v>4384</v>
      </c>
      <c r="C186" t="s">
        <v>207</v>
      </c>
      <c r="D186" t="s">
        <v>99</v>
      </c>
      <c r="E186" t="s">
        <v>336</v>
      </c>
      <c r="F186" t="s">
        <v>99</v>
      </c>
      <c r="G186" t="s">
        <v>147</v>
      </c>
      <c r="H186" t="s">
        <v>99</v>
      </c>
    </row>
    <row r="187" spans="1:8" x14ac:dyDescent="0.3">
      <c r="A187" t="s">
        <v>49</v>
      </c>
      <c r="B187">
        <v>31471</v>
      </c>
      <c r="C187" t="s">
        <v>115</v>
      </c>
      <c r="D187" t="s">
        <v>198</v>
      </c>
      <c r="E187" t="s">
        <v>337</v>
      </c>
      <c r="F187" t="s">
        <v>99</v>
      </c>
      <c r="G187" t="s">
        <v>155</v>
      </c>
      <c r="H187" t="s">
        <v>99</v>
      </c>
    </row>
    <row r="189" spans="1:8" x14ac:dyDescent="0.3">
      <c r="A189" t="s">
        <v>338</v>
      </c>
    </row>
    <row r="190" spans="1:8" x14ac:dyDescent="0.3">
      <c r="A190" t="s">
        <v>44</v>
      </c>
      <c r="B190" t="s">
        <v>32</v>
      </c>
      <c r="C190" t="s">
        <v>339</v>
      </c>
      <c r="D190" t="s">
        <v>340</v>
      </c>
    </row>
    <row r="191" spans="1:8" x14ac:dyDescent="0.3">
      <c r="A191" t="s">
        <v>35</v>
      </c>
      <c r="B191">
        <v>3105</v>
      </c>
      <c r="C191" t="s">
        <v>341</v>
      </c>
      <c r="D191" t="s">
        <v>300</v>
      </c>
    </row>
    <row r="192" spans="1:8" x14ac:dyDescent="0.3">
      <c r="A192" t="s">
        <v>37</v>
      </c>
      <c r="B192">
        <v>3814</v>
      </c>
      <c r="C192" t="s">
        <v>342</v>
      </c>
      <c r="D192" t="s">
        <v>343</v>
      </c>
    </row>
    <row r="193" spans="1:7" x14ac:dyDescent="0.3">
      <c r="A193" t="s">
        <v>36</v>
      </c>
      <c r="B193">
        <v>2242</v>
      </c>
      <c r="C193" t="s">
        <v>344</v>
      </c>
      <c r="D193" t="s">
        <v>345</v>
      </c>
    </row>
    <row r="194" spans="1:7" x14ac:dyDescent="0.3">
      <c r="A194" t="s">
        <v>34</v>
      </c>
      <c r="B194">
        <v>2052</v>
      </c>
      <c r="C194" t="s">
        <v>283</v>
      </c>
      <c r="D194" t="s">
        <v>346</v>
      </c>
    </row>
    <row r="195" spans="1:7" x14ac:dyDescent="0.3">
      <c r="A195" t="s">
        <v>33</v>
      </c>
      <c r="B195">
        <v>1918</v>
      </c>
      <c r="C195" t="s">
        <v>347</v>
      </c>
      <c r="D195" t="s">
        <v>348</v>
      </c>
    </row>
    <row r="196" spans="1:7" x14ac:dyDescent="0.3">
      <c r="A196" t="s">
        <v>49</v>
      </c>
      <c r="B196">
        <v>13131</v>
      </c>
      <c r="C196" t="s">
        <v>349</v>
      </c>
      <c r="D196" t="s">
        <v>350</v>
      </c>
    </row>
    <row r="198" spans="1:7" x14ac:dyDescent="0.3">
      <c r="A198" t="s">
        <v>351</v>
      </c>
    </row>
    <row r="199" spans="1:7" x14ac:dyDescent="0.3">
      <c r="A199" t="s">
        <v>44</v>
      </c>
      <c r="B199" t="s">
        <v>32</v>
      </c>
      <c r="C199" t="s">
        <v>66</v>
      </c>
      <c r="D199" t="s">
        <v>67</v>
      </c>
      <c r="E199" t="s">
        <v>352</v>
      </c>
      <c r="F199" t="s">
        <v>193</v>
      </c>
    </row>
    <row r="200" spans="1:7" x14ac:dyDescent="0.3">
      <c r="A200" t="s">
        <v>35</v>
      </c>
      <c r="B200">
        <v>3145</v>
      </c>
      <c r="C200" t="s">
        <v>353</v>
      </c>
      <c r="D200" t="s">
        <v>354</v>
      </c>
      <c r="E200" t="s">
        <v>99</v>
      </c>
      <c r="F200" t="s">
        <v>99</v>
      </c>
    </row>
    <row r="201" spans="1:7" x14ac:dyDescent="0.3">
      <c r="A201" t="s">
        <v>37</v>
      </c>
      <c r="B201">
        <v>3855</v>
      </c>
      <c r="C201" t="s">
        <v>328</v>
      </c>
      <c r="D201" t="s">
        <v>327</v>
      </c>
      <c r="E201" t="s">
        <v>104</v>
      </c>
      <c r="F201" t="s">
        <v>99</v>
      </c>
    </row>
    <row r="202" spans="1:7" x14ac:dyDescent="0.3">
      <c r="A202" t="s">
        <v>36</v>
      </c>
      <c r="B202">
        <v>2305</v>
      </c>
      <c r="C202" t="s">
        <v>355</v>
      </c>
      <c r="D202" t="s">
        <v>356</v>
      </c>
      <c r="E202" t="s">
        <v>207</v>
      </c>
      <c r="F202" t="s">
        <v>99</v>
      </c>
    </row>
    <row r="203" spans="1:7" x14ac:dyDescent="0.3">
      <c r="A203" t="s">
        <v>34</v>
      </c>
      <c r="B203">
        <v>2080</v>
      </c>
      <c r="C203" t="s">
        <v>357</v>
      </c>
      <c r="D203" t="s">
        <v>230</v>
      </c>
      <c r="E203" t="s">
        <v>104</v>
      </c>
      <c r="F203" t="s">
        <v>104</v>
      </c>
    </row>
    <row r="204" spans="1:7" x14ac:dyDescent="0.3">
      <c r="A204" t="s">
        <v>33</v>
      </c>
      <c r="B204">
        <v>1937</v>
      </c>
      <c r="C204" t="s">
        <v>328</v>
      </c>
      <c r="D204" t="s">
        <v>358</v>
      </c>
      <c r="E204" t="s">
        <v>99</v>
      </c>
      <c r="F204" t="s">
        <v>99</v>
      </c>
    </row>
    <row r="205" spans="1:7" x14ac:dyDescent="0.3">
      <c r="A205" t="s">
        <v>49</v>
      </c>
      <c r="B205">
        <v>13322</v>
      </c>
      <c r="C205" t="s">
        <v>182</v>
      </c>
      <c r="D205" t="s">
        <v>359</v>
      </c>
      <c r="E205" t="s">
        <v>104</v>
      </c>
      <c r="F205" t="s">
        <v>99</v>
      </c>
    </row>
    <row r="207" spans="1:7" x14ac:dyDescent="0.3">
      <c r="A207" t="s">
        <v>360</v>
      </c>
    </row>
    <row r="208" spans="1:7" x14ac:dyDescent="0.3">
      <c r="A208" t="s">
        <v>44</v>
      </c>
      <c r="B208" t="s">
        <v>361</v>
      </c>
      <c r="C208" t="s">
        <v>32</v>
      </c>
      <c r="D208" t="s">
        <v>66</v>
      </c>
      <c r="E208" t="s">
        <v>67</v>
      </c>
      <c r="F208" t="s">
        <v>193</v>
      </c>
      <c r="G208" t="s">
        <v>352</v>
      </c>
    </row>
    <row r="209" spans="1:7" x14ac:dyDescent="0.3">
      <c r="A209" t="s">
        <v>35</v>
      </c>
      <c r="B209" t="s">
        <v>339</v>
      </c>
      <c r="C209">
        <v>890</v>
      </c>
      <c r="D209" t="s">
        <v>150</v>
      </c>
      <c r="E209" t="s">
        <v>362</v>
      </c>
      <c r="F209" t="s">
        <v>104</v>
      </c>
      <c r="G209" t="s">
        <v>104</v>
      </c>
    </row>
    <row r="210" spans="1:7" x14ac:dyDescent="0.3">
      <c r="A210" t="s">
        <v>35</v>
      </c>
      <c r="B210" t="s">
        <v>340</v>
      </c>
      <c r="C210">
        <v>2215</v>
      </c>
      <c r="D210" t="s">
        <v>363</v>
      </c>
      <c r="E210" t="s">
        <v>364</v>
      </c>
      <c r="F210" t="s">
        <v>99</v>
      </c>
      <c r="G210" t="s">
        <v>99</v>
      </c>
    </row>
    <row r="211" spans="1:7" x14ac:dyDescent="0.3">
      <c r="A211" t="s">
        <v>35</v>
      </c>
      <c r="B211" t="s">
        <v>365</v>
      </c>
      <c r="C211">
        <v>40</v>
      </c>
      <c r="D211" t="s">
        <v>287</v>
      </c>
      <c r="E211" t="s">
        <v>366</v>
      </c>
      <c r="F211" t="s">
        <v>99</v>
      </c>
      <c r="G211" t="s">
        <v>99</v>
      </c>
    </row>
    <row r="212" spans="1:7" x14ac:dyDescent="0.3">
      <c r="A212" t="s">
        <v>37</v>
      </c>
      <c r="B212" t="s">
        <v>339</v>
      </c>
      <c r="C212">
        <v>1093</v>
      </c>
      <c r="D212" t="s">
        <v>139</v>
      </c>
      <c r="E212" t="s">
        <v>367</v>
      </c>
      <c r="F212" t="s">
        <v>99</v>
      </c>
      <c r="G212" t="s">
        <v>104</v>
      </c>
    </row>
    <row r="213" spans="1:7" x14ac:dyDescent="0.3">
      <c r="A213" t="s">
        <v>37</v>
      </c>
      <c r="B213" t="s">
        <v>340</v>
      </c>
      <c r="C213">
        <v>2721</v>
      </c>
      <c r="D213" t="s">
        <v>144</v>
      </c>
      <c r="E213" t="s">
        <v>75</v>
      </c>
      <c r="F213" t="s">
        <v>99</v>
      </c>
      <c r="G213" t="s">
        <v>104</v>
      </c>
    </row>
    <row r="214" spans="1:7" x14ac:dyDescent="0.3">
      <c r="A214" t="s">
        <v>37</v>
      </c>
      <c r="B214" t="s">
        <v>365</v>
      </c>
      <c r="C214">
        <v>41</v>
      </c>
      <c r="D214" t="s">
        <v>133</v>
      </c>
      <c r="E214" t="s">
        <v>169</v>
      </c>
      <c r="F214" t="s">
        <v>99</v>
      </c>
      <c r="G214" t="s">
        <v>99</v>
      </c>
    </row>
    <row r="215" spans="1:7" x14ac:dyDescent="0.3">
      <c r="A215" t="s">
        <v>36</v>
      </c>
      <c r="B215" t="s">
        <v>339</v>
      </c>
      <c r="C215">
        <v>770</v>
      </c>
      <c r="D215" t="s">
        <v>368</v>
      </c>
      <c r="E215" t="s">
        <v>290</v>
      </c>
      <c r="F215" t="s">
        <v>99</v>
      </c>
      <c r="G215" t="s">
        <v>99</v>
      </c>
    </row>
    <row r="216" spans="1:7" x14ac:dyDescent="0.3">
      <c r="A216" t="s">
        <v>36</v>
      </c>
      <c r="B216" t="s">
        <v>340</v>
      </c>
      <c r="C216">
        <v>1472</v>
      </c>
      <c r="D216" t="s">
        <v>321</v>
      </c>
      <c r="E216" t="s">
        <v>314</v>
      </c>
      <c r="F216" t="s">
        <v>99</v>
      </c>
      <c r="G216" t="s">
        <v>99</v>
      </c>
    </row>
    <row r="217" spans="1:7" x14ac:dyDescent="0.3">
      <c r="A217" t="s">
        <v>36</v>
      </c>
      <c r="B217" t="s">
        <v>365</v>
      </c>
      <c r="C217">
        <v>63</v>
      </c>
      <c r="D217" t="s">
        <v>130</v>
      </c>
      <c r="E217" t="s">
        <v>176</v>
      </c>
      <c r="F217" t="s">
        <v>99</v>
      </c>
      <c r="G217" t="s">
        <v>369</v>
      </c>
    </row>
    <row r="218" spans="1:7" x14ac:dyDescent="0.3">
      <c r="A218" t="s">
        <v>34</v>
      </c>
      <c r="B218" t="s">
        <v>339</v>
      </c>
      <c r="C218">
        <v>555</v>
      </c>
      <c r="D218" t="s">
        <v>370</v>
      </c>
      <c r="E218" t="s">
        <v>371</v>
      </c>
      <c r="F218" t="s">
        <v>104</v>
      </c>
      <c r="G218" t="s">
        <v>99</v>
      </c>
    </row>
    <row r="219" spans="1:7" x14ac:dyDescent="0.3">
      <c r="A219" t="s">
        <v>34</v>
      </c>
      <c r="B219" t="s">
        <v>340</v>
      </c>
      <c r="C219">
        <v>1497</v>
      </c>
      <c r="D219" t="s">
        <v>372</v>
      </c>
      <c r="E219" t="s">
        <v>174</v>
      </c>
      <c r="F219" t="s">
        <v>99</v>
      </c>
      <c r="G219" t="s">
        <v>104</v>
      </c>
    </row>
    <row r="220" spans="1:7" x14ac:dyDescent="0.3">
      <c r="A220" t="s">
        <v>34</v>
      </c>
      <c r="B220" t="s">
        <v>365</v>
      </c>
      <c r="C220">
        <v>28</v>
      </c>
      <c r="D220" t="s">
        <v>373</v>
      </c>
      <c r="E220" t="s">
        <v>374</v>
      </c>
      <c r="F220" t="s">
        <v>99</v>
      </c>
      <c r="G220" t="s">
        <v>99</v>
      </c>
    </row>
    <row r="221" spans="1:7" x14ac:dyDescent="0.3">
      <c r="A221" t="s">
        <v>33</v>
      </c>
      <c r="B221" t="s">
        <v>339</v>
      </c>
      <c r="C221">
        <v>503</v>
      </c>
      <c r="D221" t="s">
        <v>242</v>
      </c>
      <c r="E221" t="s">
        <v>375</v>
      </c>
      <c r="F221" t="s">
        <v>99</v>
      </c>
      <c r="G221" t="s">
        <v>99</v>
      </c>
    </row>
    <row r="222" spans="1:7" x14ac:dyDescent="0.3">
      <c r="A222" t="s">
        <v>33</v>
      </c>
      <c r="B222" t="s">
        <v>340</v>
      </c>
      <c r="C222">
        <v>1415</v>
      </c>
      <c r="D222" t="s">
        <v>144</v>
      </c>
      <c r="E222" t="s">
        <v>376</v>
      </c>
      <c r="F222" t="s">
        <v>99</v>
      </c>
      <c r="G222" t="s">
        <v>99</v>
      </c>
    </row>
    <row r="223" spans="1:7" x14ac:dyDescent="0.3">
      <c r="A223" t="s">
        <v>33</v>
      </c>
      <c r="B223" t="s">
        <v>365</v>
      </c>
      <c r="C223">
        <v>19</v>
      </c>
      <c r="D223" t="s">
        <v>74</v>
      </c>
      <c r="E223" t="s">
        <v>75</v>
      </c>
      <c r="F223" t="s">
        <v>99</v>
      </c>
      <c r="G223" t="s">
        <v>99</v>
      </c>
    </row>
    <row r="224" spans="1:7" x14ac:dyDescent="0.3">
      <c r="A224" t="s">
        <v>49</v>
      </c>
      <c r="B224" t="s">
        <v>339</v>
      </c>
      <c r="C224">
        <v>3811</v>
      </c>
      <c r="D224" t="s">
        <v>142</v>
      </c>
      <c r="E224" t="s">
        <v>377</v>
      </c>
      <c r="F224" t="s">
        <v>104</v>
      </c>
      <c r="G224" t="s">
        <v>104</v>
      </c>
    </row>
    <row r="225" spans="1:7" x14ac:dyDescent="0.3">
      <c r="A225" t="s">
        <v>49</v>
      </c>
      <c r="B225" t="s">
        <v>340</v>
      </c>
      <c r="C225">
        <v>9320</v>
      </c>
      <c r="D225" t="s">
        <v>125</v>
      </c>
      <c r="E225" t="s">
        <v>378</v>
      </c>
      <c r="F225" t="s">
        <v>99</v>
      </c>
      <c r="G225" t="s">
        <v>99</v>
      </c>
    </row>
    <row r="226" spans="1:7" x14ac:dyDescent="0.3">
      <c r="A226" t="s">
        <v>49</v>
      </c>
      <c r="B226" t="s">
        <v>365</v>
      </c>
      <c r="C226">
        <v>191</v>
      </c>
      <c r="D226" t="s">
        <v>379</v>
      </c>
      <c r="E226" t="s">
        <v>380</v>
      </c>
      <c r="F226" t="s">
        <v>99</v>
      </c>
      <c r="G226" t="s">
        <v>215</v>
      </c>
    </row>
    <row r="228" spans="1:7" x14ac:dyDescent="0.3">
      <c r="A228" t="s">
        <v>381</v>
      </c>
    </row>
    <row r="229" spans="1:7" x14ac:dyDescent="0.3">
      <c r="A229" t="s">
        <v>44</v>
      </c>
      <c r="B229" t="s">
        <v>209</v>
      </c>
      <c r="C229" t="s">
        <v>32</v>
      </c>
      <c r="D229" t="s">
        <v>66</v>
      </c>
      <c r="E229" t="s">
        <v>67</v>
      </c>
      <c r="F229" t="s">
        <v>352</v>
      </c>
      <c r="G229" t="s">
        <v>193</v>
      </c>
    </row>
    <row r="230" spans="1:7" x14ac:dyDescent="0.3">
      <c r="A230" t="s">
        <v>35</v>
      </c>
      <c r="B230" t="s">
        <v>210</v>
      </c>
      <c r="C230">
        <v>136</v>
      </c>
      <c r="D230" t="s">
        <v>211</v>
      </c>
      <c r="E230" t="s">
        <v>99</v>
      </c>
      <c r="F230" t="s">
        <v>99</v>
      </c>
      <c r="G230" t="s">
        <v>99</v>
      </c>
    </row>
    <row r="231" spans="1:7" x14ac:dyDescent="0.3">
      <c r="A231" t="s">
        <v>35</v>
      </c>
      <c r="B231" t="s">
        <v>212</v>
      </c>
      <c r="C231">
        <v>2442</v>
      </c>
      <c r="D231" t="s">
        <v>154</v>
      </c>
      <c r="E231" t="s">
        <v>333</v>
      </c>
      <c r="F231" t="s">
        <v>104</v>
      </c>
      <c r="G231" t="s">
        <v>104</v>
      </c>
    </row>
    <row r="232" spans="1:7" x14ac:dyDescent="0.3">
      <c r="A232" t="s">
        <v>35</v>
      </c>
      <c r="B232" t="s">
        <v>216</v>
      </c>
      <c r="C232">
        <v>567</v>
      </c>
      <c r="D232" t="s">
        <v>99</v>
      </c>
      <c r="E232" t="s">
        <v>211</v>
      </c>
      <c r="F232" t="s">
        <v>99</v>
      </c>
      <c r="G232" t="s">
        <v>99</v>
      </c>
    </row>
    <row r="233" spans="1:7" x14ac:dyDescent="0.3">
      <c r="A233" t="s">
        <v>37</v>
      </c>
      <c r="B233" t="s">
        <v>210</v>
      </c>
      <c r="C233">
        <v>138</v>
      </c>
      <c r="D233" t="s">
        <v>211</v>
      </c>
      <c r="E233" t="s">
        <v>99</v>
      </c>
      <c r="F233" t="s">
        <v>99</v>
      </c>
      <c r="G233" t="s">
        <v>99</v>
      </c>
    </row>
    <row r="234" spans="1:7" x14ac:dyDescent="0.3">
      <c r="A234" t="s">
        <v>37</v>
      </c>
      <c r="B234" t="s">
        <v>212</v>
      </c>
      <c r="C234">
        <v>3606</v>
      </c>
      <c r="D234" t="s">
        <v>382</v>
      </c>
      <c r="E234" t="s">
        <v>383</v>
      </c>
      <c r="F234" t="s">
        <v>104</v>
      </c>
      <c r="G234" t="s">
        <v>99</v>
      </c>
    </row>
    <row r="235" spans="1:7" x14ac:dyDescent="0.3">
      <c r="A235" t="s">
        <v>37</v>
      </c>
      <c r="B235" t="s">
        <v>216</v>
      </c>
      <c r="C235">
        <v>111</v>
      </c>
      <c r="D235" t="s">
        <v>99</v>
      </c>
      <c r="E235" t="s">
        <v>211</v>
      </c>
      <c r="F235" t="s">
        <v>99</v>
      </c>
      <c r="G235" t="s">
        <v>99</v>
      </c>
    </row>
    <row r="236" spans="1:7" x14ac:dyDescent="0.3">
      <c r="A236" t="s">
        <v>36</v>
      </c>
      <c r="B236" t="s">
        <v>210</v>
      </c>
      <c r="C236">
        <v>165</v>
      </c>
      <c r="D236" t="s">
        <v>211</v>
      </c>
      <c r="E236" t="s">
        <v>99</v>
      </c>
      <c r="F236" t="s">
        <v>99</v>
      </c>
      <c r="G236" t="s">
        <v>99</v>
      </c>
    </row>
    <row r="237" spans="1:7" x14ac:dyDescent="0.3">
      <c r="A237" t="s">
        <v>36</v>
      </c>
      <c r="B237" t="s">
        <v>212</v>
      </c>
      <c r="C237">
        <v>1875</v>
      </c>
      <c r="D237" t="s">
        <v>120</v>
      </c>
      <c r="E237" t="s">
        <v>384</v>
      </c>
      <c r="F237" t="s">
        <v>207</v>
      </c>
      <c r="G237" t="s">
        <v>99</v>
      </c>
    </row>
    <row r="238" spans="1:7" x14ac:dyDescent="0.3">
      <c r="A238" t="s">
        <v>36</v>
      </c>
      <c r="B238" t="s">
        <v>216</v>
      </c>
      <c r="C238">
        <v>265</v>
      </c>
      <c r="D238" t="s">
        <v>99</v>
      </c>
      <c r="E238" t="s">
        <v>211</v>
      </c>
      <c r="F238" t="s">
        <v>99</v>
      </c>
      <c r="G238" t="s">
        <v>99</v>
      </c>
    </row>
    <row r="239" spans="1:7" x14ac:dyDescent="0.3">
      <c r="A239" t="s">
        <v>34</v>
      </c>
      <c r="B239" t="s">
        <v>210</v>
      </c>
      <c r="C239">
        <v>256</v>
      </c>
      <c r="D239" t="s">
        <v>211</v>
      </c>
      <c r="E239" t="s">
        <v>99</v>
      </c>
      <c r="F239" t="s">
        <v>99</v>
      </c>
      <c r="G239" t="s">
        <v>99</v>
      </c>
    </row>
    <row r="240" spans="1:7" x14ac:dyDescent="0.3">
      <c r="A240" t="s">
        <v>34</v>
      </c>
      <c r="B240" t="s">
        <v>212</v>
      </c>
      <c r="C240">
        <v>1582</v>
      </c>
      <c r="D240" t="s">
        <v>100</v>
      </c>
      <c r="E240" t="s">
        <v>385</v>
      </c>
      <c r="F240" t="s">
        <v>104</v>
      </c>
      <c r="G240" t="s">
        <v>104</v>
      </c>
    </row>
    <row r="241" spans="1:7" x14ac:dyDescent="0.3">
      <c r="A241" t="s">
        <v>34</v>
      </c>
      <c r="B241" t="s">
        <v>216</v>
      </c>
      <c r="C241">
        <v>242</v>
      </c>
      <c r="D241" t="s">
        <v>99</v>
      </c>
      <c r="E241" t="s">
        <v>211</v>
      </c>
      <c r="F241" t="s">
        <v>99</v>
      </c>
      <c r="G241" t="s">
        <v>99</v>
      </c>
    </row>
    <row r="242" spans="1:7" x14ac:dyDescent="0.3">
      <c r="A242" t="s">
        <v>33</v>
      </c>
      <c r="B242" t="s">
        <v>210</v>
      </c>
      <c r="C242">
        <v>68</v>
      </c>
      <c r="D242" t="s">
        <v>211</v>
      </c>
      <c r="E242" t="s">
        <v>99</v>
      </c>
      <c r="F242" t="s">
        <v>99</v>
      </c>
      <c r="G242" t="s">
        <v>99</v>
      </c>
    </row>
    <row r="243" spans="1:7" x14ac:dyDescent="0.3">
      <c r="A243" t="s">
        <v>33</v>
      </c>
      <c r="B243" t="s">
        <v>212</v>
      </c>
      <c r="C243">
        <v>1800</v>
      </c>
      <c r="D243" t="s">
        <v>111</v>
      </c>
      <c r="E243" t="s">
        <v>202</v>
      </c>
      <c r="F243" t="s">
        <v>99</v>
      </c>
      <c r="G243" t="s">
        <v>99</v>
      </c>
    </row>
    <row r="244" spans="1:7" x14ac:dyDescent="0.3">
      <c r="A244" t="s">
        <v>33</v>
      </c>
      <c r="B244" t="s">
        <v>216</v>
      </c>
      <c r="C244">
        <v>69</v>
      </c>
      <c r="D244" t="s">
        <v>99</v>
      </c>
      <c r="E244" t="s">
        <v>211</v>
      </c>
      <c r="F244" t="s">
        <v>99</v>
      </c>
      <c r="G244" t="s">
        <v>99</v>
      </c>
    </row>
    <row r="245" spans="1:7" x14ac:dyDescent="0.3">
      <c r="A245" t="s">
        <v>49</v>
      </c>
      <c r="B245" t="s">
        <v>210</v>
      </c>
      <c r="C245">
        <v>763</v>
      </c>
      <c r="D245" t="s">
        <v>211</v>
      </c>
      <c r="E245" t="s">
        <v>99</v>
      </c>
      <c r="F245" t="s">
        <v>99</v>
      </c>
      <c r="G245" t="s">
        <v>99</v>
      </c>
    </row>
    <row r="246" spans="1:7" x14ac:dyDescent="0.3">
      <c r="A246" t="s">
        <v>49</v>
      </c>
      <c r="B246" t="s">
        <v>212</v>
      </c>
      <c r="C246">
        <v>11305</v>
      </c>
      <c r="D246" t="s">
        <v>111</v>
      </c>
      <c r="E246" t="s">
        <v>386</v>
      </c>
      <c r="F246" t="s">
        <v>104</v>
      </c>
      <c r="G246" t="s">
        <v>99</v>
      </c>
    </row>
    <row r="247" spans="1:7" x14ac:dyDescent="0.3">
      <c r="A247" t="s">
        <v>49</v>
      </c>
      <c r="B247" t="s">
        <v>216</v>
      </c>
      <c r="C247">
        <v>1254</v>
      </c>
      <c r="D247" t="s">
        <v>99</v>
      </c>
      <c r="E247" t="s">
        <v>211</v>
      </c>
      <c r="F247" t="s">
        <v>99</v>
      </c>
      <c r="G247" t="s">
        <v>99</v>
      </c>
    </row>
    <row r="249" spans="1:7" x14ac:dyDescent="0.3">
      <c r="A249" t="s">
        <v>387</v>
      </c>
    </row>
    <row r="250" spans="1:7" x14ac:dyDescent="0.3">
      <c r="A250" t="s">
        <v>44</v>
      </c>
      <c r="B250" t="s">
        <v>388</v>
      </c>
      <c r="C250" t="s">
        <v>32</v>
      </c>
      <c r="D250" t="s">
        <v>66</v>
      </c>
      <c r="E250" t="s">
        <v>67</v>
      </c>
      <c r="F250" t="s">
        <v>352</v>
      </c>
      <c r="G250" t="s">
        <v>193</v>
      </c>
    </row>
    <row r="251" spans="1:7" x14ac:dyDescent="0.3">
      <c r="A251" t="s">
        <v>35</v>
      </c>
      <c r="B251" t="s">
        <v>389</v>
      </c>
      <c r="C251">
        <v>2141</v>
      </c>
      <c r="D251" t="s">
        <v>305</v>
      </c>
      <c r="E251" t="s">
        <v>203</v>
      </c>
      <c r="F251" t="s">
        <v>104</v>
      </c>
      <c r="G251" t="s">
        <v>99</v>
      </c>
    </row>
    <row r="252" spans="1:7" x14ac:dyDescent="0.3">
      <c r="A252" t="s">
        <v>35</v>
      </c>
      <c r="B252" t="s">
        <v>390</v>
      </c>
      <c r="C252">
        <v>875</v>
      </c>
      <c r="D252" t="s">
        <v>145</v>
      </c>
      <c r="E252" t="s">
        <v>391</v>
      </c>
      <c r="F252" t="s">
        <v>99</v>
      </c>
      <c r="G252" t="s">
        <v>104</v>
      </c>
    </row>
    <row r="253" spans="1:7" x14ac:dyDescent="0.3">
      <c r="A253" t="s">
        <v>35</v>
      </c>
      <c r="B253" t="s">
        <v>365</v>
      </c>
      <c r="C253">
        <v>129</v>
      </c>
      <c r="D253" t="s">
        <v>369</v>
      </c>
      <c r="E253" t="s">
        <v>392</v>
      </c>
      <c r="F253" t="s">
        <v>99</v>
      </c>
      <c r="G253" t="s">
        <v>99</v>
      </c>
    </row>
    <row r="254" spans="1:7" x14ac:dyDescent="0.3">
      <c r="A254" t="s">
        <v>37</v>
      </c>
      <c r="B254" t="s">
        <v>389</v>
      </c>
      <c r="C254">
        <v>2305</v>
      </c>
      <c r="D254" t="s">
        <v>328</v>
      </c>
      <c r="E254" t="s">
        <v>327</v>
      </c>
      <c r="F254" t="s">
        <v>104</v>
      </c>
      <c r="G254" t="s">
        <v>99</v>
      </c>
    </row>
    <row r="255" spans="1:7" x14ac:dyDescent="0.3">
      <c r="A255" t="s">
        <v>37</v>
      </c>
      <c r="B255" t="s">
        <v>390</v>
      </c>
      <c r="C255">
        <v>1309</v>
      </c>
      <c r="D255" t="s">
        <v>145</v>
      </c>
      <c r="E255" t="s">
        <v>334</v>
      </c>
      <c r="F255" t="s">
        <v>104</v>
      </c>
      <c r="G255" t="s">
        <v>99</v>
      </c>
    </row>
    <row r="256" spans="1:7" x14ac:dyDescent="0.3">
      <c r="A256" t="s">
        <v>37</v>
      </c>
      <c r="B256" t="s">
        <v>365</v>
      </c>
      <c r="C256">
        <v>241</v>
      </c>
      <c r="D256" t="s">
        <v>268</v>
      </c>
      <c r="E256" t="s">
        <v>386</v>
      </c>
      <c r="F256" t="s">
        <v>99</v>
      </c>
      <c r="G256" t="s">
        <v>99</v>
      </c>
    </row>
    <row r="257" spans="1:7" x14ac:dyDescent="0.3">
      <c r="A257" t="s">
        <v>36</v>
      </c>
      <c r="B257" t="s">
        <v>389</v>
      </c>
      <c r="C257">
        <v>1578</v>
      </c>
      <c r="D257" t="s">
        <v>201</v>
      </c>
      <c r="E257" t="s">
        <v>200</v>
      </c>
      <c r="F257" t="s">
        <v>99</v>
      </c>
      <c r="G257" t="s">
        <v>99</v>
      </c>
    </row>
    <row r="258" spans="1:7" x14ac:dyDescent="0.3">
      <c r="A258" t="s">
        <v>36</v>
      </c>
      <c r="B258" t="s">
        <v>390</v>
      </c>
      <c r="C258">
        <v>627</v>
      </c>
      <c r="D258" t="s">
        <v>379</v>
      </c>
      <c r="E258" t="s">
        <v>164</v>
      </c>
      <c r="F258" t="s">
        <v>114</v>
      </c>
      <c r="G258" t="s">
        <v>99</v>
      </c>
    </row>
    <row r="259" spans="1:7" x14ac:dyDescent="0.3">
      <c r="A259" t="s">
        <v>36</v>
      </c>
      <c r="B259" t="s">
        <v>365</v>
      </c>
      <c r="C259">
        <v>100</v>
      </c>
      <c r="D259" t="s">
        <v>393</v>
      </c>
      <c r="E259" t="s">
        <v>394</v>
      </c>
      <c r="F259" t="s">
        <v>99</v>
      </c>
      <c r="G259" t="s">
        <v>99</v>
      </c>
    </row>
    <row r="260" spans="1:7" x14ac:dyDescent="0.3">
      <c r="A260" t="s">
        <v>34</v>
      </c>
      <c r="B260" t="s">
        <v>389</v>
      </c>
      <c r="C260">
        <v>1385</v>
      </c>
      <c r="D260" t="s">
        <v>395</v>
      </c>
      <c r="E260" t="s">
        <v>396</v>
      </c>
      <c r="F260" t="s">
        <v>99</v>
      </c>
      <c r="G260" t="s">
        <v>99</v>
      </c>
    </row>
    <row r="261" spans="1:7" x14ac:dyDescent="0.3">
      <c r="A261" t="s">
        <v>34</v>
      </c>
      <c r="B261" t="s">
        <v>390</v>
      </c>
      <c r="C261">
        <v>615</v>
      </c>
      <c r="D261" t="s">
        <v>393</v>
      </c>
      <c r="E261" t="s">
        <v>168</v>
      </c>
      <c r="F261" t="s">
        <v>198</v>
      </c>
      <c r="G261" t="s">
        <v>198</v>
      </c>
    </row>
    <row r="262" spans="1:7" x14ac:dyDescent="0.3">
      <c r="A262" t="s">
        <v>34</v>
      </c>
      <c r="B262" t="s">
        <v>365</v>
      </c>
      <c r="C262">
        <v>80</v>
      </c>
      <c r="D262" t="s">
        <v>301</v>
      </c>
      <c r="E262" t="s">
        <v>397</v>
      </c>
      <c r="F262" t="s">
        <v>99</v>
      </c>
      <c r="G262" t="s">
        <v>99</v>
      </c>
    </row>
    <row r="263" spans="1:7" x14ac:dyDescent="0.3">
      <c r="A263" t="s">
        <v>33</v>
      </c>
      <c r="B263" t="s">
        <v>389</v>
      </c>
      <c r="C263">
        <v>1090</v>
      </c>
      <c r="D263" t="s">
        <v>328</v>
      </c>
      <c r="E263" t="s">
        <v>358</v>
      </c>
      <c r="F263" t="s">
        <v>99</v>
      </c>
      <c r="G263" t="s">
        <v>99</v>
      </c>
    </row>
    <row r="264" spans="1:7" x14ac:dyDescent="0.3">
      <c r="A264" t="s">
        <v>33</v>
      </c>
      <c r="B264" t="s">
        <v>390</v>
      </c>
      <c r="C264">
        <v>708</v>
      </c>
      <c r="D264" t="s">
        <v>145</v>
      </c>
      <c r="E264" t="s">
        <v>334</v>
      </c>
      <c r="F264" t="s">
        <v>99</v>
      </c>
      <c r="G264" t="s">
        <v>99</v>
      </c>
    </row>
    <row r="265" spans="1:7" x14ac:dyDescent="0.3">
      <c r="A265" t="s">
        <v>33</v>
      </c>
      <c r="B265" t="s">
        <v>365</v>
      </c>
      <c r="C265">
        <v>139</v>
      </c>
      <c r="D265" t="s">
        <v>147</v>
      </c>
      <c r="E265" t="s">
        <v>398</v>
      </c>
      <c r="F265" t="s">
        <v>99</v>
      </c>
      <c r="G265" t="s">
        <v>99</v>
      </c>
    </row>
    <row r="266" spans="1:7" x14ac:dyDescent="0.3">
      <c r="A266" t="s">
        <v>49</v>
      </c>
      <c r="B266" t="s">
        <v>389</v>
      </c>
      <c r="C266">
        <v>8499</v>
      </c>
      <c r="D266" t="s">
        <v>220</v>
      </c>
      <c r="E266" t="s">
        <v>399</v>
      </c>
      <c r="F266" t="s">
        <v>99</v>
      </c>
      <c r="G266" t="s">
        <v>99</v>
      </c>
    </row>
    <row r="267" spans="1:7" x14ac:dyDescent="0.3">
      <c r="A267" t="s">
        <v>49</v>
      </c>
      <c r="B267" t="s">
        <v>390</v>
      </c>
      <c r="C267">
        <v>4134</v>
      </c>
      <c r="D267" t="s">
        <v>113</v>
      </c>
      <c r="E267" t="s">
        <v>400</v>
      </c>
      <c r="F267" t="s">
        <v>104</v>
      </c>
      <c r="G267" t="s">
        <v>104</v>
      </c>
    </row>
    <row r="268" spans="1:7" x14ac:dyDescent="0.3">
      <c r="A268" t="s">
        <v>49</v>
      </c>
      <c r="B268" t="s">
        <v>365</v>
      </c>
      <c r="C268">
        <v>689</v>
      </c>
      <c r="D268" t="s">
        <v>401</v>
      </c>
      <c r="E268" t="s">
        <v>354</v>
      </c>
      <c r="F268" t="s">
        <v>99</v>
      </c>
      <c r="G268" t="s">
        <v>99</v>
      </c>
    </row>
    <row r="270" spans="1:7" x14ac:dyDescent="0.3">
      <c r="A270" t="s">
        <v>402</v>
      </c>
    </row>
    <row r="271" spans="1:7" x14ac:dyDescent="0.3">
      <c r="A271" t="s">
        <v>44</v>
      </c>
      <c r="B271" t="s">
        <v>235</v>
      </c>
      <c r="C271" t="s">
        <v>32</v>
      </c>
      <c r="D271" t="s">
        <v>66</v>
      </c>
      <c r="E271" t="s">
        <v>67</v>
      </c>
      <c r="F271" t="s">
        <v>352</v>
      </c>
      <c r="G271" t="s">
        <v>193</v>
      </c>
    </row>
    <row r="272" spans="1:7" x14ac:dyDescent="0.3">
      <c r="A272" t="s">
        <v>35</v>
      </c>
      <c r="B272" t="s">
        <v>236</v>
      </c>
      <c r="C272">
        <v>1610</v>
      </c>
      <c r="D272" t="s">
        <v>74</v>
      </c>
      <c r="E272" t="s">
        <v>75</v>
      </c>
      <c r="F272" t="s">
        <v>99</v>
      </c>
      <c r="G272" t="s">
        <v>99</v>
      </c>
    </row>
    <row r="273" spans="1:7" x14ac:dyDescent="0.3">
      <c r="A273" t="s">
        <v>35</v>
      </c>
      <c r="B273" t="s">
        <v>238</v>
      </c>
      <c r="C273">
        <v>1535</v>
      </c>
      <c r="D273" t="s">
        <v>72</v>
      </c>
      <c r="E273" t="s">
        <v>403</v>
      </c>
      <c r="F273" t="s">
        <v>104</v>
      </c>
      <c r="G273" t="s">
        <v>99</v>
      </c>
    </row>
    <row r="274" spans="1:7" x14ac:dyDescent="0.3">
      <c r="A274" t="s">
        <v>37</v>
      </c>
      <c r="B274" t="s">
        <v>236</v>
      </c>
      <c r="C274">
        <v>2211</v>
      </c>
      <c r="D274" t="s">
        <v>157</v>
      </c>
      <c r="E274" t="s">
        <v>404</v>
      </c>
      <c r="F274" t="s">
        <v>99</v>
      </c>
      <c r="G274" t="s">
        <v>99</v>
      </c>
    </row>
    <row r="275" spans="1:7" x14ac:dyDescent="0.3">
      <c r="A275" t="s">
        <v>37</v>
      </c>
      <c r="B275" t="s">
        <v>238</v>
      </c>
      <c r="C275">
        <v>1644</v>
      </c>
      <c r="D275" t="s">
        <v>182</v>
      </c>
      <c r="E275" t="s">
        <v>169</v>
      </c>
      <c r="F275" t="s">
        <v>198</v>
      </c>
      <c r="G275" t="s">
        <v>99</v>
      </c>
    </row>
    <row r="276" spans="1:7" x14ac:dyDescent="0.3">
      <c r="A276" t="s">
        <v>36</v>
      </c>
      <c r="B276" t="s">
        <v>236</v>
      </c>
      <c r="C276">
        <v>1566</v>
      </c>
      <c r="D276" t="s">
        <v>405</v>
      </c>
      <c r="E276" t="s">
        <v>172</v>
      </c>
      <c r="F276" t="s">
        <v>253</v>
      </c>
      <c r="G276" t="s">
        <v>99</v>
      </c>
    </row>
    <row r="277" spans="1:7" x14ac:dyDescent="0.3">
      <c r="A277" t="s">
        <v>36</v>
      </c>
      <c r="B277" t="s">
        <v>238</v>
      </c>
      <c r="C277">
        <v>739</v>
      </c>
      <c r="D277" t="s">
        <v>406</v>
      </c>
      <c r="E277" t="s">
        <v>407</v>
      </c>
      <c r="F277" t="s">
        <v>99</v>
      </c>
      <c r="G277" t="s">
        <v>99</v>
      </c>
    </row>
    <row r="278" spans="1:7" x14ac:dyDescent="0.3">
      <c r="A278" t="s">
        <v>34</v>
      </c>
      <c r="B278" t="s">
        <v>236</v>
      </c>
      <c r="C278">
        <v>717</v>
      </c>
      <c r="D278" t="s">
        <v>408</v>
      </c>
      <c r="E278" t="s">
        <v>409</v>
      </c>
      <c r="F278" t="s">
        <v>99</v>
      </c>
      <c r="G278" t="s">
        <v>99</v>
      </c>
    </row>
    <row r="279" spans="1:7" x14ac:dyDescent="0.3">
      <c r="A279" t="s">
        <v>34</v>
      </c>
      <c r="B279" t="s">
        <v>238</v>
      </c>
      <c r="C279">
        <v>1363</v>
      </c>
      <c r="D279" t="s">
        <v>410</v>
      </c>
      <c r="E279" t="s">
        <v>411</v>
      </c>
      <c r="F279" t="s">
        <v>104</v>
      </c>
      <c r="G279" t="s">
        <v>104</v>
      </c>
    </row>
    <row r="280" spans="1:7" x14ac:dyDescent="0.3">
      <c r="A280" t="s">
        <v>33</v>
      </c>
      <c r="B280" t="s">
        <v>236</v>
      </c>
      <c r="C280">
        <v>1116</v>
      </c>
      <c r="D280" t="s">
        <v>412</v>
      </c>
      <c r="E280" t="s">
        <v>413</v>
      </c>
      <c r="F280" t="s">
        <v>99</v>
      </c>
      <c r="G280" t="s">
        <v>99</v>
      </c>
    </row>
    <row r="281" spans="1:7" x14ac:dyDescent="0.3">
      <c r="A281" t="s">
        <v>33</v>
      </c>
      <c r="B281" t="s">
        <v>238</v>
      </c>
      <c r="C281">
        <v>821</v>
      </c>
      <c r="D281" t="s">
        <v>254</v>
      </c>
      <c r="E281" t="s">
        <v>414</v>
      </c>
      <c r="F281" t="s">
        <v>99</v>
      </c>
      <c r="G281" t="s">
        <v>99</v>
      </c>
    </row>
    <row r="282" spans="1:7" x14ac:dyDescent="0.3">
      <c r="A282" t="s">
        <v>49</v>
      </c>
      <c r="B282" t="s">
        <v>236</v>
      </c>
      <c r="C282">
        <v>7220</v>
      </c>
      <c r="D282" t="s">
        <v>325</v>
      </c>
      <c r="E282" t="s">
        <v>415</v>
      </c>
      <c r="F282" t="s">
        <v>104</v>
      </c>
      <c r="G282" t="s">
        <v>99</v>
      </c>
    </row>
    <row r="283" spans="1:7" x14ac:dyDescent="0.3">
      <c r="A283" t="s">
        <v>49</v>
      </c>
      <c r="B283" t="s">
        <v>238</v>
      </c>
      <c r="C283">
        <v>6102</v>
      </c>
      <c r="D283" t="s">
        <v>416</v>
      </c>
      <c r="E283" t="s">
        <v>417</v>
      </c>
      <c r="F283" t="s">
        <v>104</v>
      </c>
      <c r="G283" t="s">
        <v>99</v>
      </c>
    </row>
    <row r="285" spans="1:7" x14ac:dyDescent="0.3">
      <c r="A285" t="s">
        <v>418</v>
      </c>
    </row>
    <row r="286" spans="1:7" x14ac:dyDescent="0.3">
      <c r="A286" t="s">
        <v>44</v>
      </c>
      <c r="B286" t="s">
        <v>257</v>
      </c>
      <c r="C286" t="s">
        <v>32</v>
      </c>
      <c r="D286" t="s">
        <v>66</v>
      </c>
      <c r="E286" t="s">
        <v>67</v>
      </c>
      <c r="F286" t="s">
        <v>352</v>
      </c>
      <c r="G286" t="s">
        <v>193</v>
      </c>
    </row>
    <row r="287" spans="1:7" x14ac:dyDescent="0.3">
      <c r="A287" t="s">
        <v>35</v>
      </c>
      <c r="B287" t="s">
        <v>258</v>
      </c>
      <c r="C287">
        <v>2873</v>
      </c>
      <c r="D287" t="s">
        <v>248</v>
      </c>
      <c r="E287" t="s">
        <v>419</v>
      </c>
      <c r="F287" t="s">
        <v>99</v>
      </c>
      <c r="G287" t="s">
        <v>99</v>
      </c>
    </row>
    <row r="288" spans="1:7" x14ac:dyDescent="0.3">
      <c r="A288" t="s">
        <v>35</v>
      </c>
      <c r="B288" t="s">
        <v>260</v>
      </c>
      <c r="C288">
        <v>272</v>
      </c>
      <c r="D288" t="s">
        <v>420</v>
      </c>
      <c r="E288" t="s">
        <v>421</v>
      </c>
      <c r="F288" t="s">
        <v>136</v>
      </c>
      <c r="G288" t="s">
        <v>99</v>
      </c>
    </row>
    <row r="289" spans="1:7" x14ac:dyDescent="0.3">
      <c r="A289" t="s">
        <v>37</v>
      </c>
      <c r="B289" t="s">
        <v>258</v>
      </c>
      <c r="C289">
        <v>3855</v>
      </c>
      <c r="D289" t="s">
        <v>328</v>
      </c>
      <c r="E289" t="s">
        <v>327</v>
      </c>
      <c r="F289" t="s">
        <v>104</v>
      </c>
      <c r="G289" t="s">
        <v>99</v>
      </c>
    </row>
    <row r="290" spans="1:7" x14ac:dyDescent="0.3">
      <c r="A290" t="s">
        <v>36</v>
      </c>
      <c r="B290" t="s">
        <v>258</v>
      </c>
      <c r="C290">
        <v>2100</v>
      </c>
      <c r="D290" t="s">
        <v>267</v>
      </c>
      <c r="E290" t="s">
        <v>356</v>
      </c>
      <c r="F290" t="s">
        <v>207</v>
      </c>
      <c r="G290" t="s">
        <v>99</v>
      </c>
    </row>
    <row r="291" spans="1:7" x14ac:dyDescent="0.3">
      <c r="A291" t="s">
        <v>36</v>
      </c>
      <c r="B291" t="s">
        <v>260</v>
      </c>
      <c r="C291">
        <v>205</v>
      </c>
      <c r="D291" t="s">
        <v>296</v>
      </c>
      <c r="E291" t="s">
        <v>422</v>
      </c>
      <c r="F291" t="s">
        <v>141</v>
      </c>
      <c r="G291" t="s">
        <v>141</v>
      </c>
    </row>
    <row r="292" spans="1:7" x14ac:dyDescent="0.3">
      <c r="A292" t="s">
        <v>34</v>
      </c>
      <c r="B292" t="s">
        <v>258</v>
      </c>
      <c r="C292">
        <v>1221</v>
      </c>
      <c r="D292" t="s">
        <v>184</v>
      </c>
      <c r="E292" t="s">
        <v>185</v>
      </c>
      <c r="F292" t="s">
        <v>99</v>
      </c>
      <c r="G292" t="s">
        <v>99</v>
      </c>
    </row>
    <row r="293" spans="1:7" x14ac:dyDescent="0.3">
      <c r="A293" t="s">
        <v>34</v>
      </c>
      <c r="B293" t="s">
        <v>260</v>
      </c>
      <c r="C293">
        <v>859</v>
      </c>
      <c r="D293" t="s">
        <v>423</v>
      </c>
      <c r="E293" t="s">
        <v>424</v>
      </c>
      <c r="F293" t="s">
        <v>104</v>
      </c>
      <c r="G293" t="s">
        <v>104</v>
      </c>
    </row>
    <row r="294" spans="1:7" x14ac:dyDescent="0.3">
      <c r="A294" t="s">
        <v>33</v>
      </c>
      <c r="B294" t="s">
        <v>258</v>
      </c>
      <c r="C294">
        <v>1937</v>
      </c>
      <c r="D294" t="s">
        <v>328</v>
      </c>
      <c r="E294" t="s">
        <v>358</v>
      </c>
      <c r="F294" t="s">
        <v>99</v>
      </c>
      <c r="G294" t="s">
        <v>99</v>
      </c>
    </row>
    <row r="295" spans="1:7" x14ac:dyDescent="0.3">
      <c r="A295" t="s">
        <v>49</v>
      </c>
      <c r="B295" t="s">
        <v>258</v>
      </c>
      <c r="C295">
        <v>11986</v>
      </c>
      <c r="D295" t="s">
        <v>122</v>
      </c>
      <c r="E295" t="s">
        <v>185</v>
      </c>
      <c r="F295" t="s">
        <v>104</v>
      </c>
      <c r="G295" t="s">
        <v>99</v>
      </c>
    </row>
    <row r="296" spans="1:7" x14ac:dyDescent="0.3">
      <c r="A296" t="s">
        <v>49</v>
      </c>
      <c r="B296" t="s">
        <v>260</v>
      </c>
      <c r="C296">
        <v>1336</v>
      </c>
      <c r="D296" t="s">
        <v>425</v>
      </c>
      <c r="E296" t="s">
        <v>426</v>
      </c>
      <c r="F296" t="s">
        <v>104</v>
      </c>
      <c r="G296" t="s">
        <v>104</v>
      </c>
    </row>
    <row r="298" spans="1:7" x14ac:dyDescent="0.3">
      <c r="A298" t="s">
        <v>427</v>
      </c>
    </row>
    <row r="299" spans="1:7" x14ac:dyDescent="0.3">
      <c r="A299" t="s">
        <v>44</v>
      </c>
      <c r="B299" t="s">
        <v>32</v>
      </c>
      <c r="C299" t="s">
        <v>66</v>
      </c>
      <c r="D299" t="s">
        <v>67</v>
      </c>
      <c r="E299" t="s">
        <v>352</v>
      </c>
    </row>
    <row r="300" spans="1:7" x14ac:dyDescent="0.3">
      <c r="A300" t="s">
        <v>35</v>
      </c>
      <c r="B300">
        <v>2938</v>
      </c>
      <c r="C300" t="s">
        <v>428</v>
      </c>
      <c r="D300" t="s">
        <v>429</v>
      </c>
      <c r="E300" t="s">
        <v>99</v>
      </c>
    </row>
    <row r="301" spans="1:7" x14ac:dyDescent="0.3">
      <c r="A301" t="s">
        <v>37</v>
      </c>
      <c r="B301">
        <v>3661</v>
      </c>
      <c r="C301" t="s">
        <v>398</v>
      </c>
      <c r="D301" t="s">
        <v>147</v>
      </c>
      <c r="E301" t="s">
        <v>99</v>
      </c>
    </row>
    <row r="302" spans="1:7" x14ac:dyDescent="0.3">
      <c r="A302" t="s">
        <v>36</v>
      </c>
      <c r="B302">
        <v>2097</v>
      </c>
      <c r="C302" t="s">
        <v>430</v>
      </c>
      <c r="D302" t="s">
        <v>321</v>
      </c>
      <c r="E302" t="s">
        <v>99</v>
      </c>
    </row>
    <row r="303" spans="1:7" x14ac:dyDescent="0.3">
      <c r="A303" t="s">
        <v>34</v>
      </c>
      <c r="B303">
        <v>1806</v>
      </c>
      <c r="C303" t="s">
        <v>431</v>
      </c>
      <c r="D303" t="s">
        <v>432</v>
      </c>
      <c r="E303" t="s">
        <v>104</v>
      </c>
    </row>
    <row r="304" spans="1:7" x14ac:dyDescent="0.3">
      <c r="A304" t="s">
        <v>33</v>
      </c>
      <c r="B304">
        <v>1827</v>
      </c>
      <c r="C304" t="s">
        <v>433</v>
      </c>
      <c r="D304" t="s">
        <v>434</v>
      </c>
      <c r="E304" t="s">
        <v>99</v>
      </c>
    </row>
    <row r="305" spans="1:6" x14ac:dyDescent="0.3">
      <c r="A305" t="s">
        <v>49</v>
      </c>
      <c r="B305">
        <v>12329</v>
      </c>
      <c r="C305" t="s">
        <v>176</v>
      </c>
      <c r="D305" t="s">
        <v>175</v>
      </c>
      <c r="E305" t="s">
        <v>99</v>
      </c>
    </row>
    <row r="307" spans="1:6" x14ac:dyDescent="0.3">
      <c r="A307" t="s">
        <v>435</v>
      </c>
    </row>
    <row r="308" spans="1:6" x14ac:dyDescent="0.3">
      <c r="A308" t="s">
        <v>44</v>
      </c>
      <c r="B308" t="s">
        <v>361</v>
      </c>
      <c r="C308" t="s">
        <v>32</v>
      </c>
      <c r="D308" t="s">
        <v>66</v>
      </c>
      <c r="E308" t="s">
        <v>67</v>
      </c>
      <c r="F308" t="s">
        <v>352</v>
      </c>
    </row>
    <row r="309" spans="1:6" x14ac:dyDescent="0.3">
      <c r="A309" t="s">
        <v>35</v>
      </c>
      <c r="B309" t="s">
        <v>339</v>
      </c>
      <c r="C309">
        <v>834</v>
      </c>
      <c r="D309" t="s">
        <v>436</v>
      </c>
      <c r="E309" t="s">
        <v>437</v>
      </c>
      <c r="F309" t="s">
        <v>99</v>
      </c>
    </row>
    <row r="310" spans="1:6" x14ac:dyDescent="0.3">
      <c r="A310" t="s">
        <v>35</v>
      </c>
      <c r="B310" t="s">
        <v>340</v>
      </c>
      <c r="C310">
        <v>2069</v>
      </c>
      <c r="D310" t="s">
        <v>63</v>
      </c>
      <c r="E310" t="s">
        <v>64</v>
      </c>
      <c r="F310" t="s">
        <v>99</v>
      </c>
    </row>
    <row r="311" spans="1:6" x14ac:dyDescent="0.3">
      <c r="A311" t="s">
        <v>35</v>
      </c>
      <c r="B311" t="s">
        <v>365</v>
      </c>
      <c r="C311">
        <v>35</v>
      </c>
      <c r="D311" t="s">
        <v>283</v>
      </c>
      <c r="E311" t="s">
        <v>346</v>
      </c>
      <c r="F311" t="s">
        <v>99</v>
      </c>
    </row>
    <row r="312" spans="1:6" x14ac:dyDescent="0.3">
      <c r="A312" t="s">
        <v>37</v>
      </c>
      <c r="B312" t="s">
        <v>339</v>
      </c>
      <c r="C312">
        <v>1043</v>
      </c>
      <c r="D312" t="s">
        <v>438</v>
      </c>
      <c r="E312" t="s">
        <v>123</v>
      </c>
      <c r="F312" t="s">
        <v>99</v>
      </c>
    </row>
    <row r="313" spans="1:6" x14ac:dyDescent="0.3">
      <c r="A313" t="s">
        <v>37</v>
      </c>
      <c r="B313" t="s">
        <v>340</v>
      </c>
      <c r="C313">
        <v>2579</v>
      </c>
      <c r="D313" t="s">
        <v>336</v>
      </c>
      <c r="E313" t="s">
        <v>138</v>
      </c>
      <c r="F313" t="s">
        <v>99</v>
      </c>
    </row>
    <row r="314" spans="1:6" x14ac:dyDescent="0.3">
      <c r="A314" t="s">
        <v>37</v>
      </c>
      <c r="B314" t="s">
        <v>365</v>
      </c>
      <c r="C314">
        <v>39</v>
      </c>
      <c r="D314" t="s">
        <v>386</v>
      </c>
      <c r="E314" t="s">
        <v>268</v>
      </c>
      <c r="F314" t="s">
        <v>99</v>
      </c>
    </row>
    <row r="315" spans="1:6" x14ac:dyDescent="0.3">
      <c r="A315" t="s">
        <v>36</v>
      </c>
      <c r="B315" t="s">
        <v>339</v>
      </c>
      <c r="C315">
        <v>705</v>
      </c>
      <c r="D315" t="s">
        <v>203</v>
      </c>
      <c r="E315" t="s">
        <v>305</v>
      </c>
      <c r="F315" t="s">
        <v>99</v>
      </c>
    </row>
    <row r="316" spans="1:6" x14ac:dyDescent="0.3">
      <c r="A316" t="s">
        <v>36</v>
      </c>
      <c r="B316" t="s">
        <v>340</v>
      </c>
      <c r="C316">
        <v>1336</v>
      </c>
      <c r="D316" t="s">
        <v>439</v>
      </c>
      <c r="E316" t="s">
        <v>440</v>
      </c>
      <c r="F316" t="s">
        <v>99</v>
      </c>
    </row>
    <row r="317" spans="1:6" x14ac:dyDescent="0.3">
      <c r="A317" t="s">
        <v>36</v>
      </c>
      <c r="B317" t="s">
        <v>365</v>
      </c>
      <c r="C317">
        <v>56</v>
      </c>
      <c r="D317" t="s">
        <v>333</v>
      </c>
      <c r="E317" t="s">
        <v>134</v>
      </c>
      <c r="F317" t="s">
        <v>99</v>
      </c>
    </row>
    <row r="318" spans="1:6" x14ac:dyDescent="0.3">
      <c r="A318" t="s">
        <v>34</v>
      </c>
      <c r="B318" t="s">
        <v>339</v>
      </c>
      <c r="C318">
        <v>465</v>
      </c>
      <c r="D318" t="s">
        <v>441</v>
      </c>
      <c r="E318" t="s">
        <v>442</v>
      </c>
      <c r="F318" t="s">
        <v>198</v>
      </c>
    </row>
    <row r="319" spans="1:6" x14ac:dyDescent="0.3">
      <c r="A319" t="s">
        <v>34</v>
      </c>
      <c r="B319" t="s">
        <v>340</v>
      </c>
      <c r="C319">
        <v>1320</v>
      </c>
      <c r="D319" t="s">
        <v>443</v>
      </c>
      <c r="E319" t="s">
        <v>444</v>
      </c>
      <c r="F319" t="s">
        <v>99</v>
      </c>
    </row>
    <row r="320" spans="1:6" x14ac:dyDescent="0.3">
      <c r="A320" t="s">
        <v>34</v>
      </c>
      <c r="B320" t="s">
        <v>365</v>
      </c>
      <c r="C320">
        <v>21</v>
      </c>
      <c r="D320" t="s">
        <v>445</v>
      </c>
      <c r="E320" t="s">
        <v>446</v>
      </c>
      <c r="F320" t="s">
        <v>129</v>
      </c>
    </row>
    <row r="321" spans="1:6" x14ac:dyDescent="0.3">
      <c r="A321" t="s">
        <v>33</v>
      </c>
      <c r="B321" t="s">
        <v>339</v>
      </c>
      <c r="C321">
        <v>479</v>
      </c>
      <c r="D321" t="s">
        <v>438</v>
      </c>
      <c r="E321" t="s">
        <v>123</v>
      </c>
      <c r="F321" t="s">
        <v>99</v>
      </c>
    </row>
    <row r="322" spans="1:6" x14ac:dyDescent="0.3">
      <c r="A322" t="s">
        <v>33</v>
      </c>
      <c r="B322" t="s">
        <v>340</v>
      </c>
      <c r="C322">
        <v>1330</v>
      </c>
      <c r="D322" t="s">
        <v>375</v>
      </c>
      <c r="E322" t="s">
        <v>242</v>
      </c>
      <c r="F322" t="s">
        <v>99</v>
      </c>
    </row>
    <row r="323" spans="1:6" x14ac:dyDescent="0.3">
      <c r="A323" t="s">
        <v>33</v>
      </c>
      <c r="B323" t="s">
        <v>365</v>
      </c>
      <c r="C323">
        <v>18</v>
      </c>
      <c r="D323" t="s">
        <v>447</v>
      </c>
      <c r="E323" t="s">
        <v>206</v>
      </c>
      <c r="F323" t="s">
        <v>99</v>
      </c>
    </row>
    <row r="324" spans="1:6" x14ac:dyDescent="0.3">
      <c r="A324" t="s">
        <v>49</v>
      </c>
      <c r="B324" t="s">
        <v>339</v>
      </c>
      <c r="C324">
        <v>3526</v>
      </c>
      <c r="D324" t="s">
        <v>448</v>
      </c>
      <c r="E324" t="s">
        <v>449</v>
      </c>
      <c r="F324" t="s">
        <v>99</v>
      </c>
    </row>
    <row r="325" spans="1:6" x14ac:dyDescent="0.3">
      <c r="A325" t="s">
        <v>49</v>
      </c>
      <c r="B325" t="s">
        <v>340</v>
      </c>
      <c r="C325">
        <v>8634</v>
      </c>
      <c r="D325" t="s">
        <v>450</v>
      </c>
      <c r="E325" t="s">
        <v>255</v>
      </c>
      <c r="F325" t="s">
        <v>99</v>
      </c>
    </row>
    <row r="326" spans="1:6" x14ac:dyDescent="0.3">
      <c r="A326" t="s">
        <v>49</v>
      </c>
      <c r="B326" t="s">
        <v>365</v>
      </c>
      <c r="C326">
        <v>169</v>
      </c>
      <c r="D326" t="s">
        <v>239</v>
      </c>
      <c r="E326" t="s">
        <v>451</v>
      </c>
      <c r="F326" t="s">
        <v>132</v>
      </c>
    </row>
    <row r="328" spans="1:6" x14ac:dyDescent="0.3">
      <c r="A328" t="s">
        <v>452</v>
      </c>
    </row>
    <row r="329" spans="1:6" x14ac:dyDescent="0.3">
      <c r="A329" t="s">
        <v>44</v>
      </c>
      <c r="B329" t="s">
        <v>209</v>
      </c>
      <c r="C329" t="s">
        <v>32</v>
      </c>
      <c r="D329" t="s">
        <v>66</v>
      </c>
      <c r="E329" t="s">
        <v>67</v>
      </c>
      <c r="F329" t="s">
        <v>352</v>
      </c>
    </row>
    <row r="330" spans="1:6" x14ac:dyDescent="0.3">
      <c r="A330" t="s">
        <v>35</v>
      </c>
      <c r="B330" t="s">
        <v>212</v>
      </c>
      <c r="C330">
        <v>2371</v>
      </c>
      <c r="D330" t="s">
        <v>211</v>
      </c>
      <c r="E330" t="s">
        <v>99</v>
      </c>
      <c r="F330" t="s">
        <v>99</v>
      </c>
    </row>
    <row r="331" spans="1:6" x14ac:dyDescent="0.3">
      <c r="A331" t="s">
        <v>35</v>
      </c>
      <c r="B331" t="s">
        <v>216</v>
      </c>
      <c r="C331">
        <v>567</v>
      </c>
      <c r="D331" t="s">
        <v>99</v>
      </c>
      <c r="E331" t="s">
        <v>211</v>
      </c>
      <c r="F331" t="s">
        <v>99</v>
      </c>
    </row>
    <row r="332" spans="1:6" x14ac:dyDescent="0.3">
      <c r="A332" t="s">
        <v>37</v>
      </c>
      <c r="B332" t="s">
        <v>212</v>
      </c>
      <c r="C332">
        <v>3550</v>
      </c>
      <c r="D332" t="s">
        <v>211</v>
      </c>
      <c r="E332" t="s">
        <v>99</v>
      </c>
      <c r="F332" t="s">
        <v>99</v>
      </c>
    </row>
    <row r="333" spans="1:6" x14ac:dyDescent="0.3">
      <c r="A333" t="s">
        <v>37</v>
      </c>
      <c r="B333" t="s">
        <v>216</v>
      </c>
      <c r="C333">
        <v>111</v>
      </c>
      <c r="D333" t="s">
        <v>99</v>
      </c>
      <c r="E333" t="s">
        <v>211</v>
      </c>
      <c r="F333" t="s">
        <v>99</v>
      </c>
    </row>
    <row r="334" spans="1:6" x14ac:dyDescent="0.3">
      <c r="A334" t="s">
        <v>36</v>
      </c>
      <c r="B334" t="s">
        <v>212</v>
      </c>
      <c r="C334">
        <v>1832</v>
      </c>
      <c r="D334" t="s">
        <v>211</v>
      </c>
      <c r="E334" t="s">
        <v>99</v>
      </c>
      <c r="F334" t="s">
        <v>99</v>
      </c>
    </row>
    <row r="335" spans="1:6" x14ac:dyDescent="0.3">
      <c r="A335" t="s">
        <v>36</v>
      </c>
      <c r="B335" t="s">
        <v>216</v>
      </c>
      <c r="C335">
        <v>265</v>
      </c>
      <c r="D335" t="s">
        <v>99</v>
      </c>
      <c r="E335" t="s">
        <v>211</v>
      </c>
      <c r="F335" t="s">
        <v>99</v>
      </c>
    </row>
    <row r="336" spans="1:6" x14ac:dyDescent="0.3">
      <c r="A336" t="s">
        <v>34</v>
      </c>
      <c r="B336" t="s">
        <v>212</v>
      </c>
      <c r="C336">
        <v>1564</v>
      </c>
      <c r="D336" t="s">
        <v>453</v>
      </c>
      <c r="E336" t="s">
        <v>99</v>
      </c>
      <c r="F336" t="s">
        <v>198</v>
      </c>
    </row>
    <row r="337" spans="1:6" x14ac:dyDescent="0.3">
      <c r="A337" t="s">
        <v>34</v>
      </c>
      <c r="B337" t="s">
        <v>216</v>
      </c>
      <c r="C337">
        <v>242</v>
      </c>
      <c r="D337" t="s">
        <v>99</v>
      </c>
      <c r="E337" t="s">
        <v>211</v>
      </c>
      <c r="F337" t="s">
        <v>99</v>
      </c>
    </row>
    <row r="338" spans="1:6" x14ac:dyDescent="0.3">
      <c r="A338" t="s">
        <v>33</v>
      </c>
      <c r="B338" t="s">
        <v>212</v>
      </c>
      <c r="C338">
        <v>1758</v>
      </c>
      <c r="D338" t="s">
        <v>211</v>
      </c>
      <c r="E338" t="s">
        <v>99</v>
      </c>
      <c r="F338" t="s">
        <v>99</v>
      </c>
    </row>
    <row r="339" spans="1:6" x14ac:dyDescent="0.3">
      <c r="A339" t="s">
        <v>33</v>
      </c>
      <c r="B339" t="s">
        <v>216</v>
      </c>
      <c r="C339">
        <v>69</v>
      </c>
      <c r="D339" t="s">
        <v>99</v>
      </c>
      <c r="E339" t="s">
        <v>211</v>
      </c>
      <c r="F339" t="s">
        <v>99</v>
      </c>
    </row>
    <row r="340" spans="1:6" x14ac:dyDescent="0.3">
      <c r="A340" t="s">
        <v>49</v>
      </c>
      <c r="B340" t="s">
        <v>212</v>
      </c>
      <c r="C340">
        <v>11075</v>
      </c>
      <c r="D340" t="s">
        <v>211</v>
      </c>
      <c r="E340" t="s">
        <v>99</v>
      </c>
      <c r="F340" t="s">
        <v>99</v>
      </c>
    </row>
    <row r="341" spans="1:6" x14ac:dyDescent="0.3">
      <c r="A341" t="s">
        <v>49</v>
      </c>
      <c r="B341" t="s">
        <v>216</v>
      </c>
      <c r="C341">
        <v>1254</v>
      </c>
      <c r="D341" t="s">
        <v>99</v>
      </c>
      <c r="E341" t="s">
        <v>211</v>
      </c>
      <c r="F341" t="s">
        <v>99</v>
      </c>
    </row>
    <row r="343" spans="1:6" x14ac:dyDescent="0.3">
      <c r="A343" t="s">
        <v>454</v>
      </c>
    </row>
    <row r="344" spans="1:6" x14ac:dyDescent="0.3">
      <c r="A344" t="s">
        <v>44</v>
      </c>
      <c r="B344" t="s">
        <v>388</v>
      </c>
      <c r="C344" t="s">
        <v>32</v>
      </c>
      <c r="D344" t="s">
        <v>66</v>
      </c>
      <c r="E344" t="s">
        <v>67</v>
      </c>
      <c r="F344" t="s">
        <v>352</v>
      </c>
    </row>
    <row r="345" spans="1:6" x14ac:dyDescent="0.3">
      <c r="A345" t="s">
        <v>35</v>
      </c>
      <c r="B345" t="s">
        <v>389</v>
      </c>
      <c r="C345">
        <v>1996</v>
      </c>
      <c r="D345" t="s">
        <v>455</v>
      </c>
      <c r="E345" t="s">
        <v>456</v>
      </c>
      <c r="F345" t="s">
        <v>99</v>
      </c>
    </row>
    <row r="346" spans="1:6" x14ac:dyDescent="0.3">
      <c r="A346" t="s">
        <v>35</v>
      </c>
      <c r="B346" t="s">
        <v>390</v>
      </c>
      <c r="C346">
        <v>823</v>
      </c>
      <c r="D346" t="s">
        <v>424</v>
      </c>
      <c r="E346" t="s">
        <v>457</v>
      </c>
      <c r="F346" t="s">
        <v>99</v>
      </c>
    </row>
    <row r="347" spans="1:6" x14ac:dyDescent="0.3">
      <c r="A347" t="s">
        <v>35</v>
      </c>
      <c r="B347" t="s">
        <v>365</v>
      </c>
      <c r="C347">
        <v>119</v>
      </c>
      <c r="D347" t="s">
        <v>458</v>
      </c>
      <c r="E347" t="s">
        <v>459</v>
      </c>
      <c r="F347" t="s">
        <v>99</v>
      </c>
    </row>
    <row r="348" spans="1:6" x14ac:dyDescent="0.3">
      <c r="A348" t="s">
        <v>37</v>
      </c>
      <c r="B348" t="s">
        <v>389</v>
      </c>
      <c r="C348">
        <v>2187</v>
      </c>
      <c r="D348" t="s">
        <v>265</v>
      </c>
      <c r="E348" t="s">
        <v>332</v>
      </c>
      <c r="F348" t="s">
        <v>99</v>
      </c>
    </row>
    <row r="349" spans="1:6" x14ac:dyDescent="0.3">
      <c r="A349" t="s">
        <v>37</v>
      </c>
      <c r="B349" t="s">
        <v>390</v>
      </c>
      <c r="C349">
        <v>1240</v>
      </c>
      <c r="D349" t="s">
        <v>438</v>
      </c>
      <c r="E349" t="s">
        <v>123</v>
      </c>
      <c r="F349" t="s">
        <v>99</v>
      </c>
    </row>
    <row r="350" spans="1:6" x14ac:dyDescent="0.3">
      <c r="A350" t="s">
        <v>37</v>
      </c>
      <c r="B350" t="s">
        <v>365</v>
      </c>
      <c r="C350">
        <v>234</v>
      </c>
      <c r="D350" t="s">
        <v>404</v>
      </c>
      <c r="E350" t="s">
        <v>157</v>
      </c>
      <c r="F350" t="s">
        <v>99</v>
      </c>
    </row>
    <row r="351" spans="1:6" x14ac:dyDescent="0.3">
      <c r="A351" t="s">
        <v>36</v>
      </c>
      <c r="B351" t="s">
        <v>389</v>
      </c>
      <c r="C351">
        <v>1433</v>
      </c>
      <c r="D351" t="s">
        <v>460</v>
      </c>
      <c r="E351" t="s">
        <v>38</v>
      </c>
      <c r="F351" t="s">
        <v>99</v>
      </c>
    </row>
    <row r="352" spans="1:6" x14ac:dyDescent="0.3">
      <c r="A352" t="s">
        <v>36</v>
      </c>
      <c r="B352" t="s">
        <v>390</v>
      </c>
      <c r="C352">
        <v>576</v>
      </c>
      <c r="D352" t="s">
        <v>403</v>
      </c>
      <c r="E352" t="s">
        <v>461</v>
      </c>
      <c r="F352" t="s">
        <v>99</v>
      </c>
    </row>
    <row r="353" spans="1:6" x14ac:dyDescent="0.3">
      <c r="A353" t="s">
        <v>36</v>
      </c>
      <c r="B353" t="s">
        <v>365</v>
      </c>
      <c r="C353">
        <v>88</v>
      </c>
      <c r="D353" t="s">
        <v>174</v>
      </c>
      <c r="E353" t="s">
        <v>173</v>
      </c>
      <c r="F353" t="s">
        <v>99</v>
      </c>
    </row>
    <row r="354" spans="1:6" x14ac:dyDescent="0.3">
      <c r="A354" t="s">
        <v>34</v>
      </c>
      <c r="B354" t="s">
        <v>389</v>
      </c>
      <c r="C354">
        <v>1193</v>
      </c>
      <c r="D354" t="s">
        <v>462</v>
      </c>
      <c r="E354" t="s">
        <v>463</v>
      </c>
      <c r="F354" t="s">
        <v>104</v>
      </c>
    </row>
    <row r="355" spans="1:6" x14ac:dyDescent="0.3">
      <c r="A355" t="s">
        <v>34</v>
      </c>
      <c r="B355" t="s">
        <v>390</v>
      </c>
      <c r="C355">
        <v>545</v>
      </c>
      <c r="D355" t="s">
        <v>464</v>
      </c>
      <c r="E355" t="s">
        <v>372</v>
      </c>
      <c r="F355" t="s">
        <v>198</v>
      </c>
    </row>
    <row r="356" spans="1:6" x14ac:dyDescent="0.3">
      <c r="A356" t="s">
        <v>34</v>
      </c>
      <c r="B356" t="s">
        <v>365</v>
      </c>
      <c r="C356">
        <v>68</v>
      </c>
      <c r="D356" t="s">
        <v>266</v>
      </c>
      <c r="E356" t="s">
        <v>465</v>
      </c>
      <c r="F356" t="s">
        <v>99</v>
      </c>
    </row>
    <row r="357" spans="1:6" x14ac:dyDescent="0.3">
      <c r="A357" t="s">
        <v>33</v>
      </c>
      <c r="B357" t="s">
        <v>389</v>
      </c>
      <c r="C357">
        <v>1029</v>
      </c>
      <c r="D357" t="s">
        <v>375</v>
      </c>
      <c r="E357" t="s">
        <v>242</v>
      </c>
      <c r="F357" t="s">
        <v>99</v>
      </c>
    </row>
    <row r="358" spans="1:6" x14ac:dyDescent="0.3">
      <c r="A358" t="s">
        <v>33</v>
      </c>
      <c r="B358" t="s">
        <v>390</v>
      </c>
      <c r="C358">
        <v>663</v>
      </c>
      <c r="D358" t="s">
        <v>466</v>
      </c>
      <c r="E358" t="s">
        <v>120</v>
      </c>
      <c r="F358" t="s">
        <v>99</v>
      </c>
    </row>
    <row r="359" spans="1:6" x14ac:dyDescent="0.3">
      <c r="A359" t="s">
        <v>33</v>
      </c>
      <c r="B359" t="s">
        <v>365</v>
      </c>
      <c r="C359">
        <v>135</v>
      </c>
      <c r="D359" t="s">
        <v>467</v>
      </c>
      <c r="E359" t="s">
        <v>468</v>
      </c>
      <c r="F359" t="s">
        <v>99</v>
      </c>
    </row>
    <row r="360" spans="1:6" x14ac:dyDescent="0.3">
      <c r="A360" t="s">
        <v>49</v>
      </c>
      <c r="B360" t="s">
        <v>389</v>
      </c>
      <c r="C360">
        <v>7838</v>
      </c>
      <c r="D360" t="s">
        <v>469</v>
      </c>
      <c r="E360" t="s">
        <v>167</v>
      </c>
      <c r="F360" t="s">
        <v>99</v>
      </c>
    </row>
    <row r="361" spans="1:6" x14ac:dyDescent="0.3">
      <c r="A361" t="s">
        <v>49</v>
      </c>
      <c r="B361" t="s">
        <v>390</v>
      </c>
      <c r="C361">
        <v>3847</v>
      </c>
      <c r="D361" t="s">
        <v>293</v>
      </c>
      <c r="E361" t="s">
        <v>470</v>
      </c>
      <c r="F361" t="s">
        <v>99</v>
      </c>
    </row>
    <row r="362" spans="1:6" x14ac:dyDescent="0.3">
      <c r="A362" t="s">
        <v>49</v>
      </c>
      <c r="B362" t="s">
        <v>365</v>
      </c>
      <c r="C362">
        <v>644</v>
      </c>
      <c r="D362" t="s">
        <v>288</v>
      </c>
      <c r="E362" t="s">
        <v>355</v>
      </c>
      <c r="F362" t="s">
        <v>99</v>
      </c>
    </row>
    <row r="364" spans="1:6" x14ac:dyDescent="0.3">
      <c r="A364" t="s">
        <v>471</v>
      </c>
    </row>
    <row r="365" spans="1:6" x14ac:dyDescent="0.3">
      <c r="A365" t="s">
        <v>44</v>
      </c>
      <c r="B365" t="s">
        <v>235</v>
      </c>
      <c r="C365" t="s">
        <v>32</v>
      </c>
      <c r="D365" t="s">
        <v>66</v>
      </c>
      <c r="E365" t="s">
        <v>67</v>
      </c>
      <c r="F365" t="s">
        <v>352</v>
      </c>
    </row>
    <row r="366" spans="1:6" x14ac:dyDescent="0.3">
      <c r="A366" t="s">
        <v>35</v>
      </c>
      <c r="B366" t="s">
        <v>236</v>
      </c>
      <c r="C366">
        <v>1516</v>
      </c>
      <c r="D366" t="s">
        <v>472</v>
      </c>
      <c r="E366" t="s">
        <v>473</v>
      </c>
      <c r="F366" t="s">
        <v>99</v>
      </c>
    </row>
    <row r="367" spans="1:6" x14ac:dyDescent="0.3">
      <c r="A367" t="s">
        <v>35</v>
      </c>
      <c r="B367" t="s">
        <v>238</v>
      </c>
      <c r="C367">
        <v>1422</v>
      </c>
      <c r="D367" t="s">
        <v>63</v>
      </c>
      <c r="E367" t="s">
        <v>64</v>
      </c>
      <c r="F367" t="s">
        <v>99</v>
      </c>
    </row>
    <row r="368" spans="1:6" x14ac:dyDescent="0.3">
      <c r="A368" t="s">
        <v>37</v>
      </c>
      <c r="B368" t="s">
        <v>236</v>
      </c>
      <c r="C368">
        <v>2144</v>
      </c>
      <c r="D368" t="s">
        <v>438</v>
      </c>
      <c r="E368" t="s">
        <v>123</v>
      </c>
      <c r="F368" t="s">
        <v>99</v>
      </c>
    </row>
    <row r="369" spans="1:6" x14ac:dyDescent="0.3">
      <c r="A369" t="s">
        <v>37</v>
      </c>
      <c r="B369" t="s">
        <v>238</v>
      </c>
      <c r="C369">
        <v>1517</v>
      </c>
      <c r="D369" t="s">
        <v>337</v>
      </c>
      <c r="E369" t="s">
        <v>474</v>
      </c>
      <c r="F369" t="s">
        <v>99</v>
      </c>
    </row>
    <row r="370" spans="1:6" x14ac:dyDescent="0.3">
      <c r="A370" t="s">
        <v>36</v>
      </c>
      <c r="B370" t="s">
        <v>236</v>
      </c>
      <c r="C370">
        <v>1456</v>
      </c>
      <c r="D370" t="s">
        <v>183</v>
      </c>
      <c r="E370" t="s">
        <v>182</v>
      </c>
      <c r="F370" t="s">
        <v>99</v>
      </c>
    </row>
    <row r="371" spans="1:6" x14ac:dyDescent="0.3">
      <c r="A371" t="s">
        <v>36</v>
      </c>
      <c r="B371" t="s">
        <v>238</v>
      </c>
      <c r="C371">
        <v>641</v>
      </c>
      <c r="D371" t="s">
        <v>374</v>
      </c>
      <c r="E371" t="s">
        <v>373</v>
      </c>
      <c r="F371" t="s">
        <v>99</v>
      </c>
    </row>
    <row r="372" spans="1:6" x14ac:dyDescent="0.3">
      <c r="A372" t="s">
        <v>34</v>
      </c>
      <c r="B372" t="s">
        <v>236</v>
      </c>
      <c r="C372">
        <v>650</v>
      </c>
      <c r="D372" t="s">
        <v>187</v>
      </c>
      <c r="E372" t="s">
        <v>186</v>
      </c>
      <c r="F372" t="s">
        <v>99</v>
      </c>
    </row>
    <row r="373" spans="1:6" x14ac:dyDescent="0.3">
      <c r="A373" t="s">
        <v>34</v>
      </c>
      <c r="B373" t="s">
        <v>238</v>
      </c>
      <c r="C373">
        <v>1156</v>
      </c>
      <c r="D373" t="s">
        <v>475</v>
      </c>
      <c r="E373" t="s">
        <v>39</v>
      </c>
      <c r="F373" t="s">
        <v>198</v>
      </c>
    </row>
    <row r="374" spans="1:6" x14ac:dyDescent="0.3">
      <c r="A374" t="s">
        <v>33</v>
      </c>
      <c r="B374" t="s">
        <v>236</v>
      </c>
      <c r="C374">
        <v>1059</v>
      </c>
      <c r="D374" t="s">
        <v>476</v>
      </c>
      <c r="E374" t="s">
        <v>117</v>
      </c>
      <c r="F374" t="s">
        <v>99</v>
      </c>
    </row>
    <row r="375" spans="1:6" x14ac:dyDescent="0.3">
      <c r="A375" t="s">
        <v>33</v>
      </c>
      <c r="B375" t="s">
        <v>238</v>
      </c>
      <c r="C375">
        <v>768</v>
      </c>
      <c r="D375" t="s">
        <v>162</v>
      </c>
      <c r="E375" t="s">
        <v>143</v>
      </c>
      <c r="F375" t="s">
        <v>99</v>
      </c>
    </row>
    <row r="376" spans="1:6" x14ac:dyDescent="0.3">
      <c r="A376" t="s">
        <v>49</v>
      </c>
      <c r="B376" t="s">
        <v>236</v>
      </c>
      <c r="C376">
        <v>6825</v>
      </c>
      <c r="D376" t="s">
        <v>403</v>
      </c>
      <c r="E376" t="s">
        <v>461</v>
      </c>
      <c r="F376" t="s">
        <v>99</v>
      </c>
    </row>
    <row r="377" spans="1:6" x14ac:dyDescent="0.3">
      <c r="A377" t="s">
        <v>49</v>
      </c>
      <c r="B377" t="s">
        <v>238</v>
      </c>
      <c r="C377">
        <v>5504</v>
      </c>
      <c r="D377" t="s">
        <v>477</v>
      </c>
      <c r="E377" t="s">
        <v>478</v>
      </c>
      <c r="F377" t="s">
        <v>99</v>
      </c>
    </row>
    <row r="379" spans="1:6" x14ac:dyDescent="0.3">
      <c r="A379" t="s">
        <v>479</v>
      </c>
    </row>
    <row r="380" spans="1:6" x14ac:dyDescent="0.3">
      <c r="A380" t="s">
        <v>44</v>
      </c>
      <c r="B380" t="s">
        <v>257</v>
      </c>
      <c r="C380" t="s">
        <v>32</v>
      </c>
      <c r="D380" t="s">
        <v>66</v>
      </c>
      <c r="E380" t="s">
        <v>67</v>
      </c>
      <c r="F380" t="s">
        <v>352</v>
      </c>
    </row>
    <row r="381" spans="1:6" x14ac:dyDescent="0.3">
      <c r="A381" t="s">
        <v>35</v>
      </c>
      <c r="B381" t="s">
        <v>258</v>
      </c>
      <c r="C381">
        <v>2690</v>
      </c>
      <c r="D381" t="s">
        <v>480</v>
      </c>
      <c r="E381" t="s">
        <v>481</v>
      </c>
      <c r="F381" t="s">
        <v>99</v>
      </c>
    </row>
    <row r="382" spans="1:6" x14ac:dyDescent="0.3">
      <c r="A382" t="s">
        <v>35</v>
      </c>
      <c r="B382" t="s">
        <v>260</v>
      </c>
      <c r="C382">
        <v>248</v>
      </c>
      <c r="D382" t="s">
        <v>464</v>
      </c>
      <c r="E382" t="s">
        <v>482</v>
      </c>
      <c r="F382" t="s">
        <v>99</v>
      </c>
    </row>
    <row r="383" spans="1:6" x14ac:dyDescent="0.3">
      <c r="A383" t="s">
        <v>37</v>
      </c>
      <c r="B383" t="s">
        <v>258</v>
      </c>
      <c r="C383">
        <v>3661</v>
      </c>
      <c r="D383" t="s">
        <v>398</v>
      </c>
      <c r="E383" t="s">
        <v>147</v>
      </c>
      <c r="F383" t="s">
        <v>99</v>
      </c>
    </row>
    <row r="384" spans="1:6" x14ac:dyDescent="0.3">
      <c r="A384" t="s">
        <v>36</v>
      </c>
      <c r="B384" t="s">
        <v>258</v>
      </c>
      <c r="C384">
        <v>1912</v>
      </c>
      <c r="D384" t="s">
        <v>290</v>
      </c>
      <c r="E384" t="s">
        <v>368</v>
      </c>
      <c r="F384" t="s">
        <v>99</v>
      </c>
    </row>
    <row r="385" spans="1:6" x14ac:dyDescent="0.3">
      <c r="A385" t="s">
        <v>36</v>
      </c>
      <c r="B385" t="s">
        <v>260</v>
      </c>
      <c r="C385">
        <v>185</v>
      </c>
      <c r="D385" t="s">
        <v>283</v>
      </c>
      <c r="E385" t="s">
        <v>346</v>
      </c>
      <c r="F385" t="s">
        <v>99</v>
      </c>
    </row>
    <row r="386" spans="1:6" x14ac:dyDescent="0.3">
      <c r="A386" t="s">
        <v>34</v>
      </c>
      <c r="B386" t="s">
        <v>258</v>
      </c>
      <c r="C386">
        <v>1122</v>
      </c>
      <c r="D386" t="s">
        <v>483</v>
      </c>
      <c r="E386" t="s">
        <v>319</v>
      </c>
      <c r="F386" t="s">
        <v>99</v>
      </c>
    </row>
    <row r="387" spans="1:6" x14ac:dyDescent="0.3">
      <c r="A387" t="s">
        <v>34</v>
      </c>
      <c r="B387" t="s">
        <v>260</v>
      </c>
      <c r="C387">
        <v>684</v>
      </c>
      <c r="D387" t="s">
        <v>484</v>
      </c>
      <c r="E387" t="s">
        <v>485</v>
      </c>
      <c r="F387" t="s">
        <v>198</v>
      </c>
    </row>
    <row r="388" spans="1:6" x14ac:dyDescent="0.3">
      <c r="A388" t="s">
        <v>33</v>
      </c>
      <c r="B388" t="s">
        <v>258</v>
      </c>
      <c r="C388">
        <v>1827</v>
      </c>
      <c r="D388" t="s">
        <v>433</v>
      </c>
      <c r="E388" t="s">
        <v>434</v>
      </c>
      <c r="F388" t="s">
        <v>99</v>
      </c>
    </row>
    <row r="389" spans="1:6" x14ac:dyDescent="0.3">
      <c r="A389" t="s">
        <v>49</v>
      </c>
      <c r="B389" t="s">
        <v>258</v>
      </c>
      <c r="C389">
        <v>11212</v>
      </c>
      <c r="D389" t="s">
        <v>312</v>
      </c>
      <c r="E389" t="s">
        <v>294</v>
      </c>
      <c r="F389" t="s">
        <v>99</v>
      </c>
    </row>
    <row r="390" spans="1:6" x14ac:dyDescent="0.3">
      <c r="A390" t="s">
        <v>49</v>
      </c>
      <c r="B390" t="s">
        <v>260</v>
      </c>
      <c r="C390">
        <v>1117</v>
      </c>
      <c r="D390" t="s">
        <v>486</v>
      </c>
      <c r="E390" t="s">
        <v>140</v>
      </c>
      <c r="F390" t="s">
        <v>198</v>
      </c>
    </row>
    <row r="392" spans="1:6" x14ac:dyDescent="0.3">
      <c r="A392" t="s">
        <v>487</v>
      </c>
    </row>
    <row r="393" spans="1:6" x14ac:dyDescent="0.3">
      <c r="A393" t="s">
        <v>44</v>
      </c>
      <c r="B393" t="s">
        <v>32</v>
      </c>
      <c r="C393" t="s">
        <v>66</v>
      </c>
      <c r="D393" t="s">
        <v>67</v>
      </c>
      <c r="E393" t="s">
        <v>193</v>
      </c>
    </row>
    <row r="394" spans="1:6" x14ac:dyDescent="0.3">
      <c r="A394" t="s">
        <v>35</v>
      </c>
      <c r="B394">
        <v>204</v>
      </c>
      <c r="C394" t="s">
        <v>456</v>
      </c>
      <c r="D394" t="s">
        <v>455</v>
      </c>
      <c r="E394" t="s">
        <v>99</v>
      </c>
    </row>
    <row r="395" spans="1:6" x14ac:dyDescent="0.3">
      <c r="A395" t="s">
        <v>37</v>
      </c>
      <c r="B395">
        <v>191</v>
      </c>
      <c r="C395" t="s">
        <v>488</v>
      </c>
      <c r="D395" t="s">
        <v>53</v>
      </c>
      <c r="E395" t="s">
        <v>136</v>
      </c>
    </row>
    <row r="396" spans="1:6" x14ac:dyDescent="0.3">
      <c r="A396" t="s">
        <v>36</v>
      </c>
      <c r="B396">
        <v>205</v>
      </c>
      <c r="C396" t="s">
        <v>406</v>
      </c>
      <c r="D396" t="s">
        <v>407</v>
      </c>
      <c r="E396" t="s">
        <v>99</v>
      </c>
    </row>
    <row r="397" spans="1:6" x14ac:dyDescent="0.3">
      <c r="A397" t="s">
        <v>34</v>
      </c>
      <c r="B397">
        <v>272</v>
      </c>
      <c r="C397" t="s">
        <v>474</v>
      </c>
      <c r="D397" t="s">
        <v>337</v>
      </c>
      <c r="E397" t="s">
        <v>99</v>
      </c>
    </row>
    <row r="398" spans="1:6" x14ac:dyDescent="0.3">
      <c r="A398" t="s">
        <v>33</v>
      </c>
      <c r="B398">
        <v>110</v>
      </c>
      <c r="C398" t="s">
        <v>489</v>
      </c>
      <c r="D398" t="s">
        <v>490</v>
      </c>
      <c r="E398" t="s">
        <v>99</v>
      </c>
    </row>
    <row r="399" spans="1:6" x14ac:dyDescent="0.3">
      <c r="A399" t="s">
        <v>49</v>
      </c>
      <c r="B399">
        <v>982</v>
      </c>
      <c r="C399" t="s">
        <v>491</v>
      </c>
      <c r="D399" t="s">
        <v>492</v>
      </c>
      <c r="E399" t="s">
        <v>104</v>
      </c>
    </row>
    <row r="401" spans="1:6" x14ac:dyDescent="0.3">
      <c r="A401" t="s">
        <v>493</v>
      </c>
    </row>
    <row r="402" spans="1:6" x14ac:dyDescent="0.3">
      <c r="A402" t="s">
        <v>44</v>
      </c>
      <c r="B402" t="s">
        <v>361</v>
      </c>
      <c r="C402" t="s">
        <v>32</v>
      </c>
      <c r="D402" t="s">
        <v>66</v>
      </c>
      <c r="E402" t="s">
        <v>67</v>
      </c>
      <c r="F402" t="s">
        <v>193</v>
      </c>
    </row>
    <row r="403" spans="1:6" x14ac:dyDescent="0.3">
      <c r="A403" t="s">
        <v>35</v>
      </c>
      <c r="B403" t="s">
        <v>339</v>
      </c>
      <c r="C403">
        <v>54</v>
      </c>
      <c r="D403" t="s">
        <v>116</v>
      </c>
      <c r="E403" t="s">
        <v>494</v>
      </c>
      <c r="F403" t="s">
        <v>99</v>
      </c>
    </row>
    <row r="404" spans="1:6" x14ac:dyDescent="0.3">
      <c r="A404" t="s">
        <v>35</v>
      </c>
      <c r="B404" t="s">
        <v>340</v>
      </c>
      <c r="C404">
        <v>145</v>
      </c>
      <c r="D404" t="s">
        <v>456</v>
      </c>
      <c r="E404" t="s">
        <v>455</v>
      </c>
      <c r="F404" t="s">
        <v>99</v>
      </c>
    </row>
    <row r="405" spans="1:6" x14ac:dyDescent="0.3">
      <c r="A405" t="s">
        <v>35</v>
      </c>
      <c r="B405" t="s">
        <v>365</v>
      </c>
      <c r="C405">
        <v>5</v>
      </c>
      <c r="D405" t="s">
        <v>495</v>
      </c>
      <c r="E405" t="s">
        <v>496</v>
      </c>
      <c r="F405" t="s">
        <v>99</v>
      </c>
    </row>
    <row r="406" spans="1:6" x14ac:dyDescent="0.3">
      <c r="A406" t="s">
        <v>37</v>
      </c>
      <c r="B406" t="s">
        <v>339</v>
      </c>
      <c r="C406">
        <v>49</v>
      </c>
      <c r="D406" t="s">
        <v>497</v>
      </c>
      <c r="E406" t="s">
        <v>498</v>
      </c>
      <c r="F406" t="s">
        <v>99</v>
      </c>
    </row>
    <row r="407" spans="1:6" x14ac:dyDescent="0.3">
      <c r="A407" t="s">
        <v>37</v>
      </c>
      <c r="B407" t="s">
        <v>340</v>
      </c>
      <c r="C407">
        <v>140</v>
      </c>
      <c r="D407" t="s">
        <v>499</v>
      </c>
      <c r="E407" t="s">
        <v>500</v>
      </c>
      <c r="F407" t="s">
        <v>141</v>
      </c>
    </row>
    <row r="408" spans="1:6" x14ac:dyDescent="0.3">
      <c r="A408" t="s">
        <v>37</v>
      </c>
      <c r="B408" t="s">
        <v>365</v>
      </c>
      <c r="C408">
        <v>2</v>
      </c>
      <c r="D408" t="s">
        <v>99</v>
      </c>
      <c r="E408" t="s">
        <v>211</v>
      </c>
      <c r="F408" t="s">
        <v>99</v>
      </c>
    </row>
    <row r="409" spans="1:6" x14ac:dyDescent="0.3">
      <c r="A409" t="s">
        <v>36</v>
      </c>
      <c r="B409" t="s">
        <v>339</v>
      </c>
      <c r="C409">
        <v>65</v>
      </c>
      <c r="D409" t="s">
        <v>233</v>
      </c>
      <c r="E409" t="s">
        <v>232</v>
      </c>
      <c r="F409" t="s">
        <v>99</v>
      </c>
    </row>
    <row r="410" spans="1:6" x14ac:dyDescent="0.3">
      <c r="A410" t="s">
        <v>36</v>
      </c>
      <c r="B410" t="s">
        <v>340</v>
      </c>
      <c r="C410">
        <v>134</v>
      </c>
      <c r="D410" t="s">
        <v>501</v>
      </c>
      <c r="E410" t="s">
        <v>502</v>
      </c>
      <c r="F410" t="s">
        <v>99</v>
      </c>
    </row>
    <row r="411" spans="1:6" x14ac:dyDescent="0.3">
      <c r="A411" t="s">
        <v>36</v>
      </c>
      <c r="B411" t="s">
        <v>365</v>
      </c>
      <c r="C411">
        <v>6</v>
      </c>
      <c r="D411" t="s">
        <v>503</v>
      </c>
      <c r="E411" t="s">
        <v>504</v>
      </c>
      <c r="F411" t="s">
        <v>99</v>
      </c>
    </row>
    <row r="412" spans="1:6" x14ac:dyDescent="0.3">
      <c r="A412" t="s">
        <v>34</v>
      </c>
      <c r="B412" t="s">
        <v>339</v>
      </c>
      <c r="C412">
        <v>89</v>
      </c>
      <c r="D412" t="s">
        <v>147</v>
      </c>
      <c r="E412" t="s">
        <v>398</v>
      </c>
      <c r="F412" t="s">
        <v>99</v>
      </c>
    </row>
    <row r="413" spans="1:6" x14ac:dyDescent="0.3">
      <c r="A413" t="s">
        <v>34</v>
      </c>
      <c r="B413" t="s">
        <v>340</v>
      </c>
      <c r="C413">
        <v>176</v>
      </c>
      <c r="D413" t="s">
        <v>98</v>
      </c>
      <c r="E413" t="s">
        <v>505</v>
      </c>
      <c r="F413" t="s">
        <v>99</v>
      </c>
    </row>
    <row r="414" spans="1:6" x14ac:dyDescent="0.3">
      <c r="A414" t="s">
        <v>34</v>
      </c>
      <c r="B414" t="s">
        <v>365</v>
      </c>
      <c r="C414">
        <v>7</v>
      </c>
      <c r="D414" t="s">
        <v>99</v>
      </c>
      <c r="E414" t="s">
        <v>211</v>
      </c>
      <c r="F414" t="s">
        <v>99</v>
      </c>
    </row>
    <row r="415" spans="1:6" s="5" customFormat="1" x14ac:dyDescent="0.3">
      <c r="A415" s="5" t="s">
        <v>33</v>
      </c>
      <c r="B415" s="5" t="s">
        <v>339</v>
      </c>
      <c r="C415" s="5">
        <v>24</v>
      </c>
      <c r="D415" s="5" t="s">
        <v>440</v>
      </c>
      <c r="E415" s="5" t="s">
        <v>439</v>
      </c>
      <c r="F415" s="5" t="s">
        <v>99</v>
      </c>
    </row>
    <row r="416" spans="1:6" x14ac:dyDescent="0.3">
      <c r="A416" t="s">
        <v>33</v>
      </c>
      <c r="B416" t="s">
        <v>340</v>
      </c>
      <c r="C416">
        <v>85</v>
      </c>
      <c r="D416" t="s">
        <v>506</v>
      </c>
      <c r="E416" t="s">
        <v>507</v>
      </c>
      <c r="F416" t="s">
        <v>99</v>
      </c>
    </row>
    <row r="417" spans="1:6" x14ac:dyDescent="0.3">
      <c r="A417" t="s">
        <v>33</v>
      </c>
      <c r="B417" t="s">
        <v>365</v>
      </c>
      <c r="C417">
        <v>1</v>
      </c>
      <c r="D417" t="s">
        <v>99</v>
      </c>
      <c r="E417" t="s">
        <v>211</v>
      </c>
      <c r="F417" t="s">
        <v>99</v>
      </c>
    </row>
    <row r="418" spans="1:6" x14ac:dyDescent="0.3">
      <c r="A418" t="s">
        <v>49</v>
      </c>
      <c r="B418" t="s">
        <v>339</v>
      </c>
      <c r="C418">
        <v>281</v>
      </c>
      <c r="D418" t="s">
        <v>38</v>
      </c>
      <c r="E418" t="s">
        <v>460</v>
      </c>
      <c r="F418" t="s">
        <v>99</v>
      </c>
    </row>
    <row r="419" spans="1:6" x14ac:dyDescent="0.3">
      <c r="A419" t="s">
        <v>49</v>
      </c>
      <c r="B419" t="s">
        <v>340</v>
      </c>
      <c r="C419">
        <v>680</v>
      </c>
      <c r="D419" t="s">
        <v>508</v>
      </c>
      <c r="E419" t="s">
        <v>509</v>
      </c>
      <c r="F419" t="s">
        <v>104</v>
      </c>
    </row>
    <row r="420" spans="1:6" x14ac:dyDescent="0.3">
      <c r="A420" t="s">
        <v>49</v>
      </c>
      <c r="B420" t="s">
        <v>365</v>
      </c>
      <c r="C420">
        <v>21</v>
      </c>
      <c r="D420" t="s">
        <v>373</v>
      </c>
      <c r="E420" t="s">
        <v>374</v>
      </c>
      <c r="F420" t="s">
        <v>99</v>
      </c>
    </row>
    <row r="422" spans="1:6" x14ac:dyDescent="0.3">
      <c r="A422" t="s">
        <v>510</v>
      </c>
    </row>
    <row r="423" spans="1:6" x14ac:dyDescent="0.3">
      <c r="A423" t="s">
        <v>44</v>
      </c>
      <c r="B423" t="s">
        <v>209</v>
      </c>
      <c r="C423" t="s">
        <v>32</v>
      </c>
      <c r="D423" t="s">
        <v>67</v>
      </c>
      <c r="E423" t="s">
        <v>66</v>
      </c>
      <c r="F423" t="s">
        <v>193</v>
      </c>
    </row>
    <row r="424" spans="1:6" x14ac:dyDescent="0.3">
      <c r="A424" t="s">
        <v>35</v>
      </c>
      <c r="B424" t="s">
        <v>210</v>
      </c>
      <c r="C424">
        <v>136</v>
      </c>
      <c r="D424" t="s">
        <v>211</v>
      </c>
      <c r="E424" t="s">
        <v>99</v>
      </c>
      <c r="F424" t="s">
        <v>99</v>
      </c>
    </row>
    <row r="425" spans="1:6" x14ac:dyDescent="0.3">
      <c r="A425" t="s">
        <v>35</v>
      </c>
      <c r="B425" t="s">
        <v>212</v>
      </c>
      <c r="C425">
        <v>68</v>
      </c>
      <c r="D425" t="s">
        <v>99</v>
      </c>
      <c r="E425" t="s">
        <v>211</v>
      </c>
      <c r="F425" t="s">
        <v>99</v>
      </c>
    </row>
    <row r="426" spans="1:6" x14ac:dyDescent="0.3">
      <c r="A426" t="s">
        <v>37</v>
      </c>
      <c r="B426" t="s">
        <v>210</v>
      </c>
      <c r="C426">
        <v>138</v>
      </c>
      <c r="D426" t="s">
        <v>211</v>
      </c>
      <c r="E426" t="s">
        <v>99</v>
      </c>
      <c r="F426" t="s">
        <v>99</v>
      </c>
    </row>
    <row r="427" spans="1:6" x14ac:dyDescent="0.3">
      <c r="A427" t="s">
        <v>37</v>
      </c>
      <c r="B427" t="s">
        <v>212</v>
      </c>
      <c r="C427">
        <v>53</v>
      </c>
      <c r="D427" t="s">
        <v>99</v>
      </c>
      <c r="E427" t="s">
        <v>229</v>
      </c>
      <c r="F427" t="s">
        <v>126</v>
      </c>
    </row>
    <row r="428" spans="1:6" x14ac:dyDescent="0.3">
      <c r="A428" t="s">
        <v>36</v>
      </c>
      <c r="B428" t="s">
        <v>210</v>
      </c>
      <c r="C428">
        <v>165</v>
      </c>
      <c r="D428" t="s">
        <v>211</v>
      </c>
      <c r="E428" t="s">
        <v>99</v>
      </c>
      <c r="F428" t="s">
        <v>99</v>
      </c>
    </row>
    <row r="429" spans="1:6" x14ac:dyDescent="0.3">
      <c r="A429" t="s">
        <v>36</v>
      </c>
      <c r="B429" t="s">
        <v>212</v>
      </c>
      <c r="C429">
        <v>40</v>
      </c>
      <c r="D429" t="s">
        <v>99</v>
      </c>
      <c r="E429" t="s">
        <v>211</v>
      </c>
      <c r="F429" t="s">
        <v>99</v>
      </c>
    </row>
    <row r="430" spans="1:6" x14ac:dyDescent="0.3">
      <c r="A430" t="s">
        <v>34</v>
      </c>
      <c r="B430" t="s">
        <v>210</v>
      </c>
      <c r="C430">
        <v>256</v>
      </c>
      <c r="D430" t="s">
        <v>211</v>
      </c>
      <c r="E430" t="s">
        <v>99</v>
      </c>
      <c r="F430" t="s">
        <v>99</v>
      </c>
    </row>
    <row r="431" spans="1:6" s="5" customFormat="1" x14ac:dyDescent="0.3">
      <c r="A431" s="5" t="s">
        <v>34</v>
      </c>
      <c r="B431" s="5" t="s">
        <v>212</v>
      </c>
      <c r="C431" s="5">
        <v>16</v>
      </c>
      <c r="D431" s="5" t="s">
        <v>99</v>
      </c>
      <c r="E431" s="5" t="s">
        <v>211</v>
      </c>
      <c r="F431" s="5" t="s">
        <v>99</v>
      </c>
    </row>
    <row r="432" spans="1:6" x14ac:dyDescent="0.3">
      <c r="A432" t="s">
        <v>33</v>
      </c>
      <c r="B432" t="s">
        <v>210</v>
      </c>
      <c r="C432">
        <v>68</v>
      </c>
      <c r="D432" t="s">
        <v>211</v>
      </c>
      <c r="E432" t="s">
        <v>99</v>
      </c>
      <c r="F432" t="s">
        <v>99</v>
      </c>
    </row>
    <row r="433" spans="1:6" x14ac:dyDescent="0.3">
      <c r="A433" t="s">
        <v>33</v>
      </c>
      <c r="B433" t="s">
        <v>212</v>
      </c>
      <c r="C433">
        <v>42</v>
      </c>
      <c r="D433" t="s">
        <v>99</v>
      </c>
      <c r="E433" t="s">
        <v>211</v>
      </c>
      <c r="F433" t="s">
        <v>99</v>
      </c>
    </row>
    <row r="434" spans="1:6" x14ac:dyDescent="0.3">
      <c r="A434" t="s">
        <v>49</v>
      </c>
      <c r="B434" t="s">
        <v>210</v>
      </c>
      <c r="C434">
        <v>763</v>
      </c>
      <c r="D434" t="s">
        <v>211</v>
      </c>
      <c r="E434" t="s">
        <v>99</v>
      </c>
      <c r="F434" t="s">
        <v>99</v>
      </c>
    </row>
    <row r="435" spans="1:6" x14ac:dyDescent="0.3">
      <c r="A435" t="s">
        <v>49</v>
      </c>
      <c r="B435" t="s">
        <v>212</v>
      </c>
      <c r="C435">
        <v>219</v>
      </c>
      <c r="D435" t="s">
        <v>99</v>
      </c>
      <c r="E435" t="s">
        <v>511</v>
      </c>
      <c r="F435" t="s">
        <v>136</v>
      </c>
    </row>
    <row r="437" spans="1:6" x14ac:dyDescent="0.3">
      <c r="A437" t="s">
        <v>512</v>
      </c>
    </row>
    <row r="438" spans="1:6" x14ac:dyDescent="0.3">
      <c r="A438" t="s">
        <v>44</v>
      </c>
      <c r="B438" t="s">
        <v>388</v>
      </c>
      <c r="C438" t="s">
        <v>32</v>
      </c>
      <c r="D438" t="s">
        <v>66</v>
      </c>
      <c r="E438" t="s">
        <v>67</v>
      </c>
      <c r="F438" t="s">
        <v>193</v>
      </c>
    </row>
    <row r="439" spans="1:6" x14ac:dyDescent="0.3">
      <c r="A439" t="s">
        <v>35</v>
      </c>
      <c r="B439" t="s">
        <v>389</v>
      </c>
      <c r="C439">
        <v>144</v>
      </c>
      <c r="D439" t="s">
        <v>513</v>
      </c>
      <c r="E439" t="s">
        <v>514</v>
      </c>
      <c r="F439" t="s">
        <v>99</v>
      </c>
    </row>
    <row r="440" spans="1:6" x14ac:dyDescent="0.3">
      <c r="A440" t="s">
        <v>35</v>
      </c>
      <c r="B440" t="s">
        <v>390</v>
      </c>
      <c r="C440">
        <v>50</v>
      </c>
      <c r="D440" t="s">
        <v>515</v>
      </c>
      <c r="E440" t="s">
        <v>516</v>
      </c>
      <c r="F440" t="s">
        <v>99</v>
      </c>
    </row>
    <row r="441" spans="1:6" x14ac:dyDescent="0.3">
      <c r="A441" t="s">
        <v>35</v>
      </c>
      <c r="B441" t="s">
        <v>365</v>
      </c>
      <c r="C441">
        <v>10</v>
      </c>
      <c r="D441" t="s">
        <v>254</v>
      </c>
      <c r="E441" t="s">
        <v>414</v>
      </c>
      <c r="F441" t="s">
        <v>99</v>
      </c>
    </row>
    <row r="442" spans="1:6" x14ac:dyDescent="0.3">
      <c r="A442" t="s">
        <v>37</v>
      </c>
      <c r="B442" t="s">
        <v>389</v>
      </c>
      <c r="C442">
        <v>116</v>
      </c>
      <c r="D442" t="s">
        <v>517</v>
      </c>
      <c r="E442" t="s">
        <v>518</v>
      </c>
      <c r="F442" t="s">
        <v>115</v>
      </c>
    </row>
    <row r="443" spans="1:6" x14ac:dyDescent="0.3">
      <c r="A443" t="s">
        <v>37</v>
      </c>
      <c r="B443" t="s">
        <v>390</v>
      </c>
      <c r="C443">
        <v>68</v>
      </c>
      <c r="D443" t="s">
        <v>519</v>
      </c>
      <c r="E443" t="s">
        <v>520</v>
      </c>
      <c r="F443" t="s">
        <v>99</v>
      </c>
    </row>
    <row r="444" spans="1:6" x14ac:dyDescent="0.3">
      <c r="A444" t="s">
        <v>37</v>
      </c>
      <c r="B444" t="s">
        <v>365</v>
      </c>
      <c r="C444">
        <v>7</v>
      </c>
      <c r="D444" t="s">
        <v>521</v>
      </c>
      <c r="E444" t="s">
        <v>522</v>
      </c>
      <c r="F444" t="s">
        <v>99</v>
      </c>
    </row>
    <row r="445" spans="1:6" x14ac:dyDescent="0.3">
      <c r="A445" t="s">
        <v>36</v>
      </c>
      <c r="B445" t="s">
        <v>389</v>
      </c>
      <c r="C445">
        <v>144</v>
      </c>
      <c r="D445" t="s">
        <v>440</v>
      </c>
      <c r="E445" t="s">
        <v>439</v>
      </c>
      <c r="F445" t="s">
        <v>99</v>
      </c>
    </row>
    <row r="446" spans="1:6" x14ac:dyDescent="0.3">
      <c r="A446" t="s">
        <v>36</v>
      </c>
      <c r="B446" t="s">
        <v>390</v>
      </c>
      <c r="C446">
        <v>49</v>
      </c>
      <c r="D446" t="s">
        <v>523</v>
      </c>
      <c r="E446" t="s">
        <v>524</v>
      </c>
      <c r="F446" t="s">
        <v>99</v>
      </c>
    </row>
    <row r="447" spans="1:6" x14ac:dyDescent="0.3">
      <c r="A447" t="s">
        <v>36</v>
      </c>
      <c r="B447" t="s">
        <v>365</v>
      </c>
      <c r="C447">
        <v>12</v>
      </c>
      <c r="D447" t="s">
        <v>105</v>
      </c>
      <c r="E447" t="s">
        <v>384</v>
      </c>
      <c r="F447" t="s">
        <v>99</v>
      </c>
    </row>
    <row r="448" spans="1:6" x14ac:dyDescent="0.3">
      <c r="A448" t="s">
        <v>34</v>
      </c>
      <c r="B448" t="s">
        <v>389</v>
      </c>
      <c r="C448">
        <v>192</v>
      </c>
      <c r="D448" t="s">
        <v>474</v>
      </c>
      <c r="E448" t="s">
        <v>337</v>
      </c>
      <c r="F448" t="s">
        <v>99</v>
      </c>
    </row>
    <row r="449" spans="1:6" x14ac:dyDescent="0.3">
      <c r="A449" t="s">
        <v>34</v>
      </c>
      <c r="B449" t="s">
        <v>390</v>
      </c>
      <c r="C449">
        <v>68</v>
      </c>
      <c r="D449" t="s">
        <v>412</v>
      </c>
      <c r="E449" t="s">
        <v>413</v>
      </c>
      <c r="F449" t="s">
        <v>99</v>
      </c>
    </row>
    <row r="450" spans="1:6" x14ac:dyDescent="0.3">
      <c r="A450" t="s">
        <v>34</v>
      </c>
      <c r="B450" t="s">
        <v>365</v>
      </c>
      <c r="C450">
        <v>12</v>
      </c>
      <c r="D450" t="s">
        <v>99</v>
      </c>
      <c r="E450" t="s">
        <v>211</v>
      </c>
      <c r="F450" t="s">
        <v>99</v>
      </c>
    </row>
    <row r="451" spans="1:6" x14ac:dyDescent="0.3">
      <c r="A451" t="s">
        <v>33</v>
      </c>
      <c r="B451" t="s">
        <v>389</v>
      </c>
      <c r="C451">
        <v>61</v>
      </c>
      <c r="D451" t="s">
        <v>525</v>
      </c>
      <c r="E451" t="s">
        <v>526</v>
      </c>
      <c r="F451" t="s">
        <v>99</v>
      </c>
    </row>
    <row r="452" spans="1:6" x14ac:dyDescent="0.3">
      <c r="A452" t="s">
        <v>33</v>
      </c>
      <c r="B452" t="s">
        <v>390</v>
      </c>
      <c r="C452">
        <v>45</v>
      </c>
      <c r="D452" t="s">
        <v>527</v>
      </c>
      <c r="E452" t="s">
        <v>528</v>
      </c>
      <c r="F452" t="s">
        <v>99</v>
      </c>
    </row>
    <row r="453" spans="1:6" x14ac:dyDescent="0.3">
      <c r="A453" t="s">
        <v>33</v>
      </c>
      <c r="B453" t="s">
        <v>365</v>
      </c>
      <c r="C453">
        <v>4</v>
      </c>
      <c r="D453" t="s">
        <v>506</v>
      </c>
      <c r="E453" t="s">
        <v>507</v>
      </c>
      <c r="F453" t="s">
        <v>99</v>
      </c>
    </row>
    <row r="454" spans="1:6" x14ac:dyDescent="0.3">
      <c r="A454" t="s">
        <v>49</v>
      </c>
      <c r="B454" t="s">
        <v>389</v>
      </c>
      <c r="C454">
        <v>657</v>
      </c>
      <c r="D454" t="s">
        <v>432</v>
      </c>
      <c r="E454" t="s">
        <v>431</v>
      </c>
      <c r="F454" t="s">
        <v>104</v>
      </c>
    </row>
    <row r="455" spans="1:6" x14ac:dyDescent="0.3">
      <c r="A455" t="s">
        <v>49</v>
      </c>
      <c r="B455" t="s">
        <v>390</v>
      </c>
      <c r="C455">
        <v>280</v>
      </c>
      <c r="D455" t="s">
        <v>529</v>
      </c>
      <c r="E455" t="s">
        <v>530</v>
      </c>
      <c r="F455" t="s">
        <v>99</v>
      </c>
    </row>
    <row r="456" spans="1:6" x14ac:dyDescent="0.3">
      <c r="A456" t="s">
        <v>49</v>
      </c>
      <c r="B456" t="s">
        <v>365</v>
      </c>
      <c r="C456">
        <v>45</v>
      </c>
      <c r="D456" t="s">
        <v>133</v>
      </c>
      <c r="E456" t="s">
        <v>169</v>
      </c>
      <c r="F456" t="s">
        <v>99</v>
      </c>
    </row>
    <row r="458" spans="1:6" x14ac:dyDescent="0.3">
      <c r="A458" t="s">
        <v>531</v>
      </c>
    </row>
    <row r="459" spans="1:6" x14ac:dyDescent="0.3">
      <c r="A459" t="s">
        <v>44</v>
      </c>
      <c r="B459" t="s">
        <v>235</v>
      </c>
      <c r="C459" t="s">
        <v>32</v>
      </c>
      <c r="D459" t="s">
        <v>66</v>
      </c>
      <c r="E459" t="s">
        <v>67</v>
      </c>
      <c r="F459" t="s">
        <v>193</v>
      </c>
    </row>
    <row r="460" spans="1:6" x14ac:dyDescent="0.3">
      <c r="A460" t="s">
        <v>35</v>
      </c>
      <c r="B460" t="s">
        <v>236</v>
      </c>
      <c r="C460">
        <v>93</v>
      </c>
      <c r="D460" t="s">
        <v>532</v>
      </c>
      <c r="E460" t="s">
        <v>533</v>
      </c>
      <c r="F460" t="s">
        <v>99</v>
      </c>
    </row>
    <row r="461" spans="1:6" x14ac:dyDescent="0.3">
      <c r="A461" t="s">
        <v>35</v>
      </c>
      <c r="B461" t="s">
        <v>238</v>
      </c>
      <c r="C461">
        <v>111</v>
      </c>
      <c r="D461" t="s">
        <v>342</v>
      </c>
      <c r="E461" t="s">
        <v>343</v>
      </c>
      <c r="F461" t="s">
        <v>99</v>
      </c>
    </row>
    <row r="462" spans="1:6" x14ac:dyDescent="0.3">
      <c r="A462" t="s">
        <v>37</v>
      </c>
      <c r="B462" t="s">
        <v>236</v>
      </c>
      <c r="C462">
        <v>66</v>
      </c>
      <c r="D462" t="s">
        <v>485</v>
      </c>
      <c r="E462" t="s">
        <v>297</v>
      </c>
      <c r="F462" t="s">
        <v>99</v>
      </c>
    </row>
    <row r="463" spans="1:6" x14ac:dyDescent="0.3">
      <c r="A463" t="s">
        <v>37</v>
      </c>
      <c r="B463" t="s">
        <v>238</v>
      </c>
      <c r="C463">
        <v>125</v>
      </c>
      <c r="D463" t="s">
        <v>534</v>
      </c>
      <c r="E463" t="s">
        <v>535</v>
      </c>
      <c r="F463" t="s">
        <v>253</v>
      </c>
    </row>
    <row r="464" spans="1:6" x14ac:dyDescent="0.3">
      <c r="A464" t="s">
        <v>36</v>
      </c>
      <c r="B464" t="s">
        <v>236</v>
      </c>
      <c r="C464">
        <v>107</v>
      </c>
      <c r="D464" t="s">
        <v>536</v>
      </c>
      <c r="E464" t="s">
        <v>537</v>
      </c>
      <c r="F464" t="s">
        <v>99</v>
      </c>
    </row>
    <row r="465" spans="1:6" x14ac:dyDescent="0.3">
      <c r="A465" t="s">
        <v>36</v>
      </c>
      <c r="B465" t="s">
        <v>238</v>
      </c>
      <c r="C465">
        <v>98</v>
      </c>
      <c r="D465" t="s">
        <v>167</v>
      </c>
      <c r="E465" t="s">
        <v>168</v>
      </c>
      <c r="F465" t="s">
        <v>99</v>
      </c>
    </row>
    <row r="466" spans="1:6" x14ac:dyDescent="0.3">
      <c r="A466" t="s">
        <v>34</v>
      </c>
      <c r="B466" t="s">
        <v>236</v>
      </c>
      <c r="C466">
        <v>67</v>
      </c>
      <c r="D466" t="s">
        <v>41</v>
      </c>
      <c r="E466" t="s">
        <v>421</v>
      </c>
      <c r="F466" t="s">
        <v>99</v>
      </c>
    </row>
    <row r="467" spans="1:6" x14ac:dyDescent="0.3">
      <c r="A467" t="s">
        <v>34</v>
      </c>
      <c r="B467" t="s">
        <v>238</v>
      </c>
      <c r="C467">
        <v>205</v>
      </c>
      <c r="D467" t="s">
        <v>105</v>
      </c>
      <c r="E467" t="s">
        <v>384</v>
      </c>
      <c r="F467" t="s">
        <v>99</v>
      </c>
    </row>
    <row r="468" spans="1:6" x14ac:dyDescent="0.3">
      <c r="A468" t="s">
        <v>33</v>
      </c>
      <c r="B468" t="s">
        <v>236</v>
      </c>
      <c r="C468">
        <v>57</v>
      </c>
      <c r="D468" t="s">
        <v>538</v>
      </c>
      <c r="E468" t="s">
        <v>539</v>
      </c>
      <c r="F468" t="s">
        <v>99</v>
      </c>
    </row>
    <row r="469" spans="1:6" x14ac:dyDescent="0.3">
      <c r="A469" t="s">
        <v>33</v>
      </c>
      <c r="B469" t="s">
        <v>238</v>
      </c>
      <c r="C469">
        <v>53</v>
      </c>
      <c r="D469" t="s">
        <v>58</v>
      </c>
      <c r="E469" t="s">
        <v>57</v>
      </c>
      <c r="F469" t="s">
        <v>99</v>
      </c>
    </row>
    <row r="470" spans="1:6" x14ac:dyDescent="0.3">
      <c r="A470" t="s">
        <v>49</v>
      </c>
      <c r="B470" t="s">
        <v>236</v>
      </c>
      <c r="C470">
        <v>390</v>
      </c>
      <c r="D470" t="s">
        <v>540</v>
      </c>
      <c r="E470" t="s">
        <v>541</v>
      </c>
      <c r="F470" t="s">
        <v>99</v>
      </c>
    </row>
    <row r="471" spans="1:6" x14ac:dyDescent="0.3">
      <c r="A471" t="s">
        <v>49</v>
      </c>
      <c r="B471" t="s">
        <v>238</v>
      </c>
      <c r="C471">
        <v>592</v>
      </c>
      <c r="D471" t="s">
        <v>542</v>
      </c>
      <c r="E471" t="s">
        <v>543</v>
      </c>
      <c r="F471" t="s">
        <v>104</v>
      </c>
    </row>
    <row r="473" spans="1:6" x14ac:dyDescent="0.3">
      <c r="A473" t="s">
        <v>544</v>
      </c>
    </row>
    <row r="474" spans="1:6" x14ac:dyDescent="0.3">
      <c r="A474" t="s">
        <v>44</v>
      </c>
      <c r="B474" t="s">
        <v>257</v>
      </c>
      <c r="C474" t="s">
        <v>32</v>
      </c>
      <c r="D474" t="s">
        <v>66</v>
      </c>
      <c r="E474" t="s">
        <v>67</v>
      </c>
      <c r="F474" t="s">
        <v>193</v>
      </c>
    </row>
    <row r="475" spans="1:6" x14ac:dyDescent="0.3">
      <c r="A475" t="s">
        <v>35</v>
      </c>
      <c r="B475" t="s">
        <v>258</v>
      </c>
      <c r="C475">
        <v>181</v>
      </c>
      <c r="D475" t="s">
        <v>545</v>
      </c>
      <c r="E475" t="s">
        <v>546</v>
      </c>
      <c r="F475" t="s">
        <v>99</v>
      </c>
    </row>
    <row r="476" spans="1:6" s="5" customFormat="1" x14ac:dyDescent="0.3">
      <c r="A476" s="5" t="s">
        <v>35</v>
      </c>
      <c r="B476" s="5" t="s">
        <v>260</v>
      </c>
      <c r="C476" s="5">
        <v>23</v>
      </c>
      <c r="D476" s="5" t="s">
        <v>303</v>
      </c>
      <c r="E476" s="5" t="s">
        <v>547</v>
      </c>
      <c r="F476" s="5" t="s">
        <v>99</v>
      </c>
    </row>
    <row r="477" spans="1:6" x14ac:dyDescent="0.3">
      <c r="A477" t="s">
        <v>37</v>
      </c>
      <c r="B477" t="s">
        <v>258</v>
      </c>
      <c r="C477">
        <v>191</v>
      </c>
      <c r="D477" t="s">
        <v>488</v>
      </c>
      <c r="E477" t="s">
        <v>53</v>
      </c>
      <c r="F477" t="s">
        <v>136</v>
      </c>
    </row>
    <row r="478" spans="1:6" x14ac:dyDescent="0.3">
      <c r="A478" t="s">
        <v>36</v>
      </c>
      <c r="B478" t="s">
        <v>258</v>
      </c>
      <c r="C478">
        <v>187</v>
      </c>
      <c r="D478" t="s">
        <v>444</v>
      </c>
      <c r="E478" t="s">
        <v>443</v>
      </c>
      <c r="F478" t="s">
        <v>99</v>
      </c>
    </row>
    <row r="479" spans="1:6" s="5" customFormat="1" x14ac:dyDescent="0.3">
      <c r="A479" s="5" t="s">
        <v>36</v>
      </c>
      <c r="B479" s="5" t="s">
        <v>260</v>
      </c>
      <c r="C479" s="5">
        <v>18</v>
      </c>
      <c r="D479" s="5" t="s">
        <v>163</v>
      </c>
      <c r="E479" s="5" t="s">
        <v>164</v>
      </c>
      <c r="F479" s="5" t="s">
        <v>99</v>
      </c>
    </row>
    <row r="480" spans="1:6" x14ac:dyDescent="0.3">
      <c r="A480" t="s">
        <v>34</v>
      </c>
      <c r="B480" t="s">
        <v>258</v>
      </c>
      <c r="C480">
        <v>99</v>
      </c>
      <c r="D480" t="s">
        <v>405</v>
      </c>
      <c r="E480" t="s">
        <v>422</v>
      </c>
      <c r="F480" t="s">
        <v>99</v>
      </c>
    </row>
    <row r="481" spans="1:7" x14ac:dyDescent="0.3">
      <c r="A481" t="s">
        <v>34</v>
      </c>
      <c r="B481" t="s">
        <v>260</v>
      </c>
      <c r="C481">
        <v>173</v>
      </c>
      <c r="D481" t="s">
        <v>138</v>
      </c>
      <c r="E481" t="s">
        <v>336</v>
      </c>
      <c r="F481" t="s">
        <v>99</v>
      </c>
    </row>
    <row r="482" spans="1:7" x14ac:dyDescent="0.3">
      <c r="A482" t="s">
        <v>33</v>
      </c>
      <c r="B482" t="s">
        <v>258</v>
      </c>
      <c r="C482">
        <v>110</v>
      </c>
      <c r="D482" t="s">
        <v>489</v>
      </c>
      <c r="E482" t="s">
        <v>490</v>
      </c>
      <c r="F482" t="s">
        <v>99</v>
      </c>
    </row>
    <row r="483" spans="1:7" x14ac:dyDescent="0.3">
      <c r="A483" t="s">
        <v>49</v>
      </c>
      <c r="B483" t="s">
        <v>258</v>
      </c>
      <c r="C483">
        <v>768</v>
      </c>
      <c r="D483" t="s">
        <v>137</v>
      </c>
      <c r="E483" t="s">
        <v>53</v>
      </c>
      <c r="F483" t="s">
        <v>104</v>
      </c>
    </row>
    <row r="484" spans="1:7" x14ac:dyDescent="0.3">
      <c r="A484" t="s">
        <v>49</v>
      </c>
      <c r="B484" t="s">
        <v>260</v>
      </c>
      <c r="C484">
        <v>214</v>
      </c>
      <c r="D484" t="s">
        <v>139</v>
      </c>
      <c r="E484" t="s">
        <v>367</v>
      </c>
      <c r="F484" t="s">
        <v>99</v>
      </c>
    </row>
    <row r="486" spans="1:7" x14ac:dyDescent="0.3">
      <c r="A486" t="s">
        <v>548</v>
      </c>
    </row>
    <row r="487" spans="1:7" x14ac:dyDescent="0.3">
      <c r="A487" t="s">
        <v>44</v>
      </c>
      <c r="B487" t="s">
        <v>32</v>
      </c>
      <c r="C487" t="s">
        <v>66</v>
      </c>
      <c r="D487" t="s">
        <v>67</v>
      </c>
      <c r="E487" t="s">
        <v>352</v>
      </c>
      <c r="F487" t="s">
        <v>193</v>
      </c>
    </row>
    <row r="488" spans="1:7" x14ac:dyDescent="0.3">
      <c r="A488" t="s">
        <v>35</v>
      </c>
      <c r="B488">
        <v>703</v>
      </c>
      <c r="C488" t="s">
        <v>549</v>
      </c>
      <c r="D488" t="s">
        <v>550</v>
      </c>
      <c r="E488" t="s">
        <v>99</v>
      </c>
      <c r="F488" t="s">
        <v>104</v>
      </c>
    </row>
    <row r="489" spans="1:7" x14ac:dyDescent="0.3">
      <c r="A489" t="s">
        <v>37</v>
      </c>
      <c r="B489">
        <v>249</v>
      </c>
      <c r="C489" t="s">
        <v>551</v>
      </c>
      <c r="D489" t="s">
        <v>552</v>
      </c>
      <c r="E489" t="s">
        <v>99</v>
      </c>
      <c r="F489" t="s">
        <v>99</v>
      </c>
    </row>
    <row r="490" spans="1:7" x14ac:dyDescent="0.3">
      <c r="A490" t="s">
        <v>36</v>
      </c>
      <c r="B490">
        <v>430</v>
      </c>
      <c r="C490" t="s">
        <v>553</v>
      </c>
      <c r="D490" t="s">
        <v>554</v>
      </c>
      <c r="E490" t="s">
        <v>207</v>
      </c>
      <c r="F490" t="s">
        <v>207</v>
      </c>
    </row>
    <row r="491" spans="1:7" x14ac:dyDescent="0.3">
      <c r="A491" t="s">
        <v>34</v>
      </c>
      <c r="B491">
        <v>498</v>
      </c>
      <c r="C491" t="s">
        <v>555</v>
      </c>
      <c r="D491" t="s">
        <v>556</v>
      </c>
      <c r="E491" t="s">
        <v>198</v>
      </c>
      <c r="F491" t="s">
        <v>99</v>
      </c>
    </row>
    <row r="492" spans="1:7" x14ac:dyDescent="0.3">
      <c r="A492" t="s">
        <v>33</v>
      </c>
      <c r="B492">
        <v>137</v>
      </c>
      <c r="C492" t="s">
        <v>557</v>
      </c>
      <c r="D492" t="s">
        <v>558</v>
      </c>
      <c r="E492" t="s">
        <v>99</v>
      </c>
      <c r="F492" t="s">
        <v>99</v>
      </c>
    </row>
    <row r="493" spans="1:7" x14ac:dyDescent="0.3">
      <c r="A493" t="s">
        <v>49</v>
      </c>
      <c r="B493">
        <v>2017</v>
      </c>
      <c r="C493" t="s">
        <v>549</v>
      </c>
      <c r="D493" t="s">
        <v>559</v>
      </c>
      <c r="E493" t="s">
        <v>104</v>
      </c>
      <c r="F493" t="s">
        <v>104</v>
      </c>
    </row>
    <row r="495" spans="1:7" x14ac:dyDescent="0.3">
      <c r="A495" t="s">
        <v>560</v>
      </c>
    </row>
    <row r="496" spans="1:7" x14ac:dyDescent="0.3">
      <c r="A496" t="s">
        <v>44</v>
      </c>
      <c r="B496" t="s">
        <v>361</v>
      </c>
      <c r="C496" t="s">
        <v>32</v>
      </c>
      <c r="D496" t="s">
        <v>66</v>
      </c>
      <c r="E496" t="s">
        <v>67</v>
      </c>
      <c r="F496" t="s">
        <v>352</v>
      </c>
      <c r="G496" t="s">
        <v>193</v>
      </c>
    </row>
    <row r="497" spans="1:7" x14ac:dyDescent="0.3">
      <c r="A497" t="s">
        <v>35</v>
      </c>
      <c r="B497" t="s">
        <v>339</v>
      </c>
      <c r="C497">
        <v>156</v>
      </c>
      <c r="D497" t="s">
        <v>561</v>
      </c>
      <c r="E497" t="s">
        <v>562</v>
      </c>
      <c r="F497" t="s">
        <v>99</v>
      </c>
      <c r="G497" t="s">
        <v>99</v>
      </c>
    </row>
    <row r="498" spans="1:7" x14ac:dyDescent="0.3">
      <c r="A498" t="s">
        <v>35</v>
      </c>
      <c r="B498" t="s">
        <v>340</v>
      </c>
      <c r="C498">
        <v>529</v>
      </c>
      <c r="D498" t="s">
        <v>497</v>
      </c>
      <c r="E498" t="s">
        <v>563</v>
      </c>
      <c r="F498" t="s">
        <v>99</v>
      </c>
      <c r="G498" t="s">
        <v>104</v>
      </c>
    </row>
    <row r="499" spans="1:7" x14ac:dyDescent="0.3">
      <c r="A499" t="s">
        <v>35</v>
      </c>
      <c r="B499" t="s">
        <v>365</v>
      </c>
      <c r="C499">
        <v>18</v>
      </c>
      <c r="D499" t="s">
        <v>116</v>
      </c>
      <c r="E499" t="s">
        <v>494</v>
      </c>
      <c r="F499" t="s">
        <v>99</v>
      </c>
      <c r="G499" t="s">
        <v>99</v>
      </c>
    </row>
    <row r="500" spans="1:7" x14ac:dyDescent="0.3">
      <c r="A500" t="s">
        <v>37</v>
      </c>
      <c r="B500" t="s">
        <v>339</v>
      </c>
      <c r="C500">
        <v>52</v>
      </c>
      <c r="D500" t="s">
        <v>564</v>
      </c>
      <c r="E500" t="s">
        <v>565</v>
      </c>
      <c r="F500" t="s">
        <v>99</v>
      </c>
      <c r="G500" t="s">
        <v>99</v>
      </c>
    </row>
    <row r="501" spans="1:7" x14ac:dyDescent="0.3">
      <c r="A501" t="s">
        <v>37</v>
      </c>
      <c r="B501" t="s">
        <v>340</v>
      </c>
      <c r="C501">
        <v>194</v>
      </c>
      <c r="D501" t="s">
        <v>566</v>
      </c>
      <c r="E501" t="s">
        <v>567</v>
      </c>
      <c r="F501" t="s">
        <v>99</v>
      </c>
      <c r="G501" t="s">
        <v>99</v>
      </c>
    </row>
    <row r="502" spans="1:7" x14ac:dyDescent="0.3">
      <c r="A502" t="s">
        <v>37</v>
      </c>
      <c r="B502" t="s">
        <v>365</v>
      </c>
      <c r="C502">
        <v>3</v>
      </c>
      <c r="D502" t="s">
        <v>517</v>
      </c>
      <c r="E502" t="s">
        <v>568</v>
      </c>
      <c r="F502" t="s">
        <v>99</v>
      </c>
      <c r="G502" t="s">
        <v>99</v>
      </c>
    </row>
    <row r="503" spans="1:7" x14ac:dyDescent="0.3">
      <c r="A503" t="s">
        <v>36</v>
      </c>
      <c r="B503" t="s">
        <v>339</v>
      </c>
      <c r="C503">
        <v>133</v>
      </c>
      <c r="D503" t="s">
        <v>446</v>
      </c>
      <c r="E503" t="s">
        <v>569</v>
      </c>
      <c r="F503" t="s">
        <v>101</v>
      </c>
      <c r="G503" t="s">
        <v>99</v>
      </c>
    </row>
    <row r="504" spans="1:7" x14ac:dyDescent="0.3">
      <c r="A504" t="s">
        <v>36</v>
      </c>
      <c r="B504" t="s">
        <v>340</v>
      </c>
      <c r="C504">
        <v>288</v>
      </c>
      <c r="D504" t="s">
        <v>570</v>
      </c>
      <c r="E504" t="s">
        <v>552</v>
      </c>
      <c r="F504" t="s">
        <v>99</v>
      </c>
      <c r="G504" t="s">
        <v>141</v>
      </c>
    </row>
    <row r="505" spans="1:7" x14ac:dyDescent="0.3">
      <c r="A505" t="s">
        <v>36</v>
      </c>
      <c r="B505" t="s">
        <v>365</v>
      </c>
      <c r="C505">
        <v>9</v>
      </c>
      <c r="D505" t="s">
        <v>298</v>
      </c>
      <c r="E505" t="s">
        <v>371</v>
      </c>
      <c r="F505" t="s">
        <v>99</v>
      </c>
      <c r="G505" t="s">
        <v>99</v>
      </c>
    </row>
    <row r="506" spans="1:7" x14ac:dyDescent="0.3">
      <c r="A506" t="s">
        <v>34</v>
      </c>
      <c r="B506" t="s">
        <v>339</v>
      </c>
      <c r="C506">
        <v>169</v>
      </c>
      <c r="D506" t="s">
        <v>571</v>
      </c>
      <c r="E506" t="s">
        <v>572</v>
      </c>
      <c r="F506" t="s">
        <v>99</v>
      </c>
      <c r="G506" t="s">
        <v>99</v>
      </c>
    </row>
    <row r="507" spans="1:7" x14ac:dyDescent="0.3">
      <c r="A507" t="s">
        <v>34</v>
      </c>
      <c r="B507" t="s">
        <v>340</v>
      </c>
      <c r="C507">
        <v>316</v>
      </c>
      <c r="D507" t="s">
        <v>527</v>
      </c>
      <c r="E507" t="s">
        <v>573</v>
      </c>
      <c r="F507" t="s">
        <v>136</v>
      </c>
      <c r="G507" t="s">
        <v>99</v>
      </c>
    </row>
    <row r="508" spans="1:7" x14ac:dyDescent="0.3">
      <c r="A508" t="s">
        <v>34</v>
      </c>
      <c r="B508" t="s">
        <v>365</v>
      </c>
      <c r="C508">
        <v>13</v>
      </c>
      <c r="D508" t="s">
        <v>574</v>
      </c>
      <c r="E508" t="s">
        <v>575</v>
      </c>
      <c r="F508" t="s">
        <v>99</v>
      </c>
      <c r="G508" t="s">
        <v>99</v>
      </c>
    </row>
    <row r="509" spans="1:7" s="5" customFormat="1" x14ac:dyDescent="0.3">
      <c r="A509" s="5" t="s">
        <v>33</v>
      </c>
      <c r="B509" s="5" t="s">
        <v>339</v>
      </c>
      <c r="C509" s="5">
        <v>27</v>
      </c>
      <c r="D509" s="5" t="s">
        <v>576</v>
      </c>
      <c r="E509" s="5" t="s">
        <v>577</v>
      </c>
      <c r="F509" s="5" t="s">
        <v>99</v>
      </c>
      <c r="G509" s="5" t="s">
        <v>99</v>
      </c>
    </row>
    <row r="510" spans="1:7" x14ac:dyDescent="0.3">
      <c r="A510" t="s">
        <v>33</v>
      </c>
      <c r="B510" t="s">
        <v>340</v>
      </c>
      <c r="C510">
        <v>107</v>
      </c>
      <c r="D510" t="s">
        <v>578</v>
      </c>
      <c r="E510" t="s">
        <v>579</v>
      </c>
      <c r="F510" t="s">
        <v>99</v>
      </c>
      <c r="G510" t="s">
        <v>99</v>
      </c>
    </row>
    <row r="511" spans="1:7" x14ac:dyDescent="0.3">
      <c r="A511" t="s">
        <v>33</v>
      </c>
      <c r="B511" t="s">
        <v>365</v>
      </c>
      <c r="C511">
        <v>3</v>
      </c>
      <c r="D511" t="s">
        <v>580</v>
      </c>
      <c r="E511" t="s">
        <v>581</v>
      </c>
      <c r="F511" t="s">
        <v>99</v>
      </c>
      <c r="G511" t="s">
        <v>99</v>
      </c>
    </row>
    <row r="512" spans="1:7" x14ac:dyDescent="0.3">
      <c r="A512" t="s">
        <v>49</v>
      </c>
      <c r="B512" t="s">
        <v>339</v>
      </c>
      <c r="C512">
        <v>537</v>
      </c>
      <c r="D512" t="s">
        <v>582</v>
      </c>
      <c r="E512" t="s">
        <v>583</v>
      </c>
      <c r="F512" t="s">
        <v>104</v>
      </c>
      <c r="G512" t="s">
        <v>99</v>
      </c>
    </row>
    <row r="513" spans="1:7" x14ac:dyDescent="0.3">
      <c r="A513" t="s">
        <v>49</v>
      </c>
      <c r="B513" t="s">
        <v>340</v>
      </c>
      <c r="C513">
        <v>1434</v>
      </c>
      <c r="D513" t="s">
        <v>584</v>
      </c>
      <c r="E513" t="s">
        <v>585</v>
      </c>
      <c r="F513" t="s">
        <v>104</v>
      </c>
      <c r="G513" t="s">
        <v>104</v>
      </c>
    </row>
    <row r="514" spans="1:7" x14ac:dyDescent="0.3">
      <c r="A514" t="s">
        <v>49</v>
      </c>
      <c r="B514" t="s">
        <v>365</v>
      </c>
      <c r="C514">
        <v>46</v>
      </c>
      <c r="D514" t="s">
        <v>148</v>
      </c>
      <c r="E514" t="s">
        <v>586</v>
      </c>
      <c r="F514" t="s">
        <v>99</v>
      </c>
      <c r="G514" t="s">
        <v>99</v>
      </c>
    </row>
    <row r="516" spans="1:7" x14ac:dyDescent="0.3">
      <c r="A516" t="s">
        <v>587</v>
      </c>
    </row>
    <row r="517" spans="1:7" x14ac:dyDescent="0.3">
      <c r="A517" t="s">
        <v>44</v>
      </c>
      <c r="B517" t="s">
        <v>209</v>
      </c>
      <c r="C517" t="s">
        <v>32</v>
      </c>
      <c r="D517" t="s">
        <v>66</v>
      </c>
      <c r="E517" t="s">
        <v>67</v>
      </c>
      <c r="F517" t="s">
        <v>352</v>
      </c>
      <c r="G517" t="s">
        <v>193</v>
      </c>
    </row>
    <row r="518" spans="1:7" x14ac:dyDescent="0.3">
      <c r="A518" t="s">
        <v>35</v>
      </c>
      <c r="B518" t="s">
        <v>210</v>
      </c>
      <c r="C518">
        <v>136</v>
      </c>
      <c r="D518" t="s">
        <v>588</v>
      </c>
      <c r="E518" t="s">
        <v>589</v>
      </c>
      <c r="F518" t="s">
        <v>99</v>
      </c>
      <c r="G518" t="s">
        <v>141</v>
      </c>
    </row>
    <row r="519" spans="1:7" x14ac:dyDescent="0.3">
      <c r="A519" t="s">
        <v>35</v>
      </c>
      <c r="B519" t="s">
        <v>216</v>
      </c>
      <c r="C519">
        <v>567</v>
      </c>
      <c r="D519" t="s">
        <v>582</v>
      </c>
      <c r="E519" t="s">
        <v>559</v>
      </c>
      <c r="F519" t="s">
        <v>99</v>
      </c>
      <c r="G519" t="s">
        <v>99</v>
      </c>
    </row>
    <row r="520" spans="1:7" x14ac:dyDescent="0.3">
      <c r="A520" t="s">
        <v>37</v>
      </c>
      <c r="B520" t="s">
        <v>210</v>
      </c>
      <c r="C520">
        <v>138</v>
      </c>
      <c r="D520" t="s">
        <v>590</v>
      </c>
      <c r="E520" t="s">
        <v>591</v>
      </c>
      <c r="F520" t="s">
        <v>99</v>
      </c>
      <c r="G520" t="s">
        <v>99</v>
      </c>
    </row>
    <row r="521" spans="1:7" x14ac:dyDescent="0.3">
      <c r="A521" t="s">
        <v>37</v>
      </c>
      <c r="B521" t="s">
        <v>216</v>
      </c>
      <c r="C521">
        <v>111</v>
      </c>
      <c r="D521" t="s">
        <v>592</v>
      </c>
      <c r="E521" t="s">
        <v>593</v>
      </c>
      <c r="F521" t="s">
        <v>99</v>
      </c>
      <c r="G521" t="s">
        <v>99</v>
      </c>
    </row>
    <row r="522" spans="1:7" x14ac:dyDescent="0.3">
      <c r="A522" t="s">
        <v>36</v>
      </c>
      <c r="B522" t="s">
        <v>210</v>
      </c>
      <c r="C522">
        <v>165</v>
      </c>
      <c r="D522" t="s">
        <v>565</v>
      </c>
      <c r="E522" t="s">
        <v>594</v>
      </c>
      <c r="F522" t="s">
        <v>115</v>
      </c>
      <c r="G522" t="s">
        <v>115</v>
      </c>
    </row>
    <row r="523" spans="1:7" x14ac:dyDescent="0.3">
      <c r="A523" t="s">
        <v>36</v>
      </c>
      <c r="B523" t="s">
        <v>216</v>
      </c>
      <c r="C523">
        <v>265</v>
      </c>
      <c r="D523" t="s">
        <v>283</v>
      </c>
      <c r="E523" t="s">
        <v>346</v>
      </c>
      <c r="F523" t="s">
        <v>99</v>
      </c>
      <c r="G523" t="s">
        <v>99</v>
      </c>
    </row>
    <row r="524" spans="1:7" x14ac:dyDescent="0.3">
      <c r="A524" t="s">
        <v>34</v>
      </c>
      <c r="B524" t="s">
        <v>210</v>
      </c>
      <c r="C524">
        <v>256</v>
      </c>
      <c r="D524" t="s">
        <v>595</v>
      </c>
      <c r="E524" t="s">
        <v>596</v>
      </c>
      <c r="F524" t="s">
        <v>99</v>
      </c>
      <c r="G524" t="s">
        <v>99</v>
      </c>
    </row>
    <row r="525" spans="1:7" x14ac:dyDescent="0.3">
      <c r="A525" t="s">
        <v>34</v>
      </c>
      <c r="B525" t="s">
        <v>216</v>
      </c>
      <c r="C525">
        <v>242</v>
      </c>
      <c r="D525" t="s">
        <v>597</v>
      </c>
      <c r="E525" t="s">
        <v>562</v>
      </c>
      <c r="F525" t="s">
        <v>141</v>
      </c>
      <c r="G525" t="s">
        <v>99</v>
      </c>
    </row>
    <row r="526" spans="1:7" x14ac:dyDescent="0.3">
      <c r="A526" t="s">
        <v>33</v>
      </c>
      <c r="B526" t="s">
        <v>210</v>
      </c>
      <c r="C526">
        <v>68</v>
      </c>
      <c r="D526" t="s">
        <v>598</v>
      </c>
      <c r="E526" t="s">
        <v>599</v>
      </c>
      <c r="F526" t="s">
        <v>99</v>
      </c>
      <c r="G526" t="s">
        <v>99</v>
      </c>
    </row>
    <row r="527" spans="1:7" x14ac:dyDescent="0.3">
      <c r="A527" t="s">
        <v>33</v>
      </c>
      <c r="B527" t="s">
        <v>216</v>
      </c>
      <c r="C527">
        <v>69</v>
      </c>
      <c r="D527" t="s">
        <v>600</v>
      </c>
      <c r="E527" t="s">
        <v>601</v>
      </c>
      <c r="F527" t="s">
        <v>99</v>
      </c>
      <c r="G527" t="s">
        <v>99</v>
      </c>
    </row>
    <row r="528" spans="1:7" x14ac:dyDescent="0.3">
      <c r="A528" t="s">
        <v>49</v>
      </c>
      <c r="B528" t="s">
        <v>210</v>
      </c>
      <c r="C528">
        <v>763</v>
      </c>
      <c r="D528" t="s">
        <v>602</v>
      </c>
      <c r="E528" t="s">
        <v>603</v>
      </c>
      <c r="F528" t="s">
        <v>104</v>
      </c>
      <c r="G528" t="s">
        <v>198</v>
      </c>
    </row>
    <row r="529" spans="1:7" x14ac:dyDescent="0.3">
      <c r="A529" t="s">
        <v>49</v>
      </c>
      <c r="B529" t="s">
        <v>216</v>
      </c>
      <c r="C529">
        <v>1254</v>
      </c>
      <c r="D529" t="s">
        <v>604</v>
      </c>
      <c r="E529" t="s">
        <v>605</v>
      </c>
      <c r="F529" t="s">
        <v>104</v>
      </c>
      <c r="G529" t="s">
        <v>99</v>
      </c>
    </row>
    <row r="531" spans="1:7" x14ac:dyDescent="0.3">
      <c r="A531" t="s">
        <v>606</v>
      </c>
    </row>
    <row r="532" spans="1:7" x14ac:dyDescent="0.3">
      <c r="A532" t="s">
        <v>44</v>
      </c>
      <c r="B532" t="s">
        <v>388</v>
      </c>
      <c r="C532" t="s">
        <v>32</v>
      </c>
      <c r="D532" t="s">
        <v>66</v>
      </c>
      <c r="E532" t="s">
        <v>67</v>
      </c>
      <c r="F532" t="s">
        <v>352</v>
      </c>
      <c r="G532" t="s">
        <v>193</v>
      </c>
    </row>
    <row r="533" spans="1:7" x14ac:dyDescent="0.3">
      <c r="A533" t="s">
        <v>35</v>
      </c>
      <c r="B533" t="s">
        <v>389</v>
      </c>
      <c r="C533">
        <v>495</v>
      </c>
      <c r="D533" t="s">
        <v>538</v>
      </c>
      <c r="E533" t="s">
        <v>539</v>
      </c>
      <c r="F533" t="s">
        <v>99</v>
      </c>
      <c r="G533" t="s">
        <v>99</v>
      </c>
    </row>
    <row r="534" spans="1:7" x14ac:dyDescent="0.3">
      <c r="A534" t="s">
        <v>35</v>
      </c>
      <c r="B534" t="s">
        <v>390</v>
      </c>
      <c r="C534">
        <v>164</v>
      </c>
      <c r="D534" t="s">
        <v>607</v>
      </c>
      <c r="E534" t="s">
        <v>228</v>
      </c>
      <c r="F534" t="s">
        <v>99</v>
      </c>
      <c r="G534" t="s">
        <v>141</v>
      </c>
    </row>
    <row r="535" spans="1:7" x14ac:dyDescent="0.3">
      <c r="A535" t="s">
        <v>35</v>
      </c>
      <c r="B535" t="s">
        <v>365</v>
      </c>
      <c r="C535">
        <v>44</v>
      </c>
      <c r="D535" t="s">
        <v>140</v>
      </c>
      <c r="E535" t="s">
        <v>608</v>
      </c>
      <c r="F535" t="s">
        <v>99</v>
      </c>
      <c r="G535" t="s">
        <v>99</v>
      </c>
    </row>
    <row r="536" spans="1:7" x14ac:dyDescent="0.3">
      <c r="A536" t="s">
        <v>37</v>
      </c>
      <c r="B536" t="s">
        <v>389</v>
      </c>
      <c r="C536">
        <v>167</v>
      </c>
      <c r="D536" t="s">
        <v>609</v>
      </c>
      <c r="E536" t="s">
        <v>563</v>
      </c>
      <c r="F536" t="s">
        <v>99</v>
      </c>
      <c r="G536" t="s">
        <v>99</v>
      </c>
    </row>
    <row r="537" spans="1:7" x14ac:dyDescent="0.3">
      <c r="A537" t="s">
        <v>37</v>
      </c>
      <c r="B537" t="s">
        <v>390</v>
      </c>
      <c r="C537">
        <v>72</v>
      </c>
      <c r="D537" t="s">
        <v>610</v>
      </c>
      <c r="E537" t="s">
        <v>611</v>
      </c>
      <c r="F537" t="s">
        <v>99</v>
      </c>
      <c r="G537" t="s">
        <v>99</v>
      </c>
    </row>
    <row r="538" spans="1:7" x14ac:dyDescent="0.3">
      <c r="A538" t="s">
        <v>37</v>
      </c>
      <c r="B538" t="s">
        <v>365</v>
      </c>
      <c r="C538">
        <v>10</v>
      </c>
      <c r="D538" t="s">
        <v>372</v>
      </c>
      <c r="E538" t="s">
        <v>612</v>
      </c>
      <c r="F538" t="s">
        <v>99</v>
      </c>
      <c r="G538" t="s">
        <v>99</v>
      </c>
    </row>
    <row r="539" spans="1:7" x14ac:dyDescent="0.3">
      <c r="A539" t="s">
        <v>36</v>
      </c>
      <c r="B539" t="s">
        <v>389</v>
      </c>
      <c r="C539">
        <v>306</v>
      </c>
      <c r="D539" t="s">
        <v>613</v>
      </c>
      <c r="E539" t="s">
        <v>550</v>
      </c>
      <c r="F539" t="s">
        <v>141</v>
      </c>
      <c r="G539" t="s">
        <v>141</v>
      </c>
    </row>
    <row r="540" spans="1:7" x14ac:dyDescent="0.3">
      <c r="A540" t="s">
        <v>36</v>
      </c>
      <c r="B540" t="s">
        <v>390</v>
      </c>
      <c r="C540">
        <v>97</v>
      </c>
      <c r="D540" t="s">
        <v>614</v>
      </c>
      <c r="E540" t="s">
        <v>556</v>
      </c>
      <c r="F540" t="s">
        <v>99</v>
      </c>
      <c r="G540" t="s">
        <v>99</v>
      </c>
    </row>
    <row r="541" spans="1:7" x14ac:dyDescent="0.3">
      <c r="A541" t="s">
        <v>36</v>
      </c>
      <c r="B541" t="s">
        <v>365</v>
      </c>
      <c r="C541">
        <v>27</v>
      </c>
      <c r="D541" t="s">
        <v>144</v>
      </c>
      <c r="E541" t="s">
        <v>376</v>
      </c>
      <c r="F541" t="s">
        <v>99</v>
      </c>
      <c r="G541" t="s">
        <v>99</v>
      </c>
    </row>
    <row r="542" spans="1:7" x14ac:dyDescent="0.3">
      <c r="A542" t="s">
        <v>34</v>
      </c>
      <c r="B542" t="s">
        <v>389</v>
      </c>
      <c r="C542">
        <v>349</v>
      </c>
      <c r="D542" t="s">
        <v>615</v>
      </c>
      <c r="E542" t="s">
        <v>616</v>
      </c>
      <c r="F542" t="s">
        <v>207</v>
      </c>
      <c r="G542" t="s">
        <v>99</v>
      </c>
    </row>
    <row r="543" spans="1:7" x14ac:dyDescent="0.3">
      <c r="A543" t="s">
        <v>34</v>
      </c>
      <c r="B543" t="s">
        <v>390</v>
      </c>
      <c r="C543">
        <v>127</v>
      </c>
      <c r="D543" t="s">
        <v>146</v>
      </c>
      <c r="E543" t="s">
        <v>617</v>
      </c>
      <c r="F543" t="s">
        <v>99</v>
      </c>
      <c r="G543" t="s">
        <v>99</v>
      </c>
    </row>
    <row r="544" spans="1:7" x14ac:dyDescent="0.3">
      <c r="A544" t="s">
        <v>34</v>
      </c>
      <c r="B544" t="s">
        <v>365</v>
      </c>
      <c r="C544">
        <v>22</v>
      </c>
      <c r="D544" t="s">
        <v>618</v>
      </c>
      <c r="E544" t="s">
        <v>619</v>
      </c>
      <c r="F544" t="s">
        <v>99</v>
      </c>
      <c r="G544" t="s">
        <v>99</v>
      </c>
    </row>
    <row r="545" spans="1:7" x14ac:dyDescent="0.3">
      <c r="A545" t="s">
        <v>33</v>
      </c>
      <c r="B545" t="s">
        <v>389</v>
      </c>
      <c r="C545">
        <v>86</v>
      </c>
      <c r="D545" t="s">
        <v>620</v>
      </c>
      <c r="E545" t="s">
        <v>585</v>
      </c>
      <c r="F545" t="s">
        <v>99</v>
      </c>
      <c r="G545" t="s">
        <v>99</v>
      </c>
    </row>
    <row r="546" spans="1:7" x14ac:dyDescent="0.3">
      <c r="A546" t="s">
        <v>33</v>
      </c>
      <c r="B546" t="s">
        <v>390</v>
      </c>
      <c r="C546">
        <v>42</v>
      </c>
      <c r="D546" t="s">
        <v>621</v>
      </c>
      <c r="E546" t="s">
        <v>622</v>
      </c>
      <c r="F546" t="s">
        <v>99</v>
      </c>
      <c r="G546" t="s">
        <v>99</v>
      </c>
    </row>
    <row r="547" spans="1:7" x14ac:dyDescent="0.3">
      <c r="A547" t="s">
        <v>33</v>
      </c>
      <c r="B547" t="s">
        <v>365</v>
      </c>
      <c r="C547">
        <v>9</v>
      </c>
      <c r="D547" t="s">
        <v>309</v>
      </c>
      <c r="E547" t="s">
        <v>623</v>
      </c>
      <c r="F547" t="s">
        <v>99</v>
      </c>
      <c r="G547" t="s">
        <v>99</v>
      </c>
    </row>
    <row r="548" spans="1:7" x14ac:dyDescent="0.3">
      <c r="A548" t="s">
        <v>49</v>
      </c>
      <c r="B548" t="s">
        <v>389</v>
      </c>
      <c r="C548">
        <v>1403</v>
      </c>
      <c r="D548" t="s">
        <v>570</v>
      </c>
      <c r="E548" t="s">
        <v>563</v>
      </c>
      <c r="F548" t="s">
        <v>104</v>
      </c>
      <c r="G548" t="s">
        <v>99</v>
      </c>
    </row>
    <row r="549" spans="1:7" x14ac:dyDescent="0.3">
      <c r="A549" t="s">
        <v>49</v>
      </c>
      <c r="B549" t="s">
        <v>390</v>
      </c>
      <c r="C549">
        <v>502</v>
      </c>
      <c r="D549" t="s">
        <v>624</v>
      </c>
      <c r="E549" t="s">
        <v>625</v>
      </c>
      <c r="F549" t="s">
        <v>99</v>
      </c>
      <c r="G549" t="s">
        <v>198</v>
      </c>
    </row>
    <row r="550" spans="1:7" x14ac:dyDescent="0.3">
      <c r="A550" t="s">
        <v>49</v>
      </c>
      <c r="B550" t="s">
        <v>365</v>
      </c>
      <c r="C550">
        <v>112</v>
      </c>
      <c r="D550" t="s">
        <v>626</v>
      </c>
      <c r="E550" t="s">
        <v>627</v>
      </c>
      <c r="F550" t="s">
        <v>99</v>
      </c>
      <c r="G550" t="s">
        <v>99</v>
      </c>
    </row>
    <row r="552" spans="1:7" x14ac:dyDescent="0.3">
      <c r="A552" t="s">
        <v>628</v>
      </c>
    </row>
    <row r="553" spans="1:7" x14ac:dyDescent="0.3">
      <c r="A553" t="s">
        <v>44</v>
      </c>
      <c r="B553" t="s">
        <v>235</v>
      </c>
      <c r="C553" t="s">
        <v>32</v>
      </c>
      <c r="D553" t="s">
        <v>66</v>
      </c>
      <c r="E553" t="s">
        <v>67</v>
      </c>
      <c r="F553" t="s">
        <v>352</v>
      </c>
      <c r="G553" t="s">
        <v>193</v>
      </c>
    </row>
    <row r="554" spans="1:7" x14ac:dyDescent="0.3">
      <c r="A554" t="s">
        <v>35</v>
      </c>
      <c r="B554" t="s">
        <v>236</v>
      </c>
      <c r="C554">
        <v>325</v>
      </c>
      <c r="D554" t="s">
        <v>629</v>
      </c>
      <c r="E554" t="s">
        <v>630</v>
      </c>
      <c r="F554" t="s">
        <v>99</v>
      </c>
      <c r="G554" t="s">
        <v>99</v>
      </c>
    </row>
    <row r="555" spans="1:7" x14ac:dyDescent="0.3">
      <c r="A555" t="s">
        <v>35</v>
      </c>
      <c r="B555" t="s">
        <v>238</v>
      </c>
      <c r="C555">
        <v>378</v>
      </c>
      <c r="D555" t="s">
        <v>631</v>
      </c>
      <c r="E555" t="s">
        <v>618</v>
      </c>
      <c r="F555" t="s">
        <v>99</v>
      </c>
      <c r="G555" t="s">
        <v>104</v>
      </c>
    </row>
    <row r="556" spans="1:7" x14ac:dyDescent="0.3">
      <c r="A556" t="s">
        <v>37</v>
      </c>
      <c r="B556" t="s">
        <v>236</v>
      </c>
      <c r="C556">
        <v>86</v>
      </c>
      <c r="D556" t="s">
        <v>632</v>
      </c>
      <c r="E556" t="s">
        <v>633</v>
      </c>
      <c r="F556" t="s">
        <v>99</v>
      </c>
      <c r="G556" t="s">
        <v>99</v>
      </c>
    </row>
    <row r="557" spans="1:7" x14ac:dyDescent="0.3">
      <c r="A557" t="s">
        <v>37</v>
      </c>
      <c r="B557" t="s">
        <v>238</v>
      </c>
      <c r="C557">
        <v>163</v>
      </c>
      <c r="D557" t="s">
        <v>613</v>
      </c>
      <c r="E557" t="s">
        <v>634</v>
      </c>
      <c r="F557" t="s">
        <v>99</v>
      </c>
      <c r="G557" t="s">
        <v>99</v>
      </c>
    </row>
    <row r="558" spans="1:7" x14ac:dyDescent="0.3">
      <c r="A558" t="s">
        <v>36</v>
      </c>
      <c r="B558" t="s">
        <v>236</v>
      </c>
      <c r="C558">
        <v>268</v>
      </c>
      <c r="D558" t="s">
        <v>56</v>
      </c>
      <c r="E558" t="s">
        <v>635</v>
      </c>
      <c r="F558" t="s">
        <v>121</v>
      </c>
      <c r="G558" t="s">
        <v>121</v>
      </c>
    </row>
    <row r="559" spans="1:7" x14ac:dyDescent="0.3">
      <c r="A559" t="s">
        <v>36</v>
      </c>
      <c r="B559" t="s">
        <v>238</v>
      </c>
      <c r="C559">
        <v>162</v>
      </c>
      <c r="D559" t="s">
        <v>636</v>
      </c>
      <c r="E559" t="s">
        <v>637</v>
      </c>
      <c r="F559" t="s">
        <v>99</v>
      </c>
      <c r="G559" t="s">
        <v>99</v>
      </c>
    </row>
    <row r="560" spans="1:7" x14ac:dyDescent="0.3">
      <c r="A560" t="s">
        <v>34</v>
      </c>
      <c r="B560" t="s">
        <v>236</v>
      </c>
      <c r="C560">
        <v>101</v>
      </c>
      <c r="D560" t="s">
        <v>638</v>
      </c>
      <c r="E560" t="s">
        <v>639</v>
      </c>
      <c r="F560" t="s">
        <v>99</v>
      </c>
      <c r="G560" t="s">
        <v>99</v>
      </c>
    </row>
    <row r="561" spans="1:7" x14ac:dyDescent="0.3">
      <c r="A561" t="s">
        <v>34</v>
      </c>
      <c r="B561" t="s">
        <v>238</v>
      </c>
      <c r="C561">
        <v>397</v>
      </c>
      <c r="D561" t="s">
        <v>629</v>
      </c>
      <c r="E561" t="s">
        <v>640</v>
      </c>
      <c r="F561" t="s">
        <v>207</v>
      </c>
      <c r="G561" t="s">
        <v>99</v>
      </c>
    </row>
    <row r="562" spans="1:7" x14ac:dyDescent="0.3">
      <c r="A562" t="s">
        <v>33</v>
      </c>
      <c r="B562" t="s">
        <v>236</v>
      </c>
      <c r="C562">
        <v>54</v>
      </c>
      <c r="D562" t="s">
        <v>551</v>
      </c>
      <c r="E562" t="s">
        <v>552</v>
      </c>
      <c r="F562" t="s">
        <v>99</v>
      </c>
      <c r="G562" t="s">
        <v>99</v>
      </c>
    </row>
    <row r="563" spans="1:7" x14ac:dyDescent="0.3">
      <c r="A563" t="s">
        <v>33</v>
      </c>
      <c r="B563" t="s">
        <v>238</v>
      </c>
      <c r="C563">
        <v>83</v>
      </c>
      <c r="D563" t="s">
        <v>588</v>
      </c>
      <c r="E563" t="s">
        <v>641</v>
      </c>
      <c r="F563" t="s">
        <v>99</v>
      </c>
      <c r="G563" t="s">
        <v>99</v>
      </c>
    </row>
    <row r="564" spans="1:7" x14ac:dyDescent="0.3">
      <c r="A564" t="s">
        <v>49</v>
      </c>
      <c r="B564" t="s">
        <v>236</v>
      </c>
      <c r="C564">
        <v>834</v>
      </c>
      <c r="D564" t="s">
        <v>584</v>
      </c>
      <c r="E564" t="s">
        <v>539</v>
      </c>
      <c r="F564" t="s">
        <v>104</v>
      </c>
      <c r="G564" t="s">
        <v>104</v>
      </c>
    </row>
    <row r="565" spans="1:7" x14ac:dyDescent="0.3">
      <c r="A565" t="s">
        <v>49</v>
      </c>
      <c r="B565" t="s">
        <v>238</v>
      </c>
      <c r="C565">
        <v>1183</v>
      </c>
      <c r="D565" t="s">
        <v>642</v>
      </c>
      <c r="E565" t="s">
        <v>550</v>
      </c>
      <c r="F565" t="s">
        <v>104</v>
      </c>
      <c r="G565" t="s">
        <v>104</v>
      </c>
    </row>
    <row r="567" spans="1:7" x14ac:dyDescent="0.3">
      <c r="A567" t="s">
        <v>643</v>
      </c>
    </row>
    <row r="568" spans="1:7" x14ac:dyDescent="0.3">
      <c r="A568" t="s">
        <v>44</v>
      </c>
      <c r="B568" t="s">
        <v>257</v>
      </c>
      <c r="C568" t="s">
        <v>32</v>
      </c>
      <c r="D568" t="s">
        <v>66</v>
      </c>
      <c r="E568" t="s">
        <v>67</v>
      </c>
      <c r="F568" t="s">
        <v>352</v>
      </c>
      <c r="G568" t="s">
        <v>193</v>
      </c>
    </row>
    <row r="569" spans="1:7" x14ac:dyDescent="0.3">
      <c r="A569" t="s">
        <v>35</v>
      </c>
      <c r="B569" t="s">
        <v>258</v>
      </c>
      <c r="C569">
        <v>646</v>
      </c>
      <c r="D569" t="s">
        <v>557</v>
      </c>
      <c r="E569" t="s">
        <v>644</v>
      </c>
      <c r="F569" t="s">
        <v>99</v>
      </c>
      <c r="G569" t="s">
        <v>104</v>
      </c>
    </row>
    <row r="570" spans="1:7" x14ac:dyDescent="0.3">
      <c r="A570" t="s">
        <v>35</v>
      </c>
      <c r="B570" t="s">
        <v>260</v>
      </c>
      <c r="C570">
        <v>57</v>
      </c>
      <c r="D570" t="s">
        <v>591</v>
      </c>
      <c r="E570" t="s">
        <v>590</v>
      </c>
      <c r="F570" t="s">
        <v>99</v>
      </c>
      <c r="G570" t="s">
        <v>99</v>
      </c>
    </row>
    <row r="571" spans="1:7" x14ac:dyDescent="0.3">
      <c r="A571" t="s">
        <v>37</v>
      </c>
      <c r="B571" t="s">
        <v>258</v>
      </c>
      <c r="C571">
        <v>249</v>
      </c>
      <c r="D571" t="s">
        <v>551</v>
      </c>
      <c r="E571" t="s">
        <v>552</v>
      </c>
      <c r="F571" t="s">
        <v>99</v>
      </c>
      <c r="G571" t="s">
        <v>99</v>
      </c>
    </row>
    <row r="572" spans="1:7" x14ac:dyDescent="0.3">
      <c r="A572" t="s">
        <v>36</v>
      </c>
      <c r="B572" t="s">
        <v>258</v>
      </c>
      <c r="C572">
        <v>293</v>
      </c>
      <c r="D572" t="s">
        <v>645</v>
      </c>
      <c r="E572" t="s">
        <v>646</v>
      </c>
      <c r="F572" t="s">
        <v>136</v>
      </c>
      <c r="G572" t="s">
        <v>136</v>
      </c>
    </row>
    <row r="573" spans="1:7" x14ac:dyDescent="0.3">
      <c r="A573" t="s">
        <v>36</v>
      </c>
      <c r="B573" t="s">
        <v>260</v>
      </c>
      <c r="C573">
        <v>137</v>
      </c>
      <c r="D573" t="s">
        <v>647</v>
      </c>
      <c r="E573" t="s">
        <v>648</v>
      </c>
      <c r="F573" t="s">
        <v>99</v>
      </c>
      <c r="G573" t="s">
        <v>99</v>
      </c>
    </row>
    <row r="574" spans="1:7" x14ac:dyDescent="0.3">
      <c r="A574" t="s">
        <v>34</v>
      </c>
      <c r="B574" t="s">
        <v>258</v>
      </c>
      <c r="C574">
        <v>121</v>
      </c>
      <c r="D574" t="s">
        <v>649</v>
      </c>
      <c r="E574" t="s">
        <v>650</v>
      </c>
      <c r="F574" t="s">
        <v>99</v>
      </c>
      <c r="G574" t="s">
        <v>99</v>
      </c>
    </row>
    <row r="575" spans="1:7" x14ac:dyDescent="0.3">
      <c r="A575" t="s">
        <v>34</v>
      </c>
      <c r="B575" t="s">
        <v>260</v>
      </c>
      <c r="C575">
        <v>377</v>
      </c>
      <c r="D575" t="s">
        <v>496</v>
      </c>
      <c r="E575" t="s">
        <v>651</v>
      </c>
      <c r="F575" t="s">
        <v>207</v>
      </c>
      <c r="G575" t="s">
        <v>99</v>
      </c>
    </row>
    <row r="576" spans="1:7" x14ac:dyDescent="0.3">
      <c r="A576" t="s">
        <v>33</v>
      </c>
      <c r="B576" t="s">
        <v>258</v>
      </c>
      <c r="C576">
        <v>137</v>
      </c>
      <c r="D576" t="s">
        <v>557</v>
      </c>
      <c r="E576" t="s">
        <v>558</v>
      </c>
      <c r="F576" t="s">
        <v>99</v>
      </c>
      <c r="G576" t="s">
        <v>99</v>
      </c>
    </row>
    <row r="577" spans="1:11" x14ac:dyDescent="0.3">
      <c r="A577" t="s">
        <v>49</v>
      </c>
      <c r="B577" t="s">
        <v>258</v>
      </c>
      <c r="C577">
        <v>1446</v>
      </c>
      <c r="D577" t="s">
        <v>652</v>
      </c>
      <c r="E577" t="s">
        <v>539</v>
      </c>
      <c r="F577" t="s">
        <v>99</v>
      </c>
      <c r="G577" t="s">
        <v>104</v>
      </c>
    </row>
    <row r="578" spans="1:11" x14ac:dyDescent="0.3">
      <c r="A578" t="s">
        <v>49</v>
      </c>
      <c r="B578" t="s">
        <v>260</v>
      </c>
      <c r="C578">
        <v>571</v>
      </c>
      <c r="D578" t="s">
        <v>653</v>
      </c>
      <c r="E578" t="s">
        <v>589</v>
      </c>
      <c r="F578" t="s">
        <v>198</v>
      </c>
      <c r="G578" t="s">
        <v>99</v>
      </c>
    </row>
    <row r="580" spans="1:11" x14ac:dyDescent="0.3">
      <c r="A580" t="s">
        <v>654</v>
      </c>
    </row>
    <row r="581" spans="1:11" x14ac:dyDescent="0.3">
      <c r="A581" t="s">
        <v>44</v>
      </c>
      <c r="B581" t="s">
        <v>361</v>
      </c>
      <c r="C581" t="s">
        <v>32</v>
      </c>
      <c r="D581" t="s">
        <v>274</v>
      </c>
      <c r="E581" t="s">
        <v>655</v>
      </c>
      <c r="F581" t="s">
        <v>656</v>
      </c>
      <c r="G581" t="s">
        <v>657</v>
      </c>
      <c r="H581" t="s">
        <v>658</v>
      </c>
      <c r="I581" t="s">
        <v>659</v>
      </c>
      <c r="J581" t="s">
        <v>660</v>
      </c>
      <c r="K581" t="s">
        <v>661</v>
      </c>
    </row>
    <row r="582" spans="1:11" x14ac:dyDescent="0.3">
      <c r="A582" t="s">
        <v>35</v>
      </c>
      <c r="B582" t="s">
        <v>339</v>
      </c>
      <c r="C582">
        <v>156</v>
      </c>
      <c r="D582" t="s">
        <v>101</v>
      </c>
      <c r="E582" t="s">
        <v>109</v>
      </c>
      <c r="F582" t="s">
        <v>408</v>
      </c>
      <c r="G582" t="s">
        <v>332</v>
      </c>
      <c r="H582" t="s">
        <v>152</v>
      </c>
      <c r="I582" t="s">
        <v>463</v>
      </c>
      <c r="J582" t="s">
        <v>662</v>
      </c>
      <c r="K582" t="s">
        <v>440</v>
      </c>
    </row>
    <row r="583" spans="1:11" x14ac:dyDescent="0.3">
      <c r="A583" t="s">
        <v>35</v>
      </c>
      <c r="B583" t="s">
        <v>340</v>
      </c>
      <c r="C583">
        <v>529</v>
      </c>
      <c r="D583" t="s">
        <v>121</v>
      </c>
      <c r="E583" t="s">
        <v>143</v>
      </c>
      <c r="F583" t="s">
        <v>663</v>
      </c>
      <c r="G583" t="s">
        <v>664</v>
      </c>
      <c r="H583" t="s">
        <v>401</v>
      </c>
      <c r="I583" t="s">
        <v>665</v>
      </c>
      <c r="J583" t="s">
        <v>666</v>
      </c>
      <c r="K583" t="s">
        <v>267</v>
      </c>
    </row>
    <row r="584" spans="1:11" x14ac:dyDescent="0.3">
      <c r="A584" t="s">
        <v>35</v>
      </c>
      <c r="B584" t="s">
        <v>365</v>
      </c>
      <c r="C584">
        <v>18</v>
      </c>
      <c r="D584" t="s">
        <v>99</v>
      </c>
      <c r="E584" t="s">
        <v>667</v>
      </c>
      <c r="F584" t="s">
        <v>110</v>
      </c>
      <c r="G584" t="s">
        <v>112</v>
      </c>
      <c r="H584" t="s">
        <v>128</v>
      </c>
      <c r="I584" t="s">
        <v>262</v>
      </c>
      <c r="J584" t="s">
        <v>478</v>
      </c>
      <c r="K584" t="s">
        <v>668</v>
      </c>
    </row>
    <row r="585" spans="1:11" x14ac:dyDescent="0.3">
      <c r="A585" t="s">
        <v>37</v>
      </c>
      <c r="B585" t="s">
        <v>339</v>
      </c>
      <c r="C585">
        <v>52</v>
      </c>
      <c r="D585" t="s">
        <v>99</v>
      </c>
      <c r="E585" t="s">
        <v>410</v>
      </c>
      <c r="F585" t="s">
        <v>669</v>
      </c>
      <c r="G585" t="s">
        <v>670</v>
      </c>
      <c r="H585" t="s">
        <v>123</v>
      </c>
      <c r="I585" t="s">
        <v>160</v>
      </c>
      <c r="J585" t="s">
        <v>220</v>
      </c>
      <c r="K585" t="s">
        <v>332</v>
      </c>
    </row>
    <row r="586" spans="1:11" x14ac:dyDescent="0.3">
      <c r="A586" t="s">
        <v>37</v>
      </c>
      <c r="B586" t="s">
        <v>340</v>
      </c>
      <c r="C586">
        <v>194</v>
      </c>
      <c r="D586" t="s">
        <v>155</v>
      </c>
      <c r="E586" t="s">
        <v>671</v>
      </c>
      <c r="F586" t="s">
        <v>40</v>
      </c>
      <c r="G586" t="s">
        <v>463</v>
      </c>
      <c r="H586" t="s">
        <v>470</v>
      </c>
      <c r="I586" t="s">
        <v>125</v>
      </c>
      <c r="J586" t="s">
        <v>672</v>
      </c>
      <c r="K586" t="s">
        <v>135</v>
      </c>
    </row>
    <row r="587" spans="1:11" x14ac:dyDescent="0.3">
      <c r="A587" t="s">
        <v>37</v>
      </c>
      <c r="B587" t="s">
        <v>365</v>
      </c>
      <c r="C587">
        <v>3</v>
      </c>
      <c r="D587" t="s">
        <v>303</v>
      </c>
      <c r="E587" t="s">
        <v>99</v>
      </c>
      <c r="F587" t="s">
        <v>547</v>
      </c>
      <c r="G587" t="s">
        <v>99</v>
      </c>
      <c r="H587" t="s">
        <v>99</v>
      </c>
      <c r="I587" t="s">
        <v>99</v>
      </c>
      <c r="J587" t="s">
        <v>99</v>
      </c>
      <c r="K587" t="s">
        <v>99</v>
      </c>
    </row>
    <row r="588" spans="1:11" x14ac:dyDescent="0.3">
      <c r="A588" t="s">
        <v>36</v>
      </c>
      <c r="B588" t="s">
        <v>339</v>
      </c>
      <c r="C588">
        <v>133</v>
      </c>
      <c r="D588" t="s">
        <v>207</v>
      </c>
      <c r="E588" t="s">
        <v>255</v>
      </c>
      <c r="F588" t="s">
        <v>38</v>
      </c>
      <c r="G588" t="s">
        <v>673</v>
      </c>
      <c r="H588" t="s">
        <v>674</v>
      </c>
      <c r="I588" t="s">
        <v>353</v>
      </c>
      <c r="J588" t="s">
        <v>675</v>
      </c>
      <c r="K588" t="s">
        <v>128</v>
      </c>
    </row>
    <row r="589" spans="1:11" x14ac:dyDescent="0.3">
      <c r="A589" t="s">
        <v>36</v>
      </c>
      <c r="B589" t="s">
        <v>340</v>
      </c>
      <c r="C589">
        <v>288</v>
      </c>
      <c r="D589" t="s">
        <v>103</v>
      </c>
      <c r="E589" t="s">
        <v>406</v>
      </c>
      <c r="F589" t="s">
        <v>676</v>
      </c>
      <c r="G589" t="s">
        <v>163</v>
      </c>
      <c r="H589" t="s">
        <v>677</v>
      </c>
      <c r="I589" t="s">
        <v>673</v>
      </c>
      <c r="J589" t="s">
        <v>461</v>
      </c>
      <c r="K589" t="s">
        <v>206</v>
      </c>
    </row>
    <row r="590" spans="1:11" x14ac:dyDescent="0.3">
      <c r="A590" t="s">
        <v>36</v>
      </c>
      <c r="B590" t="s">
        <v>365</v>
      </c>
      <c r="C590">
        <v>9</v>
      </c>
      <c r="D590" t="s">
        <v>103</v>
      </c>
      <c r="E590" t="s">
        <v>584</v>
      </c>
      <c r="F590" t="s">
        <v>99</v>
      </c>
      <c r="G590" t="s">
        <v>678</v>
      </c>
      <c r="H590" t="s">
        <v>201</v>
      </c>
      <c r="I590" t="s">
        <v>201</v>
      </c>
      <c r="J590" t="s">
        <v>679</v>
      </c>
      <c r="K590" t="s">
        <v>99</v>
      </c>
    </row>
    <row r="591" spans="1:11" x14ac:dyDescent="0.3">
      <c r="A591" t="s">
        <v>34</v>
      </c>
      <c r="B591" t="s">
        <v>339</v>
      </c>
      <c r="C591">
        <v>169</v>
      </c>
      <c r="D591" t="s">
        <v>138</v>
      </c>
      <c r="E591" t="s">
        <v>680</v>
      </c>
      <c r="F591" t="s">
        <v>542</v>
      </c>
      <c r="G591" t="s">
        <v>681</v>
      </c>
      <c r="H591" t="s">
        <v>218</v>
      </c>
      <c r="I591" t="s">
        <v>220</v>
      </c>
      <c r="J591" t="s">
        <v>420</v>
      </c>
      <c r="K591" t="s">
        <v>248</v>
      </c>
    </row>
    <row r="592" spans="1:11" x14ac:dyDescent="0.3">
      <c r="A592" t="s">
        <v>34</v>
      </c>
      <c r="B592" t="s">
        <v>340</v>
      </c>
      <c r="C592">
        <v>316</v>
      </c>
      <c r="D592" t="s">
        <v>151</v>
      </c>
      <c r="E592" t="s">
        <v>231</v>
      </c>
      <c r="F592" t="s">
        <v>682</v>
      </c>
      <c r="G592" t="s">
        <v>683</v>
      </c>
      <c r="H592" t="s">
        <v>313</v>
      </c>
      <c r="I592" t="s">
        <v>72</v>
      </c>
      <c r="J592" t="s">
        <v>287</v>
      </c>
      <c r="K592" t="s">
        <v>684</v>
      </c>
    </row>
    <row r="593" spans="1:11" x14ac:dyDescent="0.3">
      <c r="A593" t="s">
        <v>34</v>
      </c>
      <c r="B593" t="s">
        <v>365</v>
      </c>
      <c r="C593">
        <v>13</v>
      </c>
      <c r="D593" t="s">
        <v>99</v>
      </c>
      <c r="E593" t="s">
        <v>99</v>
      </c>
      <c r="F593" t="s">
        <v>669</v>
      </c>
      <c r="G593" t="s">
        <v>42</v>
      </c>
      <c r="H593" t="s">
        <v>332</v>
      </c>
      <c r="I593" t="s">
        <v>673</v>
      </c>
      <c r="J593" t="s">
        <v>99</v>
      </c>
      <c r="K593" t="s">
        <v>321</v>
      </c>
    </row>
    <row r="594" spans="1:11" s="5" customFormat="1" x14ac:dyDescent="0.3">
      <c r="A594" s="5" t="s">
        <v>33</v>
      </c>
      <c r="B594" s="5" t="s">
        <v>339</v>
      </c>
      <c r="C594" s="5">
        <v>27</v>
      </c>
      <c r="D594" s="5" t="s">
        <v>139</v>
      </c>
      <c r="E594" s="5" t="s">
        <v>39</v>
      </c>
      <c r="F594" s="5" t="s">
        <v>545</v>
      </c>
      <c r="G594" s="5" t="s">
        <v>184</v>
      </c>
      <c r="H594" s="5" t="s">
        <v>685</v>
      </c>
      <c r="I594" s="5" t="s">
        <v>299</v>
      </c>
      <c r="J594" s="5" t="s">
        <v>255</v>
      </c>
      <c r="K594" s="5" t="s">
        <v>99</v>
      </c>
    </row>
    <row r="595" spans="1:11" x14ac:dyDescent="0.3">
      <c r="A595" t="s">
        <v>33</v>
      </c>
      <c r="B595" t="s">
        <v>340</v>
      </c>
      <c r="C595">
        <v>107</v>
      </c>
      <c r="D595" t="s">
        <v>434</v>
      </c>
      <c r="E595" t="s">
        <v>291</v>
      </c>
      <c r="F595" t="s">
        <v>410</v>
      </c>
      <c r="G595" t="s">
        <v>231</v>
      </c>
      <c r="H595" t="s">
        <v>242</v>
      </c>
      <c r="I595" t="s">
        <v>406</v>
      </c>
      <c r="J595" t="s">
        <v>686</v>
      </c>
      <c r="K595" t="s">
        <v>135</v>
      </c>
    </row>
    <row r="596" spans="1:11" x14ac:dyDescent="0.3">
      <c r="A596" t="s">
        <v>33</v>
      </c>
      <c r="B596" t="s">
        <v>365</v>
      </c>
      <c r="C596">
        <v>3</v>
      </c>
      <c r="D596" t="s">
        <v>99</v>
      </c>
      <c r="E596" t="s">
        <v>99</v>
      </c>
      <c r="F596" t="s">
        <v>99</v>
      </c>
      <c r="G596" t="s">
        <v>99</v>
      </c>
      <c r="H596" t="s">
        <v>580</v>
      </c>
      <c r="I596" t="s">
        <v>99</v>
      </c>
      <c r="J596" t="s">
        <v>99</v>
      </c>
      <c r="K596" t="s">
        <v>581</v>
      </c>
    </row>
    <row r="597" spans="1:11" x14ac:dyDescent="0.3">
      <c r="A597" t="s">
        <v>49</v>
      </c>
      <c r="B597" t="s">
        <v>339</v>
      </c>
      <c r="C597">
        <v>537</v>
      </c>
      <c r="D597" t="s">
        <v>292</v>
      </c>
      <c r="E597" t="s">
        <v>163</v>
      </c>
      <c r="F597" t="s">
        <v>687</v>
      </c>
      <c r="G597" t="s">
        <v>678</v>
      </c>
      <c r="H597" t="s">
        <v>206</v>
      </c>
      <c r="I597" t="s">
        <v>688</v>
      </c>
      <c r="J597" t="s">
        <v>478</v>
      </c>
      <c r="K597" t="s">
        <v>251</v>
      </c>
    </row>
    <row r="598" spans="1:11" x14ac:dyDescent="0.3">
      <c r="A598" t="s">
        <v>49</v>
      </c>
      <c r="B598" t="s">
        <v>340</v>
      </c>
      <c r="C598">
        <v>1434</v>
      </c>
      <c r="D598" t="s">
        <v>123</v>
      </c>
      <c r="E598" t="s">
        <v>470</v>
      </c>
      <c r="F598" t="s">
        <v>186</v>
      </c>
      <c r="G598" t="s">
        <v>222</v>
      </c>
      <c r="H598" t="s">
        <v>671</v>
      </c>
      <c r="I598" t="s">
        <v>689</v>
      </c>
      <c r="J598" t="s">
        <v>690</v>
      </c>
      <c r="K598" t="s">
        <v>379</v>
      </c>
    </row>
    <row r="599" spans="1:11" x14ac:dyDescent="0.3">
      <c r="A599" t="s">
        <v>49</v>
      </c>
      <c r="B599" t="s">
        <v>365</v>
      </c>
      <c r="C599">
        <v>46</v>
      </c>
      <c r="D599" t="s">
        <v>215</v>
      </c>
      <c r="E599" t="s">
        <v>691</v>
      </c>
      <c r="F599" t="s">
        <v>410</v>
      </c>
      <c r="G599" t="s">
        <v>163</v>
      </c>
      <c r="H599" t="s">
        <v>158</v>
      </c>
      <c r="I599" t="s">
        <v>408</v>
      </c>
      <c r="J599" t="s">
        <v>405</v>
      </c>
      <c r="K599" t="s">
        <v>692</v>
      </c>
    </row>
    <row r="601" spans="1:11" x14ac:dyDescent="0.3">
      <c r="A601" t="s">
        <v>693</v>
      </c>
    </row>
    <row r="602" spans="1:11" x14ac:dyDescent="0.3">
      <c r="A602" t="s">
        <v>44</v>
      </c>
      <c r="B602" t="s">
        <v>209</v>
      </c>
      <c r="C602" t="s">
        <v>32</v>
      </c>
      <c r="D602" t="s">
        <v>661</v>
      </c>
      <c r="E602" t="s">
        <v>274</v>
      </c>
      <c r="F602" t="s">
        <v>655</v>
      </c>
      <c r="G602" t="s">
        <v>656</v>
      </c>
      <c r="H602" t="s">
        <v>657</v>
      </c>
      <c r="I602" t="s">
        <v>658</v>
      </c>
      <c r="J602" t="s">
        <v>659</v>
      </c>
      <c r="K602" t="s">
        <v>660</v>
      </c>
    </row>
    <row r="603" spans="1:11" x14ac:dyDescent="0.3">
      <c r="A603" t="s">
        <v>35</v>
      </c>
      <c r="B603" t="s">
        <v>210</v>
      </c>
      <c r="C603">
        <v>136</v>
      </c>
      <c r="D603" t="s">
        <v>121</v>
      </c>
      <c r="E603" t="s">
        <v>136</v>
      </c>
      <c r="F603" t="s">
        <v>694</v>
      </c>
      <c r="G603" t="s">
        <v>695</v>
      </c>
      <c r="H603" t="s">
        <v>696</v>
      </c>
      <c r="I603" t="s">
        <v>542</v>
      </c>
      <c r="J603" t="s">
        <v>468</v>
      </c>
      <c r="K603" t="s">
        <v>117</v>
      </c>
    </row>
    <row r="604" spans="1:11" x14ac:dyDescent="0.3">
      <c r="A604" t="s">
        <v>35</v>
      </c>
      <c r="B604" t="s">
        <v>216</v>
      </c>
      <c r="C604">
        <v>567</v>
      </c>
      <c r="D604" t="s">
        <v>678</v>
      </c>
      <c r="E604" t="s">
        <v>101</v>
      </c>
      <c r="F604" t="s">
        <v>684</v>
      </c>
      <c r="G604" t="s">
        <v>268</v>
      </c>
      <c r="H604" t="s">
        <v>117</v>
      </c>
      <c r="I604" t="s">
        <v>325</v>
      </c>
      <c r="J604" t="s">
        <v>697</v>
      </c>
      <c r="K604" t="s">
        <v>698</v>
      </c>
    </row>
    <row r="605" spans="1:11" x14ac:dyDescent="0.3">
      <c r="A605" t="s">
        <v>37</v>
      </c>
      <c r="B605" t="s">
        <v>210</v>
      </c>
      <c r="C605">
        <v>138</v>
      </c>
      <c r="D605" t="s">
        <v>141</v>
      </c>
      <c r="E605" t="s">
        <v>132</v>
      </c>
      <c r="F605" t="s">
        <v>287</v>
      </c>
      <c r="G605" t="s">
        <v>621</v>
      </c>
      <c r="H605" t="s">
        <v>349</v>
      </c>
      <c r="I605" t="s">
        <v>142</v>
      </c>
      <c r="J605" t="s">
        <v>215</v>
      </c>
      <c r="K605" t="s">
        <v>100</v>
      </c>
    </row>
    <row r="606" spans="1:11" x14ac:dyDescent="0.3">
      <c r="A606" t="s">
        <v>37</v>
      </c>
      <c r="B606" t="s">
        <v>216</v>
      </c>
      <c r="C606">
        <v>111</v>
      </c>
      <c r="D606" t="s">
        <v>465</v>
      </c>
      <c r="E606" t="s">
        <v>135</v>
      </c>
      <c r="F606" t="s">
        <v>311</v>
      </c>
      <c r="G606" t="s">
        <v>401</v>
      </c>
      <c r="H606" t="s">
        <v>154</v>
      </c>
      <c r="I606" t="s">
        <v>663</v>
      </c>
      <c r="J606" t="s">
        <v>501</v>
      </c>
      <c r="K606" t="s">
        <v>699</v>
      </c>
    </row>
    <row r="607" spans="1:11" x14ac:dyDescent="0.3">
      <c r="A607" t="s">
        <v>36</v>
      </c>
      <c r="B607" t="s">
        <v>210</v>
      </c>
      <c r="C607">
        <v>165</v>
      </c>
      <c r="D607" t="s">
        <v>155</v>
      </c>
      <c r="E607" t="s">
        <v>99</v>
      </c>
      <c r="F607" t="s">
        <v>542</v>
      </c>
      <c r="G607" t="s">
        <v>349</v>
      </c>
      <c r="H607" t="s">
        <v>700</v>
      </c>
      <c r="I607" t="s">
        <v>529</v>
      </c>
      <c r="J607" t="s">
        <v>420</v>
      </c>
      <c r="K607" t="s">
        <v>108</v>
      </c>
    </row>
    <row r="608" spans="1:11" x14ac:dyDescent="0.3">
      <c r="A608" t="s">
        <v>36</v>
      </c>
      <c r="B608" t="s">
        <v>216</v>
      </c>
      <c r="C608">
        <v>265</v>
      </c>
      <c r="D608" t="s">
        <v>701</v>
      </c>
      <c r="E608" t="s">
        <v>134</v>
      </c>
      <c r="F608" t="s">
        <v>372</v>
      </c>
      <c r="G608" t="s">
        <v>68</v>
      </c>
      <c r="H608" t="s">
        <v>369</v>
      </c>
      <c r="I608" t="s">
        <v>218</v>
      </c>
      <c r="J608" t="s">
        <v>702</v>
      </c>
      <c r="K608" t="s">
        <v>231</v>
      </c>
    </row>
    <row r="609" spans="1:11" x14ac:dyDescent="0.3">
      <c r="A609" t="s">
        <v>34</v>
      </c>
      <c r="B609" t="s">
        <v>210</v>
      </c>
      <c r="C609">
        <v>256</v>
      </c>
      <c r="D609" t="s">
        <v>115</v>
      </c>
      <c r="E609" t="s">
        <v>141</v>
      </c>
      <c r="F609" t="s">
        <v>179</v>
      </c>
      <c r="G609" t="s">
        <v>703</v>
      </c>
      <c r="H609" t="s">
        <v>56</v>
      </c>
      <c r="I609" t="s">
        <v>125</v>
      </c>
      <c r="J609" t="s">
        <v>316</v>
      </c>
      <c r="K609" t="s">
        <v>120</v>
      </c>
    </row>
    <row r="610" spans="1:11" x14ac:dyDescent="0.3">
      <c r="A610" t="s">
        <v>34</v>
      </c>
      <c r="B610" t="s">
        <v>216</v>
      </c>
      <c r="C610">
        <v>242</v>
      </c>
      <c r="D610" t="s">
        <v>688</v>
      </c>
      <c r="E610" t="s">
        <v>112</v>
      </c>
      <c r="F610" t="s">
        <v>704</v>
      </c>
      <c r="G610" t="s">
        <v>125</v>
      </c>
      <c r="H610" t="s">
        <v>165</v>
      </c>
      <c r="I610" t="s">
        <v>76</v>
      </c>
      <c r="J610" t="s">
        <v>687</v>
      </c>
      <c r="K610" t="s">
        <v>705</v>
      </c>
    </row>
    <row r="611" spans="1:11" x14ac:dyDescent="0.3">
      <c r="A611" t="s">
        <v>33</v>
      </c>
      <c r="B611" t="s">
        <v>210</v>
      </c>
      <c r="C611">
        <v>68</v>
      </c>
      <c r="D611" t="s">
        <v>215</v>
      </c>
      <c r="E611" t="s">
        <v>157</v>
      </c>
      <c r="F611" t="s">
        <v>542</v>
      </c>
      <c r="G611" t="s">
        <v>619</v>
      </c>
      <c r="H611" t="s">
        <v>706</v>
      </c>
      <c r="I611" t="s">
        <v>468</v>
      </c>
      <c r="J611" t="s">
        <v>149</v>
      </c>
      <c r="K611" t="s">
        <v>434</v>
      </c>
    </row>
    <row r="612" spans="1:11" x14ac:dyDescent="0.3">
      <c r="A612" t="s">
        <v>33</v>
      </c>
      <c r="B612" t="s">
        <v>216</v>
      </c>
      <c r="C612">
        <v>69</v>
      </c>
      <c r="D612" t="s">
        <v>315</v>
      </c>
      <c r="E612" t="s">
        <v>684</v>
      </c>
      <c r="F612" t="s">
        <v>72</v>
      </c>
      <c r="G612" t="s">
        <v>382</v>
      </c>
      <c r="H612" t="s">
        <v>468</v>
      </c>
      <c r="I612" t="s">
        <v>671</v>
      </c>
      <c r="J612" t="s">
        <v>670</v>
      </c>
      <c r="K612" t="s">
        <v>707</v>
      </c>
    </row>
    <row r="613" spans="1:11" x14ac:dyDescent="0.3">
      <c r="A613" t="s">
        <v>49</v>
      </c>
      <c r="B613" t="s">
        <v>210</v>
      </c>
      <c r="C613">
        <v>763</v>
      </c>
      <c r="D613" t="s">
        <v>121</v>
      </c>
      <c r="E613" t="s">
        <v>115</v>
      </c>
      <c r="F613" t="s">
        <v>355</v>
      </c>
      <c r="G613" t="s">
        <v>102</v>
      </c>
      <c r="H613" t="s">
        <v>429</v>
      </c>
      <c r="I613" t="s">
        <v>708</v>
      </c>
      <c r="J613" t="s">
        <v>130</v>
      </c>
      <c r="K613" t="s">
        <v>268</v>
      </c>
    </row>
    <row r="614" spans="1:11" x14ac:dyDescent="0.3">
      <c r="A614" t="s">
        <v>49</v>
      </c>
      <c r="B614" t="s">
        <v>216</v>
      </c>
      <c r="C614">
        <v>1254</v>
      </c>
      <c r="D614" t="s">
        <v>38</v>
      </c>
      <c r="E614" t="s">
        <v>128</v>
      </c>
      <c r="F614" t="s">
        <v>461</v>
      </c>
      <c r="G614" t="s">
        <v>434</v>
      </c>
      <c r="H614" t="s">
        <v>277</v>
      </c>
      <c r="I614" t="s">
        <v>305</v>
      </c>
      <c r="J614" t="s">
        <v>473</v>
      </c>
      <c r="K614" t="s">
        <v>574</v>
      </c>
    </row>
    <row r="616" spans="1:11" x14ac:dyDescent="0.3">
      <c r="A616" t="s">
        <v>709</v>
      </c>
    </row>
    <row r="617" spans="1:11" x14ac:dyDescent="0.3">
      <c r="A617" t="s">
        <v>44</v>
      </c>
      <c r="B617" t="s">
        <v>388</v>
      </c>
      <c r="C617" t="s">
        <v>32</v>
      </c>
      <c r="D617" t="s">
        <v>661</v>
      </c>
      <c r="E617" t="s">
        <v>274</v>
      </c>
      <c r="F617" t="s">
        <v>655</v>
      </c>
      <c r="G617" t="s">
        <v>656</v>
      </c>
      <c r="H617" t="s">
        <v>657</v>
      </c>
      <c r="I617" t="s">
        <v>658</v>
      </c>
      <c r="J617" t="s">
        <v>659</v>
      </c>
      <c r="K617" t="s">
        <v>660</v>
      </c>
    </row>
    <row r="618" spans="1:11" x14ac:dyDescent="0.3">
      <c r="A618" t="s">
        <v>35</v>
      </c>
      <c r="B618" t="s">
        <v>389</v>
      </c>
      <c r="C618">
        <v>495</v>
      </c>
      <c r="D618" t="s">
        <v>710</v>
      </c>
      <c r="E618" t="s">
        <v>100</v>
      </c>
      <c r="F618" t="s">
        <v>150</v>
      </c>
      <c r="G618" t="s">
        <v>325</v>
      </c>
      <c r="H618" t="s">
        <v>150</v>
      </c>
      <c r="I618" t="s">
        <v>182</v>
      </c>
      <c r="J618" t="s">
        <v>690</v>
      </c>
      <c r="K618" t="s">
        <v>146</v>
      </c>
    </row>
    <row r="619" spans="1:11" x14ac:dyDescent="0.3">
      <c r="A619" t="s">
        <v>35</v>
      </c>
      <c r="B619" t="s">
        <v>390</v>
      </c>
      <c r="C619">
        <v>164</v>
      </c>
      <c r="D619" t="s">
        <v>711</v>
      </c>
      <c r="E619" t="s">
        <v>253</v>
      </c>
      <c r="F619" t="s">
        <v>135</v>
      </c>
      <c r="G619" t="s">
        <v>710</v>
      </c>
      <c r="H619" t="s">
        <v>149</v>
      </c>
      <c r="I619" t="s">
        <v>712</v>
      </c>
      <c r="J619" t="s">
        <v>437</v>
      </c>
      <c r="K619" t="s">
        <v>473</v>
      </c>
    </row>
    <row r="620" spans="1:11" x14ac:dyDescent="0.3">
      <c r="A620" t="s">
        <v>35</v>
      </c>
      <c r="B620" t="s">
        <v>365</v>
      </c>
      <c r="C620">
        <v>44</v>
      </c>
      <c r="D620" t="s">
        <v>139</v>
      </c>
      <c r="E620" t="s">
        <v>130</v>
      </c>
      <c r="F620" t="s">
        <v>158</v>
      </c>
      <c r="G620" t="s">
        <v>687</v>
      </c>
      <c r="H620" t="s">
        <v>120</v>
      </c>
      <c r="I620" t="s">
        <v>99</v>
      </c>
      <c r="J620" t="s">
        <v>713</v>
      </c>
      <c r="K620" t="s">
        <v>214</v>
      </c>
    </row>
    <row r="621" spans="1:11" x14ac:dyDescent="0.3">
      <c r="A621" t="s">
        <v>37</v>
      </c>
      <c r="B621" t="s">
        <v>389</v>
      </c>
      <c r="C621">
        <v>167</v>
      </c>
      <c r="D621" t="s">
        <v>434</v>
      </c>
      <c r="E621" t="s">
        <v>434</v>
      </c>
      <c r="F621" t="s">
        <v>315</v>
      </c>
      <c r="G621" t="s">
        <v>344</v>
      </c>
      <c r="H621" t="s">
        <v>186</v>
      </c>
      <c r="I621" t="s">
        <v>405</v>
      </c>
      <c r="J621" t="s">
        <v>41</v>
      </c>
      <c r="K621" t="s">
        <v>714</v>
      </c>
    </row>
    <row r="622" spans="1:11" x14ac:dyDescent="0.3">
      <c r="A622" t="s">
        <v>37</v>
      </c>
      <c r="B622" t="s">
        <v>390</v>
      </c>
      <c r="C622">
        <v>72</v>
      </c>
      <c r="D622" t="s">
        <v>420</v>
      </c>
      <c r="E622" t="s">
        <v>319</v>
      </c>
      <c r="F622" t="s">
        <v>315</v>
      </c>
      <c r="G622" t="s">
        <v>626</v>
      </c>
      <c r="H622" t="s">
        <v>715</v>
      </c>
      <c r="I622" t="s">
        <v>254</v>
      </c>
      <c r="J622" t="s">
        <v>122</v>
      </c>
      <c r="K622" t="s">
        <v>716</v>
      </c>
    </row>
    <row r="623" spans="1:11" x14ac:dyDescent="0.3">
      <c r="A623" t="s">
        <v>37</v>
      </c>
      <c r="B623" t="s">
        <v>365</v>
      </c>
      <c r="C623">
        <v>10</v>
      </c>
      <c r="D623" t="s">
        <v>372</v>
      </c>
      <c r="E623" t="s">
        <v>99</v>
      </c>
      <c r="F623" t="s">
        <v>99</v>
      </c>
      <c r="G623" t="s">
        <v>684</v>
      </c>
      <c r="H623" t="s">
        <v>717</v>
      </c>
      <c r="I623" t="s">
        <v>99</v>
      </c>
      <c r="J623" t="s">
        <v>287</v>
      </c>
      <c r="K623" t="s">
        <v>653</v>
      </c>
    </row>
    <row r="624" spans="1:11" x14ac:dyDescent="0.3">
      <c r="A624" t="s">
        <v>36</v>
      </c>
      <c r="B624" t="s">
        <v>389</v>
      </c>
      <c r="C624">
        <v>306</v>
      </c>
      <c r="D624" t="s">
        <v>420</v>
      </c>
      <c r="E624" t="s">
        <v>114</v>
      </c>
      <c r="F624" t="s">
        <v>718</v>
      </c>
      <c r="G624" t="s">
        <v>425</v>
      </c>
      <c r="H624" t="s">
        <v>264</v>
      </c>
      <c r="I624" t="s">
        <v>267</v>
      </c>
      <c r="J624" t="s">
        <v>188</v>
      </c>
      <c r="K624" t="s">
        <v>363</v>
      </c>
    </row>
    <row r="625" spans="1:11" x14ac:dyDescent="0.3">
      <c r="A625" t="s">
        <v>36</v>
      </c>
      <c r="B625" t="s">
        <v>390</v>
      </c>
      <c r="C625">
        <v>97</v>
      </c>
      <c r="D625" t="s">
        <v>287</v>
      </c>
      <c r="E625" t="s">
        <v>145</v>
      </c>
      <c r="F625" t="s">
        <v>182</v>
      </c>
      <c r="G625" t="s">
        <v>677</v>
      </c>
      <c r="H625" t="s">
        <v>222</v>
      </c>
      <c r="I625" t="s">
        <v>719</v>
      </c>
      <c r="J625" t="s">
        <v>688</v>
      </c>
      <c r="K625" t="s">
        <v>111</v>
      </c>
    </row>
    <row r="626" spans="1:11" x14ac:dyDescent="0.3">
      <c r="A626" t="s">
        <v>36</v>
      </c>
      <c r="B626" t="s">
        <v>365</v>
      </c>
      <c r="C626">
        <v>27</v>
      </c>
      <c r="D626" t="s">
        <v>173</v>
      </c>
      <c r="E626" t="s">
        <v>99</v>
      </c>
      <c r="F626" t="s">
        <v>240</v>
      </c>
      <c r="G626" t="s">
        <v>215</v>
      </c>
      <c r="H626" t="s">
        <v>468</v>
      </c>
      <c r="I626" t="s">
        <v>42</v>
      </c>
      <c r="J626" t="s">
        <v>112</v>
      </c>
      <c r="K626" t="s">
        <v>442</v>
      </c>
    </row>
    <row r="627" spans="1:11" x14ac:dyDescent="0.3">
      <c r="A627" t="s">
        <v>34</v>
      </c>
      <c r="B627" t="s">
        <v>389</v>
      </c>
      <c r="C627">
        <v>349</v>
      </c>
      <c r="D627" t="s">
        <v>663</v>
      </c>
      <c r="E627" t="s">
        <v>151</v>
      </c>
      <c r="F627" t="s">
        <v>536</v>
      </c>
      <c r="G627" t="s">
        <v>720</v>
      </c>
      <c r="H627" t="s">
        <v>423</v>
      </c>
      <c r="I627" t="s">
        <v>721</v>
      </c>
      <c r="J627" t="s">
        <v>369</v>
      </c>
      <c r="K627" t="s">
        <v>722</v>
      </c>
    </row>
    <row r="628" spans="1:11" x14ac:dyDescent="0.3">
      <c r="A628" t="s">
        <v>34</v>
      </c>
      <c r="B628" t="s">
        <v>390</v>
      </c>
      <c r="C628">
        <v>127</v>
      </c>
      <c r="D628" t="s">
        <v>152</v>
      </c>
      <c r="E628" t="s">
        <v>110</v>
      </c>
      <c r="F628" t="s">
        <v>305</v>
      </c>
      <c r="G628" t="s">
        <v>723</v>
      </c>
      <c r="H628" t="s">
        <v>724</v>
      </c>
      <c r="I628" t="s">
        <v>299</v>
      </c>
      <c r="J628" t="s">
        <v>363</v>
      </c>
      <c r="K628" t="s">
        <v>142</v>
      </c>
    </row>
    <row r="629" spans="1:11" x14ac:dyDescent="0.3">
      <c r="A629" t="s">
        <v>34</v>
      </c>
      <c r="B629" t="s">
        <v>365</v>
      </c>
      <c r="C629">
        <v>22</v>
      </c>
      <c r="D629" t="s">
        <v>99</v>
      </c>
      <c r="E629" t="s">
        <v>99</v>
      </c>
      <c r="F629" t="s">
        <v>124</v>
      </c>
      <c r="G629" t="s">
        <v>669</v>
      </c>
      <c r="H629" t="s">
        <v>725</v>
      </c>
      <c r="I629" t="s">
        <v>160</v>
      </c>
      <c r="J629" t="s">
        <v>99</v>
      </c>
      <c r="K629" t="s">
        <v>677</v>
      </c>
    </row>
    <row r="630" spans="1:11" x14ac:dyDescent="0.3">
      <c r="A630" t="s">
        <v>33</v>
      </c>
      <c r="B630" t="s">
        <v>389</v>
      </c>
      <c r="C630">
        <v>86</v>
      </c>
      <c r="D630" t="s">
        <v>663</v>
      </c>
      <c r="E630" t="s">
        <v>107</v>
      </c>
      <c r="F630" t="s">
        <v>470</v>
      </c>
      <c r="G630" t="s">
        <v>686</v>
      </c>
      <c r="H630" t="s">
        <v>726</v>
      </c>
      <c r="I630" t="s">
        <v>142</v>
      </c>
      <c r="J630" t="s">
        <v>244</v>
      </c>
      <c r="K630" t="s">
        <v>727</v>
      </c>
    </row>
    <row r="631" spans="1:11" x14ac:dyDescent="0.3">
      <c r="A631" t="s">
        <v>33</v>
      </c>
      <c r="B631" t="s">
        <v>390</v>
      </c>
      <c r="C631">
        <v>42</v>
      </c>
      <c r="D631" t="s">
        <v>363</v>
      </c>
      <c r="E631" t="s">
        <v>474</v>
      </c>
      <c r="F631" t="s">
        <v>683</v>
      </c>
      <c r="G631" t="s">
        <v>457</v>
      </c>
      <c r="H631" t="s">
        <v>222</v>
      </c>
      <c r="I631" t="s">
        <v>277</v>
      </c>
      <c r="J631" t="s">
        <v>142</v>
      </c>
      <c r="K631" t="s">
        <v>440</v>
      </c>
    </row>
    <row r="632" spans="1:11" x14ac:dyDescent="0.3">
      <c r="A632" t="s">
        <v>33</v>
      </c>
      <c r="B632" t="s">
        <v>365</v>
      </c>
      <c r="C632">
        <v>9</v>
      </c>
      <c r="D632" t="s">
        <v>99</v>
      </c>
      <c r="E632" t="s">
        <v>694</v>
      </c>
      <c r="F632" t="s">
        <v>99</v>
      </c>
      <c r="G632" t="s">
        <v>72</v>
      </c>
      <c r="H632" t="s">
        <v>99</v>
      </c>
      <c r="I632" t="s">
        <v>99</v>
      </c>
      <c r="J632" t="s">
        <v>728</v>
      </c>
      <c r="K632" t="s">
        <v>729</v>
      </c>
    </row>
    <row r="633" spans="1:11" x14ac:dyDescent="0.3">
      <c r="A633" t="s">
        <v>49</v>
      </c>
      <c r="B633" t="s">
        <v>389</v>
      </c>
      <c r="C633">
        <v>1403</v>
      </c>
      <c r="D633" t="s">
        <v>671</v>
      </c>
      <c r="E633" t="s">
        <v>215</v>
      </c>
      <c r="F633" t="s">
        <v>311</v>
      </c>
      <c r="G633" t="s">
        <v>201</v>
      </c>
      <c r="H633" t="s">
        <v>368</v>
      </c>
      <c r="I633" t="s">
        <v>287</v>
      </c>
      <c r="J633" t="s">
        <v>440</v>
      </c>
      <c r="K633" t="s">
        <v>730</v>
      </c>
    </row>
    <row r="634" spans="1:11" x14ac:dyDescent="0.3">
      <c r="A634" t="s">
        <v>49</v>
      </c>
      <c r="B634" t="s">
        <v>390</v>
      </c>
      <c r="C634">
        <v>502</v>
      </c>
      <c r="D634" t="s">
        <v>704</v>
      </c>
      <c r="E634" t="s">
        <v>103</v>
      </c>
      <c r="F634" t="s">
        <v>182</v>
      </c>
      <c r="G634" t="s">
        <v>683</v>
      </c>
      <c r="H634" t="s">
        <v>173</v>
      </c>
      <c r="I634" t="s">
        <v>363</v>
      </c>
      <c r="J634" t="s">
        <v>321</v>
      </c>
      <c r="K634" t="s">
        <v>255</v>
      </c>
    </row>
    <row r="635" spans="1:11" x14ac:dyDescent="0.3">
      <c r="A635" t="s">
        <v>49</v>
      </c>
      <c r="B635" t="s">
        <v>365</v>
      </c>
      <c r="C635">
        <v>112</v>
      </c>
      <c r="D635" t="s">
        <v>325</v>
      </c>
      <c r="E635" t="s">
        <v>107</v>
      </c>
      <c r="F635" t="s">
        <v>679</v>
      </c>
      <c r="G635" t="s">
        <v>395</v>
      </c>
      <c r="H635" t="s">
        <v>731</v>
      </c>
      <c r="I635" t="s">
        <v>144</v>
      </c>
      <c r="J635" t="s">
        <v>309</v>
      </c>
      <c r="K635" t="s">
        <v>732</v>
      </c>
    </row>
    <row r="637" spans="1:11" x14ac:dyDescent="0.3">
      <c r="A637" t="s">
        <v>733</v>
      </c>
    </row>
    <row r="638" spans="1:11" x14ac:dyDescent="0.3">
      <c r="A638" t="s">
        <v>44</v>
      </c>
      <c r="B638" t="s">
        <v>235</v>
      </c>
      <c r="C638" t="s">
        <v>32</v>
      </c>
      <c r="D638" t="s">
        <v>661</v>
      </c>
      <c r="E638" t="s">
        <v>274</v>
      </c>
      <c r="F638" t="s">
        <v>655</v>
      </c>
      <c r="G638" t="s">
        <v>656</v>
      </c>
      <c r="H638" t="s">
        <v>657</v>
      </c>
      <c r="I638" t="s">
        <v>658</v>
      </c>
      <c r="J638" t="s">
        <v>659</v>
      </c>
      <c r="K638" t="s">
        <v>660</v>
      </c>
    </row>
    <row r="639" spans="1:11" x14ac:dyDescent="0.3">
      <c r="A639" t="s">
        <v>35</v>
      </c>
      <c r="B639" t="s">
        <v>236</v>
      </c>
      <c r="C639">
        <v>325</v>
      </c>
      <c r="D639" t="s">
        <v>710</v>
      </c>
      <c r="E639" t="s">
        <v>253</v>
      </c>
      <c r="F639" t="s">
        <v>434</v>
      </c>
      <c r="G639" t="s">
        <v>182</v>
      </c>
      <c r="H639" t="s">
        <v>68</v>
      </c>
      <c r="I639" t="s">
        <v>316</v>
      </c>
      <c r="J639" t="s">
        <v>734</v>
      </c>
      <c r="K639" t="s">
        <v>551</v>
      </c>
    </row>
    <row r="640" spans="1:11" x14ac:dyDescent="0.3">
      <c r="A640" t="s">
        <v>35</v>
      </c>
      <c r="B640" t="s">
        <v>238</v>
      </c>
      <c r="C640">
        <v>378</v>
      </c>
      <c r="D640" t="s">
        <v>701</v>
      </c>
      <c r="E640" t="s">
        <v>101</v>
      </c>
      <c r="F640" t="s">
        <v>78</v>
      </c>
      <c r="G640" t="s">
        <v>664</v>
      </c>
      <c r="H640" t="s">
        <v>109</v>
      </c>
      <c r="I640" t="s">
        <v>671</v>
      </c>
      <c r="J640" t="s">
        <v>735</v>
      </c>
      <c r="K640" t="s">
        <v>723</v>
      </c>
    </row>
    <row r="641" spans="1:11" x14ac:dyDescent="0.3">
      <c r="A641" t="s">
        <v>37</v>
      </c>
      <c r="B641" t="s">
        <v>236</v>
      </c>
      <c r="C641">
        <v>86</v>
      </c>
      <c r="D641" t="s">
        <v>179</v>
      </c>
      <c r="E641" t="s">
        <v>328</v>
      </c>
      <c r="F641" t="s">
        <v>70</v>
      </c>
      <c r="G641" t="s">
        <v>736</v>
      </c>
      <c r="H641" t="s">
        <v>683</v>
      </c>
      <c r="I641" t="s">
        <v>316</v>
      </c>
      <c r="J641" t="s">
        <v>332</v>
      </c>
      <c r="K641" t="s">
        <v>373</v>
      </c>
    </row>
    <row r="642" spans="1:11" x14ac:dyDescent="0.3">
      <c r="A642" t="s">
        <v>37</v>
      </c>
      <c r="B642" t="s">
        <v>238</v>
      </c>
      <c r="C642">
        <v>163</v>
      </c>
      <c r="D642" t="s">
        <v>138</v>
      </c>
      <c r="E642" t="s">
        <v>127</v>
      </c>
      <c r="F642" t="s">
        <v>737</v>
      </c>
      <c r="G642" t="s">
        <v>736</v>
      </c>
      <c r="H642" t="s">
        <v>738</v>
      </c>
      <c r="I642" t="s">
        <v>311</v>
      </c>
      <c r="J642" t="s">
        <v>165</v>
      </c>
      <c r="K642" t="s">
        <v>165</v>
      </c>
    </row>
    <row r="643" spans="1:11" x14ac:dyDescent="0.3">
      <c r="A643" t="s">
        <v>36</v>
      </c>
      <c r="B643" t="s">
        <v>236</v>
      </c>
      <c r="C643">
        <v>268</v>
      </c>
      <c r="D643" t="s">
        <v>296</v>
      </c>
      <c r="E643" t="s">
        <v>117</v>
      </c>
      <c r="F643" t="s">
        <v>739</v>
      </c>
      <c r="G643" t="s">
        <v>694</v>
      </c>
      <c r="H643" t="s">
        <v>255</v>
      </c>
      <c r="I643" t="s">
        <v>482</v>
      </c>
      <c r="J643" t="s">
        <v>408</v>
      </c>
      <c r="K643" t="s">
        <v>694</v>
      </c>
    </row>
    <row r="644" spans="1:11" x14ac:dyDescent="0.3">
      <c r="A644" t="s">
        <v>36</v>
      </c>
      <c r="B644" t="s">
        <v>238</v>
      </c>
      <c r="C644">
        <v>162</v>
      </c>
      <c r="D644" t="s">
        <v>405</v>
      </c>
      <c r="E644" t="s">
        <v>382</v>
      </c>
      <c r="F644" t="s">
        <v>536</v>
      </c>
      <c r="G644" t="s">
        <v>432</v>
      </c>
      <c r="H644" t="s">
        <v>708</v>
      </c>
      <c r="I644" t="s">
        <v>740</v>
      </c>
      <c r="J644" t="s">
        <v>689</v>
      </c>
      <c r="K644" t="s">
        <v>277</v>
      </c>
    </row>
    <row r="645" spans="1:11" x14ac:dyDescent="0.3">
      <c r="A645" t="s">
        <v>34</v>
      </c>
      <c r="B645" t="s">
        <v>236</v>
      </c>
      <c r="C645">
        <v>101</v>
      </c>
      <c r="D645" t="s">
        <v>369</v>
      </c>
      <c r="E645" t="s">
        <v>675</v>
      </c>
      <c r="F645" t="s">
        <v>167</v>
      </c>
      <c r="G645" t="s">
        <v>741</v>
      </c>
      <c r="H645" t="s">
        <v>523</v>
      </c>
      <c r="I645" t="s">
        <v>449</v>
      </c>
      <c r="J645" t="s">
        <v>78</v>
      </c>
      <c r="K645" t="s">
        <v>152</v>
      </c>
    </row>
    <row r="646" spans="1:11" x14ac:dyDescent="0.3">
      <c r="A646" t="s">
        <v>34</v>
      </c>
      <c r="B646" t="s">
        <v>238</v>
      </c>
      <c r="C646">
        <v>397</v>
      </c>
      <c r="D646" t="s">
        <v>684</v>
      </c>
      <c r="E646" t="s">
        <v>100</v>
      </c>
      <c r="F646" t="s">
        <v>708</v>
      </c>
      <c r="G646" t="s">
        <v>307</v>
      </c>
      <c r="H646" t="s">
        <v>724</v>
      </c>
      <c r="I646" t="s">
        <v>408</v>
      </c>
      <c r="J646" t="s">
        <v>220</v>
      </c>
      <c r="K646" t="s">
        <v>233</v>
      </c>
    </row>
    <row r="647" spans="1:11" x14ac:dyDescent="0.3">
      <c r="A647" t="s">
        <v>33</v>
      </c>
      <c r="B647" t="s">
        <v>236</v>
      </c>
      <c r="C647">
        <v>54</v>
      </c>
      <c r="D647" t="s">
        <v>675</v>
      </c>
      <c r="E647" t="s">
        <v>382</v>
      </c>
      <c r="F647" t="s">
        <v>163</v>
      </c>
      <c r="G647" t="s">
        <v>742</v>
      </c>
      <c r="H647" t="s">
        <v>186</v>
      </c>
      <c r="I647" t="s">
        <v>353</v>
      </c>
      <c r="J647" t="s">
        <v>264</v>
      </c>
      <c r="K647" t="s">
        <v>689</v>
      </c>
    </row>
    <row r="648" spans="1:11" x14ac:dyDescent="0.3">
      <c r="A648" t="s">
        <v>33</v>
      </c>
      <c r="B648" t="s">
        <v>238</v>
      </c>
      <c r="C648">
        <v>83</v>
      </c>
      <c r="D648" t="s">
        <v>135</v>
      </c>
      <c r="E648" t="s">
        <v>124</v>
      </c>
      <c r="F648" t="s">
        <v>731</v>
      </c>
      <c r="G648" t="s">
        <v>743</v>
      </c>
      <c r="H648" t="s">
        <v>289</v>
      </c>
      <c r="I648" t="s">
        <v>122</v>
      </c>
      <c r="J648" t="s">
        <v>672</v>
      </c>
      <c r="K648" t="s">
        <v>437</v>
      </c>
    </row>
    <row r="649" spans="1:11" x14ac:dyDescent="0.3">
      <c r="A649" t="s">
        <v>49</v>
      </c>
      <c r="B649" t="s">
        <v>236</v>
      </c>
      <c r="C649">
        <v>834</v>
      </c>
      <c r="D649" t="s">
        <v>287</v>
      </c>
      <c r="E649" t="s">
        <v>157</v>
      </c>
      <c r="F649" t="s">
        <v>405</v>
      </c>
      <c r="G649" t="s">
        <v>395</v>
      </c>
      <c r="H649" t="s">
        <v>737</v>
      </c>
      <c r="I649" t="s">
        <v>150</v>
      </c>
      <c r="J649" t="s">
        <v>685</v>
      </c>
      <c r="K649" t="s">
        <v>503</v>
      </c>
    </row>
    <row r="650" spans="1:11" x14ac:dyDescent="0.3">
      <c r="A650" t="s">
        <v>49</v>
      </c>
      <c r="B650" t="s">
        <v>238</v>
      </c>
      <c r="C650">
        <v>1183</v>
      </c>
      <c r="D650" t="s">
        <v>262</v>
      </c>
      <c r="E650" t="s">
        <v>382</v>
      </c>
      <c r="F650" t="s">
        <v>716</v>
      </c>
      <c r="G650" t="s">
        <v>536</v>
      </c>
      <c r="H650" t="s">
        <v>264</v>
      </c>
      <c r="I650" t="s">
        <v>165</v>
      </c>
      <c r="J650" t="s">
        <v>395</v>
      </c>
      <c r="K650" t="s">
        <v>410</v>
      </c>
    </row>
    <row r="652" spans="1:11" x14ac:dyDescent="0.3">
      <c r="A652" t="s">
        <v>744</v>
      </c>
    </row>
    <row r="653" spans="1:11" x14ac:dyDescent="0.3">
      <c r="A653" t="s">
        <v>44</v>
      </c>
      <c r="B653" t="s">
        <v>257</v>
      </c>
      <c r="C653" t="s">
        <v>32</v>
      </c>
      <c r="D653" t="s">
        <v>661</v>
      </c>
      <c r="E653" t="s">
        <v>274</v>
      </c>
      <c r="F653" t="s">
        <v>655</v>
      </c>
      <c r="G653" t="s">
        <v>656</v>
      </c>
      <c r="H653" t="s">
        <v>657</v>
      </c>
      <c r="I653" t="s">
        <v>658</v>
      </c>
      <c r="J653" t="s">
        <v>659</v>
      </c>
      <c r="K653" t="s">
        <v>660</v>
      </c>
    </row>
    <row r="654" spans="1:11" x14ac:dyDescent="0.3">
      <c r="A654" t="s">
        <v>35</v>
      </c>
      <c r="B654" t="s">
        <v>258</v>
      </c>
      <c r="C654">
        <v>646</v>
      </c>
      <c r="D654" t="s">
        <v>231</v>
      </c>
      <c r="E654" t="s">
        <v>108</v>
      </c>
      <c r="F654" t="s">
        <v>109</v>
      </c>
      <c r="G654" t="s">
        <v>150</v>
      </c>
      <c r="H654" t="s">
        <v>254</v>
      </c>
      <c r="I654" t="s">
        <v>70</v>
      </c>
      <c r="J654" t="s">
        <v>735</v>
      </c>
      <c r="K654" t="s">
        <v>745</v>
      </c>
    </row>
    <row r="655" spans="1:11" x14ac:dyDescent="0.3">
      <c r="A655" t="s">
        <v>35</v>
      </c>
      <c r="B655" t="s">
        <v>260</v>
      </c>
      <c r="C655">
        <v>57</v>
      </c>
      <c r="D655" t="s">
        <v>369</v>
      </c>
      <c r="E655" t="s">
        <v>277</v>
      </c>
      <c r="F655" t="s">
        <v>113</v>
      </c>
      <c r="G655" t="s">
        <v>167</v>
      </c>
      <c r="H655" t="s">
        <v>468</v>
      </c>
      <c r="I655" t="s">
        <v>296</v>
      </c>
      <c r="J655" t="s">
        <v>676</v>
      </c>
      <c r="K655" t="s">
        <v>668</v>
      </c>
    </row>
    <row r="656" spans="1:11" x14ac:dyDescent="0.3">
      <c r="A656" t="s">
        <v>37</v>
      </c>
      <c r="B656" t="s">
        <v>258</v>
      </c>
      <c r="C656">
        <v>249</v>
      </c>
      <c r="D656" t="s">
        <v>144</v>
      </c>
      <c r="E656" t="s">
        <v>157</v>
      </c>
      <c r="F656" t="s">
        <v>313</v>
      </c>
      <c r="G656" t="s">
        <v>736</v>
      </c>
      <c r="H656" t="s">
        <v>410</v>
      </c>
      <c r="I656" t="s">
        <v>113</v>
      </c>
      <c r="J656" t="s">
        <v>420</v>
      </c>
      <c r="K656" t="s">
        <v>721</v>
      </c>
    </row>
    <row r="657" spans="1:11" x14ac:dyDescent="0.3">
      <c r="A657" t="s">
        <v>36</v>
      </c>
      <c r="B657" t="s">
        <v>258</v>
      </c>
      <c r="C657">
        <v>293</v>
      </c>
      <c r="D657" t="s">
        <v>220</v>
      </c>
      <c r="E657" t="s">
        <v>123</v>
      </c>
      <c r="F657" t="s">
        <v>536</v>
      </c>
      <c r="G657" t="s">
        <v>705</v>
      </c>
      <c r="H657" t="s">
        <v>368</v>
      </c>
      <c r="I657" t="s">
        <v>691</v>
      </c>
      <c r="J657" t="s">
        <v>186</v>
      </c>
      <c r="K657" t="s">
        <v>363</v>
      </c>
    </row>
    <row r="658" spans="1:11" x14ac:dyDescent="0.3">
      <c r="A658" t="s">
        <v>36</v>
      </c>
      <c r="B658" t="s">
        <v>260</v>
      </c>
      <c r="C658">
        <v>137</v>
      </c>
      <c r="D658" t="s">
        <v>277</v>
      </c>
      <c r="E658" t="s">
        <v>126</v>
      </c>
      <c r="F658" t="s">
        <v>730</v>
      </c>
      <c r="G658" t="s">
        <v>737</v>
      </c>
      <c r="H658" t="s">
        <v>746</v>
      </c>
      <c r="I658" t="s">
        <v>534</v>
      </c>
      <c r="J658" t="s">
        <v>673</v>
      </c>
      <c r="K658" t="s">
        <v>111</v>
      </c>
    </row>
    <row r="659" spans="1:11" x14ac:dyDescent="0.3">
      <c r="A659" t="s">
        <v>34</v>
      </c>
      <c r="B659" t="s">
        <v>258</v>
      </c>
      <c r="C659">
        <v>121</v>
      </c>
      <c r="D659" t="s">
        <v>136</v>
      </c>
      <c r="E659" t="s">
        <v>99</v>
      </c>
      <c r="F659" t="s">
        <v>142</v>
      </c>
      <c r="G659" t="s">
        <v>60</v>
      </c>
      <c r="H659" t="s">
        <v>527</v>
      </c>
      <c r="I659" t="s">
        <v>268</v>
      </c>
      <c r="J659" t="s">
        <v>242</v>
      </c>
      <c r="K659" t="s">
        <v>408</v>
      </c>
    </row>
    <row r="660" spans="1:11" x14ac:dyDescent="0.3">
      <c r="A660" t="s">
        <v>34</v>
      </c>
      <c r="B660" t="s">
        <v>260</v>
      </c>
      <c r="C660">
        <v>377</v>
      </c>
      <c r="D660" t="s">
        <v>150</v>
      </c>
      <c r="E660" t="s">
        <v>128</v>
      </c>
      <c r="F660" t="s">
        <v>685</v>
      </c>
      <c r="G660" t="s">
        <v>730</v>
      </c>
      <c r="H660" t="s">
        <v>747</v>
      </c>
      <c r="I660" t="s">
        <v>737</v>
      </c>
      <c r="J660" t="s">
        <v>220</v>
      </c>
      <c r="K660" t="s">
        <v>142</v>
      </c>
    </row>
    <row r="661" spans="1:11" x14ac:dyDescent="0.3">
      <c r="A661" t="s">
        <v>33</v>
      </c>
      <c r="B661" t="s">
        <v>258</v>
      </c>
      <c r="C661">
        <v>137</v>
      </c>
      <c r="D661" t="s">
        <v>663</v>
      </c>
      <c r="E661" t="s">
        <v>434</v>
      </c>
      <c r="F661" t="s">
        <v>708</v>
      </c>
      <c r="G661" t="s">
        <v>437</v>
      </c>
      <c r="H661" t="s">
        <v>746</v>
      </c>
      <c r="I661" t="s">
        <v>679</v>
      </c>
      <c r="J661" t="s">
        <v>76</v>
      </c>
      <c r="K661" t="s">
        <v>748</v>
      </c>
    </row>
    <row r="662" spans="1:11" x14ac:dyDescent="0.3">
      <c r="A662" t="s">
        <v>49</v>
      </c>
      <c r="B662" t="s">
        <v>258</v>
      </c>
      <c r="C662">
        <v>1446</v>
      </c>
      <c r="D662" t="s">
        <v>449</v>
      </c>
      <c r="E662" t="s">
        <v>382</v>
      </c>
      <c r="F662" t="s">
        <v>671</v>
      </c>
      <c r="G662" t="s">
        <v>321</v>
      </c>
      <c r="H662" t="s">
        <v>311</v>
      </c>
      <c r="I662" t="s">
        <v>41</v>
      </c>
      <c r="J662" t="s">
        <v>501</v>
      </c>
      <c r="K662" t="s">
        <v>106</v>
      </c>
    </row>
    <row r="663" spans="1:11" x14ac:dyDescent="0.3">
      <c r="A663" t="s">
        <v>49</v>
      </c>
      <c r="B663" t="s">
        <v>260</v>
      </c>
      <c r="C663">
        <v>571</v>
      </c>
      <c r="D663" t="s">
        <v>184</v>
      </c>
      <c r="E663" t="s">
        <v>147</v>
      </c>
      <c r="F663" t="s">
        <v>368</v>
      </c>
      <c r="G663" t="s">
        <v>749</v>
      </c>
      <c r="H663" t="s">
        <v>442</v>
      </c>
      <c r="I663" t="s">
        <v>206</v>
      </c>
      <c r="J663" t="s">
        <v>233</v>
      </c>
      <c r="K663" t="s">
        <v>408</v>
      </c>
    </row>
    <row r="665" spans="1:11" x14ac:dyDescent="0.3">
      <c r="A665" t="s">
        <v>750</v>
      </c>
    </row>
    <row r="666" spans="1:11" x14ac:dyDescent="0.3">
      <c r="A666" t="s">
        <v>44</v>
      </c>
      <c r="B666" t="s">
        <v>32</v>
      </c>
      <c r="C666" t="s">
        <v>661</v>
      </c>
      <c r="D666" t="s">
        <v>274</v>
      </c>
      <c r="E666" t="s">
        <v>655</v>
      </c>
      <c r="F666" t="s">
        <v>656</v>
      </c>
      <c r="G666" t="s">
        <v>657</v>
      </c>
      <c r="H666" t="s">
        <v>658</v>
      </c>
      <c r="I666" t="s">
        <v>659</v>
      </c>
      <c r="J666" t="s">
        <v>660</v>
      </c>
    </row>
    <row r="667" spans="1:11" x14ac:dyDescent="0.3">
      <c r="A667" t="s">
        <v>35</v>
      </c>
      <c r="B667">
        <v>703</v>
      </c>
      <c r="C667" t="s">
        <v>201</v>
      </c>
      <c r="D667" t="s">
        <v>121</v>
      </c>
      <c r="E667" t="s">
        <v>152</v>
      </c>
      <c r="F667" t="s">
        <v>70</v>
      </c>
      <c r="G667" t="s">
        <v>145</v>
      </c>
      <c r="H667" t="s">
        <v>78</v>
      </c>
      <c r="I667" t="s">
        <v>670</v>
      </c>
      <c r="J667" t="s">
        <v>674</v>
      </c>
    </row>
    <row r="668" spans="1:11" x14ac:dyDescent="0.3">
      <c r="A668" t="s">
        <v>37</v>
      </c>
      <c r="B668">
        <v>249</v>
      </c>
      <c r="C668" t="s">
        <v>144</v>
      </c>
      <c r="D668" t="s">
        <v>157</v>
      </c>
      <c r="E668" t="s">
        <v>313</v>
      </c>
      <c r="F668" t="s">
        <v>736</v>
      </c>
      <c r="G668" t="s">
        <v>410</v>
      </c>
      <c r="H668" t="s">
        <v>113</v>
      </c>
      <c r="I668" t="s">
        <v>420</v>
      </c>
      <c r="J668" t="s">
        <v>721</v>
      </c>
    </row>
    <row r="669" spans="1:11" x14ac:dyDescent="0.3">
      <c r="A669" t="s">
        <v>36</v>
      </c>
      <c r="B669">
        <v>430</v>
      </c>
      <c r="C669" t="s">
        <v>722</v>
      </c>
      <c r="D669" t="s">
        <v>123</v>
      </c>
      <c r="E669" t="s">
        <v>393</v>
      </c>
      <c r="F669" t="s">
        <v>357</v>
      </c>
      <c r="G669" t="s">
        <v>368</v>
      </c>
      <c r="H669" t="s">
        <v>478</v>
      </c>
      <c r="I669" t="s">
        <v>393</v>
      </c>
      <c r="J669" t="s">
        <v>299</v>
      </c>
    </row>
    <row r="670" spans="1:11" x14ac:dyDescent="0.3">
      <c r="A670" t="s">
        <v>34</v>
      </c>
      <c r="B670">
        <v>498</v>
      </c>
      <c r="C670" t="s">
        <v>254</v>
      </c>
      <c r="D670" t="s">
        <v>117</v>
      </c>
      <c r="E670" t="s">
        <v>355</v>
      </c>
      <c r="F670" t="s">
        <v>735</v>
      </c>
      <c r="G670" t="s">
        <v>529</v>
      </c>
      <c r="H670" t="s">
        <v>416</v>
      </c>
      <c r="I670" t="s">
        <v>671</v>
      </c>
      <c r="J670" t="s">
        <v>220</v>
      </c>
    </row>
    <row r="671" spans="1:11" x14ac:dyDescent="0.3">
      <c r="A671" t="s">
        <v>33</v>
      </c>
      <c r="B671">
        <v>137</v>
      </c>
      <c r="C671" t="s">
        <v>663</v>
      </c>
      <c r="D671" t="s">
        <v>434</v>
      </c>
      <c r="E671" t="s">
        <v>708</v>
      </c>
      <c r="F671" t="s">
        <v>437</v>
      </c>
      <c r="G671" t="s">
        <v>746</v>
      </c>
      <c r="H671" t="s">
        <v>679</v>
      </c>
      <c r="I671" t="s">
        <v>76</v>
      </c>
      <c r="J671" t="s">
        <v>748</v>
      </c>
    </row>
    <row r="672" spans="1:11" x14ac:dyDescent="0.3">
      <c r="A672" t="s">
        <v>49</v>
      </c>
      <c r="B672">
        <v>2017</v>
      </c>
      <c r="C672" t="s">
        <v>171</v>
      </c>
      <c r="D672" t="s">
        <v>151</v>
      </c>
      <c r="E672" t="s">
        <v>171</v>
      </c>
      <c r="F672" t="s">
        <v>406</v>
      </c>
      <c r="G672" t="s">
        <v>321</v>
      </c>
      <c r="H672" t="s">
        <v>470</v>
      </c>
      <c r="I672" t="s">
        <v>687</v>
      </c>
      <c r="J672" t="s">
        <v>751</v>
      </c>
    </row>
    <row r="674" spans="1:9" x14ac:dyDescent="0.3">
      <c r="A674" t="s">
        <v>752</v>
      </c>
    </row>
    <row r="675" spans="1:9" x14ac:dyDescent="0.3">
      <c r="A675" t="s">
        <v>44</v>
      </c>
      <c r="B675" t="s">
        <v>32</v>
      </c>
      <c r="C675" t="s">
        <v>83</v>
      </c>
      <c r="D675" t="s">
        <v>753</v>
      </c>
      <c r="E675" t="s">
        <v>754</v>
      </c>
      <c r="F675" t="s">
        <v>755</v>
      </c>
      <c r="G675" t="s">
        <v>756</v>
      </c>
      <c r="H675" t="s">
        <v>757</v>
      </c>
    </row>
    <row r="676" spans="1:9" x14ac:dyDescent="0.3">
      <c r="A676" t="s">
        <v>35</v>
      </c>
      <c r="B676">
        <v>3145</v>
      </c>
      <c r="C676" t="s">
        <v>107</v>
      </c>
      <c r="D676" t="s">
        <v>104</v>
      </c>
      <c r="E676" t="s">
        <v>121</v>
      </c>
      <c r="F676" t="s">
        <v>198</v>
      </c>
      <c r="G676" t="s">
        <v>114</v>
      </c>
      <c r="H676" t="s">
        <v>758</v>
      </c>
    </row>
    <row r="677" spans="1:9" x14ac:dyDescent="0.3">
      <c r="A677" t="s">
        <v>37</v>
      </c>
      <c r="B677">
        <v>3855</v>
      </c>
      <c r="C677" t="s">
        <v>101</v>
      </c>
      <c r="D677" t="s">
        <v>99</v>
      </c>
      <c r="E677" t="s">
        <v>114</v>
      </c>
      <c r="F677" t="s">
        <v>198</v>
      </c>
      <c r="G677" t="s">
        <v>114</v>
      </c>
      <c r="H677" t="s">
        <v>759</v>
      </c>
    </row>
    <row r="678" spans="1:9" x14ac:dyDescent="0.3">
      <c r="A678" t="s">
        <v>36</v>
      </c>
      <c r="B678">
        <v>2305</v>
      </c>
      <c r="C678" t="s">
        <v>127</v>
      </c>
      <c r="D678" t="s">
        <v>104</v>
      </c>
      <c r="E678" t="s">
        <v>151</v>
      </c>
      <c r="F678" t="s">
        <v>141</v>
      </c>
      <c r="G678" t="s">
        <v>157</v>
      </c>
      <c r="H678" t="s">
        <v>71</v>
      </c>
    </row>
    <row r="679" spans="1:9" x14ac:dyDescent="0.3">
      <c r="A679" t="s">
        <v>34</v>
      </c>
      <c r="B679">
        <v>2080</v>
      </c>
      <c r="C679" t="s">
        <v>122</v>
      </c>
      <c r="D679" t="s">
        <v>99</v>
      </c>
      <c r="E679" t="s">
        <v>141</v>
      </c>
      <c r="F679" t="s">
        <v>100</v>
      </c>
      <c r="G679" t="s">
        <v>154</v>
      </c>
      <c r="H679" t="s">
        <v>221</v>
      </c>
    </row>
    <row r="680" spans="1:9" x14ac:dyDescent="0.3">
      <c r="A680" t="s">
        <v>33</v>
      </c>
      <c r="B680">
        <v>1937</v>
      </c>
      <c r="C680" t="s">
        <v>115</v>
      </c>
      <c r="D680" t="s">
        <v>104</v>
      </c>
      <c r="E680" t="s">
        <v>101</v>
      </c>
      <c r="F680" t="s">
        <v>207</v>
      </c>
      <c r="G680" t="s">
        <v>151</v>
      </c>
      <c r="H680" t="s">
        <v>337</v>
      </c>
    </row>
    <row r="681" spans="1:9" x14ac:dyDescent="0.3">
      <c r="A681" t="s">
        <v>49</v>
      </c>
      <c r="B681">
        <v>13322</v>
      </c>
      <c r="C681" t="s">
        <v>147</v>
      </c>
      <c r="D681" t="s">
        <v>104</v>
      </c>
      <c r="E681" t="s">
        <v>100</v>
      </c>
      <c r="F681" t="s">
        <v>136</v>
      </c>
      <c r="G681" t="s">
        <v>127</v>
      </c>
      <c r="H681" t="s">
        <v>334</v>
      </c>
    </row>
    <row r="683" spans="1:9" x14ac:dyDescent="0.3">
      <c r="A683" t="s">
        <v>760</v>
      </c>
    </row>
    <row r="684" spans="1:9" x14ac:dyDescent="0.3">
      <c r="A684" t="s">
        <v>44</v>
      </c>
      <c r="B684" t="s">
        <v>361</v>
      </c>
      <c r="C684" t="s">
        <v>32</v>
      </c>
      <c r="D684" t="s">
        <v>83</v>
      </c>
      <c r="E684" t="s">
        <v>754</v>
      </c>
      <c r="F684" t="s">
        <v>755</v>
      </c>
      <c r="G684" t="s">
        <v>756</v>
      </c>
      <c r="H684" t="s">
        <v>757</v>
      </c>
      <c r="I684" t="s">
        <v>753</v>
      </c>
    </row>
    <row r="685" spans="1:9" x14ac:dyDescent="0.3">
      <c r="A685" t="s">
        <v>35</v>
      </c>
      <c r="B685" t="s">
        <v>339</v>
      </c>
      <c r="C685">
        <v>890</v>
      </c>
      <c r="D685" t="s">
        <v>138</v>
      </c>
      <c r="E685" t="s">
        <v>198</v>
      </c>
      <c r="F685" t="s">
        <v>104</v>
      </c>
      <c r="G685" t="s">
        <v>108</v>
      </c>
      <c r="H685" t="s">
        <v>331</v>
      </c>
      <c r="I685" t="s">
        <v>99</v>
      </c>
    </row>
    <row r="686" spans="1:9" x14ac:dyDescent="0.3">
      <c r="A686" t="s">
        <v>35</v>
      </c>
      <c r="B686" t="s">
        <v>340</v>
      </c>
      <c r="C686">
        <v>2215</v>
      </c>
      <c r="D686" t="s">
        <v>128</v>
      </c>
      <c r="E686" t="s">
        <v>382</v>
      </c>
      <c r="F686" t="s">
        <v>207</v>
      </c>
      <c r="G686" t="s">
        <v>108</v>
      </c>
      <c r="H686" t="s">
        <v>358</v>
      </c>
      <c r="I686" t="s">
        <v>198</v>
      </c>
    </row>
    <row r="687" spans="1:9" x14ac:dyDescent="0.3">
      <c r="A687" t="s">
        <v>35</v>
      </c>
      <c r="B687" t="s">
        <v>365</v>
      </c>
      <c r="C687">
        <v>40</v>
      </c>
      <c r="D687" t="s">
        <v>714</v>
      </c>
      <c r="E687" t="s">
        <v>99</v>
      </c>
      <c r="F687" t="s">
        <v>99</v>
      </c>
      <c r="G687" t="s">
        <v>144</v>
      </c>
      <c r="H687" t="s">
        <v>761</v>
      </c>
      <c r="I687" t="s">
        <v>99</v>
      </c>
    </row>
    <row r="688" spans="1:9" x14ac:dyDescent="0.3">
      <c r="A688" t="s">
        <v>37</v>
      </c>
      <c r="B688" t="s">
        <v>339</v>
      </c>
      <c r="C688">
        <v>1093</v>
      </c>
      <c r="D688" t="s">
        <v>319</v>
      </c>
      <c r="E688" t="s">
        <v>141</v>
      </c>
      <c r="F688" t="s">
        <v>198</v>
      </c>
      <c r="G688" t="s">
        <v>207</v>
      </c>
      <c r="H688" t="s">
        <v>386</v>
      </c>
      <c r="I688" t="s">
        <v>99</v>
      </c>
    </row>
    <row r="689" spans="1:9" x14ac:dyDescent="0.3">
      <c r="A689" t="s">
        <v>37</v>
      </c>
      <c r="B689" t="s">
        <v>340</v>
      </c>
      <c r="C689">
        <v>2721</v>
      </c>
      <c r="D689" t="s">
        <v>101</v>
      </c>
      <c r="E689" t="s">
        <v>121</v>
      </c>
      <c r="F689" t="s">
        <v>198</v>
      </c>
      <c r="G689" t="s">
        <v>319</v>
      </c>
      <c r="H689" t="s">
        <v>237</v>
      </c>
      <c r="I689" t="s">
        <v>104</v>
      </c>
    </row>
    <row r="690" spans="1:9" x14ac:dyDescent="0.3">
      <c r="A690" t="s">
        <v>37</v>
      </c>
      <c r="B690" t="s">
        <v>365</v>
      </c>
      <c r="C690">
        <v>41</v>
      </c>
      <c r="D690" t="s">
        <v>99</v>
      </c>
      <c r="E690" t="s">
        <v>99</v>
      </c>
      <c r="F690" t="s">
        <v>99</v>
      </c>
      <c r="G690" t="s">
        <v>99</v>
      </c>
      <c r="H690" t="s">
        <v>211</v>
      </c>
      <c r="I690" t="s">
        <v>99</v>
      </c>
    </row>
    <row r="691" spans="1:9" x14ac:dyDescent="0.3">
      <c r="A691" t="s">
        <v>36</v>
      </c>
      <c r="B691" t="s">
        <v>339</v>
      </c>
      <c r="C691">
        <v>770</v>
      </c>
      <c r="D691" t="s">
        <v>151</v>
      </c>
      <c r="E691" t="s">
        <v>121</v>
      </c>
      <c r="F691" t="s">
        <v>104</v>
      </c>
      <c r="G691" t="s">
        <v>120</v>
      </c>
      <c r="H691" t="s">
        <v>414</v>
      </c>
      <c r="I691" t="s">
        <v>198</v>
      </c>
    </row>
    <row r="692" spans="1:9" x14ac:dyDescent="0.3">
      <c r="A692" t="s">
        <v>36</v>
      </c>
      <c r="B692" t="s">
        <v>340</v>
      </c>
      <c r="C692">
        <v>1472</v>
      </c>
      <c r="D692" t="s">
        <v>319</v>
      </c>
      <c r="E692" t="s">
        <v>103</v>
      </c>
      <c r="F692" t="s">
        <v>253</v>
      </c>
      <c r="G692" t="s">
        <v>332</v>
      </c>
      <c r="H692" t="s">
        <v>354</v>
      </c>
      <c r="I692" t="s">
        <v>99</v>
      </c>
    </row>
    <row r="693" spans="1:9" x14ac:dyDescent="0.3">
      <c r="A693" t="s">
        <v>36</v>
      </c>
      <c r="B693" t="s">
        <v>365</v>
      </c>
      <c r="C693">
        <v>63</v>
      </c>
      <c r="D693" t="s">
        <v>369</v>
      </c>
      <c r="E693" t="s">
        <v>99</v>
      </c>
      <c r="F693" t="s">
        <v>105</v>
      </c>
      <c r="G693" t="s">
        <v>99</v>
      </c>
      <c r="H693" t="s">
        <v>290</v>
      </c>
      <c r="I693" t="s">
        <v>99</v>
      </c>
    </row>
    <row r="694" spans="1:9" x14ac:dyDescent="0.3">
      <c r="A694" t="s">
        <v>34</v>
      </c>
      <c r="B694" t="s">
        <v>339</v>
      </c>
      <c r="C694">
        <v>555</v>
      </c>
      <c r="D694" t="s">
        <v>160</v>
      </c>
      <c r="E694" t="s">
        <v>115</v>
      </c>
      <c r="F694" t="s">
        <v>114</v>
      </c>
      <c r="G694" t="s">
        <v>332</v>
      </c>
      <c r="H694" t="s">
        <v>762</v>
      </c>
      <c r="I694" t="s">
        <v>104</v>
      </c>
    </row>
    <row r="695" spans="1:9" x14ac:dyDescent="0.3">
      <c r="A695" t="s">
        <v>34</v>
      </c>
      <c r="B695" t="s">
        <v>340</v>
      </c>
      <c r="C695">
        <v>1497</v>
      </c>
      <c r="D695" t="s">
        <v>122</v>
      </c>
      <c r="E695" t="s">
        <v>141</v>
      </c>
      <c r="F695" t="s">
        <v>121</v>
      </c>
      <c r="G695" t="s">
        <v>154</v>
      </c>
      <c r="H695" t="s">
        <v>221</v>
      </c>
      <c r="I695" t="s">
        <v>99</v>
      </c>
    </row>
    <row r="696" spans="1:9" x14ac:dyDescent="0.3">
      <c r="A696" t="s">
        <v>34</v>
      </c>
      <c r="B696" t="s">
        <v>365</v>
      </c>
      <c r="C696">
        <v>28</v>
      </c>
      <c r="D696" t="s">
        <v>206</v>
      </c>
      <c r="E696" t="s">
        <v>99</v>
      </c>
      <c r="F696" t="s">
        <v>207</v>
      </c>
      <c r="G696" t="s">
        <v>150</v>
      </c>
      <c r="H696" t="s">
        <v>763</v>
      </c>
      <c r="I696" t="s">
        <v>99</v>
      </c>
    </row>
    <row r="697" spans="1:9" x14ac:dyDescent="0.3">
      <c r="A697" t="s">
        <v>33</v>
      </c>
      <c r="B697" t="s">
        <v>339</v>
      </c>
      <c r="C697">
        <v>503</v>
      </c>
      <c r="D697" t="s">
        <v>115</v>
      </c>
      <c r="E697" t="s">
        <v>121</v>
      </c>
      <c r="F697" t="s">
        <v>207</v>
      </c>
      <c r="G697" t="s">
        <v>114</v>
      </c>
      <c r="H697" t="s">
        <v>384</v>
      </c>
      <c r="I697" t="s">
        <v>99</v>
      </c>
    </row>
    <row r="698" spans="1:9" x14ac:dyDescent="0.3">
      <c r="A698" t="s">
        <v>33</v>
      </c>
      <c r="B698" t="s">
        <v>340</v>
      </c>
      <c r="C698">
        <v>1415</v>
      </c>
      <c r="D698" t="s">
        <v>115</v>
      </c>
      <c r="E698" t="s">
        <v>319</v>
      </c>
      <c r="F698" t="s">
        <v>207</v>
      </c>
      <c r="G698" t="s">
        <v>268</v>
      </c>
      <c r="H698" t="s">
        <v>375</v>
      </c>
      <c r="I698" t="s">
        <v>198</v>
      </c>
    </row>
    <row r="699" spans="1:9" x14ac:dyDescent="0.3">
      <c r="A699" t="s">
        <v>33</v>
      </c>
      <c r="B699" t="s">
        <v>365</v>
      </c>
      <c r="C699">
        <v>19</v>
      </c>
      <c r="D699" t="s">
        <v>99</v>
      </c>
      <c r="E699" t="s">
        <v>99</v>
      </c>
      <c r="F699" t="s">
        <v>99</v>
      </c>
      <c r="G699" t="s">
        <v>74</v>
      </c>
      <c r="H699" t="s">
        <v>75</v>
      </c>
      <c r="I699" t="s">
        <v>99</v>
      </c>
    </row>
    <row r="700" spans="1:9" x14ac:dyDescent="0.3">
      <c r="A700" t="s">
        <v>49</v>
      </c>
      <c r="B700" t="s">
        <v>339</v>
      </c>
      <c r="C700">
        <v>3811</v>
      </c>
      <c r="D700" t="s">
        <v>157</v>
      </c>
      <c r="E700" t="s">
        <v>253</v>
      </c>
      <c r="F700" t="s">
        <v>207</v>
      </c>
      <c r="G700" t="s">
        <v>126</v>
      </c>
      <c r="H700" t="s">
        <v>467</v>
      </c>
      <c r="I700" t="s">
        <v>99</v>
      </c>
    </row>
    <row r="701" spans="1:9" x14ac:dyDescent="0.3">
      <c r="A701" t="s">
        <v>49</v>
      </c>
      <c r="B701" t="s">
        <v>340</v>
      </c>
      <c r="C701">
        <v>9320</v>
      </c>
      <c r="D701" t="s">
        <v>128</v>
      </c>
      <c r="E701" t="s">
        <v>101</v>
      </c>
      <c r="F701" t="s">
        <v>136</v>
      </c>
      <c r="G701" t="s">
        <v>123</v>
      </c>
      <c r="H701" t="s">
        <v>391</v>
      </c>
      <c r="I701" t="s">
        <v>104</v>
      </c>
    </row>
    <row r="702" spans="1:9" x14ac:dyDescent="0.3">
      <c r="A702" t="s">
        <v>49</v>
      </c>
      <c r="B702" t="s">
        <v>365</v>
      </c>
      <c r="C702">
        <v>191</v>
      </c>
      <c r="D702" t="s">
        <v>679</v>
      </c>
      <c r="E702" t="s">
        <v>99</v>
      </c>
      <c r="F702" t="s">
        <v>253</v>
      </c>
      <c r="G702" t="s">
        <v>118</v>
      </c>
      <c r="H702" t="s">
        <v>764</v>
      </c>
      <c r="I702" t="s">
        <v>99</v>
      </c>
    </row>
    <row r="704" spans="1:9" x14ac:dyDescent="0.3">
      <c r="A704" t="s">
        <v>765</v>
      </c>
    </row>
    <row r="705" spans="1:9" x14ac:dyDescent="0.3">
      <c r="A705" t="s">
        <v>44</v>
      </c>
      <c r="B705" t="s">
        <v>209</v>
      </c>
      <c r="C705" t="s">
        <v>32</v>
      </c>
      <c r="D705" t="s">
        <v>83</v>
      </c>
      <c r="E705" t="s">
        <v>754</v>
      </c>
      <c r="F705" t="s">
        <v>755</v>
      </c>
      <c r="G705" t="s">
        <v>756</v>
      </c>
      <c r="H705" t="s">
        <v>757</v>
      </c>
      <c r="I705" t="s">
        <v>753</v>
      </c>
    </row>
    <row r="706" spans="1:9" x14ac:dyDescent="0.3">
      <c r="A706" t="s">
        <v>35</v>
      </c>
      <c r="B706" t="s">
        <v>210</v>
      </c>
      <c r="C706">
        <v>136</v>
      </c>
      <c r="D706" t="s">
        <v>353</v>
      </c>
      <c r="E706" t="s">
        <v>207</v>
      </c>
      <c r="F706" t="s">
        <v>99</v>
      </c>
      <c r="G706" t="s">
        <v>155</v>
      </c>
      <c r="H706" t="s">
        <v>417</v>
      </c>
      <c r="I706" t="s">
        <v>99</v>
      </c>
    </row>
    <row r="707" spans="1:9" x14ac:dyDescent="0.3">
      <c r="A707" t="s">
        <v>35</v>
      </c>
      <c r="B707" t="s">
        <v>212</v>
      </c>
      <c r="C707">
        <v>2442</v>
      </c>
      <c r="D707" t="s">
        <v>123</v>
      </c>
      <c r="E707" t="s">
        <v>115</v>
      </c>
      <c r="F707" t="s">
        <v>99</v>
      </c>
      <c r="G707" t="s">
        <v>132</v>
      </c>
      <c r="H707" t="s">
        <v>265</v>
      </c>
      <c r="I707" t="s">
        <v>198</v>
      </c>
    </row>
    <row r="708" spans="1:9" x14ac:dyDescent="0.3">
      <c r="A708" t="s">
        <v>35</v>
      </c>
      <c r="B708" t="s">
        <v>216</v>
      </c>
      <c r="C708">
        <v>567</v>
      </c>
      <c r="D708" t="s">
        <v>242</v>
      </c>
      <c r="E708" t="s">
        <v>128</v>
      </c>
      <c r="F708" t="s">
        <v>132</v>
      </c>
      <c r="G708" t="s">
        <v>108</v>
      </c>
      <c r="H708" t="s">
        <v>169</v>
      </c>
      <c r="I708" t="s">
        <v>104</v>
      </c>
    </row>
    <row r="709" spans="1:9" x14ac:dyDescent="0.3">
      <c r="A709" t="s">
        <v>37</v>
      </c>
      <c r="B709" t="s">
        <v>210</v>
      </c>
      <c r="C709">
        <v>138</v>
      </c>
      <c r="D709" t="s">
        <v>251</v>
      </c>
      <c r="E709" t="s">
        <v>114</v>
      </c>
      <c r="F709" t="s">
        <v>382</v>
      </c>
      <c r="G709" t="s">
        <v>482</v>
      </c>
      <c r="H709" t="s">
        <v>57</v>
      </c>
      <c r="I709" t="s">
        <v>99</v>
      </c>
    </row>
    <row r="710" spans="1:9" x14ac:dyDescent="0.3">
      <c r="A710" t="s">
        <v>37</v>
      </c>
      <c r="B710" t="s">
        <v>212</v>
      </c>
      <c r="C710">
        <v>3606</v>
      </c>
      <c r="D710" t="s">
        <v>132</v>
      </c>
      <c r="E710" t="s">
        <v>132</v>
      </c>
      <c r="F710" t="s">
        <v>104</v>
      </c>
      <c r="G710" t="s">
        <v>207</v>
      </c>
      <c r="H710" t="s">
        <v>766</v>
      </c>
      <c r="I710" t="s">
        <v>99</v>
      </c>
    </row>
    <row r="711" spans="1:9" x14ac:dyDescent="0.3">
      <c r="A711" t="s">
        <v>37</v>
      </c>
      <c r="B711" t="s">
        <v>216</v>
      </c>
      <c r="C711">
        <v>111</v>
      </c>
      <c r="D711" t="s">
        <v>152</v>
      </c>
      <c r="E711" t="s">
        <v>671</v>
      </c>
      <c r="F711" t="s">
        <v>99</v>
      </c>
      <c r="G711" t="s">
        <v>325</v>
      </c>
      <c r="H711" t="s">
        <v>196</v>
      </c>
      <c r="I711" t="s">
        <v>99</v>
      </c>
    </row>
    <row r="712" spans="1:9" x14ac:dyDescent="0.3">
      <c r="A712" t="s">
        <v>36</v>
      </c>
      <c r="B712" t="s">
        <v>210</v>
      </c>
      <c r="C712">
        <v>165</v>
      </c>
      <c r="D712" t="s">
        <v>277</v>
      </c>
      <c r="E712" t="s">
        <v>121</v>
      </c>
      <c r="F712" t="s">
        <v>108</v>
      </c>
      <c r="G712" t="s">
        <v>357</v>
      </c>
      <c r="H712" t="s">
        <v>767</v>
      </c>
      <c r="I712" t="s">
        <v>115</v>
      </c>
    </row>
    <row r="713" spans="1:9" x14ac:dyDescent="0.3">
      <c r="A713" t="s">
        <v>36</v>
      </c>
      <c r="B713" t="s">
        <v>212</v>
      </c>
      <c r="C713">
        <v>1875</v>
      </c>
      <c r="D713" t="s">
        <v>114</v>
      </c>
      <c r="E713" t="s">
        <v>126</v>
      </c>
      <c r="F713" t="s">
        <v>253</v>
      </c>
      <c r="G713" t="s">
        <v>108</v>
      </c>
      <c r="H713" t="s">
        <v>768</v>
      </c>
      <c r="I713" t="s">
        <v>99</v>
      </c>
    </row>
    <row r="714" spans="1:9" x14ac:dyDescent="0.3">
      <c r="A714" t="s">
        <v>36</v>
      </c>
      <c r="B714" t="s">
        <v>216</v>
      </c>
      <c r="C714">
        <v>265</v>
      </c>
      <c r="D714" t="s">
        <v>712</v>
      </c>
      <c r="E714" t="s">
        <v>325</v>
      </c>
      <c r="F714" t="s">
        <v>99</v>
      </c>
      <c r="G714" t="s">
        <v>68</v>
      </c>
      <c r="H714" t="s">
        <v>769</v>
      </c>
      <c r="I714" t="s">
        <v>99</v>
      </c>
    </row>
    <row r="715" spans="1:9" x14ac:dyDescent="0.3">
      <c r="A715" t="s">
        <v>34</v>
      </c>
      <c r="B715" t="s">
        <v>210</v>
      </c>
      <c r="C715">
        <v>256</v>
      </c>
      <c r="D715" t="s">
        <v>393</v>
      </c>
      <c r="E715" t="s">
        <v>115</v>
      </c>
      <c r="F715" t="s">
        <v>117</v>
      </c>
      <c r="G715" t="s">
        <v>416</v>
      </c>
      <c r="H715" t="s">
        <v>770</v>
      </c>
      <c r="I715" t="s">
        <v>99</v>
      </c>
    </row>
    <row r="716" spans="1:9" x14ac:dyDescent="0.3">
      <c r="A716" t="s">
        <v>34</v>
      </c>
      <c r="B716" t="s">
        <v>212</v>
      </c>
      <c r="C716">
        <v>1582</v>
      </c>
      <c r="D716" t="s">
        <v>112</v>
      </c>
      <c r="E716" t="s">
        <v>136</v>
      </c>
      <c r="F716" t="s">
        <v>253</v>
      </c>
      <c r="G716" t="s">
        <v>121</v>
      </c>
      <c r="H716" t="s">
        <v>771</v>
      </c>
      <c r="I716" t="s">
        <v>99</v>
      </c>
    </row>
    <row r="717" spans="1:9" x14ac:dyDescent="0.3">
      <c r="A717" t="s">
        <v>34</v>
      </c>
      <c r="B717" t="s">
        <v>216</v>
      </c>
      <c r="C717">
        <v>242</v>
      </c>
      <c r="D717" t="s">
        <v>163</v>
      </c>
      <c r="E717" t="s">
        <v>121</v>
      </c>
      <c r="F717" t="s">
        <v>103</v>
      </c>
      <c r="G717" t="s">
        <v>143</v>
      </c>
      <c r="H717" t="s">
        <v>772</v>
      </c>
      <c r="I717" t="s">
        <v>104</v>
      </c>
    </row>
    <row r="718" spans="1:9" x14ac:dyDescent="0.3">
      <c r="A718" t="s">
        <v>33</v>
      </c>
      <c r="B718" t="s">
        <v>210</v>
      </c>
      <c r="C718">
        <v>68</v>
      </c>
      <c r="D718" t="s">
        <v>135</v>
      </c>
      <c r="E718" t="s">
        <v>712</v>
      </c>
      <c r="F718" t="s">
        <v>100</v>
      </c>
      <c r="G718" t="s">
        <v>701</v>
      </c>
      <c r="H718" t="s">
        <v>773</v>
      </c>
      <c r="I718" t="s">
        <v>99</v>
      </c>
    </row>
    <row r="719" spans="1:9" x14ac:dyDescent="0.3">
      <c r="A719" t="s">
        <v>33</v>
      </c>
      <c r="B719" t="s">
        <v>212</v>
      </c>
      <c r="C719">
        <v>1800</v>
      </c>
      <c r="D719" t="s">
        <v>136</v>
      </c>
      <c r="E719" t="s">
        <v>132</v>
      </c>
      <c r="F719" t="s">
        <v>207</v>
      </c>
      <c r="G719" t="s">
        <v>121</v>
      </c>
      <c r="H719" t="s">
        <v>466</v>
      </c>
      <c r="I719" t="s">
        <v>104</v>
      </c>
    </row>
    <row r="720" spans="1:9" x14ac:dyDescent="0.3">
      <c r="A720" t="s">
        <v>33</v>
      </c>
      <c r="B720" t="s">
        <v>216</v>
      </c>
      <c r="C720">
        <v>69</v>
      </c>
      <c r="D720" t="s">
        <v>319</v>
      </c>
      <c r="E720" t="s">
        <v>220</v>
      </c>
      <c r="F720" t="s">
        <v>99</v>
      </c>
      <c r="G720" t="s">
        <v>248</v>
      </c>
      <c r="H720" t="s">
        <v>774</v>
      </c>
      <c r="I720" t="s">
        <v>382</v>
      </c>
    </row>
    <row r="721" spans="1:9" x14ac:dyDescent="0.3">
      <c r="A721" t="s">
        <v>49</v>
      </c>
      <c r="B721" t="s">
        <v>210</v>
      </c>
      <c r="C721">
        <v>763</v>
      </c>
      <c r="D721" t="s">
        <v>163</v>
      </c>
      <c r="E721" t="s">
        <v>114</v>
      </c>
      <c r="F721" t="s">
        <v>319</v>
      </c>
      <c r="G721" t="s">
        <v>416</v>
      </c>
      <c r="H721" t="s">
        <v>775</v>
      </c>
      <c r="I721" t="s">
        <v>104</v>
      </c>
    </row>
    <row r="722" spans="1:9" x14ac:dyDescent="0.3">
      <c r="A722" t="s">
        <v>49</v>
      </c>
      <c r="B722" t="s">
        <v>212</v>
      </c>
      <c r="C722">
        <v>11305</v>
      </c>
      <c r="D722" t="s">
        <v>382</v>
      </c>
      <c r="E722" t="s">
        <v>132</v>
      </c>
      <c r="F722" t="s">
        <v>198</v>
      </c>
      <c r="G722" t="s">
        <v>132</v>
      </c>
      <c r="H722" t="s">
        <v>776</v>
      </c>
      <c r="I722" t="s">
        <v>104</v>
      </c>
    </row>
    <row r="723" spans="1:9" x14ac:dyDescent="0.3">
      <c r="A723" t="s">
        <v>49</v>
      </c>
      <c r="B723" t="s">
        <v>216</v>
      </c>
      <c r="C723">
        <v>1254</v>
      </c>
      <c r="D723" t="s">
        <v>143</v>
      </c>
      <c r="E723" t="s">
        <v>138</v>
      </c>
      <c r="F723" t="s">
        <v>114</v>
      </c>
      <c r="G723" t="s">
        <v>107</v>
      </c>
      <c r="H723" t="s">
        <v>205</v>
      </c>
      <c r="I723" t="s">
        <v>198</v>
      </c>
    </row>
    <row r="725" spans="1:9" x14ac:dyDescent="0.3">
      <c r="A725" t="s">
        <v>777</v>
      </c>
    </row>
    <row r="726" spans="1:9" x14ac:dyDescent="0.3">
      <c r="A726" t="s">
        <v>44</v>
      </c>
      <c r="B726" t="s">
        <v>388</v>
      </c>
      <c r="C726" t="s">
        <v>32</v>
      </c>
      <c r="D726" t="s">
        <v>83</v>
      </c>
      <c r="E726" t="s">
        <v>753</v>
      </c>
      <c r="F726" t="s">
        <v>754</v>
      </c>
      <c r="G726" t="s">
        <v>755</v>
      </c>
      <c r="H726" t="s">
        <v>756</v>
      </c>
      <c r="I726" t="s">
        <v>757</v>
      </c>
    </row>
    <row r="727" spans="1:9" x14ac:dyDescent="0.3">
      <c r="A727" t="s">
        <v>35</v>
      </c>
      <c r="B727" t="s">
        <v>389</v>
      </c>
      <c r="C727">
        <v>2141</v>
      </c>
      <c r="D727" t="s">
        <v>316</v>
      </c>
      <c r="E727" t="s">
        <v>104</v>
      </c>
      <c r="F727" t="s">
        <v>101</v>
      </c>
      <c r="G727" t="s">
        <v>207</v>
      </c>
      <c r="H727" t="s">
        <v>132</v>
      </c>
      <c r="I727" t="s">
        <v>778</v>
      </c>
    </row>
    <row r="728" spans="1:9" x14ac:dyDescent="0.3">
      <c r="A728" t="s">
        <v>35</v>
      </c>
      <c r="B728" t="s">
        <v>390</v>
      </c>
      <c r="C728">
        <v>875</v>
      </c>
      <c r="D728" t="s">
        <v>129</v>
      </c>
      <c r="E728" t="s">
        <v>198</v>
      </c>
      <c r="F728" t="s">
        <v>114</v>
      </c>
      <c r="G728" t="s">
        <v>99</v>
      </c>
      <c r="H728" t="s">
        <v>126</v>
      </c>
      <c r="I728" t="s">
        <v>241</v>
      </c>
    </row>
    <row r="729" spans="1:9" x14ac:dyDescent="0.3">
      <c r="A729" t="s">
        <v>35</v>
      </c>
      <c r="B729" t="s">
        <v>365</v>
      </c>
      <c r="C729">
        <v>129</v>
      </c>
      <c r="D729" t="s">
        <v>158</v>
      </c>
      <c r="E729" t="s">
        <v>99</v>
      </c>
      <c r="F729" t="s">
        <v>99</v>
      </c>
      <c r="G729" t="s">
        <v>99</v>
      </c>
      <c r="H729" t="s">
        <v>198</v>
      </c>
      <c r="I729" t="s">
        <v>467</v>
      </c>
    </row>
    <row r="730" spans="1:9" x14ac:dyDescent="0.3">
      <c r="A730" t="s">
        <v>37</v>
      </c>
      <c r="B730" t="s">
        <v>389</v>
      </c>
      <c r="C730">
        <v>2305</v>
      </c>
      <c r="D730" t="s">
        <v>319</v>
      </c>
      <c r="E730" t="s">
        <v>99</v>
      </c>
      <c r="F730" t="s">
        <v>101</v>
      </c>
      <c r="G730" t="s">
        <v>104</v>
      </c>
      <c r="H730" t="s">
        <v>132</v>
      </c>
      <c r="I730" t="s">
        <v>333</v>
      </c>
    </row>
    <row r="731" spans="1:9" x14ac:dyDescent="0.3">
      <c r="A731" t="s">
        <v>37</v>
      </c>
      <c r="B731" t="s">
        <v>390</v>
      </c>
      <c r="C731">
        <v>1309</v>
      </c>
      <c r="D731" t="s">
        <v>101</v>
      </c>
      <c r="E731" t="s">
        <v>99</v>
      </c>
      <c r="F731" t="s">
        <v>253</v>
      </c>
      <c r="G731" t="s">
        <v>207</v>
      </c>
      <c r="H731" t="s">
        <v>382</v>
      </c>
      <c r="I731" t="s">
        <v>779</v>
      </c>
    </row>
    <row r="732" spans="1:9" x14ac:dyDescent="0.3">
      <c r="A732" t="s">
        <v>37</v>
      </c>
      <c r="B732" t="s">
        <v>365</v>
      </c>
      <c r="C732">
        <v>241</v>
      </c>
      <c r="D732" t="s">
        <v>114</v>
      </c>
      <c r="E732" t="s">
        <v>136</v>
      </c>
      <c r="F732" t="s">
        <v>99</v>
      </c>
      <c r="G732" t="s">
        <v>99</v>
      </c>
      <c r="H732" t="s">
        <v>99</v>
      </c>
      <c r="I732" t="s">
        <v>483</v>
      </c>
    </row>
    <row r="733" spans="1:9" x14ac:dyDescent="0.3">
      <c r="A733" t="s">
        <v>36</v>
      </c>
      <c r="B733" t="s">
        <v>389</v>
      </c>
      <c r="C733">
        <v>1578</v>
      </c>
      <c r="D733" t="s">
        <v>151</v>
      </c>
      <c r="E733" t="s">
        <v>104</v>
      </c>
      <c r="F733" t="s">
        <v>111</v>
      </c>
      <c r="G733" t="s">
        <v>136</v>
      </c>
      <c r="H733" t="s">
        <v>103</v>
      </c>
      <c r="I733" t="s">
        <v>161</v>
      </c>
    </row>
    <row r="734" spans="1:9" x14ac:dyDescent="0.3">
      <c r="A734" t="s">
        <v>36</v>
      </c>
      <c r="B734" t="s">
        <v>390</v>
      </c>
      <c r="C734">
        <v>627</v>
      </c>
      <c r="D734" t="s">
        <v>127</v>
      </c>
      <c r="E734" t="s">
        <v>99</v>
      </c>
      <c r="F734" t="s">
        <v>132</v>
      </c>
      <c r="G734" t="s">
        <v>108</v>
      </c>
      <c r="H734" t="s">
        <v>120</v>
      </c>
      <c r="I734" t="s">
        <v>414</v>
      </c>
    </row>
    <row r="735" spans="1:9" x14ac:dyDescent="0.3">
      <c r="A735" t="s">
        <v>36</v>
      </c>
      <c r="B735" t="s">
        <v>365</v>
      </c>
      <c r="C735">
        <v>100</v>
      </c>
      <c r="D735" t="s">
        <v>141</v>
      </c>
      <c r="E735" t="s">
        <v>99</v>
      </c>
      <c r="F735" t="s">
        <v>277</v>
      </c>
      <c r="G735" t="s">
        <v>99</v>
      </c>
      <c r="H735" t="s">
        <v>179</v>
      </c>
      <c r="I735" t="s">
        <v>374</v>
      </c>
    </row>
    <row r="736" spans="1:9" x14ac:dyDescent="0.3">
      <c r="A736" t="s">
        <v>34</v>
      </c>
      <c r="B736" t="s">
        <v>389</v>
      </c>
      <c r="C736">
        <v>1385</v>
      </c>
      <c r="D736" t="s">
        <v>160</v>
      </c>
      <c r="E736" t="s">
        <v>99</v>
      </c>
      <c r="F736" t="s">
        <v>115</v>
      </c>
      <c r="G736" t="s">
        <v>126</v>
      </c>
      <c r="H736" t="s">
        <v>155</v>
      </c>
      <c r="I736" t="s">
        <v>217</v>
      </c>
    </row>
    <row r="737" spans="1:9" x14ac:dyDescent="0.3">
      <c r="A737" t="s">
        <v>34</v>
      </c>
      <c r="B737" t="s">
        <v>390</v>
      </c>
      <c r="C737">
        <v>615</v>
      </c>
      <c r="D737" t="s">
        <v>299</v>
      </c>
      <c r="E737" t="s">
        <v>99</v>
      </c>
      <c r="F737" t="s">
        <v>198</v>
      </c>
      <c r="G737" t="s">
        <v>136</v>
      </c>
      <c r="H737" t="s">
        <v>434</v>
      </c>
      <c r="I737" t="s">
        <v>217</v>
      </c>
    </row>
    <row r="738" spans="1:9" x14ac:dyDescent="0.3">
      <c r="A738" t="s">
        <v>34</v>
      </c>
      <c r="B738" t="s">
        <v>365</v>
      </c>
      <c r="C738">
        <v>80</v>
      </c>
      <c r="D738" t="s">
        <v>74</v>
      </c>
      <c r="E738" t="s">
        <v>99</v>
      </c>
      <c r="F738" t="s">
        <v>141</v>
      </c>
      <c r="G738" t="s">
        <v>99</v>
      </c>
      <c r="H738" t="s">
        <v>268</v>
      </c>
      <c r="I738" t="s">
        <v>378</v>
      </c>
    </row>
    <row r="739" spans="1:9" x14ac:dyDescent="0.3">
      <c r="A739" t="s">
        <v>33</v>
      </c>
      <c r="B739" t="s">
        <v>389</v>
      </c>
      <c r="C739">
        <v>1090</v>
      </c>
      <c r="D739" t="s">
        <v>207</v>
      </c>
      <c r="E739" t="s">
        <v>104</v>
      </c>
      <c r="F739" t="s">
        <v>215</v>
      </c>
      <c r="G739" t="s">
        <v>136</v>
      </c>
      <c r="H739" t="s">
        <v>123</v>
      </c>
      <c r="I739" t="s">
        <v>337</v>
      </c>
    </row>
    <row r="740" spans="1:9" x14ac:dyDescent="0.3">
      <c r="A740" t="s">
        <v>33</v>
      </c>
      <c r="B740" t="s">
        <v>390</v>
      </c>
      <c r="C740">
        <v>708</v>
      </c>
      <c r="D740" t="s">
        <v>121</v>
      </c>
      <c r="E740" t="s">
        <v>104</v>
      </c>
      <c r="F740" t="s">
        <v>108</v>
      </c>
      <c r="G740" t="s">
        <v>104</v>
      </c>
      <c r="H740" t="s">
        <v>117</v>
      </c>
      <c r="I740" t="s">
        <v>69</v>
      </c>
    </row>
    <row r="741" spans="1:9" x14ac:dyDescent="0.3">
      <c r="A741" t="s">
        <v>33</v>
      </c>
      <c r="B741" t="s">
        <v>365</v>
      </c>
      <c r="C741">
        <v>139</v>
      </c>
      <c r="D741" t="s">
        <v>121</v>
      </c>
      <c r="E741" t="s">
        <v>99</v>
      </c>
      <c r="F741" t="s">
        <v>132</v>
      </c>
      <c r="G741" t="s">
        <v>253</v>
      </c>
      <c r="H741" t="s">
        <v>99</v>
      </c>
      <c r="I741" t="s">
        <v>780</v>
      </c>
    </row>
    <row r="742" spans="1:9" x14ac:dyDescent="0.3">
      <c r="A742" t="s">
        <v>49</v>
      </c>
      <c r="B742" t="s">
        <v>389</v>
      </c>
      <c r="C742">
        <v>8499</v>
      </c>
      <c r="D742" t="s">
        <v>120</v>
      </c>
      <c r="E742" t="s">
        <v>104</v>
      </c>
      <c r="F742" t="s">
        <v>101</v>
      </c>
      <c r="G742" t="s">
        <v>141</v>
      </c>
      <c r="H742" t="s">
        <v>382</v>
      </c>
      <c r="I742" t="s">
        <v>334</v>
      </c>
    </row>
    <row r="743" spans="1:9" x14ac:dyDescent="0.3">
      <c r="A743" t="s">
        <v>49</v>
      </c>
      <c r="B743" t="s">
        <v>390</v>
      </c>
      <c r="C743">
        <v>4134</v>
      </c>
      <c r="D743" t="s">
        <v>157</v>
      </c>
      <c r="E743" t="s">
        <v>104</v>
      </c>
      <c r="F743" t="s">
        <v>115</v>
      </c>
      <c r="G743" t="s">
        <v>198</v>
      </c>
      <c r="H743" t="s">
        <v>268</v>
      </c>
      <c r="I743" t="s">
        <v>414</v>
      </c>
    </row>
    <row r="744" spans="1:9" x14ac:dyDescent="0.3">
      <c r="A744" t="s">
        <v>49</v>
      </c>
      <c r="B744" t="s">
        <v>365</v>
      </c>
      <c r="C744">
        <v>689</v>
      </c>
      <c r="D744" t="s">
        <v>316</v>
      </c>
      <c r="E744" t="s">
        <v>104</v>
      </c>
      <c r="F744" t="s">
        <v>132</v>
      </c>
      <c r="G744" t="s">
        <v>104</v>
      </c>
      <c r="H744" t="s">
        <v>215</v>
      </c>
      <c r="I744" t="s">
        <v>505</v>
      </c>
    </row>
    <row r="746" spans="1:9" x14ac:dyDescent="0.3">
      <c r="A746" t="s">
        <v>781</v>
      </c>
    </row>
    <row r="747" spans="1:9" x14ac:dyDescent="0.3">
      <c r="A747" t="s">
        <v>44</v>
      </c>
      <c r="B747" t="s">
        <v>235</v>
      </c>
      <c r="C747" t="s">
        <v>32</v>
      </c>
      <c r="D747" t="s">
        <v>83</v>
      </c>
      <c r="E747" t="s">
        <v>753</v>
      </c>
      <c r="F747" t="s">
        <v>754</v>
      </c>
      <c r="G747" t="s">
        <v>755</v>
      </c>
      <c r="H747" t="s">
        <v>756</v>
      </c>
      <c r="I747" t="s">
        <v>757</v>
      </c>
    </row>
    <row r="748" spans="1:9" x14ac:dyDescent="0.3">
      <c r="A748" t="s">
        <v>35</v>
      </c>
      <c r="B748" t="s">
        <v>236</v>
      </c>
      <c r="C748">
        <v>1610</v>
      </c>
      <c r="D748" t="s">
        <v>117</v>
      </c>
      <c r="E748" t="s">
        <v>104</v>
      </c>
      <c r="F748" t="s">
        <v>136</v>
      </c>
      <c r="G748" t="s">
        <v>104</v>
      </c>
      <c r="H748" t="s">
        <v>141</v>
      </c>
      <c r="I748" t="s">
        <v>776</v>
      </c>
    </row>
    <row r="749" spans="1:9" x14ac:dyDescent="0.3">
      <c r="A749" t="s">
        <v>35</v>
      </c>
      <c r="B749" t="s">
        <v>238</v>
      </c>
      <c r="C749">
        <v>1535</v>
      </c>
      <c r="D749" t="s">
        <v>138</v>
      </c>
      <c r="E749" t="s">
        <v>104</v>
      </c>
      <c r="F749" t="s">
        <v>126</v>
      </c>
      <c r="G749" t="s">
        <v>207</v>
      </c>
      <c r="H749" t="s">
        <v>121</v>
      </c>
      <c r="I749" t="s">
        <v>414</v>
      </c>
    </row>
    <row r="750" spans="1:9" x14ac:dyDescent="0.3">
      <c r="A750" t="s">
        <v>37</v>
      </c>
      <c r="B750" t="s">
        <v>236</v>
      </c>
      <c r="C750">
        <v>2211</v>
      </c>
      <c r="D750" t="s">
        <v>115</v>
      </c>
      <c r="E750" t="s">
        <v>99</v>
      </c>
      <c r="F750" t="s">
        <v>115</v>
      </c>
      <c r="G750" t="s">
        <v>207</v>
      </c>
      <c r="H750" t="s">
        <v>207</v>
      </c>
      <c r="I750" t="s">
        <v>438</v>
      </c>
    </row>
    <row r="751" spans="1:9" x14ac:dyDescent="0.3">
      <c r="A751" t="s">
        <v>37</v>
      </c>
      <c r="B751" t="s">
        <v>238</v>
      </c>
      <c r="C751">
        <v>1644</v>
      </c>
      <c r="D751" t="s">
        <v>111</v>
      </c>
      <c r="E751" t="s">
        <v>99</v>
      </c>
      <c r="F751" t="s">
        <v>319</v>
      </c>
      <c r="G751" t="s">
        <v>99</v>
      </c>
      <c r="H751" t="s">
        <v>292</v>
      </c>
      <c r="I751" t="s">
        <v>327</v>
      </c>
    </row>
    <row r="752" spans="1:9" x14ac:dyDescent="0.3">
      <c r="A752" t="s">
        <v>36</v>
      </c>
      <c r="B752" t="s">
        <v>236</v>
      </c>
      <c r="C752">
        <v>1566</v>
      </c>
      <c r="D752" t="s">
        <v>107</v>
      </c>
      <c r="E752" t="s">
        <v>198</v>
      </c>
      <c r="F752" t="s">
        <v>136</v>
      </c>
      <c r="G752" t="s">
        <v>114</v>
      </c>
      <c r="H752" t="s">
        <v>127</v>
      </c>
      <c r="I752" t="s">
        <v>334</v>
      </c>
    </row>
    <row r="753" spans="1:9" x14ac:dyDescent="0.3">
      <c r="A753" t="s">
        <v>36</v>
      </c>
      <c r="B753" t="s">
        <v>238</v>
      </c>
      <c r="C753">
        <v>739</v>
      </c>
      <c r="D753" t="s">
        <v>114</v>
      </c>
      <c r="E753" t="s">
        <v>99</v>
      </c>
      <c r="F753" t="s">
        <v>105</v>
      </c>
      <c r="G753" t="s">
        <v>198</v>
      </c>
      <c r="H753" t="s">
        <v>434</v>
      </c>
      <c r="I753" t="s">
        <v>73</v>
      </c>
    </row>
    <row r="754" spans="1:9" x14ac:dyDescent="0.3">
      <c r="A754" t="s">
        <v>34</v>
      </c>
      <c r="B754" t="s">
        <v>236</v>
      </c>
      <c r="C754">
        <v>717</v>
      </c>
      <c r="D754" t="s">
        <v>468</v>
      </c>
      <c r="E754" t="s">
        <v>99</v>
      </c>
      <c r="F754" t="s">
        <v>99</v>
      </c>
      <c r="G754" t="s">
        <v>101</v>
      </c>
      <c r="H754" t="s">
        <v>107</v>
      </c>
      <c r="I754" t="s">
        <v>293</v>
      </c>
    </row>
    <row r="755" spans="1:9" x14ac:dyDescent="0.3">
      <c r="A755" t="s">
        <v>34</v>
      </c>
      <c r="B755" t="s">
        <v>238</v>
      </c>
      <c r="C755">
        <v>1363</v>
      </c>
      <c r="D755" t="s">
        <v>299</v>
      </c>
      <c r="E755" t="s">
        <v>99</v>
      </c>
      <c r="F755" t="s">
        <v>132</v>
      </c>
      <c r="G755" t="s">
        <v>100</v>
      </c>
      <c r="H755" t="s">
        <v>110</v>
      </c>
      <c r="I755" t="s">
        <v>430</v>
      </c>
    </row>
    <row r="756" spans="1:9" x14ac:dyDescent="0.3">
      <c r="A756" t="s">
        <v>33</v>
      </c>
      <c r="B756" t="s">
        <v>236</v>
      </c>
      <c r="C756">
        <v>1116</v>
      </c>
      <c r="D756" t="s">
        <v>253</v>
      </c>
      <c r="E756" t="s">
        <v>104</v>
      </c>
      <c r="F756" t="s">
        <v>115</v>
      </c>
      <c r="G756" t="s">
        <v>207</v>
      </c>
      <c r="H756" t="s">
        <v>215</v>
      </c>
      <c r="I756" t="s">
        <v>776</v>
      </c>
    </row>
    <row r="757" spans="1:9" x14ac:dyDescent="0.3">
      <c r="A757" t="s">
        <v>33</v>
      </c>
      <c r="B757" t="s">
        <v>238</v>
      </c>
      <c r="C757">
        <v>821</v>
      </c>
      <c r="D757" t="s">
        <v>132</v>
      </c>
      <c r="E757" t="s">
        <v>104</v>
      </c>
      <c r="F757" t="s">
        <v>151</v>
      </c>
      <c r="G757" t="s">
        <v>207</v>
      </c>
      <c r="H757" t="s">
        <v>268</v>
      </c>
      <c r="I757" t="s">
        <v>758</v>
      </c>
    </row>
    <row r="758" spans="1:9" x14ac:dyDescent="0.3">
      <c r="A758" t="s">
        <v>49</v>
      </c>
      <c r="B758" t="s">
        <v>236</v>
      </c>
      <c r="C758">
        <v>7220</v>
      </c>
      <c r="D758" t="s">
        <v>123</v>
      </c>
      <c r="E758" t="s">
        <v>104</v>
      </c>
      <c r="F758" t="s">
        <v>141</v>
      </c>
      <c r="G758" t="s">
        <v>141</v>
      </c>
      <c r="H758" t="s">
        <v>100</v>
      </c>
      <c r="I758" t="s">
        <v>782</v>
      </c>
    </row>
    <row r="759" spans="1:9" x14ac:dyDescent="0.3">
      <c r="A759" t="s">
        <v>49</v>
      </c>
      <c r="B759" t="s">
        <v>238</v>
      </c>
      <c r="C759">
        <v>6102</v>
      </c>
      <c r="D759" t="s">
        <v>154</v>
      </c>
      <c r="E759" t="s">
        <v>104</v>
      </c>
      <c r="F759" t="s">
        <v>126</v>
      </c>
      <c r="G759" t="s">
        <v>136</v>
      </c>
      <c r="H759" t="s">
        <v>117</v>
      </c>
      <c r="I759" t="s">
        <v>354</v>
      </c>
    </row>
    <row r="761" spans="1:9" x14ac:dyDescent="0.3">
      <c r="A761" t="s">
        <v>783</v>
      </c>
    </row>
    <row r="762" spans="1:9" x14ac:dyDescent="0.3">
      <c r="A762" t="s">
        <v>44</v>
      </c>
      <c r="B762" t="s">
        <v>257</v>
      </c>
      <c r="C762" t="s">
        <v>32</v>
      </c>
      <c r="D762" t="s">
        <v>83</v>
      </c>
      <c r="E762" t="s">
        <v>753</v>
      </c>
      <c r="F762" t="s">
        <v>754</v>
      </c>
      <c r="G762" t="s">
        <v>755</v>
      </c>
      <c r="H762" t="s">
        <v>756</v>
      </c>
      <c r="I762" t="s">
        <v>757</v>
      </c>
    </row>
    <row r="763" spans="1:9" x14ac:dyDescent="0.3">
      <c r="A763" t="s">
        <v>35</v>
      </c>
      <c r="B763" t="s">
        <v>258</v>
      </c>
      <c r="C763">
        <v>2873</v>
      </c>
      <c r="D763" t="s">
        <v>316</v>
      </c>
      <c r="E763" t="s">
        <v>104</v>
      </c>
      <c r="F763" t="s">
        <v>101</v>
      </c>
      <c r="G763" t="s">
        <v>198</v>
      </c>
      <c r="H763" t="s">
        <v>115</v>
      </c>
      <c r="I763" t="s">
        <v>375</v>
      </c>
    </row>
    <row r="764" spans="1:9" x14ac:dyDescent="0.3">
      <c r="A764" t="s">
        <v>35</v>
      </c>
      <c r="B764" t="s">
        <v>260</v>
      </c>
      <c r="C764">
        <v>272</v>
      </c>
      <c r="D764" t="s">
        <v>109</v>
      </c>
      <c r="E764" t="s">
        <v>136</v>
      </c>
      <c r="F764" t="s">
        <v>207</v>
      </c>
      <c r="G764" t="s">
        <v>99</v>
      </c>
      <c r="H764" t="s">
        <v>332</v>
      </c>
      <c r="I764" t="s">
        <v>199</v>
      </c>
    </row>
    <row r="765" spans="1:9" x14ac:dyDescent="0.3">
      <c r="A765" t="s">
        <v>37</v>
      </c>
      <c r="B765" t="s">
        <v>258</v>
      </c>
      <c r="C765">
        <v>3855</v>
      </c>
      <c r="D765" t="s">
        <v>101</v>
      </c>
      <c r="E765" t="s">
        <v>99</v>
      </c>
      <c r="F765" t="s">
        <v>114</v>
      </c>
      <c r="G765" t="s">
        <v>198</v>
      </c>
      <c r="H765" t="s">
        <v>114</v>
      </c>
      <c r="I765" t="s">
        <v>759</v>
      </c>
    </row>
    <row r="766" spans="1:9" x14ac:dyDescent="0.3">
      <c r="A766" t="s">
        <v>36</v>
      </c>
      <c r="B766" t="s">
        <v>258</v>
      </c>
      <c r="C766">
        <v>2100</v>
      </c>
      <c r="D766" t="s">
        <v>127</v>
      </c>
      <c r="E766" t="s">
        <v>104</v>
      </c>
      <c r="F766" t="s">
        <v>151</v>
      </c>
      <c r="G766" t="s">
        <v>141</v>
      </c>
      <c r="H766" t="s">
        <v>157</v>
      </c>
      <c r="I766" t="s">
        <v>324</v>
      </c>
    </row>
    <row r="767" spans="1:9" x14ac:dyDescent="0.3">
      <c r="A767" t="s">
        <v>36</v>
      </c>
      <c r="B767" t="s">
        <v>260</v>
      </c>
      <c r="C767">
        <v>205</v>
      </c>
      <c r="D767" t="s">
        <v>714</v>
      </c>
      <c r="E767" t="s">
        <v>99</v>
      </c>
      <c r="F767" t="s">
        <v>114</v>
      </c>
      <c r="G767" t="s">
        <v>99</v>
      </c>
      <c r="H767" t="s">
        <v>155</v>
      </c>
      <c r="I767" t="s">
        <v>784</v>
      </c>
    </row>
    <row r="768" spans="1:9" x14ac:dyDescent="0.3">
      <c r="A768" t="s">
        <v>34</v>
      </c>
      <c r="B768" t="s">
        <v>258</v>
      </c>
      <c r="C768">
        <v>1221</v>
      </c>
      <c r="D768" t="s">
        <v>134</v>
      </c>
      <c r="E768" t="s">
        <v>99</v>
      </c>
      <c r="F768" t="s">
        <v>253</v>
      </c>
      <c r="G768" t="s">
        <v>132</v>
      </c>
      <c r="H768" t="s">
        <v>207</v>
      </c>
      <c r="I768" t="s">
        <v>505</v>
      </c>
    </row>
    <row r="769" spans="1:10" x14ac:dyDescent="0.3">
      <c r="A769" t="s">
        <v>34</v>
      </c>
      <c r="B769" t="s">
        <v>260</v>
      </c>
      <c r="C769">
        <v>859</v>
      </c>
      <c r="D769" t="s">
        <v>722</v>
      </c>
      <c r="E769" t="s">
        <v>99</v>
      </c>
      <c r="F769" t="s">
        <v>141</v>
      </c>
      <c r="G769" t="s">
        <v>319</v>
      </c>
      <c r="H769" t="s">
        <v>468</v>
      </c>
      <c r="I769" t="s">
        <v>785</v>
      </c>
    </row>
    <row r="770" spans="1:10" x14ac:dyDescent="0.3">
      <c r="A770" t="s">
        <v>33</v>
      </c>
      <c r="B770" t="s">
        <v>258</v>
      </c>
      <c r="C770">
        <v>1937</v>
      </c>
      <c r="D770" t="s">
        <v>115</v>
      </c>
      <c r="E770" t="s">
        <v>104</v>
      </c>
      <c r="F770" t="s">
        <v>101</v>
      </c>
      <c r="G770" t="s">
        <v>207</v>
      </c>
      <c r="H770" t="s">
        <v>151</v>
      </c>
      <c r="I770" t="s">
        <v>337</v>
      </c>
    </row>
    <row r="771" spans="1:10" x14ac:dyDescent="0.3">
      <c r="A771" t="s">
        <v>49</v>
      </c>
      <c r="B771" t="s">
        <v>258</v>
      </c>
      <c r="C771">
        <v>11986</v>
      </c>
      <c r="D771" t="s">
        <v>127</v>
      </c>
      <c r="E771" t="s">
        <v>104</v>
      </c>
      <c r="F771" t="s">
        <v>121</v>
      </c>
      <c r="G771" t="s">
        <v>207</v>
      </c>
      <c r="H771" t="s">
        <v>101</v>
      </c>
      <c r="I771" t="s">
        <v>786</v>
      </c>
    </row>
    <row r="772" spans="1:10" x14ac:dyDescent="0.3">
      <c r="A772" t="s">
        <v>49</v>
      </c>
      <c r="B772" t="s">
        <v>260</v>
      </c>
      <c r="C772">
        <v>1336</v>
      </c>
      <c r="D772" t="s">
        <v>125</v>
      </c>
      <c r="E772" t="s">
        <v>104</v>
      </c>
      <c r="F772" t="s">
        <v>141</v>
      </c>
      <c r="G772" t="s">
        <v>100</v>
      </c>
      <c r="H772" t="s">
        <v>684</v>
      </c>
      <c r="I772" t="s">
        <v>537</v>
      </c>
    </row>
    <row r="774" spans="1:10" x14ac:dyDescent="0.3">
      <c r="A774" t="s">
        <v>787</v>
      </c>
    </row>
    <row r="775" spans="1:10" x14ac:dyDescent="0.3">
      <c r="A775" t="s">
        <v>44</v>
      </c>
      <c r="B775" t="s">
        <v>32</v>
      </c>
      <c r="C775" t="s">
        <v>788</v>
      </c>
      <c r="D775" t="s">
        <v>789</v>
      </c>
      <c r="E775" t="s">
        <v>790</v>
      </c>
      <c r="F775" t="s">
        <v>791</v>
      </c>
      <c r="G775" t="s">
        <v>792</v>
      </c>
      <c r="H775" t="s">
        <v>83</v>
      </c>
      <c r="I775" t="s">
        <v>753</v>
      </c>
    </row>
    <row r="776" spans="1:10" x14ac:dyDescent="0.3">
      <c r="A776" t="s">
        <v>35</v>
      </c>
      <c r="B776">
        <v>47</v>
      </c>
      <c r="C776" t="s">
        <v>309</v>
      </c>
      <c r="D776" t="s">
        <v>171</v>
      </c>
      <c r="E776" t="s">
        <v>793</v>
      </c>
      <c r="F776" t="s">
        <v>186</v>
      </c>
      <c r="G776" t="s">
        <v>292</v>
      </c>
      <c r="H776" t="s">
        <v>130</v>
      </c>
      <c r="I776" t="s">
        <v>99</v>
      </c>
    </row>
    <row r="777" spans="1:10" x14ac:dyDescent="0.3">
      <c r="A777" t="s">
        <v>37</v>
      </c>
      <c r="B777">
        <v>82</v>
      </c>
      <c r="C777" t="s">
        <v>794</v>
      </c>
      <c r="D777" t="s">
        <v>501</v>
      </c>
      <c r="E777" t="s">
        <v>732</v>
      </c>
      <c r="F777" t="s">
        <v>262</v>
      </c>
      <c r="G777" t="s">
        <v>204</v>
      </c>
      <c r="H777" t="s">
        <v>115</v>
      </c>
      <c r="I777" t="s">
        <v>99</v>
      </c>
    </row>
    <row r="778" spans="1:10" x14ac:dyDescent="0.3">
      <c r="A778" t="s">
        <v>36</v>
      </c>
      <c r="B778">
        <v>83</v>
      </c>
      <c r="C778" t="s">
        <v>534</v>
      </c>
      <c r="D778" t="s">
        <v>743</v>
      </c>
      <c r="E778" t="s">
        <v>501</v>
      </c>
      <c r="F778" t="s">
        <v>38</v>
      </c>
      <c r="G778" t="s">
        <v>368</v>
      </c>
      <c r="H778" t="s">
        <v>138</v>
      </c>
      <c r="I778" t="s">
        <v>68</v>
      </c>
    </row>
    <row r="779" spans="1:10" x14ac:dyDescent="0.3">
      <c r="A779" t="s">
        <v>34</v>
      </c>
      <c r="B779">
        <v>75</v>
      </c>
      <c r="C779" t="s">
        <v>109</v>
      </c>
      <c r="D779" t="s">
        <v>116</v>
      </c>
      <c r="E779" t="s">
        <v>116</v>
      </c>
      <c r="F779" t="s">
        <v>718</v>
      </c>
      <c r="G779" t="s">
        <v>408</v>
      </c>
      <c r="H779" t="s">
        <v>107</v>
      </c>
      <c r="I779" t="s">
        <v>434</v>
      </c>
    </row>
    <row r="780" spans="1:10" x14ac:dyDescent="0.3">
      <c r="A780" t="s">
        <v>33</v>
      </c>
      <c r="B780">
        <v>68</v>
      </c>
      <c r="C780" t="s">
        <v>344</v>
      </c>
      <c r="D780" t="s">
        <v>188</v>
      </c>
      <c r="E780" t="s">
        <v>289</v>
      </c>
      <c r="F780" t="s">
        <v>478</v>
      </c>
      <c r="G780" t="s">
        <v>303</v>
      </c>
      <c r="H780" t="s">
        <v>99</v>
      </c>
      <c r="I780" t="s">
        <v>99</v>
      </c>
    </row>
    <row r="781" spans="1:10" x14ac:dyDescent="0.3">
      <c r="A781" t="s">
        <v>49</v>
      </c>
      <c r="B781">
        <v>355</v>
      </c>
      <c r="C781" t="s">
        <v>747</v>
      </c>
      <c r="D781" t="s">
        <v>743</v>
      </c>
      <c r="E781" t="s">
        <v>795</v>
      </c>
      <c r="F781" t="s">
        <v>173</v>
      </c>
      <c r="G781" t="s">
        <v>251</v>
      </c>
      <c r="H781" t="s">
        <v>268</v>
      </c>
      <c r="I781" t="s">
        <v>151</v>
      </c>
    </row>
    <row r="783" spans="1:10" x14ac:dyDescent="0.3">
      <c r="A783" t="s">
        <v>796</v>
      </c>
    </row>
    <row r="784" spans="1:10" x14ac:dyDescent="0.3">
      <c r="A784" t="s">
        <v>44</v>
      </c>
      <c r="B784" t="s">
        <v>361</v>
      </c>
      <c r="C784" t="s">
        <v>32</v>
      </c>
      <c r="D784" t="s">
        <v>788</v>
      </c>
      <c r="E784" t="s">
        <v>789</v>
      </c>
      <c r="F784" t="s">
        <v>791</v>
      </c>
      <c r="G784" t="s">
        <v>790</v>
      </c>
      <c r="H784" t="s">
        <v>792</v>
      </c>
      <c r="I784" t="s">
        <v>83</v>
      </c>
      <c r="J784" t="s">
        <v>753</v>
      </c>
    </row>
    <row r="785" spans="1:10" s="5" customFormat="1" x14ac:dyDescent="0.3">
      <c r="A785" s="5" t="s">
        <v>35</v>
      </c>
      <c r="B785" s="5" t="s">
        <v>339</v>
      </c>
      <c r="C785" s="5">
        <v>13</v>
      </c>
      <c r="D785" s="5" t="s">
        <v>109</v>
      </c>
      <c r="E785" s="5" t="s">
        <v>60</v>
      </c>
      <c r="F785" s="5" t="s">
        <v>99</v>
      </c>
      <c r="G785" s="5" t="s">
        <v>797</v>
      </c>
      <c r="H785" s="5" t="s">
        <v>798</v>
      </c>
      <c r="I785" s="5" t="s">
        <v>710</v>
      </c>
      <c r="J785" s="5" t="s">
        <v>99</v>
      </c>
    </row>
    <row r="786" spans="1:10" x14ac:dyDescent="0.3">
      <c r="A786" t="s">
        <v>35</v>
      </c>
      <c r="B786" t="s">
        <v>340</v>
      </c>
      <c r="C786">
        <v>32</v>
      </c>
      <c r="D786" t="s">
        <v>473</v>
      </c>
      <c r="E786" t="s">
        <v>204</v>
      </c>
      <c r="F786" t="s">
        <v>395</v>
      </c>
      <c r="G786" t="s">
        <v>598</v>
      </c>
      <c r="H786" t="s">
        <v>99</v>
      </c>
      <c r="I786" t="s">
        <v>147</v>
      </c>
      <c r="J786" t="s">
        <v>99</v>
      </c>
    </row>
    <row r="787" spans="1:10" x14ac:dyDescent="0.3">
      <c r="A787" t="s">
        <v>35</v>
      </c>
      <c r="B787" t="s">
        <v>365</v>
      </c>
      <c r="C787">
        <v>2</v>
      </c>
      <c r="D787" t="s">
        <v>99</v>
      </c>
      <c r="E787" t="s">
        <v>799</v>
      </c>
      <c r="F787" t="s">
        <v>800</v>
      </c>
      <c r="G787" t="s">
        <v>99</v>
      </c>
      <c r="H787" t="s">
        <v>99</v>
      </c>
      <c r="I787" t="s">
        <v>99</v>
      </c>
      <c r="J787" t="s">
        <v>99</v>
      </c>
    </row>
    <row r="788" spans="1:10" s="5" customFormat="1" x14ac:dyDescent="0.3">
      <c r="A788" s="5" t="s">
        <v>37</v>
      </c>
      <c r="B788" s="5" t="s">
        <v>339</v>
      </c>
      <c r="C788" s="5">
        <v>12</v>
      </c>
      <c r="D788" s="5" t="s">
        <v>624</v>
      </c>
      <c r="E788" s="5" t="s">
        <v>99</v>
      </c>
      <c r="F788" s="5" t="s">
        <v>370</v>
      </c>
      <c r="G788" s="5" t="s">
        <v>140</v>
      </c>
      <c r="H788" s="5" t="s">
        <v>313</v>
      </c>
      <c r="I788" s="5" t="s">
        <v>99</v>
      </c>
      <c r="J788" s="5" t="s">
        <v>99</v>
      </c>
    </row>
    <row r="789" spans="1:10" x14ac:dyDescent="0.3">
      <c r="A789" t="s">
        <v>37</v>
      </c>
      <c r="B789" t="s">
        <v>340</v>
      </c>
      <c r="C789">
        <v>70</v>
      </c>
      <c r="D789" t="s">
        <v>801</v>
      </c>
      <c r="E789" t="s">
        <v>802</v>
      </c>
      <c r="F789" t="s">
        <v>41</v>
      </c>
      <c r="G789" t="s">
        <v>156</v>
      </c>
      <c r="H789" t="s">
        <v>684</v>
      </c>
      <c r="I789" t="s">
        <v>132</v>
      </c>
      <c r="J789" t="s">
        <v>99</v>
      </c>
    </row>
    <row r="790" spans="1:10" s="5" customFormat="1" x14ac:dyDescent="0.3">
      <c r="A790" s="5" t="s">
        <v>36</v>
      </c>
      <c r="B790" s="5" t="s">
        <v>339</v>
      </c>
      <c r="C790" s="5">
        <v>20</v>
      </c>
      <c r="D790" s="5" t="s">
        <v>803</v>
      </c>
      <c r="E790" s="5" t="s">
        <v>615</v>
      </c>
      <c r="F790" s="5" t="s">
        <v>461</v>
      </c>
      <c r="G790" s="5" t="s">
        <v>804</v>
      </c>
      <c r="H790" s="5" t="s">
        <v>248</v>
      </c>
      <c r="I790" s="5" t="s">
        <v>99</v>
      </c>
      <c r="J790" s="5" t="s">
        <v>207</v>
      </c>
    </row>
    <row r="791" spans="1:10" x14ac:dyDescent="0.3">
      <c r="A791" t="s">
        <v>36</v>
      </c>
      <c r="B791" t="s">
        <v>340</v>
      </c>
      <c r="C791">
        <v>62</v>
      </c>
      <c r="D791" t="s">
        <v>805</v>
      </c>
      <c r="E791" t="s">
        <v>206</v>
      </c>
      <c r="F791" t="s">
        <v>188</v>
      </c>
      <c r="G791" t="s">
        <v>743</v>
      </c>
      <c r="H791" t="s">
        <v>704</v>
      </c>
      <c r="I791" t="s">
        <v>112</v>
      </c>
      <c r="J791" t="s">
        <v>145</v>
      </c>
    </row>
    <row r="792" spans="1:10" x14ac:dyDescent="0.3">
      <c r="A792" t="s">
        <v>36</v>
      </c>
      <c r="B792" t="s">
        <v>365</v>
      </c>
      <c r="C792">
        <v>1</v>
      </c>
      <c r="D792" t="s">
        <v>99</v>
      </c>
      <c r="E792" t="s">
        <v>99</v>
      </c>
      <c r="F792" t="s">
        <v>99</v>
      </c>
      <c r="G792" t="s">
        <v>211</v>
      </c>
      <c r="H792" t="s">
        <v>99</v>
      </c>
      <c r="I792" t="s">
        <v>99</v>
      </c>
      <c r="J792" t="s">
        <v>99</v>
      </c>
    </row>
    <row r="793" spans="1:10" s="5" customFormat="1" x14ac:dyDescent="0.3">
      <c r="A793" s="5" t="s">
        <v>34</v>
      </c>
      <c r="B793" s="5" t="s">
        <v>339</v>
      </c>
      <c r="C793" s="5">
        <v>24</v>
      </c>
      <c r="D793" s="5" t="s">
        <v>144</v>
      </c>
      <c r="E793" s="5" t="s">
        <v>806</v>
      </c>
      <c r="F793" s="5" t="s">
        <v>39</v>
      </c>
      <c r="G793" s="5" t="s">
        <v>807</v>
      </c>
      <c r="H793" s="5" t="s">
        <v>68</v>
      </c>
      <c r="I793" s="5" t="s">
        <v>121</v>
      </c>
      <c r="J793" s="5" t="s">
        <v>804</v>
      </c>
    </row>
    <row r="794" spans="1:10" x14ac:dyDescent="0.3">
      <c r="A794" t="s">
        <v>34</v>
      </c>
      <c r="B794" t="s">
        <v>340</v>
      </c>
      <c r="C794">
        <v>48</v>
      </c>
      <c r="D794" t="s">
        <v>184</v>
      </c>
      <c r="E794" t="s">
        <v>473</v>
      </c>
      <c r="F794" t="s">
        <v>746</v>
      </c>
      <c r="G794" t="s">
        <v>580</v>
      </c>
      <c r="H794" t="s">
        <v>701</v>
      </c>
      <c r="I794" t="s">
        <v>129</v>
      </c>
      <c r="J794" t="s">
        <v>126</v>
      </c>
    </row>
    <row r="795" spans="1:10" x14ac:dyDescent="0.3">
      <c r="A795" t="s">
        <v>34</v>
      </c>
      <c r="B795" t="s">
        <v>365</v>
      </c>
      <c r="C795">
        <v>3</v>
      </c>
      <c r="D795" t="s">
        <v>99</v>
      </c>
      <c r="E795" t="s">
        <v>99</v>
      </c>
      <c r="F795" t="s">
        <v>211</v>
      </c>
      <c r="G795" t="s">
        <v>99</v>
      </c>
      <c r="H795" t="s">
        <v>99</v>
      </c>
      <c r="I795" t="s">
        <v>99</v>
      </c>
      <c r="J795" t="s">
        <v>99</v>
      </c>
    </row>
    <row r="796" spans="1:10" s="5" customFormat="1" x14ac:dyDescent="0.3">
      <c r="A796" s="5" t="s">
        <v>33</v>
      </c>
      <c r="B796" s="5" t="s">
        <v>339</v>
      </c>
      <c r="C796" s="5">
        <v>12</v>
      </c>
      <c r="D796" s="5" t="s">
        <v>808</v>
      </c>
      <c r="E796" s="5" t="s">
        <v>701</v>
      </c>
      <c r="F796" s="5" t="s">
        <v>794</v>
      </c>
      <c r="G796" s="5" t="s">
        <v>99</v>
      </c>
      <c r="H796" s="5" t="s">
        <v>99</v>
      </c>
      <c r="I796" s="5" t="s">
        <v>99</v>
      </c>
      <c r="J796" s="5" t="s">
        <v>99</v>
      </c>
    </row>
    <row r="797" spans="1:10" x14ac:dyDescent="0.3">
      <c r="A797" t="s">
        <v>33</v>
      </c>
      <c r="B797" t="s">
        <v>340</v>
      </c>
      <c r="C797">
        <v>55</v>
      </c>
      <c r="D797" t="s">
        <v>809</v>
      </c>
      <c r="E797" t="s">
        <v>463</v>
      </c>
      <c r="F797" t="s">
        <v>465</v>
      </c>
      <c r="G797" t="s">
        <v>294</v>
      </c>
      <c r="H797" t="s">
        <v>692</v>
      </c>
      <c r="I797" t="s">
        <v>99</v>
      </c>
      <c r="J797" t="s">
        <v>99</v>
      </c>
    </row>
    <row r="798" spans="1:10" x14ac:dyDescent="0.3">
      <c r="A798" t="s">
        <v>33</v>
      </c>
      <c r="B798" t="s">
        <v>365</v>
      </c>
      <c r="C798">
        <v>1</v>
      </c>
      <c r="D798" t="s">
        <v>99</v>
      </c>
      <c r="E798" t="s">
        <v>99</v>
      </c>
      <c r="F798" t="s">
        <v>99</v>
      </c>
      <c r="G798" t="s">
        <v>211</v>
      </c>
      <c r="H798" t="s">
        <v>99</v>
      </c>
      <c r="I798" t="s">
        <v>99</v>
      </c>
      <c r="J798" t="s">
        <v>99</v>
      </c>
    </row>
    <row r="799" spans="1:10" x14ac:dyDescent="0.3">
      <c r="A799" t="s">
        <v>49</v>
      </c>
      <c r="B799" t="s">
        <v>339</v>
      </c>
      <c r="C799">
        <v>81</v>
      </c>
      <c r="D799" t="s">
        <v>491</v>
      </c>
      <c r="E799" t="s">
        <v>810</v>
      </c>
      <c r="F799" t="s">
        <v>678</v>
      </c>
      <c r="G799" t="s">
        <v>811</v>
      </c>
      <c r="H799" t="s">
        <v>663</v>
      </c>
      <c r="I799" t="s">
        <v>111</v>
      </c>
      <c r="J799" t="s">
        <v>112</v>
      </c>
    </row>
    <row r="800" spans="1:10" x14ac:dyDescent="0.3">
      <c r="A800" t="s">
        <v>49</v>
      </c>
      <c r="B800" t="s">
        <v>340</v>
      </c>
      <c r="C800">
        <v>267</v>
      </c>
      <c r="D800" t="s">
        <v>307</v>
      </c>
      <c r="E800" t="s">
        <v>718</v>
      </c>
      <c r="F800" t="s">
        <v>76</v>
      </c>
      <c r="G800" t="s">
        <v>812</v>
      </c>
      <c r="H800" t="s">
        <v>291</v>
      </c>
      <c r="I800" t="s">
        <v>117</v>
      </c>
      <c r="J800" t="s">
        <v>101</v>
      </c>
    </row>
    <row r="801" spans="1:10" x14ac:dyDescent="0.3">
      <c r="A801" t="s">
        <v>49</v>
      </c>
      <c r="B801" t="s">
        <v>365</v>
      </c>
      <c r="C801">
        <v>7</v>
      </c>
      <c r="D801" t="s">
        <v>99</v>
      </c>
      <c r="E801" t="s">
        <v>76</v>
      </c>
      <c r="F801" t="s">
        <v>558</v>
      </c>
      <c r="G801" t="s">
        <v>626</v>
      </c>
      <c r="H801" t="s">
        <v>99</v>
      </c>
      <c r="I801" t="s">
        <v>99</v>
      </c>
      <c r="J801" t="s">
        <v>99</v>
      </c>
    </row>
    <row r="803" spans="1:10" x14ac:dyDescent="0.3">
      <c r="A803" t="s">
        <v>813</v>
      </c>
    </row>
    <row r="804" spans="1:10" x14ac:dyDescent="0.3">
      <c r="A804" t="s">
        <v>44</v>
      </c>
      <c r="B804" t="s">
        <v>209</v>
      </c>
      <c r="C804" t="s">
        <v>32</v>
      </c>
      <c r="D804" t="s">
        <v>788</v>
      </c>
      <c r="E804" t="s">
        <v>789</v>
      </c>
      <c r="F804" t="s">
        <v>790</v>
      </c>
      <c r="G804" t="s">
        <v>791</v>
      </c>
      <c r="H804" t="s">
        <v>792</v>
      </c>
      <c r="I804" t="s">
        <v>83</v>
      </c>
      <c r="J804" t="s">
        <v>753</v>
      </c>
    </row>
    <row r="805" spans="1:10" s="5" customFormat="1" x14ac:dyDescent="0.3">
      <c r="A805" s="5" t="s">
        <v>35</v>
      </c>
      <c r="B805" s="5" t="s">
        <v>210</v>
      </c>
      <c r="C805" s="5">
        <v>10</v>
      </c>
      <c r="D805" s="5" t="s">
        <v>78</v>
      </c>
      <c r="E805" s="5" t="s">
        <v>662</v>
      </c>
      <c r="F805" s="5" t="s">
        <v>489</v>
      </c>
      <c r="G805" s="5" t="s">
        <v>702</v>
      </c>
      <c r="H805" s="5" t="s">
        <v>99</v>
      </c>
      <c r="I805" s="5" t="s">
        <v>99</v>
      </c>
      <c r="J805" s="5" t="s">
        <v>99</v>
      </c>
    </row>
    <row r="806" spans="1:10" s="5" customFormat="1" x14ac:dyDescent="0.3">
      <c r="A806" s="5" t="s">
        <v>35</v>
      </c>
      <c r="B806" s="5" t="s">
        <v>212</v>
      </c>
      <c r="C806" s="5">
        <v>19</v>
      </c>
      <c r="D806" s="5" t="s">
        <v>325</v>
      </c>
      <c r="E806" s="5" t="s">
        <v>814</v>
      </c>
      <c r="F806" s="5" t="s">
        <v>815</v>
      </c>
      <c r="G806" s="5" t="s">
        <v>405</v>
      </c>
      <c r="H806" s="5" t="s">
        <v>99</v>
      </c>
      <c r="I806" s="5" t="s">
        <v>305</v>
      </c>
      <c r="J806" s="5" t="s">
        <v>99</v>
      </c>
    </row>
    <row r="807" spans="1:10" s="5" customFormat="1" x14ac:dyDescent="0.3">
      <c r="A807" s="5" t="s">
        <v>35</v>
      </c>
      <c r="B807" s="5" t="s">
        <v>216</v>
      </c>
      <c r="C807" s="5">
        <v>18</v>
      </c>
      <c r="D807" s="5" t="s">
        <v>816</v>
      </c>
      <c r="E807" s="5" t="s">
        <v>332</v>
      </c>
      <c r="F807" s="5" t="s">
        <v>62</v>
      </c>
      <c r="G807" s="5" t="s">
        <v>298</v>
      </c>
      <c r="H807" s="5" t="s">
        <v>712</v>
      </c>
      <c r="I807" s="5" t="s">
        <v>101</v>
      </c>
      <c r="J807" s="5" t="s">
        <v>99</v>
      </c>
    </row>
    <row r="808" spans="1:10" s="5" customFormat="1" x14ac:dyDescent="0.3">
      <c r="A808" s="5" t="s">
        <v>37</v>
      </c>
      <c r="B808" s="5" t="s">
        <v>210</v>
      </c>
      <c r="C808" s="5">
        <v>17</v>
      </c>
      <c r="D808" s="5" t="s">
        <v>158</v>
      </c>
      <c r="E808" s="5" t="s">
        <v>645</v>
      </c>
      <c r="F808" s="5" t="s">
        <v>817</v>
      </c>
      <c r="G808" s="5" t="s">
        <v>147</v>
      </c>
      <c r="H808" s="5" t="s">
        <v>315</v>
      </c>
      <c r="I808" s="5" t="s">
        <v>99</v>
      </c>
      <c r="J808" s="5" t="s">
        <v>99</v>
      </c>
    </row>
    <row r="809" spans="1:10" x14ac:dyDescent="0.3">
      <c r="A809" t="s">
        <v>37</v>
      </c>
      <c r="B809" t="s">
        <v>212</v>
      </c>
      <c r="C809">
        <v>50</v>
      </c>
      <c r="D809" t="s">
        <v>818</v>
      </c>
      <c r="E809" t="s">
        <v>129</v>
      </c>
      <c r="F809" t="s">
        <v>446</v>
      </c>
      <c r="G809" t="s">
        <v>315</v>
      </c>
      <c r="H809" t="s">
        <v>434</v>
      </c>
      <c r="I809" t="s">
        <v>382</v>
      </c>
      <c r="J809" t="s">
        <v>99</v>
      </c>
    </row>
    <row r="810" spans="1:10" s="5" customFormat="1" x14ac:dyDescent="0.3">
      <c r="A810" s="5" t="s">
        <v>37</v>
      </c>
      <c r="B810" s="5" t="s">
        <v>216</v>
      </c>
      <c r="C810" s="5">
        <v>15</v>
      </c>
      <c r="D810" s="5" t="s">
        <v>819</v>
      </c>
      <c r="E810" s="5" t="s">
        <v>395</v>
      </c>
      <c r="F810" s="5" t="s">
        <v>99</v>
      </c>
      <c r="G810" s="5" t="s">
        <v>820</v>
      </c>
      <c r="H810" s="5" t="s">
        <v>99</v>
      </c>
      <c r="I810" s="5" t="s">
        <v>99</v>
      </c>
      <c r="J810" s="5" t="s">
        <v>99</v>
      </c>
    </row>
    <row r="811" spans="1:10" x14ac:dyDescent="0.3">
      <c r="A811" t="s">
        <v>36</v>
      </c>
      <c r="B811" t="s">
        <v>210</v>
      </c>
      <c r="C811">
        <v>31</v>
      </c>
      <c r="D811" t="s">
        <v>123</v>
      </c>
      <c r="E811" t="s">
        <v>821</v>
      </c>
      <c r="F811" t="s">
        <v>357</v>
      </c>
      <c r="G811" t="s">
        <v>491</v>
      </c>
      <c r="H811" t="s">
        <v>690</v>
      </c>
      <c r="I811" t="s">
        <v>112</v>
      </c>
      <c r="J811" t="s">
        <v>99</v>
      </c>
    </row>
    <row r="812" spans="1:10" x14ac:dyDescent="0.3">
      <c r="A812" t="s">
        <v>36</v>
      </c>
      <c r="B812" t="s">
        <v>212</v>
      </c>
      <c r="C812">
        <v>31</v>
      </c>
      <c r="D812" t="s">
        <v>822</v>
      </c>
      <c r="E812" t="s">
        <v>737</v>
      </c>
      <c r="F812" t="s">
        <v>673</v>
      </c>
      <c r="G812" t="s">
        <v>440</v>
      </c>
      <c r="H812" t="s">
        <v>115</v>
      </c>
      <c r="I812" t="s">
        <v>141</v>
      </c>
      <c r="J812" t="s">
        <v>179</v>
      </c>
    </row>
    <row r="813" spans="1:10" s="5" customFormat="1" x14ac:dyDescent="0.3">
      <c r="A813" s="5" t="s">
        <v>36</v>
      </c>
      <c r="B813" s="5" t="s">
        <v>216</v>
      </c>
      <c r="C813" s="5">
        <v>21</v>
      </c>
      <c r="D813" s="5" t="s">
        <v>707</v>
      </c>
      <c r="E813" s="5" t="s">
        <v>461</v>
      </c>
      <c r="F813" s="5" t="s">
        <v>820</v>
      </c>
      <c r="G813" s="5" t="s">
        <v>184</v>
      </c>
      <c r="H813" s="5" t="s">
        <v>743</v>
      </c>
      <c r="I813" s="5" t="s">
        <v>663</v>
      </c>
      <c r="J813" s="5" t="s">
        <v>207</v>
      </c>
    </row>
    <row r="814" spans="1:10" x14ac:dyDescent="0.3">
      <c r="A814" t="s">
        <v>34</v>
      </c>
      <c r="B814" t="s">
        <v>210</v>
      </c>
      <c r="C814">
        <v>34</v>
      </c>
      <c r="D814" t="s">
        <v>412</v>
      </c>
      <c r="E814" t="s">
        <v>823</v>
      </c>
      <c r="F814" t="s">
        <v>255</v>
      </c>
      <c r="G814" t="s">
        <v>262</v>
      </c>
      <c r="H814" t="s">
        <v>739</v>
      </c>
      <c r="I814" t="s">
        <v>112</v>
      </c>
      <c r="J814" t="s">
        <v>154</v>
      </c>
    </row>
    <row r="815" spans="1:10" s="5" customFormat="1" x14ac:dyDescent="0.3">
      <c r="A815" s="5" t="s">
        <v>34</v>
      </c>
      <c r="B815" s="5" t="s">
        <v>212</v>
      </c>
      <c r="C815" s="5">
        <v>20</v>
      </c>
      <c r="D815" s="5" t="s">
        <v>267</v>
      </c>
      <c r="E815" s="5" t="s">
        <v>737</v>
      </c>
      <c r="F815" s="5" t="s">
        <v>440</v>
      </c>
      <c r="G815" s="5" t="s">
        <v>824</v>
      </c>
      <c r="H815" s="5" t="s">
        <v>158</v>
      </c>
      <c r="I815" s="5" t="s">
        <v>136</v>
      </c>
      <c r="J815" s="5" t="s">
        <v>671</v>
      </c>
    </row>
    <row r="816" spans="1:10" s="5" customFormat="1" x14ac:dyDescent="0.3">
      <c r="A816" s="5" t="s">
        <v>34</v>
      </c>
      <c r="B816" s="5" t="s">
        <v>216</v>
      </c>
      <c r="C816" s="5">
        <v>21</v>
      </c>
      <c r="D816" s="5" t="s">
        <v>107</v>
      </c>
      <c r="E816" s="5" t="s">
        <v>463</v>
      </c>
      <c r="F816" s="5" t="s">
        <v>825</v>
      </c>
      <c r="G816" s="5" t="s">
        <v>126</v>
      </c>
      <c r="H816" s="5" t="s">
        <v>142</v>
      </c>
      <c r="I816" s="5" t="s">
        <v>107</v>
      </c>
      <c r="J816" s="5" t="s">
        <v>99</v>
      </c>
    </row>
    <row r="817" spans="1:10" s="5" customFormat="1" x14ac:dyDescent="0.3">
      <c r="A817" s="5" t="s">
        <v>33</v>
      </c>
      <c r="B817" s="5" t="s">
        <v>210</v>
      </c>
      <c r="C817" s="5">
        <v>14</v>
      </c>
      <c r="D817" s="5" t="s">
        <v>499</v>
      </c>
      <c r="E817" s="5" t="s">
        <v>446</v>
      </c>
      <c r="F817" s="5" t="s">
        <v>802</v>
      </c>
      <c r="G817" s="5" t="s">
        <v>675</v>
      </c>
      <c r="H817" s="5" t="s">
        <v>473</v>
      </c>
      <c r="I817" s="5" t="s">
        <v>99</v>
      </c>
      <c r="J817" s="5" t="s">
        <v>99</v>
      </c>
    </row>
    <row r="818" spans="1:10" x14ac:dyDescent="0.3">
      <c r="A818" t="s">
        <v>33</v>
      </c>
      <c r="B818" t="s">
        <v>212</v>
      </c>
      <c r="C818">
        <v>43</v>
      </c>
      <c r="D818" t="s">
        <v>729</v>
      </c>
      <c r="E818" t="s">
        <v>748</v>
      </c>
      <c r="F818" t="s">
        <v>143</v>
      </c>
      <c r="G818" t="s">
        <v>715</v>
      </c>
      <c r="H818" t="s">
        <v>76</v>
      </c>
      <c r="I818" t="s">
        <v>99</v>
      </c>
      <c r="J818" t="s">
        <v>99</v>
      </c>
    </row>
    <row r="819" spans="1:10" s="5" customFormat="1" x14ac:dyDescent="0.3">
      <c r="A819" s="5" t="s">
        <v>33</v>
      </c>
      <c r="B819" s="5" t="s">
        <v>216</v>
      </c>
      <c r="C819" s="5">
        <v>11</v>
      </c>
      <c r="D819" s="5" t="s">
        <v>826</v>
      </c>
      <c r="E819" s="5" t="s">
        <v>99</v>
      </c>
      <c r="F819" s="5" t="s">
        <v>432</v>
      </c>
      <c r="G819" s="5" t="s">
        <v>41</v>
      </c>
      <c r="H819" s="5" t="s">
        <v>156</v>
      </c>
      <c r="I819" s="5" t="s">
        <v>99</v>
      </c>
      <c r="J819" s="5" t="s">
        <v>99</v>
      </c>
    </row>
    <row r="820" spans="1:10" x14ac:dyDescent="0.3">
      <c r="A820" t="s">
        <v>49</v>
      </c>
      <c r="B820" t="s">
        <v>210</v>
      </c>
      <c r="C820">
        <v>106</v>
      </c>
      <c r="D820" t="s">
        <v>675</v>
      </c>
      <c r="E820" t="s">
        <v>827</v>
      </c>
      <c r="F820" t="s">
        <v>690</v>
      </c>
      <c r="G820" t="s">
        <v>287</v>
      </c>
      <c r="H820" t="s">
        <v>687</v>
      </c>
      <c r="I820" t="s">
        <v>120</v>
      </c>
      <c r="J820" t="s">
        <v>382</v>
      </c>
    </row>
    <row r="821" spans="1:10" x14ac:dyDescent="0.3">
      <c r="A821" t="s">
        <v>49</v>
      </c>
      <c r="B821" t="s">
        <v>212</v>
      </c>
      <c r="C821">
        <v>163</v>
      </c>
      <c r="D821" t="s">
        <v>513</v>
      </c>
      <c r="E821" t="s">
        <v>677</v>
      </c>
      <c r="F821" t="s">
        <v>137</v>
      </c>
      <c r="G821" t="s">
        <v>802</v>
      </c>
      <c r="H821" t="s">
        <v>124</v>
      </c>
      <c r="I821" t="s">
        <v>111</v>
      </c>
      <c r="J821" t="s">
        <v>332</v>
      </c>
    </row>
    <row r="822" spans="1:10" x14ac:dyDescent="0.3">
      <c r="A822" t="s">
        <v>49</v>
      </c>
      <c r="B822" t="s">
        <v>216</v>
      </c>
      <c r="C822">
        <v>86</v>
      </c>
      <c r="D822" t="s">
        <v>828</v>
      </c>
      <c r="E822" t="s">
        <v>470</v>
      </c>
      <c r="F822" t="s">
        <v>829</v>
      </c>
      <c r="G822" t="s">
        <v>710</v>
      </c>
      <c r="H822" t="s">
        <v>804</v>
      </c>
      <c r="I822" t="s">
        <v>292</v>
      </c>
      <c r="J822" t="s">
        <v>99</v>
      </c>
    </row>
    <row r="824" spans="1:10" x14ac:dyDescent="0.3">
      <c r="A824" t="s">
        <v>830</v>
      </c>
    </row>
    <row r="825" spans="1:10" x14ac:dyDescent="0.3">
      <c r="A825" t="s">
        <v>44</v>
      </c>
      <c r="B825" t="s">
        <v>388</v>
      </c>
      <c r="C825" t="s">
        <v>32</v>
      </c>
      <c r="D825" t="s">
        <v>788</v>
      </c>
      <c r="E825" t="s">
        <v>789</v>
      </c>
      <c r="F825" t="s">
        <v>790</v>
      </c>
      <c r="G825" t="s">
        <v>791</v>
      </c>
      <c r="H825" t="s">
        <v>792</v>
      </c>
      <c r="I825" t="s">
        <v>83</v>
      </c>
      <c r="J825" t="s">
        <v>753</v>
      </c>
    </row>
    <row r="826" spans="1:10" x14ac:dyDescent="0.3">
      <c r="A826" t="s">
        <v>35</v>
      </c>
      <c r="B826" t="s">
        <v>389</v>
      </c>
      <c r="C826">
        <v>34</v>
      </c>
      <c r="D826" t="s">
        <v>440</v>
      </c>
      <c r="E826" t="s">
        <v>289</v>
      </c>
      <c r="F826" t="s">
        <v>831</v>
      </c>
      <c r="G826" t="s">
        <v>478</v>
      </c>
      <c r="H826" t="s">
        <v>107</v>
      </c>
      <c r="I826" t="s">
        <v>328</v>
      </c>
      <c r="J826" t="s">
        <v>99</v>
      </c>
    </row>
    <row r="827" spans="1:10" s="5" customFormat="1" x14ac:dyDescent="0.3">
      <c r="A827" s="5" t="s">
        <v>35</v>
      </c>
      <c r="B827" s="5" t="s">
        <v>390</v>
      </c>
      <c r="C827" s="5">
        <v>12</v>
      </c>
      <c r="D827" s="5" t="s">
        <v>60</v>
      </c>
      <c r="E827" s="5" t="s">
        <v>144</v>
      </c>
      <c r="F827" s="5" t="s">
        <v>564</v>
      </c>
      <c r="G827" s="5" t="s">
        <v>470</v>
      </c>
      <c r="H827" s="5" t="s">
        <v>99</v>
      </c>
      <c r="I827" s="5" t="s">
        <v>99</v>
      </c>
      <c r="J827" s="5" t="s">
        <v>99</v>
      </c>
    </row>
    <row r="828" spans="1:10" x14ac:dyDescent="0.3">
      <c r="A828" t="s">
        <v>35</v>
      </c>
      <c r="B828" t="s">
        <v>365</v>
      </c>
      <c r="C828">
        <v>1</v>
      </c>
      <c r="D828" t="s">
        <v>99</v>
      </c>
      <c r="E828" t="s">
        <v>211</v>
      </c>
      <c r="F828" t="s">
        <v>99</v>
      </c>
      <c r="G828" t="s">
        <v>99</v>
      </c>
      <c r="H828" t="s">
        <v>99</v>
      </c>
      <c r="I828" t="s">
        <v>99</v>
      </c>
      <c r="J828" t="s">
        <v>99</v>
      </c>
    </row>
    <row r="829" spans="1:10" x14ac:dyDescent="0.3">
      <c r="A829" t="s">
        <v>37</v>
      </c>
      <c r="B829" t="s">
        <v>389</v>
      </c>
      <c r="C829">
        <v>54</v>
      </c>
      <c r="D829" t="s">
        <v>594</v>
      </c>
      <c r="E829" t="s">
        <v>689</v>
      </c>
      <c r="F829" t="s">
        <v>131</v>
      </c>
      <c r="G829" t="s">
        <v>412</v>
      </c>
      <c r="H829" t="s">
        <v>100</v>
      </c>
      <c r="I829" t="s">
        <v>121</v>
      </c>
      <c r="J829" t="s">
        <v>99</v>
      </c>
    </row>
    <row r="830" spans="1:10" s="5" customFormat="1" x14ac:dyDescent="0.3">
      <c r="A830" s="5" t="s">
        <v>37</v>
      </c>
      <c r="B830" s="5" t="s">
        <v>390</v>
      </c>
      <c r="C830" s="5">
        <v>28</v>
      </c>
      <c r="D830" s="5" t="s">
        <v>721</v>
      </c>
      <c r="E830" s="5" t="s">
        <v>720</v>
      </c>
      <c r="F830" s="5" t="s">
        <v>489</v>
      </c>
      <c r="G830" s="5" t="s">
        <v>478</v>
      </c>
      <c r="H830" s="5" t="s">
        <v>731</v>
      </c>
      <c r="I830" s="5" t="s">
        <v>99</v>
      </c>
      <c r="J830" s="5" t="s">
        <v>99</v>
      </c>
    </row>
    <row r="831" spans="1:10" x14ac:dyDescent="0.3">
      <c r="A831" t="s">
        <v>36</v>
      </c>
      <c r="B831" t="s">
        <v>389</v>
      </c>
      <c r="C831">
        <v>52</v>
      </c>
      <c r="D831" t="s">
        <v>342</v>
      </c>
      <c r="E831" t="s">
        <v>133</v>
      </c>
      <c r="F831" t="s">
        <v>525</v>
      </c>
      <c r="G831" t="s">
        <v>406</v>
      </c>
      <c r="H831" t="s">
        <v>368</v>
      </c>
      <c r="I831" t="s">
        <v>105</v>
      </c>
      <c r="J831" t="s">
        <v>99</v>
      </c>
    </row>
    <row r="832" spans="1:10" s="5" customFormat="1" x14ac:dyDescent="0.3">
      <c r="A832" s="5" t="s">
        <v>36</v>
      </c>
      <c r="B832" s="5" t="s">
        <v>390</v>
      </c>
      <c r="C832" s="5">
        <v>25</v>
      </c>
      <c r="D832" s="5" t="s">
        <v>78</v>
      </c>
      <c r="E832" s="5" t="s">
        <v>468</v>
      </c>
      <c r="F832" s="5" t="s">
        <v>412</v>
      </c>
      <c r="G832" s="5" t="s">
        <v>832</v>
      </c>
      <c r="H832" s="5" t="s">
        <v>833</v>
      </c>
      <c r="I832" s="5" t="s">
        <v>109</v>
      </c>
      <c r="J832" s="5" t="s">
        <v>686</v>
      </c>
    </row>
    <row r="833" spans="1:10" x14ac:dyDescent="0.3">
      <c r="A833" t="s">
        <v>36</v>
      </c>
      <c r="B833" t="s">
        <v>365</v>
      </c>
      <c r="C833">
        <v>6</v>
      </c>
      <c r="D833" t="s">
        <v>525</v>
      </c>
      <c r="E833" t="s">
        <v>63</v>
      </c>
      <c r="F833" t="s">
        <v>99</v>
      </c>
      <c r="G833" t="s">
        <v>99</v>
      </c>
      <c r="H833" t="s">
        <v>101</v>
      </c>
      <c r="I833" t="s">
        <v>99</v>
      </c>
      <c r="J833" t="s">
        <v>99</v>
      </c>
    </row>
    <row r="834" spans="1:10" x14ac:dyDescent="0.3">
      <c r="A834" t="s">
        <v>34</v>
      </c>
      <c r="B834" t="s">
        <v>389</v>
      </c>
      <c r="C834">
        <v>53</v>
      </c>
      <c r="D834" t="s">
        <v>41</v>
      </c>
      <c r="E834" t="s">
        <v>832</v>
      </c>
      <c r="F834" t="s">
        <v>834</v>
      </c>
      <c r="G834" t="s">
        <v>491</v>
      </c>
      <c r="H834" t="s">
        <v>160</v>
      </c>
      <c r="I834" t="s">
        <v>154</v>
      </c>
      <c r="J834" t="s">
        <v>268</v>
      </c>
    </row>
    <row r="835" spans="1:10" s="5" customFormat="1" x14ac:dyDescent="0.3">
      <c r="A835" s="5" t="s">
        <v>34</v>
      </c>
      <c r="B835" s="5" t="s">
        <v>390</v>
      </c>
      <c r="C835" s="5">
        <v>19</v>
      </c>
      <c r="D835" s="5" t="s">
        <v>99</v>
      </c>
      <c r="E835" s="5" t="s">
        <v>592</v>
      </c>
      <c r="F835" s="5" t="s">
        <v>795</v>
      </c>
      <c r="G835" s="5" t="s">
        <v>416</v>
      </c>
      <c r="H835" s="5" t="s">
        <v>705</v>
      </c>
      <c r="I835" s="5" t="s">
        <v>382</v>
      </c>
      <c r="J835" s="5" t="s">
        <v>470</v>
      </c>
    </row>
    <row r="836" spans="1:10" x14ac:dyDescent="0.3">
      <c r="A836" t="s">
        <v>34</v>
      </c>
      <c r="B836" t="s">
        <v>365</v>
      </c>
      <c r="C836">
        <v>3</v>
      </c>
      <c r="D836" t="s">
        <v>689</v>
      </c>
      <c r="E836" t="s">
        <v>99</v>
      </c>
      <c r="F836" t="s">
        <v>99</v>
      </c>
      <c r="G836" t="s">
        <v>99</v>
      </c>
      <c r="H836" t="s">
        <v>431</v>
      </c>
      <c r="I836" t="s">
        <v>99</v>
      </c>
      <c r="J836" t="s">
        <v>99</v>
      </c>
    </row>
    <row r="837" spans="1:10" x14ac:dyDescent="0.3">
      <c r="A837" t="s">
        <v>33</v>
      </c>
      <c r="B837" t="s">
        <v>389</v>
      </c>
      <c r="C837">
        <v>41</v>
      </c>
      <c r="D837" t="s">
        <v>588</v>
      </c>
      <c r="E837" t="s">
        <v>76</v>
      </c>
      <c r="F837" t="s">
        <v>671</v>
      </c>
      <c r="G837" t="s">
        <v>442</v>
      </c>
      <c r="H837" t="s">
        <v>175</v>
      </c>
      <c r="I837" t="s">
        <v>99</v>
      </c>
      <c r="J837" t="s">
        <v>99</v>
      </c>
    </row>
    <row r="838" spans="1:10" s="5" customFormat="1" x14ac:dyDescent="0.3">
      <c r="A838" s="5" t="s">
        <v>33</v>
      </c>
      <c r="B838" s="5" t="s">
        <v>390</v>
      </c>
      <c r="C838" s="5">
        <v>25</v>
      </c>
      <c r="D838" s="5" t="s">
        <v>687</v>
      </c>
      <c r="E838" s="5" t="s">
        <v>140</v>
      </c>
      <c r="F838" s="5" t="s">
        <v>700</v>
      </c>
      <c r="G838" s="5" t="s">
        <v>222</v>
      </c>
      <c r="H838" s="5" t="s">
        <v>519</v>
      </c>
      <c r="I838" s="5" t="s">
        <v>99</v>
      </c>
      <c r="J838" s="5" t="s">
        <v>99</v>
      </c>
    </row>
    <row r="839" spans="1:10" x14ac:dyDescent="0.3">
      <c r="A839" t="s">
        <v>33</v>
      </c>
      <c r="B839" t="s">
        <v>365</v>
      </c>
      <c r="C839">
        <v>2</v>
      </c>
      <c r="D839" t="s">
        <v>573</v>
      </c>
      <c r="E839" t="s">
        <v>99</v>
      </c>
      <c r="F839" t="s">
        <v>99</v>
      </c>
      <c r="G839" t="s">
        <v>653</v>
      </c>
      <c r="H839" t="s">
        <v>99</v>
      </c>
      <c r="I839" t="s">
        <v>99</v>
      </c>
      <c r="J839" t="s">
        <v>99</v>
      </c>
    </row>
    <row r="840" spans="1:10" x14ac:dyDescent="0.3">
      <c r="A840" t="s">
        <v>49</v>
      </c>
      <c r="B840" t="s">
        <v>389</v>
      </c>
      <c r="C840">
        <v>234</v>
      </c>
      <c r="D840" t="s">
        <v>724</v>
      </c>
      <c r="E840" t="s">
        <v>691</v>
      </c>
      <c r="F840" t="s">
        <v>513</v>
      </c>
      <c r="G840" t="s">
        <v>687</v>
      </c>
      <c r="H840" t="s">
        <v>664</v>
      </c>
      <c r="I840" t="s">
        <v>107</v>
      </c>
      <c r="J840" t="s">
        <v>115</v>
      </c>
    </row>
    <row r="841" spans="1:10" x14ac:dyDescent="0.3">
      <c r="A841" t="s">
        <v>49</v>
      </c>
      <c r="B841" t="s">
        <v>390</v>
      </c>
      <c r="C841">
        <v>109</v>
      </c>
      <c r="D841" t="s">
        <v>218</v>
      </c>
      <c r="E841" t="s">
        <v>309</v>
      </c>
      <c r="F841" t="s">
        <v>119</v>
      </c>
      <c r="G841" t="s">
        <v>231</v>
      </c>
      <c r="H841" t="s">
        <v>536</v>
      </c>
      <c r="I841" t="s">
        <v>100</v>
      </c>
      <c r="J841" t="s">
        <v>412</v>
      </c>
    </row>
    <row r="842" spans="1:10" x14ac:dyDescent="0.3">
      <c r="A842" t="s">
        <v>49</v>
      </c>
      <c r="B842" t="s">
        <v>365</v>
      </c>
      <c r="C842">
        <v>12</v>
      </c>
      <c r="D842" t="s">
        <v>481</v>
      </c>
      <c r="E842" t="s">
        <v>598</v>
      </c>
      <c r="F842" t="s">
        <v>99</v>
      </c>
      <c r="G842" t="s">
        <v>139</v>
      </c>
      <c r="H842" t="s">
        <v>175</v>
      </c>
      <c r="I842" t="s">
        <v>99</v>
      </c>
      <c r="J842" t="s">
        <v>99</v>
      </c>
    </row>
    <row r="844" spans="1:10" x14ac:dyDescent="0.3">
      <c r="A844" t="s">
        <v>835</v>
      </c>
    </row>
    <row r="845" spans="1:10" x14ac:dyDescent="0.3">
      <c r="A845" t="s">
        <v>44</v>
      </c>
      <c r="B845" t="s">
        <v>235</v>
      </c>
      <c r="C845" t="s">
        <v>32</v>
      </c>
      <c r="D845" t="s">
        <v>788</v>
      </c>
      <c r="E845" t="s">
        <v>789</v>
      </c>
      <c r="F845" t="s">
        <v>790</v>
      </c>
      <c r="G845" t="s">
        <v>791</v>
      </c>
      <c r="H845" t="s">
        <v>792</v>
      </c>
      <c r="I845" t="s">
        <v>83</v>
      </c>
      <c r="J845" t="s">
        <v>753</v>
      </c>
    </row>
    <row r="846" spans="1:10" s="5" customFormat="1" x14ac:dyDescent="0.3">
      <c r="A846" s="5" t="s">
        <v>35</v>
      </c>
      <c r="B846" s="5" t="s">
        <v>236</v>
      </c>
      <c r="C846" s="5">
        <v>16</v>
      </c>
      <c r="D846" s="5" t="s">
        <v>255</v>
      </c>
      <c r="E846" s="5" t="s">
        <v>836</v>
      </c>
      <c r="F846" s="5" t="s">
        <v>837</v>
      </c>
      <c r="G846" s="5" t="s">
        <v>134</v>
      </c>
      <c r="H846" s="5" t="s">
        <v>134</v>
      </c>
      <c r="I846" s="5" t="s">
        <v>144</v>
      </c>
      <c r="J846" s="5" t="s">
        <v>99</v>
      </c>
    </row>
    <row r="847" spans="1:10" x14ac:dyDescent="0.3">
      <c r="A847" t="s">
        <v>35</v>
      </c>
      <c r="B847" t="s">
        <v>238</v>
      </c>
      <c r="C847">
        <v>31</v>
      </c>
      <c r="D847" t="s">
        <v>706</v>
      </c>
      <c r="E847" t="s">
        <v>78</v>
      </c>
      <c r="F847" t="s">
        <v>571</v>
      </c>
      <c r="G847" t="s">
        <v>177</v>
      </c>
      <c r="H847" t="s">
        <v>151</v>
      </c>
      <c r="I847" t="s">
        <v>110</v>
      </c>
      <c r="J847" t="s">
        <v>99</v>
      </c>
    </row>
    <row r="848" spans="1:10" s="5" customFormat="1" x14ac:dyDescent="0.3">
      <c r="A848" s="5" t="s">
        <v>37</v>
      </c>
      <c r="B848" s="5" t="s">
        <v>236</v>
      </c>
      <c r="C848" s="5">
        <v>26</v>
      </c>
      <c r="D848" s="5" t="s">
        <v>629</v>
      </c>
      <c r="E848" s="5" t="s">
        <v>267</v>
      </c>
      <c r="F848" s="5" t="s">
        <v>540</v>
      </c>
      <c r="G848" s="5" t="s">
        <v>165</v>
      </c>
      <c r="H848" s="5" t="s">
        <v>712</v>
      </c>
      <c r="I848" s="5" t="s">
        <v>99</v>
      </c>
      <c r="J848" s="5" t="s">
        <v>99</v>
      </c>
    </row>
    <row r="849" spans="1:10" x14ac:dyDescent="0.3">
      <c r="A849" t="s">
        <v>37</v>
      </c>
      <c r="B849" t="s">
        <v>238</v>
      </c>
      <c r="C849">
        <v>56</v>
      </c>
      <c r="D849" t="s">
        <v>713</v>
      </c>
      <c r="E849" t="s">
        <v>751</v>
      </c>
      <c r="F849" t="s">
        <v>682</v>
      </c>
      <c r="G849" t="s">
        <v>251</v>
      </c>
      <c r="H849" t="s">
        <v>663</v>
      </c>
      <c r="I849" t="s">
        <v>100</v>
      </c>
      <c r="J849" t="s">
        <v>99</v>
      </c>
    </row>
    <row r="850" spans="1:10" x14ac:dyDescent="0.3">
      <c r="A850" t="s">
        <v>36</v>
      </c>
      <c r="B850" t="s">
        <v>236</v>
      </c>
      <c r="C850">
        <v>43</v>
      </c>
      <c r="D850" t="s">
        <v>184</v>
      </c>
      <c r="E850" t="s">
        <v>798</v>
      </c>
      <c r="F850" t="s">
        <v>175</v>
      </c>
      <c r="G850" t="s">
        <v>838</v>
      </c>
      <c r="H850" t="s">
        <v>142</v>
      </c>
      <c r="I850" t="s">
        <v>117</v>
      </c>
      <c r="J850" t="s">
        <v>683</v>
      </c>
    </row>
    <row r="851" spans="1:10" x14ac:dyDescent="0.3">
      <c r="A851" t="s">
        <v>36</v>
      </c>
      <c r="B851" t="s">
        <v>238</v>
      </c>
      <c r="C851">
        <v>40</v>
      </c>
      <c r="D851" t="s">
        <v>723</v>
      </c>
      <c r="E851" t="s">
        <v>131</v>
      </c>
      <c r="F851" t="s">
        <v>743</v>
      </c>
      <c r="G851" t="s">
        <v>165</v>
      </c>
      <c r="H851" t="s">
        <v>465</v>
      </c>
      <c r="I851" t="s">
        <v>154</v>
      </c>
      <c r="J851" t="s">
        <v>99</v>
      </c>
    </row>
    <row r="852" spans="1:10" s="5" customFormat="1" x14ac:dyDescent="0.3">
      <c r="A852" s="5" t="s">
        <v>34</v>
      </c>
      <c r="B852" s="5" t="s">
        <v>236</v>
      </c>
      <c r="C852" s="5">
        <v>11</v>
      </c>
      <c r="D852" s="5" t="s">
        <v>99</v>
      </c>
      <c r="E852" s="5" t="s">
        <v>720</v>
      </c>
      <c r="F852" s="5" t="s">
        <v>839</v>
      </c>
      <c r="G852" s="5" t="s">
        <v>224</v>
      </c>
      <c r="H852" s="5" t="s">
        <v>207</v>
      </c>
      <c r="I852" s="5" t="s">
        <v>99</v>
      </c>
      <c r="J852" s="5" t="s">
        <v>99</v>
      </c>
    </row>
    <row r="853" spans="1:10" x14ac:dyDescent="0.3">
      <c r="A853" t="s">
        <v>34</v>
      </c>
      <c r="B853" t="s">
        <v>238</v>
      </c>
      <c r="C853">
        <v>64</v>
      </c>
      <c r="D853" t="s">
        <v>182</v>
      </c>
      <c r="E853" t="s">
        <v>840</v>
      </c>
      <c r="F853" t="s">
        <v>747</v>
      </c>
      <c r="G853" t="s">
        <v>294</v>
      </c>
      <c r="H853" t="s">
        <v>694</v>
      </c>
      <c r="I853" t="s">
        <v>110</v>
      </c>
      <c r="J853" t="s">
        <v>468</v>
      </c>
    </row>
    <row r="854" spans="1:10" s="5" customFormat="1" x14ac:dyDescent="0.3">
      <c r="A854" s="5" t="s">
        <v>33</v>
      </c>
      <c r="B854" s="5" t="s">
        <v>236</v>
      </c>
      <c r="C854" s="5">
        <v>30</v>
      </c>
      <c r="D854" s="5" t="s">
        <v>748</v>
      </c>
      <c r="E854" s="5" t="s">
        <v>798</v>
      </c>
      <c r="F854" s="5" t="s">
        <v>677</v>
      </c>
      <c r="G854" s="5" t="s">
        <v>597</v>
      </c>
      <c r="H854" s="5" t="s">
        <v>714</v>
      </c>
      <c r="I854" s="5" t="s">
        <v>99</v>
      </c>
      <c r="J854" s="5" t="s">
        <v>99</v>
      </c>
    </row>
    <row r="855" spans="1:10" x14ac:dyDescent="0.3">
      <c r="A855" t="s">
        <v>33</v>
      </c>
      <c r="B855" t="s">
        <v>238</v>
      </c>
      <c r="C855">
        <v>38</v>
      </c>
      <c r="D855" t="s">
        <v>506</v>
      </c>
      <c r="E855" t="s">
        <v>743</v>
      </c>
      <c r="F855" t="s">
        <v>313</v>
      </c>
      <c r="G855" t="s">
        <v>98</v>
      </c>
      <c r="H855" t="s">
        <v>686</v>
      </c>
      <c r="I855" t="s">
        <v>99</v>
      </c>
      <c r="J855" t="s">
        <v>99</v>
      </c>
    </row>
    <row r="856" spans="1:10" x14ac:dyDescent="0.3">
      <c r="A856" t="s">
        <v>49</v>
      </c>
      <c r="B856" t="s">
        <v>236</v>
      </c>
      <c r="C856">
        <v>126</v>
      </c>
      <c r="D856" t="s">
        <v>811</v>
      </c>
      <c r="E856" t="s">
        <v>676</v>
      </c>
      <c r="F856" t="s">
        <v>626</v>
      </c>
      <c r="G856" t="s">
        <v>137</v>
      </c>
      <c r="H856" t="s">
        <v>325</v>
      </c>
      <c r="I856" t="s">
        <v>108</v>
      </c>
      <c r="J856" t="s">
        <v>147</v>
      </c>
    </row>
    <row r="857" spans="1:10" x14ac:dyDescent="0.3">
      <c r="A857" t="s">
        <v>49</v>
      </c>
      <c r="B857" t="s">
        <v>238</v>
      </c>
      <c r="C857">
        <v>229</v>
      </c>
      <c r="D857" t="s">
        <v>517</v>
      </c>
      <c r="E857" t="s">
        <v>706</v>
      </c>
      <c r="F857" t="s">
        <v>682</v>
      </c>
      <c r="G857" t="s">
        <v>710</v>
      </c>
      <c r="H857" t="s">
        <v>408</v>
      </c>
      <c r="I857" t="s">
        <v>120</v>
      </c>
      <c r="J857" t="s">
        <v>382</v>
      </c>
    </row>
    <row r="859" spans="1:10" x14ac:dyDescent="0.3">
      <c r="A859" t="s">
        <v>841</v>
      </c>
    </row>
    <row r="860" spans="1:10" x14ac:dyDescent="0.3">
      <c r="A860" t="s">
        <v>44</v>
      </c>
      <c r="B860" t="s">
        <v>257</v>
      </c>
      <c r="C860" t="s">
        <v>32</v>
      </c>
      <c r="D860" t="s">
        <v>788</v>
      </c>
      <c r="E860" t="s">
        <v>789</v>
      </c>
      <c r="F860" t="s">
        <v>790</v>
      </c>
      <c r="G860" t="s">
        <v>791</v>
      </c>
      <c r="H860" t="s">
        <v>792</v>
      </c>
      <c r="I860" t="s">
        <v>83</v>
      </c>
      <c r="J860" t="s">
        <v>753</v>
      </c>
    </row>
    <row r="861" spans="1:10" x14ac:dyDescent="0.3">
      <c r="A861" t="s">
        <v>35</v>
      </c>
      <c r="B861" t="s">
        <v>258</v>
      </c>
      <c r="C861">
        <v>37</v>
      </c>
      <c r="D861" t="s">
        <v>842</v>
      </c>
      <c r="E861" t="s">
        <v>74</v>
      </c>
      <c r="F861" t="s">
        <v>616</v>
      </c>
      <c r="G861" t="s">
        <v>255</v>
      </c>
      <c r="H861" t="s">
        <v>141</v>
      </c>
      <c r="I861" t="s">
        <v>132</v>
      </c>
      <c r="J861" t="s">
        <v>99</v>
      </c>
    </row>
    <row r="862" spans="1:10" s="5" customFormat="1" x14ac:dyDescent="0.3">
      <c r="A862" s="5" t="s">
        <v>35</v>
      </c>
      <c r="B862" s="5" t="s">
        <v>260</v>
      </c>
      <c r="C862" s="5">
        <v>10</v>
      </c>
      <c r="D862" s="5" t="s">
        <v>99</v>
      </c>
      <c r="E862" s="5" t="s">
        <v>736</v>
      </c>
      <c r="F862" s="5" t="s">
        <v>811</v>
      </c>
      <c r="G862" s="5" t="s">
        <v>683</v>
      </c>
      <c r="H862" s="5" t="s">
        <v>262</v>
      </c>
      <c r="I862" s="5" t="s">
        <v>683</v>
      </c>
      <c r="J862" s="5" t="s">
        <v>99</v>
      </c>
    </row>
    <row r="863" spans="1:10" x14ac:dyDescent="0.3">
      <c r="A863" t="s">
        <v>37</v>
      </c>
      <c r="B863" t="s">
        <v>258</v>
      </c>
      <c r="C863">
        <v>82</v>
      </c>
      <c r="D863" t="s">
        <v>794</v>
      </c>
      <c r="E863" t="s">
        <v>501</v>
      </c>
      <c r="F863" t="s">
        <v>732</v>
      </c>
      <c r="G863" t="s">
        <v>262</v>
      </c>
      <c r="H863" t="s">
        <v>204</v>
      </c>
      <c r="I863" t="s">
        <v>115</v>
      </c>
      <c r="J863" t="s">
        <v>99</v>
      </c>
    </row>
    <row r="864" spans="1:10" x14ac:dyDescent="0.3">
      <c r="A864" t="s">
        <v>36</v>
      </c>
      <c r="B864" t="s">
        <v>258</v>
      </c>
      <c r="C864">
        <v>74</v>
      </c>
      <c r="D864" t="s">
        <v>529</v>
      </c>
      <c r="E864" t="s">
        <v>743</v>
      </c>
      <c r="F864" t="s">
        <v>501</v>
      </c>
      <c r="G864" t="s">
        <v>536</v>
      </c>
      <c r="H864" t="s">
        <v>731</v>
      </c>
      <c r="I864" t="s">
        <v>105</v>
      </c>
      <c r="J864" t="s">
        <v>68</v>
      </c>
    </row>
    <row r="865" spans="1:10" s="5" customFormat="1" x14ac:dyDescent="0.3">
      <c r="A865" s="5" t="s">
        <v>36</v>
      </c>
      <c r="B865" s="5" t="s">
        <v>260</v>
      </c>
      <c r="C865" s="5">
        <v>9</v>
      </c>
      <c r="D865" s="5" t="s">
        <v>163</v>
      </c>
      <c r="E865" s="5" t="s">
        <v>741</v>
      </c>
      <c r="F865" s="5" t="s">
        <v>163</v>
      </c>
      <c r="G865" s="5" t="s">
        <v>99</v>
      </c>
      <c r="H865" s="5" t="s">
        <v>741</v>
      </c>
      <c r="I865" s="5" t="s">
        <v>741</v>
      </c>
      <c r="J865" s="5" t="s">
        <v>163</v>
      </c>
    </row>
    <row r="866" spans="1:10" s="5" customFormat="1" x14ac:dyDescent="0.3">
      <c r="A866" s="5" t="s">
        <v>34</v>
      </c>
      <c r="B866" s="5" t="s">
        <v>258</v>
      </c>
      <c r="C866" s="5">
        <v>13</v>
      </c>
      <c r="D866" s="5" t="s">
        <v>843</v>
      </c>
      <c r="E866" s="5" t="s">
        <v>99</v>
      </c>
      <c r="F866" s="5" t="s">
        <v>177</v>
      </c>
      <c r="G866" s="5" t="s">
        <v>691</v>
      </c>
      <c r="H866" s="5" t="s">
        <v>347</v>
      </c>
      <c r="I866" s="5" t="s">
        <v>114</v>
      </c>
      <c r="J866" s="5" t="s">
        <v>99</v>
      </c>
    </row>
    <row r="867" spans="1:10" x14ac:dyDescent="0.3">
      <c r="A867" t="s">
        <v>34</v>
      </c>
      <c r="B867" t="s">
        <v>260</v>
      </c>
      <c r="C867">
        <v>62</v>
      </c>
      <c r="D867" t="s">
        <v>120</v>
      </c>
      <c r="E867" t="s">
        <v>674</v>
      </c>
      <c r="F867" t="s">
        <v>481</v>
      </c>
      <c r="G867" t="s">
        <v>542</v>
      </c>
      <c r="H867" t="s">
        <v>671</v>
      </c>
      <c r="I867" t="s">
        <v>105</v>
      </c>
      <c r="J867" t="s">
        <v>68</v>
      </c>
    </row>
    <row r="868" spans="1:10" x14ac:dyDescent="0.3">
      <c r="A868" t="s">
        <v>33</v>
      </c>
      <c r="B868" t="s">
        <v>258</v>
      </c>
      <c r="C868">
        <v>68</v>
      </c>
      <c r="D868" t="s">
        <v>344</v>
      </c>
      <c r="E868" t="s">
        <v>188</v>
      </c>
      <c r="F868" t="s">
        <v>289</v>
      </c>
      <c r="G868" t="s">
        <v>478</v>
      </c>
      <c r="H868" t="s">
        <v>303</v>
      </c>
      <c r="I868" t="s">
        <v>99</v>
      </c>
      <c r="J868" t="s">
        <v>99</v>
      </c>
    </row>
    <row r="869" spans="1:10" x14ac:dyDescent="0.3">
      <c r="A869" t="s">
        <v>49</v>
      </c>
      <c r="B869" t="s">
        <v>258</v>
      </c>
      <c r="C869">
        <v>274</v>
      </c>
      <c r="D869" t="s">
        <v>481</v>
      </c>
      <c r="E869" t="s">
        <v>255</v>
      </c>
      <c r="F869" t="s">
        <v>682</v>
      </c>
      <c r="G869" t="s">
        <v>231</v>
      </c>
      <c r="H869" t="s">
        <v>262</v>
      </c>
      <c r="I869" t="s">
        <v>100</v>
      </c>
      <c r="J869" t="s">
        <v>114</v>
      </c>
    </row>
    <row r="870" spans="1:10" x14ac:dyDescent="0.3">
      <c r="A870" t="s">
        <v>49</v>
      </c>
      <c r="B870" t="s">
        <v>260</v>
      </c>
      <c r="C870">
        <v>81</v>
      </c>
      <c r="D870" t="s">
        <v>103</v>
      </c>
      <c r="E870" t="s">
        <v>810</v>
      </c>
      <c r="F870" t="s">
        <v>429</v>
      </c>
      <c r="G870" t="s">
        <v>357</v>
      </c>
      <c r="H870" t="s">
        <v>142</v>
      </c>
      <c r="I870" t="s">
        <v>158</v>
      </c>
      <c r="J870" t="s">
        <v>434</v>
      </c>
    </row>
    <row r="872" spans="1:10" x14ac:dyDescent="0.3">
      <c r="A872" t="s">
        <v>844</v>
      </c>
    </row>
    <row r="873" spans="1:10" x14ac:dyDescent="0.3">
      <c r="A873" t="s">
        <v>44</v>
      </c>
      <c r="B873" t="s">
        <v>32</v>
      </c>
      <c r="C873" t="s">
        <v>66</v>
      </c>
      <c r="D873" t="s">
        <v>67</v>
      </c>
      <c r="E873" t="s">
        <v>352</v>
      </c>
      <c r="F873" t="s">
        <v>193</v>
      </c>
    </row>
    <row r="874" spans="1:10" x14ac:dyDescent="0.3">
      <c r="A874" t="s">
        <v>35</v>
      </c>
      <c r="B874">
        <v>1246</v>
      </c>
      <c r="C874" t="s">
        <v>206</v>
      </c>
      <c r="D874" t="s">
        <v>312</v>
      </c>
      <c r="E874" t="s">
        <v>99</v>
      </c>
      <c r="F874" t="s">
        <v>207</v>
      </c>
    </row>
    <row r="875" spans="1:10" x14ac:dyDescent="0.3">
      <c r="A875" t="s">
        <v>37</v>
      </c>
      <c r="B875">
        <v>1660</v>
      </c>
      <c r="C875" t="s">
        <v>165</v>
      </c>
      <c r="D875" t="s">
        <v>166</v>
      </c>
      <c r="E875" t="s">
        <v>99</v>
      </c>
      <c r="F875" t="s">
        <v>99</v>
      </c>
    </row>
    <row r="876" spans="1:10" x14ac:dyDescent="0.3">
      <c r="A876" t="s">
        <v>36</v>
      </c>
      <c r="B876">
        <v>1121</v>
      </c>
      <c r="C876" t="s">
        <v>264</v>
      </c>
      <c r="D876" t="s">
        <v>263</v>
      </c>
      <c r="E876" t="s">
        <v>99</v>
      </c>
      <c r="F876" t="s">
        <v>99</v>
      </c>
    </row>
    <row r="877" spans="1:10" x14ac:dyDescent="0.3">
      <c r="A877" t="s">
        <v>34</v>
      </c>
      <c r="B877">
        <v>813</v>
      </c>
      <c r="C877" t="s">
        <v>251</v>
      </c>
      <c r="D877" t="s">
        <v>232</v>
      </c>
      <c r="E877" t="s">
        <v>141</v>
      </c>
      <c r="F877" t="s">
        <v>99</v>
      </c>
    </row>
    <row r="878" spans="1:10" x14ac:dyDescent="0.3">
      <c r="A878" t="s">
        <v>33</v>
      </c>
      <c r="B878">
        <v>686</v>
      </c>
      <c r="C878" t="s">
        <v>721</v>
      </c>
      <c r="D878" t="s">
        <v>845</v>
      </c>
      <c r="E878" t="s">
        <v>99</v>
      </c>
      <c r="F878" t="s">
        <v>99</v>
      </c>
    </row>
    <row r="879" spans="1:10" x14ac:dyDescent="0.3">
      <c r="A879" t="s">
        <v>49</v>
      </c>
      <c r="B879">
        <v>5526</v>
      </c>
      <c r="C879" t="s">
        <v>289</v>
      </c>
      <c r="D879" t="s">
        <v>180</v>
      </c>
      <c r="E879" t="s">
        <v>104</v>
      </c>
      <c r="F879" t="s">
        <v>104</v>
      </c>
    </row>
    <row r="881" spans="1:7" x14ac:dyDescent="0.3">
      <c r="A881" t="s">
        <v>846</v>
      </c>
    </row>
    <row r="882" spans="1:7" x14ac:dyDescent="0.3">
      <c r="A882" t="s">
        <v>44</v>
      </c>
      <c r="B882" t="s">
        <v>847</v>
      </c>
      <c r="C882" t="s">
        <v>32</v>
      </c>
      <c r="D882" t="s">
        <v>66</v>
      </c>
      <c r="E882" t="s">
        <v>67</v>
      </c>
      <c r="F882" t="s">
        <v>352</v>
      </c>
      <c r="G882" t="s">
        <v>193</v>
      </c>
    </row>
    <row r="883" spans="1:7" s="5" customFormat="1" x14ac:dyDescent="0.3">
      <c r="A883" s="5" t="s">
        <v>35</v>
      </c>
      <c r="B883" s="5" t="s">
        <v>848</v>
      </c>
      <c r="C883" s="5">
        <v>18</v>
      </c>
      <c r="D883" s="5" t="s">
        <v>842</v>
      </c>
      <c r="E883" s="5" t="s">
        <v>518</v>
      </c>
      <c r="F883" s="5" t="s">
        <v>99</v>
      </c>
      <c r="G883" s="5" t="s">
        <v>99</v>
      </c>
    </row>
    <row r="884" spans="1:7" s="5" customFormat="1" x14ac:dyDescent="0.3">
      <c r="A884" s="5" t="s">
        <v>35</v>
      </c>
      <c r="B884" s="5" t="s">
        <v>849</v>
      </c>
      <c r="C884" s="5">
        <v>1</v>
      </c>
      <c r="D884" s="5" t="s">
        <v>99</v>
      </c>
      <c r="E884" s="5" t="s">
        <v>211</v>
      </c>
      <c r="F884" s="5" t="s">
        <v>99</v>
      </c>
      <c r="G884" s="5" t="s">
        <v>99</v>
      </c>
    </row>
    <row r="885" spans="1:7" s="5" customFormat="1" x14ac:dyDescent="0.3">
      <c r="A885" s="5" t="s">
        <v>35</v>
      </c>
      <c r="B885" s="5" t="s">
        <v>850</v>
      </c>
      <c r="C885" s="5">
        <v>10</v>
      </c>
      <c r="D885" s="5" t="s">
        <v>103</v>
      </c>
      <c r="E885" s="5" t="s">
        <v>851</v>
      </c>
      <c r="F885" s="5" t="s">
        <v>99</v>
      </c>
      <c r="G885" s="5" t="s">
        <v>99</v>
      </c>
    </row>
    <row r="886" spans="1:7" s="5" customFormat="1" x14ac:dyDescent="0.3">
      <c r="A886" s="5" t="s">
        <v>35</v>
      </c>
      <c r="B886" s="5" t="s">
        <v>852</v>
      </c>
      <c r="C886" s="5">
        <v>11</v>
      </c>
      <c r="D886" s="5" t="s">
        <v>473</v>
      </c>
      <c r="E886" s="5" t="s">
        <v>472</v>
      </c>
      <c r="F886" s="5" t="s">
        <v>99</v>
      </c>
      <c r="G886" s="5" t="s">
        <v>99</v>
      </c>
    </row>
    <row r="887" spans="1:7" s="5" customFormat="1" x14ac:dyDescent="0.3">
      <c r="A887" s="5" t="s">
        <v>35</v>
      </c>
      <c r="B887" s="5" t="s">
        <v>853</v>
      </c>
      <c r="C887" s="5">
        <v>2</v>
      </c>
      <c r="D887" s="5" t="s">
        <v>99</v>
      </c>
      <c r="E887" s="5" t="s">
        <v>211</v>
      </c>
      <c r="F887" s="5" t="s">
        <v>99</v>
      </c>
      <c r="G887" s="5" t="s">
        <v>99</v>
      </c>
    </row>
    <row r="888" spans="1:7" x14ac:dyDescent="0.3">
      <c r="A888" t="s">
        <v>35</v>
      </c>
      <c r="B888" t="s">
        <v>365</v>
      </c>
      <c r="C888">
        <v>1204</v>
      </c>
      <c r="D888" t="s">
        <v>680</v>
      </c>
      <c r="E888" t="s">
        <v>854</v>
      </c>
      <c r="F888" t="s">
        <v>99</v>
      </c>
      <c r="G888" t="s">
        <v>207</v>
      </c>
    </row>
    <row r="889" spans="1:7" s="5" customFormat="1" x14ac:dyDescent="0.3">
      <c r="A889" s="5" t="s">
        <v>37</v>
      </c>
      <c r="B889" s="5" t="s">
        <v>848</v>
      </c>
      <c r="C889" s="5">
        <v>10</v>
      </c>
      <c r="D889" s="5" t="s">
        <v>672</v>
      </c>
      <c r="E889" s="5" t="s">
        <v>855</v>
      </c>
      <c r="F889" s="5" t="s">
        <v>99</v>
      </c>
      <c r="G889" s="5" t="s">
        <v>99</v>
      </c>
    </row>
    <row r="890" spans="1:7" s="5" customFormat="1" x14ac:dyDescent="0.3">
      <c r="A890" s="5" t="s">
        <v>37</v>
      </c>
      <c r="B890" s="5" t="s">
        <v>850</v>
      </c>
      <c r="C890" s="5">
        <v>11</v>
      </c>
      <c r="D890" s="5" t="s">
        <v>856</v>
      </c>
      <c r="E890" s="5" t="s">
        <v>644</v>
      </c>
      <c r="F890" s="5" t="s">
        <v>99</v>
      </c>
      <c r="G890" s="5" t="s">
        <v>99</v>
      </c>
    </row>
    <row r="891" spans="1:7" s="5" customFormat="1" x14ac:dyDescent="0.3">
      <c r="A891" s="5" t="s">
        <v>37</v>
      </c>
      <c r="B891" s="5" t="s">
        <v>852</v>
      </c>
      <c r="C891" s="5">
        <v>9</v>
      </c>
      <c r="D891" s="5" t="s">
        <v>142</v>
      </c>
      <c r="E891" s="5" t="s">
        <v>857</v>
      </c>
      <c r="F891" s="5" t="s">
        <v>99</v>
      </c>
      <c r="G891" s="5" t="s">
        <v>99</v>
      </c>
    </row>
    <row r="892" spans="1:7" s="5" customFormat="1" x14ac:dyDescent="0.3">
      <c r="A892" s="5" t="s">
        <v>37</v>
      </c>
      <c r="B892" s="5" t="s">
        <v>853</v>
      </c>
      <c r="C892" s="5">
        <v>7</v>
      </c>
      <c r="D892" s="5" t="s">
        <v>99</v>
      </c>
      <c r="E892" s="5" t="s">
        <v>211</v>
      </c>
      <c r="F892" s="5" t="s">
        <v>99</v>
      </c>
      <c r="G892" s="5" t="s">
        <v>99</v>
      </c>
    </row>
    <row r="893" spans="1:7" x14ac:dyDescent="0.3">
      <c r="A893" t="s">
        <v>37</v>
      </c>
      <c r="B893" t="s">
        <v>365</v>
      </c>
      <c r="C893">
        <v>1623</v>
      </c>
      <c r="D893" t="s">
        <v>287</v>
      </c>
      <c r="E893" t="s">
        <v>366</v>
      </c>
      <c r="F893" t="s">
        <v>99</v>
      </c>
      <c r="G893" t="s">
        <v>99</v>
      </c>
    </row>
    <row r="894" spans="1:7" s="5" customFormat="1" x14ac:dyDescent="0.3">
      <c r="A894" s="5" t="s">
        <v>36</v>
      </c>
      <c r="B894" s="5" t="s">
        <v>848</v>
      </c>
      <c r="C894" s="5">
        <v>13</v>
      </c>
      <c r="D894" s="5" t="s">
        <v>800</v>
      </c>
      <c r="E894" s="5" t="s">
        <v>799</v>
      </c>
      <c r="F894" s="5" t="s">
        <v>99</v>
      </c>
      <c r="G894" s="5" t="s">
        <v>99</v>
      </c>
    </row>
    <row r="895" spans="1:7" s="5" customFormat="1" x14ac:dyDescent="0.3">
      <c r="A895" s="5" t="s">
        <v>36</v>
      </c>
      <c r="B895" s="5" t="s">
        <v>850</v>
      </c>
      <c r="C895" s="5">
        <v>5</v>
      </c>
      <c r="D895" s="5" t="s">
        <v>364</v>
      </c>
      <c r="E895" s="5" t="s">
        <v>363</v>
      </c>
      <c r="F895" s="5" t="s">
        <v>99</v>
      </c>
      <c r="G895" s="5" t="s">
        <v>99</v>
      </c>
    </row>
    <row r="896" spans="1:7" s="5" customFormat="1" x14ac:dyDescent="0.3">
      <c r="A896" s="5" t="s">
        <v>36</v>
      </c>
      <c r="B896" s="5" t="s">
        <v>852</v>
      </c>
      <c r="C896" s="5">
        <v>6</v>
      </c>
      <c r="D896" s="5" t="s">
        <v>99</v>
      </c>
      <c r="E896" s="5" t="s">
        <v>211</v>
      </c>
      <c r="F896" s="5" t="s">
        <v>99</v>
      </c>
      <c r="G896" s="5" t="s">
        <v>99</v>
      </c>
    </row>
    <row r="897" spans="1:7" s="5" customFormat="1" x14ac:dyDescent="0.3">
      <c r="A897" s="5" t="s">
        <v>36</v>
      </c>
      <c r="B897" s="5" t="s">
        <v>853</v>
      </c>
      <c r="C897" s="5">
        <v>1</v>
      </c>
      <c r="D897" s="5" t="s">
        <v>99</v>
      </c>
      <c r="E897" s="5" t="s">
        <v>211</v>
      </c>
      <c r="F897" s="5" t="s">
        <v>99</v>
      </c>
      <c r="G897" s="5" t="s">
        <v>99</v>
      </c>
    </row>
    <row r="898" spans="1:7" x14ac:dyDescent="0.3">
      <c r="A898" t="s">
        <v>36</v>
      </c>
      <c r="B898" t="s">
        <v>365</v>
      </c>
      <c r="C898">
        <v>1096</v>
      </c>
      <c r="D898" t="s">
        <v>746</v>
      </c>
      <c r="E898" t="s">
        <v>858</v>
      </c>
      <c r="F898" t="s">
        <v>99</v>
      </c>
      <c r="G898" t="s">
        <v>99</v>
      </c>
    </row>
    <row r="899" spans="1:7" s="5" customFormat="1" x14ac:dyDescent="0.3">
      <c r="A899" s="5" t="s">
        <v>34</v>
      </c>
      <c r="B899" s="5" t="s">
        <v>848</v>
      </c>
      <c r="C899" s="5">
        <v>5</v>
      </c>
      <c r="D899" s="5" t="s">
        <v>131</v>
      </c>
      <c r="E899" s="5" t="s">
        <v>859</v>
      </c>
      <c r="F899" s="5" t="s">
        <v>99</v>
      </c>
      <c r="G899" s="5" t="s">
        <v>99</v>
      </c>
    </row>
    <row r="900" spans="1:7" s="5" customFormat="1" x14ac:dyDescent="0.3">
      <c r="A900" s="5" t="s">
        <v>34</v>
      </c>
      <c r="B900" s="5" t="s">
        <v>850</v>
      </c>
      <c r="C900" s="5">
        <v>10</v>
      </c>
      <c r="D900" s="5" t="s">
        <v>860</v>
      </c>
      <c r="E900" s="5" t="s">
        <v>861</v>
      </c>
      <c r="F900" s="5" t="s">
        <v>99</v>
      </c>
      <c r="G900" s="5" t="s">
        <v>99</v>
      </c>
    </row>
    <row r="901" spans="1:7" s="5" customFormat="1" x14ac:dyDescent="0.3">
      <c r="A901" s="5" t="s">
        <v>34</v>
      </c>
      <c r="B901" s="5" t="s">
        <v>852</v>
      </c>
      <c r="C901" s="5">
        <v>4</v>
      </c>
      <c r="D901" s="5" t="s">
        <v>862</v>
      </c>
      <c r="E901" s="5" t="s">
        <v>863</v>
      </c>
      <c r="F901" s="5" t="s">
        <v>99</v>
      </c>
      <c r="G901" s="5" t="s">
        <v>99</v>
      </c>
    </row>
    <row r="902" spans="1:7" s="5" customFormat="1" x14ac:dyDescent="0.3">
      <c r="A902" s="5" t="s">
        <v>34</v>
      </c>
      <c r="B902" s="5" t="s">
        <v>853</v>
      </c>
      <c r="C902" s="5">
        <v>4</v>
      </c>
      <c r="D902" s="5" t="s">
        <v>864</v>
      </c>
      <c r="E902" s="5" t="s">
        <v>865</v>
      </c>
      <c r="F902" s="5" t="s">
        <v>99</v>
      </c>
      <c r="G902" s="5" t="s">
        <v>99</v>
      </c>
    </row>
    <row r="903" spans="1:7" x14ac:dyDescent="0.3">
      <c r="A903" t="s">
        <v>34</v>
      </c>
      <c r="B903" t="s">
        <v>365</v>
      </c>
      <c r="C903">
        <v>790</v>
      </c>
      <c r="D903" t="s">
        <v>133</v>
      </c>
      <c r="E903" t="s">
        <v>293</v>
      </c>
      <c r="F903" t="s">
        <v>253</v>
      </c>
      <c r="G903" t="s">
        <v>99</v>
      </c>
    </row>
    <row r="904" spans="1:7" s="5" customFormat="1" x14ac:dyDescent="0.3">
      <c r="A904" s="5" t="s">
        <v>33</v>
      </c>
      <c r="B904" s="5" t="s">
        <v>848</v>
      </c>
      <c r="C904" s="5">
        <v>6</v>
      </c>
      <c r="D904" s="5" t="s">
        <v>746</v>
      </c>
      <c r="E904" s="5" t="s">
        <v>866</v>
      </c>
      <c r="F904" s="5" t="s">
        <v>99</v>
      </c>
      <c r="G904" s="5" t="s">
        <v>99</v>
      </c>
    </row>
    <row r="905" spans="1:7" s="5" customFormat="1" x14ac:dyDescent="0.3">
      <c r="A905" s="5" t="s">
        <v>33</v>
      </c>
      <c r="B905" s="5" t="s">
        <v>850</v>
      </c>
      <c r="C905" s="5">
        <v>3</v>
      </c>
      <c r="D905" s="5" t="s">
        <v>99</v>
      </c>
      <c r="E905" s="5" t="s">
        <v>211</v>
      </c>
      <c r="F905" s="5" t="s">
        <v>99</v>
      </c>
      <c r="G905" s="5" t="s">
        <v>99</v>
      </c>
    </row>
    <row r="906" spans="1:7" s="5" customFormat="1" x14ac:dyDescent="0.3">
      <c r="A906" s="5" t="s">
        <v>33</v>
      </c>
      <c r="B906" s="5" t="s">
        <v>852</v>
      </c>
      <c r="C906" s="5">
        <v>4</v>
      </c>
      <c r="D906" s="5" t="s">
        <v>99</v>
      </c>
      <c r="E906" s="5" t="s">
        <v>211</v>
      </c>
      <c r="F906" s="5" t="s">
        <v>99</v>
      </c>
      <c r="G906" s="5" t="s">
        <v>99</v>
      </c>
    </row>
    <row r="907" spans="1:7" s="5" customFormat="1" x14ac:dyDescent="0.3">
      <c r="A907" s="5" t="s">
        <v>33</v>
      </c>
      <c r="B907" s="5" t="s">
        <v>867</v>
      </c>
      <c r="C907" s="5">
        <v>1</v>
      </c>
      <c r="D907" s="5" t="s">
        <v>211</v>
      </c>
      <c r="E907" s="5" t="s">
        <v>99</v>
      </c>
      <c r="F907" s="5" t="s">
        <v>99</v>
      </c>
      <c r="G907" s="5" t="s">
        <v>99</v>
      </c>
    </row>
    <row r="908" spans="1:7" s="5" customFormat="1" x14ac:dyDescent="0.3">
      <c r="A908" s="5" t="s">
        <v>33</v>
      </c>
      <c r="B908" s="5" t="s">
        <v>853</v>
      </c>
      <c r="C908" s="5">
        <v>2</v>
      </c>
      <c r="D908" s="5" t="s">
        <v>99</v>
      </c>
      <c r="E908" s="5" t="s">
        <v>211</v>
      </c>
      <c r="F908" s="5" t="s">
        <v>99</v>
      </c>
      <c r="G908" s="5" t="s">
        <v>99</v>
      </c>
    </row>
    <row r="909" spans="1:7" x14ac:dyDescent="0.3">
      <c r="A909" t="s">
        <v>33</v>
      </c>
      <c r="B909" t="s">
        <v>365</v>
      </c>
      <c r="C909">
        <v>670</v>
      </c>
      <c r="D909" t="s">
        <v>746</v>
      </c>
      <c r="E909" t="s">
        <v>866</v>
      </c>
      <c r="F909" t="s">
        <v>99</v>
      </c>
      <c r="G909" t="s">
        <v>99</v>
      </c>
    </row>
    <row r="910" spans="1:7" x14ac:dyDescent="0.3">
      <c r="A910" t="s">
        <v>49</v>
      </c>
      <c r="B910" t="s">
        <v>848</v>
      </c>
      <c r="C910">
        <v>52</v>
      </c>
      <c r="D910" t="s">
        <v>54</v>
      </c>
      <c r="E910" t="s">
        <v>53</v>
      </c>
      <c r="F910" t="s">
        <v>99</v>
      </c>
      <c r="G910" t="s">
        <v>99</v>
      </c>
    </row>
    <row r="911" spans="1:7" s="5" customFormat="1" x14ac:dyDescent="0.3">
      <c r="A911" s="5" t="s">
        <v>49</v>
      </c>
      <c r="B911" s="5" t="s">
        <v>849</v>
      </c>
      <c r="C911" s="5">
        <v>1</v>
      </c>
      <c r="D911" s="5" t="s">
        <v>99</v>
      </c>
      <c r="E911" s="5" t="s">
        <v>211</v>
      </c>
      <c r="F911" s="5" t="s">
        <v>99</v>
      </c>
      <c r="G911" s="5" t="s">
        <v>99</v>
      </c>
    </row>
    <row r="912" spans="1:7" x14ac:dyDescent="0.3">
      <c r="A912" t="s">
        <v>49</v>
      </c>
      <c r="B912" t="s">
        <v>850</v>
      </c>
      <c r="C912">
        <v>39</v>
      </c>
      <c r="D912" t="s">
        <v>868</v>
      </c>
      <c r="E912" t="s">
        <v>869</v>
      </c>
      <c r="F912" t="s">
        <v>99</v>
      </c>
      <c r="G912" t="s">
        <v>99</v>
      </c>
    </row>
    <row r="913" spans="1:7" x14ac:dyDescent="0.3">
      <c r="A913" t="s">
        <v>49</v>
      </c>
      <c r="B913" t="s">
        <v>852</v>
      </c>
      <c r="C913">
        <v>34</v>
      </c>
      <c r="D913" t="s">
        <v>811</v>
      </c>
      <c r="E913" t="s">
        <v>870</v>
      </c>
      <c r="F913" t="s">
        <v>99</v>
      </c>
      <c r="G913" t="s">
        <v>99</v>
      </c>
    </row>
    <row r="914" spans="1:7" s="5" customFormat="1" x14ac:dyDescent="0.3">
      <c r="A914" s="5" t="s">
        <v>49</v>
      </c>
      <c r="B914" s="5" t="s">
        <v>867</v>
      </c>
      <c r="C914" s="5">
        <v>1</v>
      </c>
      <c r="D914" s="5" t="s">
        <v>211</v>
      </c>
      <c r="E914" s="5" t="s">
        <v>99</v>
      </c>
      <c r="F914" s="5" t="s">
        <v>99</v>
      </c>
      <c r="G914" s="5" t="s">
        <v>99</v>
      </c>
    </row>
    <row r="915" spans="1:7" s="5" customFormat="1" x14ac:dyDescent="0.3">
      <c r="A915" s="5" t="s">
        <v>49</v>
      </c>
      <c r="B915" s="5" t="s">
        <v>853</v>
      </c>
      <c r="C915" s="5">
        <v>16</v>
      </c>
      <c r="D915" s="5" t="s">
        <v>311</v>
      </c>
      <c r="E915" s="5" t="s">
        <v>199</v>
      </c>
      <c r="F915" s="5" t="s">
        <v>99</v>
      </c>
      <c r="G915" s="5" t="s">
        <v>99</v>
      </c>
    </row>
    <row r="916" spans="1:7" x14ac:dyDescent="0.3">
      <c r="A916" t="s">
        <v>49</v>
      </c>
      <c r="B916" t="s">
        <v>365</v>
      </c>
      <c r="C916">
        <v>5383</v>
      </c>
      <c r="D916" t="s">
        <v>315</v>
      </c>
      <c r="E916" t="s">
        <v>219</v>
      </c>
      <c r="F916" t="s">
        <v>104</v>
      </c>
      <c r="G916" t="s">
        <v>104</v>
      </c>
    </row>
    <row r="918" spans="1:7" x14ac:dyDescent="0.3">
      <c r="A918" t="s">
        <v>871</v>
      </c>
    </row>
    <row r="919" spans="1:7" x14ac:dyDescent="0.3">
      <c r="A919" t="s">
        <v>44</v>
      </c>
      <c r="B919" t="s">
        <v>235</v>
      </c>
      <c r="C919" t="s">
        <v>32</v>
      </c>
      <c r="D919" t="s">
        <v>66</v>
      </c>
      <c r="E919" t="s">
        <v>67</v>
      </c>
      <c r="F919" t="s">
        <v>352</v>
      </c>
      <c r="G919" t="s">
        <v>193</v>
      </c>
    </row>
    <row r="920" spans="1:7" x14ac:dyDescent="0.3">
      <c r="A920" t="s">
        <v>35</v>
      </c>
      <c r="B920" t="s">
        <v>236</v>
      </c>
      <c r="C920">
        <v>625</v>
      </c>
      <c r="D920" t="s">
        <v>746</v>
      </c>
      <c r="E920" t="s">
        <v>290</v>
      </c>
      <c r="F920" t="s">
        <v>99</v>
      </c>
      <c r="G920" t="s">
        <v>207</v>
      </c>
    </row>
    <row r="921" spans="1:7" x14ac:dyDescent="0.3">
      <c r="A921" t="s">
        <v>35</v>
      </c>
      <c r="B921" t="s">
        <v>238</v>
      </c>
      <c r="C921">
        <v>621</v>
      </c>
      <c r="D921" t="s">
        <v>289</v>
      </c>
      <c r="E921" t="s">
        <v>380</v>
      </c>
      <c r="F921" t="s">
        <v>99</v>
      </c>
      <c r="G921" t="s">
        <v>207</v>
      </c>
    </row>
    <row r="922" spans="1:7" x14ac:dyDescent="0.3">
      <c r="A922" t="s">
        <v>37</v>
      </c>
      <c r="B922" t="s">
        <v>236</v>
      </c>
      <c r="C922">
        <v>1006</v>
      </c>
      <c r="D922" t="s">
        <v>289</v>
      </c>
      <c r="E922" t="s">
        <v>417</v>
      </c>
      <c r="F922" t="s">
        <v>99</v>
      </c>
      <c r="G922" t="s">
        <v>99</v>
      </c>
    </row>
    <row r="923" spans="1:7" x14ac:dyDescent="0.3">
      <c r="A923" t="s">
        <v>37</v>
      </c>
      <c r="B923" t="s">
        <v>238</v>
      </c>
      <c r="C923">
        <v>654</v>
      </c>
      <c r="D923" t="s">
        <v>804</v>
      </c>
      <c r="E923" t="s">
        <v>399</v>
      </c>
      <c r="F923" t="s">
        <v>99</v>
      </c>
      <c r="G923" t="s">
        <v>99</v>
      </c>
    </row>
    <row r="924" spans="1:7" x14ac:dyDescent="0.3">
      <c r="A924" t="s">
        <v>36</v>
      </c>
      <c r="B924" t="s">
        <v>236</v>
      </c>
      <c r="C924">
        <v>812</v>
      </c>
      <c r="D924" t="s">
        <v>393</v>
      </c>
      <c r="E924" t="s">
        <v>394</v>
      </c>
      <c r="F924" t="s">
        <v>99</v>
      </c>
      <c r="G924" t="s">
        <v>99</v>
      </c>
    </row>
    <row r="925" spans="1:7" x14ac:dyDescent="0.3">
      <c r="A925" t="s">
        <v>36</v>
      </c>
      <c r="B925" t="s">
        <v>238</v>
      </c>
      <c r="C925">
        <v>309</v>
      </c>
      <c r="D925" t="s">
        <v>737</v>
      </c>
      <c r="E925" t="s">
        <v>762</v>
      </c>
      <c r="F925" t="s">
        <v>99</v>
      </c>
      <c r="G925" t="s">
        <v>104</v>
      </c>
    </row>
    <row r="926" spans="1:7" x14ac:dyDescent="0.3">
      <c r="A926" t="s">
        <v>34</v>
      </c>
      <c r="B926" t="s">
        <v>236</v>
      </c>
      <c r="C926">
        <v>299</v>
      </c>
      <c r="D926" t="s">
        <v>72</v>
      </c>
      <c r="E926" t="s">
        <v>73</v>
      </c>
      <c r="F926" t="s">
        <v>99</v>
      </c>
      <c r="G926" t="s">
        <v>99</v>
      </c>
    </row>
    <row r="927" spans="1:7" x14ac:dyDescent="0.3">
      <c r="A927" t="s">
        <v>34</v>
      </c>
      <c r="B927" t="s">
        <v>238</v>
      </c>
      <c r="C927">
        <v>514</v>
      </c>
      <c r="D927" t="s">
        <v>287</v>
      </c>
      <c r="E927" t="s">
        <v>417</v>
      </c>
      <c r="F927" t="s">
        <v>132</v>
      </c>
      <c r="G927" t="s">
        <v>99</v>
      </c>
    </row>
    <row r="928" spans="1:7" x14ac:dyDescent="0.3">
      <c r="A928" t="s">
        <v>33</v>
      </c>
      <c r="B928" t="s">
        <v>236</v>
      </c>
      <c r="C928">
        <v>396</v>
      </c>
      <c r="D928" t="s">
        <v>731</v>
      </c>
      <c r="E928" t="s">
        <v>858</v>
      </c>
      <c r="F928" t="s">
        <v>99</v>
      </c>
      <c r="G928" t="s">
        <v>99</v>
      </c>
    </row>
    <row r="929" spans="1:7" x14ac:dyDescent="0.3">
      <c r="A929" t="s">
        <v>33</v>
      </c>
      <c r="B929" t="s">
        <v>238</v>
      </c>
      <c r="C929">
        <v>290</v>
      </c>
      <c r="D929" t="s">
        <v>218</v>
      </c>
      <c r="E929" t="s">
        <v>217</v>
      </c>
      <c r="F929" t="s">
        <v>99</v>
      </c>
      <c r="G929" t="s">
        <v>99</v>
      </c>
    </row>
    <row r="930" spans="1:7" x14ac:dyDescent="0.3">
      <c r="A930" t="s">
        <v>49</v>
      </c>
      <c r="B930" t="s">
        <v>236</v>
      </c>
      <c r="C930">
        <v>3138</v>
      </c>
      <c r="D930" t="s">
        <v>714</v>
      </c>
      <c r="E930" t="s">
        <v>854</v>
      </c>
      <c r="F930" t="s">
        <v>99</v>
      </c>
      <c r="G930" t="s">
        <v>99</v>
      </c>
    </row>
    <row r="931" spans="1:7" x14ac:dyDescent="0.3">
      <c r="A931" t="s">
        <v>49</v>
      </c>
      <c r="B931" t="s">
        <v>238</v>
      </c>
      <c r="C931">
        <v>2388</v>
      </c>
      <c r="D931" t="s">
        <v>291</v>
      </c>
      <c r="E931" t="s">
        <v>219</v>
      </c>
      <c r="F931" t="s">
        <v>198</v>
      </c>
      <c r="G931" t="s">
        <v>104</v>
      </c>
    </row>
    <row r="933" spans="1:7" x14ac:dyDescent="0.3">
      <c r="A933" t="s">
        <v>872</v>
      </c>
    </row>
    <row r="934" spans="1:7" x14ac:dyDescent="0.3">
      <c r="A934" t="s">
        <v>44</v>
      </c>
      <c r="B934" t="s">
        <v>209</v>
      </c>
      <c r="C934" t="s">
        <v>32</v>
      </c>
      <c r="D934" t="s">
        <v>66</v>
      </c>
      <c r="E934" t="s">
        <v>67</v>
      </c>
      <c r="F934" t="s">
        <v>352</v>
      </c>
      <c r="G934" t="s">
        <v>193</v>
      </c>
    </row>
    <row r="935" spans="1:7" x14ac:dyDescent="0.3">
      <c r="A935" t="s">
        <v>35</v>
      </c>
      <c r="B935" t="s">
        <v>210</v>
      </c>
      <c r="C935">
        <v>76</v>
      </c>
      <c r="D935" t="s">
        <v>76</v>
      </c>
      <c r="E935" t="s">
        <v>320</v>
      </c>
      <c r="F935" t="s">
        <v>99</v>
      </c>
      <c r="G935" t="s">
        <v>100</v>
      </c>
    </row>
    <row r="936" spans="1:7" x14ac:dyDescent="0.3">
      <c r="A936" t="s">
        <v>35</v>
      </c>
      <c r="B936" t="s">
        <v>212</v>
      </c>
      <c r="C936">
        <v>801</v>
      </c>
      <c r="D936" t="s">
        <v>142</v>
      </c>
      <c r="E936" t="s">
        <v>399</v>
      </c>
      <c r="F936" t="s">
        <v>99</v>
      </c>
      <c r="G936" t="s">
        <v>136</v>
      </c>
    </row>
    <row r="937" spans="1:7" x14ac:dyDescent="0.3">
      <c r="A937" t="s">
        <v>35</v>
      </c>
      <c r="B937" t="s">
        <v>216</v>
      </c>
      <c r="C937">
        <v>369</v>
      </c>
      <c r="D937" t="s">
        <v>701</v>
      </c>
      <c r="E937" t="s">
        <v>320</v>
      </c>
      <c r="F937" t="s">
        <v>99</v>
      </c>
      <c r="G937" t="s">
        <v>99</v>
      </c>
    </row>
    <row r="938" spans="1:7" x14ac:dyDescent="0.3">
      <c r="A938" t="s">
        <v>37</v>
      </c>
      <c r="B938" t="s">
        <v>210</v>
      </c>
      <c r="C938">
        <v>61</v>
      </c>
      <c r="D938" t="s">
        <v>294</v>
      </c>
      <c r="E938" t="s">
        <v>312</v>
      </c>
      <c r="F938" t="s">
        <v>99</v>
      </c>
      <c r="G938" t="s">
        <v>99</v>
      </c>
    </row>
    <row r="939" spans="1:7" x14ac:dyDescent="0.3">
      <c r="A939" t="s">
        <v>37</v>
      </c>
      <c r="B939" t="s">
        <v>212</v>
      </c>
      <c r="C939">
        <v>1517</v>
      </c>
      <c r="D939" t="s">
        <v>716</v>
      </c>
      <c r="E939" t="s">
        <v>873</v>
      </c>
      <c r="F939" t="s">
        <v>99</v>
      </c>
      <c r="G939" t="s">
        <v>99</v>
      </c>
    </row>
    <row r="940" spans="1:7" x14ac:dyDescent="0.3">
      <c r="A940" t="s">
        <v>37</v>
      </c>
      <c r="B940" t="s">
        <v>216</v>
      </c>
      <c r="C940">
        <v>82</v>
      </c>
      <c r="D940" t="s">
        <v>321</v>
      </c>
      <c r="E940" t="s">
        <v>430</v>
      </c>
      <c r="F940" t="s">
        <v>99</v>
      </c>
      <c r="G940" t="s">
        <v>99</v>
      </c>
    </row>
    <row r="941" spans="1:7" x14ac:dyDescent="0.3">
      <c r="A941" t="s">
        <v>36</v>
      </c>
      <c r="B941" t="s">
        <v>210</v>
      </c>
      <c r="C941">
        <v>109</v>
      </c>
      <c r="D941" t="s">
        <v>687</v>
      </c>
      <c r="E941" t="s">
        <v>469</v>
      </c>
      <c r="F941" t="s">
        <v>99</v>
      </c>
      <c r="G941" t="s">
        <v>99</v>
      </c>
    </row>
    <row r="942" spans="1:7" x14ac:dyDescent="0.3">
      <c r="A942" t="s">
        <v>36</v>
      </c>
      <c r="B942" t="s">
        <v>212</v>
      </c>
      <c r="C942">
        <v>819</v>
      </c>
      <c r="D942" t="s">
        <v>542</v>
      </c>
      <c r="E942" t="s">
        <v>543</v>
      </c>
      <c r="F942" t="s">
        <v>99</v>
      </c>
      <c r="G942" t="s">
        <v>99</v>
      </c>
    </row>
    <row r="943" spans="1:7" x14ac:dyDescent="0.3">
      <c r="A943" t="s">
        <v>36</v>
      </c>
      <c r="B943" t="s">
        <v>216</v>
      </c>
      <c r="C943">
        <v>193</v>
      </c>
      <c r="D943" t="s">
        <v>118</v>
      </c>
      <c r="E943" t="s">
        <v>779</v>
      </c>
      <c r="F943" t="s">
        <v>99</v>
      </c>
      <c r="G943" t="s">
        <v>99</v>
      </c>
    </row>
    <row r="944" spans="1:7" x14ac:dyDescent="0.3">
      <c r="A944" t="s">
        <v>34</v>
      </c>
      <c r="B944" t="s">
        <v>210</v>
      </c>
      <c r="C944">
        <v>149</v>
      </c>
      <c r="D944" t="s">
        <v>321</v>
      </c>
      <c r="E944" t="s">
        <v>430</v>
      </c>
      <c r="F944" t="s">
        <v>99</v>
      </c>
      <c r="G944" t="s">
        <v>99</v>
      </c>
    </row>
    <row r="945" spans="1:7" x14ac:dyDescent="0.3">
      <c r="A945" t="s">
        <v>34</v>
      </c>
      <c r="B945" t="s">
        <v>212</v>
      </c>
      <c r="C945">
        <v>528</v>
      </c>
      <c r="D945" t="s">
        <v>262</v>
      </c>
      <c r="E945" t="s">
        <v>366</v>
      </c>
      <c r="F945" t="s">
        <v>136</v>
      </c>
      <c r="G945" t="s">
        <v>99</v>
      </c>
    </row>
    <row r="946" spans="1:7" x14ac:dyDescent="0.3">
      <c r="A946" t="s">
        <v>34</v>
      </c>
      <c r="B946" t="s">
        <v>216</v>
      </c>
      <c r="C946">
        <v>136</v>
      </c>
      <c r="D946" t="s">
        <v>412</v>
      </c>
      <c r="E946" t="s">
        <v>391</v>
      </c>
      <c r="F946" t="s">
        <v>126</v>
      </c>
      <c r="G946" t="s">
        <v>99</v>
      </c>
    </row>
    <row r="947" spans="1:7" x14ac:dyDescent="0.3">
      <c r="A947" t="s">
        <v>33</v>
      </c>
      <c r="B947" t="s">
        <v>210</v>
      </c>
      <c r="C947">
        <v>34</v>
      </c>
      <c r="D947" t="s">
        <v>696</v>
      </c>
      <c r="E947" t="s">
        <v>874</v>
      </c>
      <c r="F947" t="s">
        <v>99</v>
      </c>
      <c r="G947" t="s">
        <v>99</v>
      </c>
    </row>
    <row r="948" spans="1:7" x14ac:dyDescent="0.3">
      <c r="A948" t="s">
        <v>33</v>
      </c>
      <c r="B948" t="s">
        <v>212</v>
      </c>
      <c r="C948">
        <v>614</v>
      </c>
      <c r="D948" t="s">
        <v>677</v>
      </c>
      <c r="E948" t="s">
        <v>875</v>
      </c>
      <c r="F948" t="s">
        <v>99</v>
      </c>
      <c r="G948" t="s">
        <v>99</v>
      </c>
    </row>
    <row r="949" spans="1:7" x14ac:dyDescent="0.3">
      <c r="A949" t="s">
        <v>33</v>
      </c>
      <c r="B949" t="s">
        <v>216</v>
      </c>
      <c r="C949">
        <v>38</v>
      </c>
      <c r="D949" t="s">
        <v>124</v>
      </c>
      <c r="E949" t="s">
        <v>758</v>
      </c>
      <c r="F949" t="s">
        <v>99</v>
      </c>
      <c r="G949" t="s">
        <v>99</v>
      </c>
    </row>
    <row r="950" spans="1:7" x14ac:dyDescent="0.3">
      <c r="A950" t="s">
        <v>49</v>
      </c>
      <c r="B950" t="s">
        <v>210</v>
      </c>
      <c r="C950">
        <v>429</v>
      </c>
      <c r="D950" t="s">
        <v>798</v>
      </c>
      <c r="E950" t="s">
        <v>450</v>
      </c>
      <c r="F950" t="s">
        <v>99</v>
      </c>
      <c r="G950" t="s">
        <v>198</v>
      </c>
    </row>
    <row r="951" spans="1:7" x14ac:dyDescent="0.3">
      <c r="A951" t="s">
        <v>49</v>
      </c>
      <c r="B951" t="s">
        <v>212</v>
      </c>
      <c r="C951">
        <v>4279</v>
      </c>
      <c r="D951" t="s">
        <v>315</v>
      </c>
      <c r="E951" t="s">
        <v>409</v>
      </c>
      <c r="F951" t="s">
        <v>104</v>
      </c>
      <c r="G951" t="s">
        <v>104</v>
      </c>
    </row>
    <row r="952" spans="1:7" x14ac:dyDescent="0.3">
      <c r="A952" t="s">
        <v>49</v>
      </c>
      <c r="B952" t="s">
        <v>216</v>
      </c>
      <c r="C952">
        <v>818</v>
      </c>
      <c r="D952" t="s">
        <v>315</v>
      </c>
      <c r="E952" t="s">
        <v>417</v>
      </c>
      <c r="F952" t="s">
        <v>207</v>
      </c>
      <c r="G952" t="s">
        <v>99</v>
      </c>
    </row>
    <row r="954" spans="1:7" x14ac:dyDescent="0.3">
      <c r="A954" t="s">
        <v>876</v>
      </c>
    </row>
    <row r="955" spans="1:7" x14ac:dyDescent="0.3">
      <c r="A955" t="s">
        <v>44</v>
      </c>
      <c r="B955" t="s">
        <v>388</v>
      </c>
      <c r="C955" t="s">
        <v>32</v>
      </c>
      <c r="D955" t="s">
        <v>66</v>
      </c>
      <c r="E955" t="s">
        <v>67</v>
      </c>
      <c r="F955" t="s">
        <v>352</v>
      </c>
      <c r="G955" t="s">
        <v>193</v>
      </c>
    </row>
    <row r="956" spans="1:7" x14ac:dyDescent="0.3">
      <c r="A956" t="s">
        <v>35</v>
      </c>
      <c r="B956" t="s">
        <v>389</v>
      </c>
      <c r="C956">
        <v>915</v>
      </c>
      <c r="D956" t="s">
        <v>416</v>
      </c>
      <c r="E956" t="s">
        <v>417</v>
      </c>
      <c r="F956" t="s">
        <v>99</v>
      </c>
      <c r="G956" t="s">
        <v>104</v>
      </c>
    </row>
    <row r="957" spans="1:7" x14ac:dyDescent="0.3">
      <c r="A957" t="s">
        <v>35</v>
      </c>
      <c r="B957" t="s">
        <v>390</v>
      </c>
      <c r="C957">
        <v>262</v>
      </c>
      <c r="D957" t="s">
        <v>355</v>
      </c>
      <c r="E957" t="s">
        <v>314</v>
      </c>
      <c r="F957" t="s">
        <v>99</v>
      </c>
      <c r="G957" t="s">
        <v>141</v>
      </c>
    </row>
    <row r="958" spans="1:7" x14ac:dyDescent="0.3">
      <c r="A958" t="s">
        <v>35</v>
      </c>
      <c r="B958" t="s">
        <v>365</v>
      </c>
      <c r="C958">
        <v>69</v>
      </c>
      <c r="D958" t="s">
        <v>700</v>
      </c>
      <c r="E958" t="s">
        <v>547</v>
      </c>
      <c r="F958" t="s">
        <v>99</v>
      </c>
      <c r="G958" t="s">
        <v>127</v>
      </c>
    </row>
    <row r="959" spans="1:7" x14ac:dyDescent="0.3">
      <c r="A959" t="s">
        <v>37</v>
      </c>
      <c r="B959" t="s">
        <v>389</v>
      </c>
      <c r="C959">
        <v>1115</v>
      </c>
      <c r="D959" t="s">
        <v>251</v>
      </c>
      <c r="E959" t="s">
        <v>250</v>
      </c>
      <c r="F959" t="s">
        <v>99</v>
      </c>
      <c r="G959" t="s">
        <v>99</v>
      </c>
    </row>
    <row r="960" spans="1:7" x14ac:dyDescent="0.3">
      <c r="A960" t="s">
        <v>37</v>
      </c>
      <c r="B960" t="s">
        <v>390</v>
      </c>
      <c r="C960">
        <v>413</v>
      </c>
      <c r="D960" t="s">
        <v>222</v>
      </c>
      <c r="E960" t="s">
        <v>221</v>
      </c>
      <c r="F960" t="s">
        <v>99</v>
      </c>
      <c r="G960" t="s">
        <v>99</v>
      </c>
    </row>
    <row r="961" spans="1:7" x14ac:dyDescent="0.3">
      <c r="A961" t="s">
        <v>37</v>
      </c>
      <c r="B961" t="s">
        <v>365</v>
      </c>
      <c r="C961">
        <v>132</v>
      </c>
      <c r="D961" t="s">
        <v>294</v>
      </c>
      <c r="E961" t="s">
        <v>312</v>
      </c>
      <c r="F961" t="s">
        <v>99</v>
      </c>
      <c r="G961" t="s">
        <v>99</v>
      </c>
    </row>
    <row r="962" spans="1:7" x14ac:dyDescent="0.3">
      <c r="A962" t="s">
        <v>36</v>
      </c>
      <c r="B962" t="s">
        <v>389</v>
      </c>
      <c r="C962">
        <v>833</v>
      </c>
      <c r="D962" t="s">
        <v>705</v>
      </c>
      <c r="E962" t="s">
        <v>230</v>
      </c>
      <c r="F962" t="s">
        <v>99</v>
      </c>
      <c r="G962" t="s">
        <v>99</v>
      </c>
    </row>
    <row r="963" spans="1:7" x14ac:dyDescent="0.3">
      <c r="A963" t="s">
        <v>36</v>
      </c>
      <c r="B963" t="s">
        <v>390</v>
      </c>
      <c r="C963">
        <v>221</v>
      </c>
      <c r="D963" t="s">
        <v>70</v>
      </c>
      <c r="E963" t="s">
        <v>247</v>
      </c>
      <c r="F963" t="s">
        <v>99</v>
      </c>
      <c r="G963" t="s">
        <v>198</v>
      </c>
    </row>
    <row r="964" spans="1:7" x14ac:dyDescent="0.3">
      <c r="A964" t="s">
        <v>36</v>
      </c>
      <c r="B964" t="s">
        <v>365</v>
      </c>
      <c r="C964">
        <v>67</v>
      </c>
      <c r="D964" t="s">
        <v>160</v>
      </c>
      <c r="E964" t="s">
        <v>161</v>
      </c>
      <c r="F964" t="s">
        <v>99</v>
      </c>
      <c r="G964" t="s">
        <v>99</v>
      </c>
    </row>
    <row r="965" spans="1:7" x14ac:dyDescent="0.3">
      <c r="A965" t="s">
        <v>34</v>
      </c>
      <c r="B965" t="s">
        <v>389</v>
      </c>
      <c r="C965">
        <v>611</v>
      </c>
      <c r="D965" t="s">
        <v>251</v>
      </c>
      <c r="E965" t="s">
        <v>232</v>
      </c>
      <c r="F965" t="s">
        <v>141</v>
      </c>
      <c r="G965" t="s">
        <v>99</v>
      </c>
    </row>
    <row r="966" spans="1:7" x14ac:dyDescent="0.3">
      <c r="A966" t="s">
        <v>34</v>
      </c>
      <c r="B966" t="s">
        <v>390</v>
      </c>
      <c r="C966">
        <v>165</v>
      </c>
      <c r="D966" t="s">
        <v>171</v>
      </c>
      <c r="E966" t="s">
        <v>877</v>
      </c>
      <c r="F966" t="s">
        <v>132</v>
      </c>
      <c r="G966" t="s">
        <v>99</v>
      </c>
    </row>
    <row r="967" spans="1:7" x14ac:dyDescent="0.3">
      <c r="A967" t="s">
        <v>34</v>
      </c>
      <c r="B967" t="s">
        <v>365</v>
      </c>
      <c r="C967">
        <v>37</v>
      </c>
      <c r="D967" t="s">
        <v>675</v>
      </c>
      <c r="E967" t="s">
        <v>391</v>
      </c>
      <c r="F967" t="s">
        <v>99</v>
      </c>
      <c r="G967" t="s">
        <v>99</v>
      </c>
    </row>
    <row r="968" spans="1:7" x14ac:dyDescent="0.3">
      <c r="A968" t="s">
        <v>33</v>
      </c>
      <c r="B968" t="s">
        <v>389</v>
      </c>
      <c r="C968">
        <v>421</v>
      </c>
      <c r="D968" t="s">
        <v>714</v>
      </c>
      <c r="E968" t="s">
        <v>854</v>
      </c>
      <c r="F968" t="s">
        <v>99</v>
      </c>
      <c r="G968" t="s">
        <v>99</v>
      </c>
    </row>
    <row r="969" spans="1:7" x14ac:dyDescent="0.3">
      <c r="A969" t="s">
        <v>33</v>
      </c>
      <c r="B969" t="s">
        <v>390</v>
      </c>
      <c r="C969">
        <v>210</v>
      </c>
      <c r="D969" t="s">
        <v>536</v>
      </c>
      <c r="E969" t="s">
        <v>537</v>
      </c>
      <c r="F969" t="s">
        <v>99</v>
      </c>
      <c r="G969" t="s">
        <v>99</v>
      </c>
    </row>
    <row r="970" spans="1:7" x14ac:dyDescent="0.3">
      <c r="A970" t="s">
        <v>33</v>
      </c>
      <c r="B970" t="s">
        <v>365</v>
      </c>
      <c r="C970">
        <v>55</v>
      </c>
      <c r="D970" t="s">
        <v>248</v>
      </c>
      <c r="E970" t="s">
        <v>247</v>
      </c>
      <c r="F970" t="s">
        <v>99</v>
      </c>
      <c r="G970" t="s">
        <v>99</v>
      </c>
    </row>
    <row r="971" spans="1:7" x14ac:dyDescent="0.3">
      <c r="A971" t="s">
        <v>49</v>
      </c>
      <c r="B971" t="s">
        <v>389</v>
      </c>
      <c r="C971">
        <v>3895</v>
      </c>
      <c r="D971" t="s">
        <v>408</v>
      </c>
      <c r="E971" t="s">
        <v>417</v>
      </c>
      <c r="F971" t="s">
        <v>104</v>
      </c>
      <c r="G971" t="s">
        <v>99</v>
      </c>
    </row>
    <row r="972" spans="1:7" x14ac:dyDescent="0.3">
      <c r="A972" t="s">
        <v>49</v>
      </c>
      <c r="B972" t="s">
        <v>390</v>
      </c>
      <c r="C972">
        <v>1271</v>
      </c>
      <c r="D972" t="s">
        <v>708</v>
      </c>
      <c r="E972" t="s">
        <v>217</v>
      </c>
      <c r="F972" t="s">
        <v>198</v>
      </c>
      <c r="G972" t="s">
        <v>104</v>
      </c>
    </row>
    <row r="973" spans="1:7" x14ac:dyDescent="0.3">
      <c r="A973" t="s">
        <v>49</v>
      </c>
      <c r="B973" t="s">
        <v>365</v>
      </c>
      <c r="C973">
        <v>360</v>
      </c>
      <c r="D973" t="s">
        <v>313</v>
      </c>
      <c r="E973" t="s">
        <v>877</v>
      </c>
      <c r="F973" t="s">
        <v>99</v>
      </c>
      <c r="G973" t="s">
        <v>207</v>
      </c>
    </row>
    <row r="975" spans="1:7" x14ac:dyDescent="0.3">
      <c r="A975" t="s">
        <v>878</v>
      </c>
    </row>
    <row r="976" spans="1:7" x14ac:dyDescent="0.3">
      <c r="A976" t="s">
        <v>44</v>
      </c>
      <c r="B976" t="s">
        <v>879</v>
      </c>
      <c r="C976" t="s">
        <v>32</v>
      </c>
      <c r="D976" t="s">
        <v>66</v>
      </c>
      <c r="E976" t="s">
        <v>67</v>
      </c>
      <c r="F976" t="s">
        <v>352</v>
      </c>
      <c r="G976" t="s">
        <v>193</v>
      </c>
    </row>
    <row r="977" spans="1:7" s="5" customFormat="1" x14ac:dyDescent="0.3">
      <c r="A977" s="5" t="s">
        <v>35</v>
      </c>
      <c r="B977" s="5" t="s">
        <v>880</v>
      </c>
      <c r="C977" s="5">
        <v>12</v>
      </c>
      <c r="D977" s="5" t="s">
        <v>622</v>
      </c>
      <c r="E977" s="5" t="s">
        <v>621</v>
      </c>
      <c r="F977" s="5" t="s">
        <v>99</v>
      </c>
      <c r="G977" s="5" t="s">
        <v>99</v>
      </c>
    </row>
    <row r="978" spans="1:7" x14ac:dyDescent="0.3">
      <c r="A978" t="s">
        <v>35</v>
      </c>
      <c r="B978" t="s">
        <v>881</v>
      </c>
      <c r="C978">
        <v>170</v>
      </c>
      <c r="D978" t="s">
        <v>125</v>
      </c>
      <c r="E978" t="s">
        <v>293</v>
      </c>
      <c r="F978" t="s">
        <v>99</v>
      </c>
      <c r="G978" t="s">
        <v>108</v>
      </c>
    </row>
    <row r="979" spans="1:7" x14ac:dyDescent="0.3">
      <c r="A979" t="s">
        <v>35</v>
      </c>
      <c r="B979" t="s">
        <v>882</v>
      </c>
      <c r="C979">
        <v>1064</v>
      </c>
      <c r="D979" t="s">
        <v>206</v>
      </c>
      <c r="E979" t="s">
        <v>854</v>
      </c>
      <c r="F979" t="s">
        <v>99</v>
      </c>
      <c r="G979" t="s">
        <v>198</v>
      </c>
    </row>
    <row r="980" spans="1:7" s="5" customFormat="1" x14ac:dyDescent="0.3">
      <c r="A980" s="5" t="s">
        <v>37</v>
      </c>
      <c r="B980" s="5" t="s">
        <v>880</v>
      </c>
      <c r="C980" s="5">
        <v>12</v>
      </c>
      <c r="D980" s="5" t="s">
        <v>731</v>
      </c>
      <c r="E980" s="5" t="s">
        <v>858</v>
      </c>
      <c r="F980" s="5" t="s">
        <v>99</v>
      </c>
      <c r="G980" s="5" t="s">
        <v>99</v>
      </c>
    </row>
    <row r="981" spans="1:7" x14ac:dyDescent="0.3">
      <c r="A981" t="s">
        <v>37</v>
      </c>
      <c r="B981" t="s">
        <v>881</v>
      </c>
      <c r="C981">
        <v>170</v>
      </c>
      <c r="D981" t="s">
        <v>694</v>
      </c>
      <c r="E981" t="s">
        <v>883</v>
      </c>
      <c r="F981" t="s">
        <v>99</v>
      </c>
      <c r="G981" t="s">
        <v>99</v>
      </c>
    </row>
    <row r="982" spans="1:7" x14ac:dyDescent="0.3">
      <c r="A982" t="s">
        <v>37</v>
      </c>
      <c r="B982" t="s">
        <v>882</v>
      </c>
      <c r="C982">
        <v>1478</v>
      </c>
      <c r="D982" t="s">
        <v>171</v>
      </c>
      <c r="E982" t="s">
        <v>172</v>
      </c>
      <c r="F982" t="s">
        <v>99</v>
      </c>
      <c r="G982" t="s">
        <v>99</v>
      </c>
    </row>
    <row r="983" spans="1:7" s="5" customFormat="1" x14ac:dyDescent="0.3">
      <c r="A983" s="5" t="s">
        <v>36</v>
      </c>
      <c r="B983" s="5" t="s">
        <v>880</v>
      </c>
      <c r="C983" s="5">
        <v>8</v>
      </c>
      <c r="D983" s="5" t="s">
        <v>638</v>
      </c>
      <c r="E983" s="5" t="s">
        <v>884</v>
      </c>
      <c r="F983" s="5" t="s">
        <v>99</v>
      </c>
      <c r="G983" s="5" t="s">
        <v>133</v>
      </c>
    </row>
    <row r="984" spans="1:7" x14ac:dyDescent="0.3">
      <c r="A984" t="s">
        <v>36</v>
      </c>
      <c r="B984" t="s">
        <v>881</v>
      </c>
      <c r="C984">
        <v>228</v>
      </c>
      <c r="D984" t="s">
        <v>726</v>
      </c>
      <c r="E984" t="s">
        <v>885</v>
      </c>
      <c r="F984" t="s">
        <v>99</v>
      </c>
      <c r="G984" t="s">
        <v>99</v>
      </c>
    </row>
    <row r="985" spans="1:7" x14ac:dyDescent="0.3">
      <c r="A985" t="s">
        <v>36</v>
      </c>
      <c r="B985" t="s">
        <v>882</v>
      </c>
      <c r="C985">
        <v>885</v>
      </c>
      <c r="D985" t="s">
        <v>76</v>
      </c>
      <c r="E985" t="s">
        <v>77</v>
      </c>
      <c r="F985" t="s">
        <v>99</v>
      </c>
      <c r="G985" t="s">
        <v>99</v>
      </c>
    </row>
    <row r="986" spans="1:7" s="5" customFormat="1" x14ac:dyDescent="0.3">
      <c r="A986" s="5" t="s">
        <v>34</v>
      </c>
      <c r="B986" s="5" t="s">
        <v>880</v>
      </c>
      <c r="C986" s="5">
        <v>2</v>
      </c>
      <c r="D986" s="5" t="s">
        <v>211</v>
      </c>
      <c r="E986" s="5" t="s">
        <v>99</v>
      </c>
      <c r="F986" s="5" t="s">
        <v>99</v>
      </c>
      <c r="G986" s="5" t="s">
        <v>99</v>
      </c>
    </row>
    <row r="987" spans="1:7" x14ac:dyDescent="0.3">
      <c r="A987" t="s">
        <v>34</v>
      </c>
      <c r="B987" t="s">
        <v>881</v>
      </c>
      <c r="C987">
        <v>172</v>
      </c>
      <c r="D987" t="s">
        <v>222</v>
      </c>
      <c r="E987" t="s">
        <v>217</v>
      </c>
      <c r="F987" t="s">
        <v>198</v>
      </c>
      <c r="G987" t="s">
        <v>99</v>
      </c>
    </row>
    <row r="988" spans="1:7" x14ac:dyDescent="0.3">
      <c r="A988" t="s">
        <v>34</v>
      </c>
      <c r="B988" t="s">
        <v>882</v>
      </c>
      <c r="C988">
        <v>639</v>
      </c>
      <c r="D988" t="s">
        <v>182</v>
      </c>
      <c r="E988" t="s">
        <v>399</v>
      </c>
      <c r="F988" t="s">
        <v>253</v>
      </c>
      <c r="G988" t="s">
        <v>99</v>
      </c>
    </row>
    <row r="989" spans="1:7" s="5" customFormat="1" x14ac:dyDescent="0.3">
      <c r="A989" s="5" t="s">
        <v>33</v>
      </c>
      <c r="B989" s="5" t="s">
        <v>880</v>
      </c>
      <c r="C989" s="5">
        <v>10</v>
      </c>
      <c r="D989" s="5" t="s">
        <v>886</v>
      </c>
      <c r="E989" s="5" t="s">
        <v>887</v>
      </c>
      <c r="F989" s="5" t="s">
        <v>99</v>
      </c>
      <c r="G989" s="5" t="s">
        <v>99</v>
      </c>
    </row>
    <row r="990" spans="1:7" x14ac:dyDescent="0.3">
      <c r="A990" t="s">
        <v>33</v>
      </c>
      <c r="B990" t="s">
        <v>881</v>
      </c>
      <c r="C990">
        <v>88</v>
      </c>
      <c r="D990" t="s">
        <v>672</v>
      </c>
      <c r="E990" t="s">
        <v>855</v>
      </c>
      <c r="F990" t="s">
        <v>99</v>
      </c>
      <c r="G990" t="s">
        <v>99</v>
      </c>
    </row>
    <row r="991" spans="1:7" x14ac:dyDescent="0.3">
      <c r="A991" t="s">
        <v>33</v>
      </c>
      <c r="B991" t="s">
        <v>882</v>
      </c>
      <c r="C991">
        <v>588</v>
      </c>
      <c r="D991" t="s">
        <v>206</v>
      </c>
      <c r="E991" t="s">
        <v>447</v>
      </c>
      <c r="F991" t="s">
        <v>99</v>
      </c>
      <c r="G991" t="s">
        <v>99</v>
      </c>
    </row>
    <row r="992" spans="1:7" x14ac:dyDescent="0.3">
      <c r="A992" t="s">
        <v>49</v>
      </c>
      <c r="B992" t="s">
        <v>880</v>
      </c>
      <c r="C992">
        <v>44</v>
      </c>
      <c r="D992" t="s">
        <v>824</v>
      </c>
      <c r="E992" t="s">
        <v>589</v>
      </c>
      <c r="F992" t="s">
        <v>99</v>
      </c>
      <c r="G992" t="s">
        <v>136</v>
      </c>
    </row>
    <row r="993" spans="1:7" x14ac:dyDescent="0.3">
      <c r="A993" t="s">
        <v>49</v>
      </c>
      <c r="B993" t="s">
        <v>881</v>
      </c>
      <c r="C993">
        <v>828</v>
      </c>
      <c r="D993" t="s">
        <v>688</v>
      </c>
      <c r="E993" t="s">
        <v>845</v>
      </c>
      <c r="F993" t="s">
        <v>104</v>
      </c>
      <c r="G993" t="s">
        <v>198</v>
      </c>
    </row>
    <row r="994" spans="1:7" x14ac:dyDescent="0.3">
      <c r="A994" t="s">
        <v>49</v>
      </c>
      <c r="B994" t="s">
        <v>882</v>
      </c>
      <c r="C994">
        <v>4654</v>
      </c>
      <c r="D994" t="s">
        <v>291</v>
      </c>
      <c r="E994" t="s">
        <v>409</v>
      </c>
      <c r="F994" t="s">
        <v>104</v>
      </c>
      <c r="G994" t="s">
        <v>99</v>
      </c>
    </row>
    <row r="996" spans="1:7" x14ac:dyDescent="0.3">
      <c r="A996" t="s">
        <v>888</v>
      </c>
    </row>
    <row r="997" spans="1:7" x14ac:dyDescent="0.3">
      <c r="A997" t="s">
        <v>44</v>
      </c>
      <c r="B997" t="s">
        <v>257</v>
      </c>
      <c r="C997" t="s">
        <v>32</v>
      </c>
      <c r="D997" t="s">
        <v>66</v>
      </c>
      <c r="E997" t="s">
        <v>67</v>
      </c>
      <c r="F997" t="s">
        <v>352</v>
      </c>
      <c r="G997" t="s">
        <v>193</v>
      </c>
    </row>
    <row r="998" spans="1:7" x14ac:dyDescent="0.3">
      <c r="A998" t="s">
        <v>35</v>
      </c>
      <c r="B998" t="s">
        <v>258</v>
      </c>
      <c r="C998">
        <v>1079</v>
      </c>
      <c r="D998" t="s">
        <v>677</v>
      </c>
      <c r="E998" t="s">
        <v>845</v>
      </c>
      <c r="F998" t="s">
        <v>99</v>
      </c>
      <c r="G998" t="s">
        <v>104</v>
      </c>
    </row>
    <row r="999" spans="1:7" x14ac:dyDescent="0.3">
      <c r="A999" t="s">
        <v>35</v>
      </c>
      <c r="B999" t="s">
        <v>260</v>
      </c>
      <c r="C999">
        <v>167</v>
      </c>
      <c r="D999" t="s">
        <v>363</v>
      </c>
      <c r="E999" t="s">
        <v>169</v>
      </c>
      <c r="F999" t="s">
        <v>99</v>
      </c>
      <c r="G999" t="s">
        <v>100</v>
      </c>
    </row>
    <row r="1000" spans="1:7" x14ac:dyDescent="0.3">
      <c r="A1000" t="s">
        <v>37</v>
      </c>
      <c r="B1000" t="s">
        <v>258</v>
      </c>
      <c r="C1000">
        <v>1660</v>
      </c>
      <c r="D1000" t="s">
        <v>165</v>
      </c>
      <c r="E1000" t="s">
        <v>166</v>
      </c>
      <c r="F1000" t="s">
        <v>99</v>
      </c>
      <c r="G1000" t="s">
        <v>99</v>
      </c>
    </row>
    <row r="1001" spans="1:7" x14ac:dyDescent="0.3">
      <c r="A1001" t="s">
        <v>36</v>
      </c>
      <c r="B1001" t="s">
        <v>258</v>
      </c>
      <c r="C1001">
        <v>985</v>
      </c>
      <c r="D1001" t="s">
        <v>264</v>
      </c>
      <c r="E1001" t="s">
        <v>263</v>
      </c>
      <c r="F1001" t="s">
        <v>99</v>
      </c>
      <c r="G1001" t="s">
        <v>99</v>
      </c>
    </row>
    <row r="1002" spans="1:7" x14ac:dyDescent="0.3">
      <c r="A1002" t="s">
        <v>36</v>
      </c>
      <c r="B1002" t="s">
        <v>260</v>
      </c>
      <c r="C1002">
        <v>136</v>
      </c>
      <c r="D1002" t="s">
        <v>179</v>
      </c>
      <c r="E1002" t="s">
        <v>180</v>
      </c>
      <c r="F1002" t="s">
        <v>99</v>
      </c>
      <c r="G1002" t="s">
        <v>99</v>
      </c>
    </row>
    <row r="1003" spans="1:7" x14ac:dyDescent="0.3">
      <c r="A1003" t="s">
        <v>34</v>
      </c>
      <c r="B1003" t="s">
        <v>258</v>
      </c>
      <c r="C1003">
        <v>365</v>
      </c>
      <c r="D1003" t="s">
        <v>408</v>
      </c>
      <c r="E1003" t="s">
        <v>409</v>
      </c>
      <c r="F1003" t="s">
        <v>99</v>
      </c>
      <c r="G1003" t="s">
        <v>99</v>
      </c>
    </row>
    <row r="1004" spans="1:7" x14ac:dyDescent="0.3">
      <c r="A1004" t="s">
        <v>34</v>
      </c>
      <c r="B1004" t="s">
        <v>260</v>
      </c>
      <c r="C1004">
        <v>448</v>
      </c>
      <c r="D1004" t="s">
        <v>804</v>
      </c>
      <c r="E1004" t="s">
        <v>889</v>
      </c>
      <c r="F1004" t="s">
        <v>115</v>
      </c>
      <c r="G1004" t="s">
        <v>99</v>
      </c>
    </row>
    <row r="1005" spans="1:7" x14ac:dyDescent="0.3">
      <c r="A1005" t="s">
        <v>33</v>
      </c>
      <c r="B1005" t="s">
        <v>258</v>
      </c>
      <c r="C1005">
        <v>686</v>
      </c>
      <c r="D1005" t="s">
        <v>721</v>
      </c>
      <c r="E1005" t="s">
        <v>845</v>
      </c>
      <c r="F1005" t="s">
        <v>99</v>
      </c>
      <c r="G1005" t="s">
        <v>99</v>
      </c>
    </row>
    <row r="1006" spans="1:7" x14ac:dyDescent="0.3">
      <c r="A1006" t="s">
        <v>49</v>
      </c>
      <c r="B1006" t="s">
        <v>258</v>
      </c>
      <c r="C1006">
        <v>4775</v>
      </c>
      <c r="D1006" t="s">
        <v>294</v>
      </c>
      <c r="E1006" t="s">
        <v>312</v>
      </c>
      <c r="F1006" t="s">
        <v>99</v>
      </c>
      <c r="G1006" t="s">
        <v>99</v>
      </c>
    </row>
    <row r="1007" spans="1:7" x14ac:dyDescent="0.3">
      <c r="A1007" t="s">
        <v>49</v>
      </c>
      <c r="B1007" t="s">
        <v>260</v>
      </c>
      <c r="C1007">
        <v>751</v>
      </c>
      <c r="D1007" t="s">
        <v>133</v>
      </c>
      <c r="E1007" t="s">
        <v>392</v>
      </c>
      <c r="F1007" t="s">
        <v>141</v>
      </c>
      <c r="G1007" t="s">
        <v>198</v>
      </c>
    </row>
    <row r="1009" spans="1:8" x14ac:dyDescent="0.3">
      <c r="A1009" t="s">
        <v>890</v>
      </c>
    </row>
    <row r="1010" spans="1:8" x14ac:dyDescent="0.3">
      <c r="A1010" t="s">
        <v>44</v>
      </c>
      <c r="B1010" t="s">
        <v>32</v>
      </c>
      <c r="C1010" t="s">
        <v>891</v>
      </c>
      <c r="D1010" t="s">
        <v>83</v>
      </c>
      <c r="E1010" t="s">
        <v>892</v>
      </c>
      <c r="F1010" t="s">
        <v>893</v>
      </c>
      <c r="G1010" t="s">
        <v>193</v>
      </c>
    </row>
    <row r="1011" spans="1:8" x14ac:dyDescent="0.3">
      <c r="A1011" t="s">
        <v>35</v>
      </c>
      <c r="B1011">
        <v>1088</v>
      </c>
      <c r="C1011" t="s">
        <v>615</v>
      </c>
      <c r="D1011" t="s">
        <v>207</v>
      </c>
      <c r="E1011" t="s">
        <v>723</v>
      </c>
      <c r="F1011" t="s">
        <v>894</v>
      </c>
      <c r="G1011" t="s">
        <v>99</v>
      </c>
    </row>
    <row r="1012" spans="1:8" x14ac:dyDescent="0.3">
      <c r="A1012" t="s">
        <v>37</v>
      </c>
      <c r="B1012">
        <v>1473</v>
      </c>
      <c r="C1012" t="s">
        <v>823</v>
      </c>
      <c r="D1012" t="s">
        <v>99</v>
      </c>
      <c r="E1012" t="s">
        <v>895</v>
      </c>
      <c r="F1012" t="s">
        <v>434</v>
      </c>
      <c r="G1012" t="s">
        <v>99</v>
      </c>
    </row>
    <row r="1013" spans="1:8" x14ac:dyDescent="0.3">
      <c r="A1013" t="s">
        <v>36</v>
      </c>
      <c r="B1013">
        <v>984</v>
      </c>
      <c r="C1013" t="s">
        <v>699</v>
      </c>
      <c r="D1013" t="s">
        <v>104</v>
      </c>
      <c r="E1013" t="s">
        <v>222</v>
      </c>
      <c r="F1013" t="s">
        <v>583</v>
      </c>
      <c r="G1013" t="s">
        <v>99</v>
      </c>
    </row>
    <row r="1014" spans="1:8" x14ac:dyDescent="0.3">
      <c r="A1014" t="s">
        <v>34</v>
      </c>
      <c r="B1014">
        <v>721</v>
      </c>
      <c r="C1014" t="s">
        <v>461</v>
      </c>
      <c r="D1014" t="s">
        <v>198</v>
      </c>
      <c r="E1014" t="s">
        <v>117</v>
      </c>
      <c r="F1014" t="s">
        <v>448</v>
      </c>
      <c r="G1014" t="s">
        <v>207</v>
      </c>
    </row>
    <row r="1015" spans="1:8" x14ac:dyDescent="0.3">
      <c r="A1015" t="s">
        <v>33</v>
      </c>
      <c r="B1015">
        <v>598</v>
      </c>
      <c r="C1015" t="s">
        <v>896</v>
      </c>
      <c r="D1015" t="s">
        <v>104</v>
      </c>
      <c r="E1015" t="s">
        <v>540</v>
      </c>
      <c r="F1015" t="s">
        <v>368</v>
      </c>
      <c r="G1015" t="s">
        <v>99</v>
      </c>
    </row>
    <row r="1016" spans="1:8" x14ac:dyDescent="0.3">
      <c r="A1016" t="s">
        <v>49</v>
      </c>
      <c r="B1016">
        <v>4864</v>
      </c>
      <c r="C1016" t="s">
        <v>459</v>
      </c>
      <c r="D1016" t="s">
        <v>104</v>
      </c>
      <c r="E1016" t="s">
        <v>342</v>
      </c>
      <c r="F1016" t="s">
        <v>897</v>
      </c>
      <c r="G1016" t="s">
        <v>104</v>
      </c>
    </row>
    <row r="1018" spans="1:8" x14ac:dyDescent="0.3">
      <c r="A1018" t="s">
        <v>898</v>
      </c>
    </row>
    <row r="1019" spans="1:8" x14ac:dyDescent="0.3">
      <c r="A1019" t="s">
        <v>44</v>
      </c>
      <c r="B1019" t="s">
        <v>847</v>
      </c>
      <c r="C1019" t="s">
        <v>32</v>
      </c>
      <c r="D1019" t="s">
        <v>891</v>
      </c>
      <c r="E1019" t="s">
        <v>892</v>
      </c>
      <c r="F1019" t="s">
        <v>893</v>
      </c>
      <c r="G1019" t="s">
        <v>83</v>
      </c>
      <c r="H1019" t="s">
        <v>193</v>
      </c>
    </row>
    <row r="1020" spans="1:8" s="5" customFormat="1" x14ac:dyDescent="0.3">
      <c r="A1020" s="5" t="s">
        <v>35</v>
      </c>
      <c r="B1020" s="5" t="s">
        <v>848</v>
      </c>
      <c r="C1020" s="5">
        <v>15</v>
      </c>
      <c r="D1020" s="5" t="s">
        <v>811</v>
      </c>
      <c r="E1020" s="5" t="s">
        <v>899</v>
      </c>
      <c r="F1020" s="5" t="s">
        <v>506</v>
      </c>
      <c r="G1020" s="5" t="s">
        <v>99</v>
      </c>
      <c r="H1020" s="5" t="s">
        <v>99</v>
      </c>
    </row>
    <row r="1021" spans="1:8" s="5" customFormat="1" x14ac:dyDescent="0.3">
      <c r="A1021" s="5" t="s">
        <v>35</v>
      </c>
      <c r="B1021" s="5" t="s">
        <v>849</v>
      </c>
      <c r="C1021" s="5">
        <v>1</v>
      </c>
      <c r="D1021" s="5" t="s">
        <v>99</v>
      </c>
      <c r="E1021" s="5" t="s">
        <v>211</v>
      </c>
      <c r="F1021" s="5" t="s">
        <v>99</v>
      </c>
      <c r="G1021" s="5" t="s">
        <v>99</v>
      </c>
      <c r="H1021" s="5" t="s">
        <v>99</v>
      </c>
    </row>
    <row r="1022" spans="1:8" s="5" customFormat="1" x14ac:dyDescent="0.3">
      <c r="A1022" s="5" t="s">
        <v>35</v>
      </c>
      <c r="B1022" s="5" t="s">
        <v>850</v>
      </c>
      <c r="C1022" s="5">
        <v>9</v>
      </c>
      <c r="D1022" s="5" t="s">
        <v>347</v>
      </c>
      <c r="E1022" s="5" t="s">
        <v>900</v>
      </c>
      <c r="F1022" s="5" t="s">
        <v>708</v>
      </c>
      <c r="G1022" s="5" t="s">
        <v>99</v>
      </c>
      <c r="H1022" s="5" t="s">
        <v>99</v>
      </c>
    </row>
    <row r="1023" spans="1:8" s="5" customFormat="1" x14ac:dyDescent="0.3">
      <c r="A1023" s="5" t="s">
        <v>35</v>
      </c>
      <c r="B1023" s="5" t="s">
        <v>852</v>
      </c>
      <c r="C1023" s="5">
        <v>7</v>
      </c>
      <c r="D1023" s="5" t="s">
        <v>901</v>
      </c>
      <c r="E1023" s="5" t="s">
        <v>686</v>
      </c>
      <c r="F1023" s="5" t="s">
        <v>99</v>
      </c>
      <c r="G1023" s="5" t="s">
        <v>99</v>
      </c>
      <c r="H1023" s="5" t="s">
        <v>99</v>
      </c>
    </row>
    <row r="1024" spans="1:8" s="5" customFormat="1" x14ac:dyDescent="0.3">
      <c r="A1024" s="5" t="s">
        <v>35</v>
      </c>
      <c r="B1024" s="5" t="s">
        <v>853</v>
      </c>
      <c r="C1024" s="5">
        <v>2</v>
      </c>
      <c r="D1024" s="5" t="s">
        <v>211</v>
      </c>
      <c r="E1024" s="5" t="s">
        <v>99</v>
      </c>
      <c r="F1024" s="5" t="s">
        <v>99</v>
      </c>
      <c r="G1024" s="5" t="s">
        <v>99</v>
      </c>
      <c r="H1024" s="5" t="s">
        <v>99</v>
      </c>
    </row>
    <row r="1025" spans="1:8" x14ac:dyDescent="0.3">
      <c r="A1025" t="s">
        <v>35</v>
      </c>
      <c r="B1025" t="s">
        <v>365</v>
      </c>
      <c r="C1025">
        <v>1054</v>
      </c>
      <c r="D1025" t="s">
        <v>602</v>
      </c>
      <c r="E1025" t="s">
        <v>58</v>
      </c>
      <c r="F1025" t="s">
        <v>894</v>
      </c>
      <c r="G1025" t="s">
        <v>207</v>
      </c>
      <c r="H1025" t="s">
        <v>99</v>
      </c>
    </row>
    <row r="1026" spans="1:8" s="5" customFormat="1" x14ac:dyDescent="0.3">
      <c r="A1026" s="5" t="s">
        <v>37</v>
      </c>
      <c r="B1026" s="5" t="s">
        <v>848</v>
      </c>
      <c r="C1026" s="5">
        <v>8</v>
      </c>
      <c r="D1026" s="5" t="s">
        <v>629</v>
      </c>
      <c r="E1026" s="5" t="s">
        <v>902</v>
      </c>
      <c r="F1026" s="5" t="s">
        <v>727</v>
      </c>
      <c r="G1026" s="5" t="s">
        <v>99</v>
      </c>
      <c r="H1026" s="5" t="s">
        <v>99</v>
      </c>
    </row>
    <row r="1027" spans="1:8" s="5" customFormat="1" x14ac:dyDescent="0.3">
      <c r="A1027" s="5" t="s">
        <v>37</v>
      </c>
      <c r="B1027" s="5" t="s">
        <v>850</v>
      </c>
      <c r="C1027" s="5">
        <v>7</v>
      </c>
      <c r="D1027" s="5" t="s">
        <v>694</v>
      </c>
      <c r="E1027" s="5" t="s">
        <v>883</v>
      </c>
      <c r="F1027" s="5" t="s">
        <v>99</v>
      </c>
      <c r="G1027" s="5" t="s">
        <v>99</v>
      </c>
      <c r="H1027" s="5" t="s">
        <v>99</v>
      </c>
    </row>
    <row r="1028" spans="1:8" s="5" customFormat="1" x14ac:dyDescent="0.3">
      <c r="A1028" s="5" t="s">
        <v>37</v>
      </c>
      <c r="B1028" s="5" t="s">
        <v>852</v>
      </c>
      <c r="C1028" s="5">
        <v>8</v>
      </c>
      <c r="D1028" s="5" t="s">
        <v>903</v>
      </c>
      <c r="E1028" s="5" t="s">
        <v>559</v>
      </c>
      <c r="F1028" s="5" t="s">
        <v>171</v>
      </c>
      <c r="G1028" s="5" t="s">
        <v>99</v>
      </c>
      <c r="H1028" s="5" t="s">
        <v>99</v>
      </c>
    </row>
    <row r="1029" spans="1:8" s="5" customFormat="1" x14ac:dyDescent="0.3">
      <c r="A1029" s="5" t="s">
        <v>37</v>
      </c>
      <c r="B1029" s="5" t="s">
        <v>853</v>
      </c>
      <c r="C1029" s="5">
        <v>7</v>
      </c>
      <c r="D1029" s="5" t="s">
        <v>904</v>
      </c>
      <c r="E1029" s="5" t="s">
        <v>905</v>
      </c>
      <c r="F1029" s="5" t="s">
        <v>99</v>
      </c>
      <c r="G1029" s="5" t="s">
        <v>99</v>
      </c>
      <c r="H1029" s="5" t="s">
        <v>99</v>
      </c>
    </row>
    <row r="1030" spans="1:8" x14ac:dyDescent="0.3">
      <c r="A1030" t="s">
        <v>37</v>
      </c>
      <c r="B1030" t="s">
        <v>365</v>
      </c>
      <c r="C1030">
        <v>1443</v>
      </c>
      <c r="D1030" t="s">
        <v>906</v>
      </c>
      <c r="E1030" t="s">
        <v>907</v>
      </c>
      <c r="F1030" t="s">
        <v>130</v>
      </c>
      <c r="G1030" t="s">
        <v>99</v>
      </c>
      <c r="H1030" t="s">
        <v>99</v>
      </c>
    </row>
    <row r="1031" spans="1:8" s="5" customFormat="1" x14ac:dyDescent="0.3">
      <c r="A1031" s="5" t="s">
        <v>36</v>
      </c>
      <c r="B1031" s="5" t="s">
        <v>848</v>
      </c>
      <c r="C1031" s="5">
        <v>10</v>
      </c>
      <c r="D1031" s="5" t="s">
        <v>739</v>
      </c>
      <c r="E1031" s="5" t="s">
        <v>99</v>
      </c>
      <c r="F1031" s="5" t="s">
        <v>908</v>
      </c>
      <c r="G1031" s="5" t="s">
        <v>99</v>
      </c>
      <c r="H1031" s="5" t="s">
        <v>99</v>
      </c>
    </row>
    <row r="1032" spans="1:8" s="5" customFormat="1" x14ac:dyDescent="0.3">
      <c r="A1032" s="5" t="s">
        <v>36</v>
      </c>
      <c r="B1032" s="5" t="s">
        <v>850</v>
      </c>
      <c r="C1032" s="5">
        <v>2</v>
      </c>
      <c r="D1032" s="5" t="s">
        <v>909</v>
      </c>
      <c r="E1032" s="5" t="s">
        <v>99</v>
      </c>
      <c r="F1032" s="5" t="s">
        <v>909</v>
      </c>
      <c r="G1032" s="5" t="s">
        <v>99</v>
      </c>
      <c r="H1032" s="5" t="s">
        <v>99</v>
      </c>
    </row>
    <row r="1033" spans="1:8" s="5" customFormat="1" x14ac:dyDescent="0.3">
      <c r="A1033" s="5" t="s">
        <v>36</v>
      </c>
      <c r="B1033" s="5" t="s">
        <v>852</v>
      </c>
      <c r="C1033" s="5">
        <v>6</v>
      </c>
      <c r="D1033" s="5" t="s">
        <v>328</v>
      </c>
      <c r="E1033" s="5" t="s">
        <v>731</v>
      </c>
      <c r="F1033" s="5" t="s">
        <v>475</v>
      </c>
      <c r="G1033" s="5" t="s">
        <v>99</v>
      </c>
      <c r="H1033" s="5" t="s">
        <v>99</v>
      </c>
    </row>
    <row r="1034" spans="1:8" s="5" customFormat="1" x14ac:dyDescent="0.3">
      <c r="A1034" s="5" t="s">
        <v>36</v>
      </c>
      <c r="B1034" s="5" t="s">
        <v>853</v>
      </c>
      <c r="C1034" s="5">
        <v>1</v>
      </c>
      <c r="D1034" s="5" t="s">
        <v>211</v>
      </c>
      <c r="E1034" s="5" t="s">
        <v>99</v>
      </c>
      <c r="F1034" s="5" t="s">
        <v>99</v>
      </c>
      <c r="G1034" s="5" t="s">
        <v>99</v>
      </c>
      <c r="H1034" s="5" t="s">
        <v>99</v>
      </c>
    </row>
    <row r="1035" spans="1:8" x14ac:dyDescent="0.3">
      <c r="A1035" t="s">
        <v>36</v>
      </c>
      <c r="B1035" t="s">
        <v>365</v>
      </c>
      <c r="C1035">
        <v>965</v>
      </c>
      <c r="D1035" t="s">
        <v>153</v>
      </c>
      <c r="E1035" t="s">
        <v>688</v>
      </c>
      <c r="F1035" t="s">
        <v>910</v>
      </c>
      <c r="G1035" t="s">
        <v>104</v>
      </c>
      <c r="H1035" t="s">
        <v>99</v>
      </c>
    </row>
    <row r="1036" spans="1:8" s="5" customFormat="1" x14ac:dyDescent="0.3">
      <c r="A1036" s="5" t="s">
        <v>34</v>
      </c>
      <c r="B1036" s="5" t="s">
        <v>848</v>
      </c>
      <c r="C1036" s="5">
        <v>4</v>
      </c>
      <c r="D1036" s="5" t="s">
        <v>99</v>
      </c>
      <c r="E1036" s="5" t="s">
        <v>99</v>
      </c>
      <c r="F1036" s="5" t="s">
        <v>211</v>
      </c>
      <c r="G1036" s="5" t="s">
        <v>99</v>
      </c>
      <c r="H1036" s="5" t="s">
        <v>99</v>
      </c>
    </row>
    <row r="1037" spans="1:8" s="5" customFormat="1" x14ac:dyDescent="0.3">
      <c r="A1037" s="5" t="s">
        <v>34</v>
      </c>
      <c r="B1037" s="5" t="s">
        <v>850</v>
      </c>
      <c r="C1037" s="5">
        <v>8</v>
      </c>
      <c r="D1037" s="5" t="s">
        <v>99</v>
      </c>
      <c r="E1037" s="5" t="s">
        <v>911</v>
      </c>
      <c r="F1037" s="5" t="s">
        <v>912</v>
      </c>
      <c r="G1037" s="5" t="s">
        <v>99</v>
      </c>
      <c r="H1037" s="5" t="s">
        <v>99</v>
      </c>
    </row>
    <row r="1038" spans="1:8" s="5" customFormat="1" x14ac:dyDescent="0.3">
      <c r="A1038" s="5" t="s">
        <v>34</v>
      </c>
      <c r="B1038" s="5" t="s">
        <v>852</v>
      </c>
      <c r="C1038" s="5">
        <v>3</v>
      </c>
      <c r="D1038" s="5" t="s">
        <v>99</v>
      </c>
      <c r="E1038" s="5" t="s">
        <v>99</v>
      </c>
      <c r="F1038" s="5" t="s">
        <v>211</v>
      </c>
      <c r="G1038" s="5" t="s">
        <v>99</v>
      </c>
      <c r="H1038" s="5" t="s">
        <v>99</v>
      </c>
    </row>
    <row r="1039" spans="1:8" s="5" customFormat="1" x14ac:dyDescent="0.3">
      <c r="A1039" s="5" t="s">
        <v>34</v>
      </c>
      <c r="B1039" s="5" t="s">
        <v>853</v>
      </c>
      <c r="C1039" s="5">
        <v>3</v>
      </c>
      <c r="D1039" s="5" t="s">
        <v>99</v>
      </c>
      <c r="E1039" s="5" t="s">
        <v>99</v>
      </c>
      <c r="F1039" s="5" t="s">
        <v>211</v>
      </c>
      <c r="G1039" s="5" t="s">
        <v>99</v>
      </c>
      <c r="H1039" s="5" t="s">
        <v>99</v>
      </c>
    </row>
    <row r="1040" spans="1:8" x14ac:dyDescent="0.3">
      <c r="A1040" t="s">
        <v>34</v>
      </c>
      <c r="B1040" t="s">
        <v>365</v>
      </c>
      <c r="C1040">
        <v>703</v>
      </c>
      <c r="D1040" t="s">
        <v>182</v>
      </c>
      <c r="E1040" t="s">
        <v>111</v>
      </c>
      <c r="F1040" t="s">
        <v>180</v>
      </c>
      <c r="G1040" t="s">
        <v>198</v>
      </c>
      <c r="H1040" t="s">
        <v>136</v>
      </c>
    </row>
    <row r="1041" spans="1:8" s="5" customFormat="1" x14ac:dyDescent="0.3">
      <c r="A1041" s="5" t="s">
        <v>33</v>
      </c>
      <c r="B1041" s="5" t="s">
        <v>848</v>
      </c>
      <c r="C1041" s="5">
        <v>5</v>
      </c>
      <c r="D1041" s="5" t="s">
        <v>913</v>
      </c>
      <c r="E1041" s="5" t="s">
        <v>914</v>
      </c>
      <c r="F1041" s="5" t="s">
        <v>690</v>
      </c>
      <c r="G1041" s="5" t="s">
        <v>99</v>
      </c>
      <c r="H1041" s="5" t="s">
        <v>99</v>
      </c>
    </row>
    <row r="1042" spans="1:8" s="5" customFormat="1" x14ac:dyDescent="0.3">
      <c r="A1042" s="5" t="s">
        <v>33</v>
      </c>
      <c r="B1042" s="5" t="s">
        <v>850</v>
      </c>
      <c r="C1042" s="5">
        <v>3</v>
      </c>
      <c r="D1042" s="5" t="s">
        <v>99</v>
      </c>
      <c r="E1042" s="5" t="s">
        <v>428</v>
      </c>
      <c r="F1042" s="5" t="s">
        <v>429</v>
      </c>
      <c r="G1042" s="5" t="s">
        <v>99</v>
      </c>
      <c r="H1042" s="5" t="s">
        <v>99</v>
      </c>
    </row>
    <row r="1043" spans="1:8" s="5" customFormat="1" x14ac:dyDescent="0.3">
      <c r="A1043" s="5" t="s">
        <v>33</v>
      </c>
      <c r="B1043" s="5" t="s">
        <v>852</v>
      </c>
      <c r="C1043" s="5">
        <v>4</v>
      </c>
      <c r="D1043" s="5" t="s">
        <v>915</v>
      </c>
      <c r="E1043" s="5" t="s">
        <v>916</v>
      </c>
      <c r="F1043" s="5" t="s">
        <v>99</v>
      </c>
      <c r="G1043" s="5" t="s">
        <v>99</v>
      </c>
      <c r="H1043" s="5" t="s">
        <v>99</v>
      </c>
    </row>
    <row r="1044" spans="1:8" s="5" customFormat="1" x14ac:dyDescent="0.3">
      <c r="A1044" s="5" t="s">
        <v>33</v>
      </c>
      <c r="B1044" s="5" t="s">
        <v>853</v>
      </c>
      <c r="C1044" s="5">
        <v>2</v>
      </c>
      <c r="D1044" s="5" t="s">
        <v>99</v>
      </c>
      <c r="E1044" s="5" t="s">
        <v>211</v>
      </c>
      <c r="F1044" s="5" t="s">
        <v>99</v>
      </c>
      <c r="G1044" s="5" t="s">
        <v>99</v>
      </c>
      <c r="H1044" s="5" t="s">
        <v>99</v>
      </c>
    </row>
    <row r="1045" spans="1:8" x14ac:dyDescent="0.3">
      <c r="A1045" t="s">
        <v>33</v>
      </c>
      <c r="B1045" t="s">
        <v>365</v>
      </c>
      <c r="C1045">
        <v>584</v>
      </c>
      <c r="D1045" t="s">
        <v>917</v>
      </c>
      <c r="E1045" t="s">
        <v>488</v>
      </c>
      <c r="F1045" t="s">
        <v>368</v>
      </c>
      <c r="G1045" t="s">
        <v>104</v>
      </c>
      <c r="H1045" t="s">
        <v>99</v>
      </c>
    </row>
    <row r="1046" spans="1:8" x14ac:dyDescent="0.3">
      <c r="A1046" t="s">
        <v>49</v>
      </c>
      <c r="B1046" t="s">
        <v>848</v>
      </c>
      <c r="C1046">
        <v>42</v>
      </c>
      <c r="D1046" t="s">
        <v>508</v>
      </c>
      <c r="E1046" t="s">
        <v>828</v>
      </c>
      <c r="F1046" t="s">
        <v>918</v>
      </c>
      <c r="G1046" t="s">
        <v>99</v>
      </c>
      <c r="H1046" t="s">
        <v>99</v>
      </c>
    </row>
    <row r="1047" spans="1:8" s="5" customFormat="1" x14ac:dyDescent="0.3">
      <c r="A1047" s="5" t="s">
        <v>49</v>
      </c>
      <c r="B1047" s="5" t="s">
        <v>849</v>
      </c>
      <c r="C1047" s="5">
        <v>1</v>
      </c>
      <c r="D1047" s="5" t="s">
        <v>99</v>
      </c>
      <c r="E1047" s="5" t="s">
        <v>211</v>
      </c>
      <c r="F1047" s="5" t="s">
        <v>99</v>
      </c>
      <c r="G1047" s="5" t="s">
        <v>99</v>
      </c>
      <c r="H1047" s="5" t="s">
        <v>99</v>
      </c>
    </row>
    <row r="1048" spans="1:8" s="5" customFormat="1" x14ac:dyDescent="0.3">
      <c r="A1048" s="5" t="s">
        <v>49</v>
      </c>
      <c r="B1048" s="5" t="s">
        <v>850</v>
      </c>
      <c r="C1048" s="5">
        <v>29</v>
      </c>
      <c r="D1048" s="5" t="s">
        <v>267</v>
      </c>
      <c r="E1048" s="5" t="s">
        <v>598</v>
      </c>
      <c r="F1048" s="5" t="s">
        <v>829</v>
      </c>
      <c r="G1048" s="5" t="s">
        <v>99</v>
      </c>
      <c r="H1048" s="5" t="s">
        <v>99</v>
      </c>
    </row>
    <row r="1049" spans="1:8" s="5" customFormat="1" x14ac:dyDescent="0.3">
      <c r="A1049" s="5" t="s">
        <v>49</v>
      </c>
      <c r="B1049" s="5" t="s">
        <v>852</v>
      </c>
      <c r="C1049" s="5">
        <v>28</v>
      </c>
      <c r="D1049" s="5" t="s">
        <v>919</v>
      </c>
      <c r="E1049" s="5" t="s">
        <v>64</v>
      </c>
      <c r="F1049" s="5" t="s">
        <v>920</v>
      </c>
      <c r="G1049" s="5" t="s">
        <v>99</v>
      </c>
      <c r="H1049" s="5" t="s">
        <v>99</v>
      </c>
    </row>
    <row r="1050" spans="1:8" s="5" customFormat="1" x14ac:dyDescent="0.3">
      <c r="A1050" s="5" t="s">
        <v>49</v>
      </c>
      <c r="B1050" s="5" t="s">
        <v>853</v>
      </c>
      <c r="C1050" s="5">
        <v>15</v>
      </c>
      <c r="D1050" s="5" t="s">
        <v>156</v>
      </c>
      <c r="E1050" s="5" t="s">
        <v>723</v>
      </c>
      <c r="F1050" s="5" t="s">
        <v>584</v>
      </c>
      <c r="G1050" s="5" t="s">
        <v>99</v>
      </c>
      <c r="H1050" s="5" t="s">
        <v>99</v>
      </c>
    </row>
    <row r="1051" spans="1:8" x14ac:dyDescent="0.3">
      <c r="A1051" t="s">
        <v>49</v>
      </c>
      <c r="B1051" t="s">
        <v>365</v>
      </c>
      <c r="C1051">
        <v>4749</v>
      </c>
      <c r="D1051" t="s">
        <v>532</v>
      </c>
      <c r="E1051" t="s">
        <v>519</v>
      </c>
      <c r="F1051" t="s">
        <v>666</v>
      </c>
      <c r="G1051" t="s">
        <v>198</v>
      </c>
      <c r="H1051" t="s">
        <v>104</v>
      </c>
    </row>
    <row r="1053" spans="1:8" x14ac:dyDescent="0.3">
      <c r="A1053" t="s">
        <v>921</v>
      </c>
    </row>
    <row r="1054" spans="1:8" x14ac:dyDescent="0.3">
      <c r="A1054" t="s">
        <v>44</v>
      </c>
      <c r="B1054" t="s">
        <v>235</v>
      </c>
      <c r="C1054" t="s">
        <v>32</v>
      </c>
      <c r="D1054" t="s">
        <v>891</v>
      </c>
      <c r="E1054" t="s">
        <v>83</v>
      </c>
      <c r="F1054" t="s">
        <v>892</v>
      </c>
      <c r="G1054" t="s">
        <v>893</v>
      </c>
      <c r="H1054" t="s">
        <v>193</v>
      </c>
    </row>
    <row r="1055" spans="1:8" x14ac:dyDescent="0.3">
      <c r="A1055" t="s">
        <v>35</v>
      </c>
      <c r="B1055" t="s">
        <v>236</v>
      </c>
      <c r="C1055">
        <v>551</v>
      </c>
      <c r="D1055" t="s">
        <v>922</v>
      </c>
      <c r="E1055" t="s">
        <v>207</v>
      </c>
      <c r="F1055" t="s">
        <v>807</v>
      </c>
      <c r="G1055" t="s">
        <v>523</v>
      </c>
      <c r="H1055" t="s">
        <v>99</v>
      </c>
    </row>
    <row r="1056" spans="1:8" x14ac:dyDescent="0.3">
      <c r="A1056" t="s">
        <v>35</v>
      </c>
      <c r="B1056" t="s">
        <v>238</v>
      </c>
      <c r="C1056">
        <v>537</v>
      </c>
      <c r="D1056" t="s">
        <v>923</v>
      </c>
      <c r="E1056" t="s">
        <v>207</v>
      </c>
      <c r="F1056" t="s">
        <v>924</v>
      </c>
      <c r="G1056" t="s">
        <v>717</v>
      </c>
      <c r="H1056" t="s">
        <v>99</v>
      </c>
    </row>
    <row r="1057" spans="1:8" x14ac:dyDescent="0.3">
      <c r="A1057" t="s">
        <v>37</v>
      </c>
      <c r="B1057" t="s">
        <v>236</v>
      </c>
      <c r="C1057">
        <v>892</v>
      </c>
      <c r="D1057" t="s">
        <v>565</v>
      </c>
      <c r="E1057" t="s">
        <v>99</v>
      </c>
      <c r="F1057" t="s">
        <v>895</v>
      </c>
      <c r="G1057" t="s">
        <v>134</v>
      </c>
      <c r="H1057" t="s">
        <v>99</v>
      </c>
    </row>
    <row r="1058" spans="1:8" x14ac:dyDescent="0.3">
      <c r="A1058" t="s">
        <v>37</v>
      </c>
      <c r="B1058" t="s">
        <v>238</v>
      </c>
      <c r="C1058">
        <v>581</v>
      </c>
      <c r="D1058" t="s">
        <v>515</v>
      </c>
      <c r="E1058" t="s">
        <v>99</v>
      </c>
      <c r="F1058" t="s">
        <v>925</v>
      </c>
      <c r="G1058" t="s">
        <v>412</v>
      </c>
      <c r="H1058" t="s">
        <v>99</v>
      </c>
    </row>
    <row r="1059" spans="1:8" x14ac:dyDescent="0.3">
      <c r="A1059" t="s">
        <v>36</v>
      </c>
      <c r="B1059" t="s">
        <v>236</v>
      </c>
      <c r="C1059">
        <v>715</v>
      </c>
      <c r="D1059" t="s">
        <v>703</v>
      </c>
      <c r="E1059" t="s">
        <v>198</v>
      </c>
      <c r="F1059" t="s">
        <v>688</v>
      </c>
      <c r="G1059" t="s">
        <v>895</v>
      </c>
      <c r="H1059" t="s">
        <v>99</v>
      </c>
    </row>
    <row r="1060" spans="1:8" x14ac:dyDescent="0.3">
      <c r="A1060" t="s">
        <v>36</v>
      </c>
      <c r="B1060" t="s">
        <v>238</v>
      </c>
      <c r="C1060">
        <v>269</v>
      </c>
      <c r="D1060" t="s">
        <v>451</v>
      </c>
      <c r="E1060" t="s">
        <v>99</v>
      </c>
      <c r="F1060" t="s">
        <v>708</v>
      </c>
      <c r="G1060" t="s">
        <v>926</v>
      </c>
      <c r="H1060" t="s">
        <v>99</v>
      </c>
    </row>
    <row r="1061" spans="1:8" x14ac:dyDescent="0.3">
      <c r="A1061" t="s">
        <v>34</v>
      </c>
      <c r="B1061" t="s">
        <v>236</v>
      </c>
      <c r="C1061">
        <v>268</v>
      </c>
      <c r="D1061" t="s">
        <v>294</v>
      </c>
      <c r="E1061" t="s">
        <v>99</v>
      </c>
      <c r="F1061" t="s">
        <v>138</v>
      </c>
      <c r="G1061" t="s">
        <v>443</v>
      </c>
      <c r="H1061" t="s">
        <v>253</v>
      </c>
    </row>
    <row r="1062" spans="1:8" x14ac:dyDescent="0.3">
      <c r="A1062" t="s">
        <v>34</v>
      </c>
      <c r="B1062" t="s">
        <v>238</v>
      </c>
      <c r="C1062">
        <v>453</v>
      </c>
      <c r="D1062" t="s">
        <v>109</v>
      </c>
      <c r="E1062" t="s">
        <v>207</v>
      </c>
      <c r="F1062" t="s">
        <v>123</v>
      </c>
      <c r="G1062" t="s">
        <v>183</v>
      </c>
      <c r="H1062" t="s">
        <v>198</v>
      </c>
    </row>
    <row r="1063" spans="1:8" x14ac:dyDescent="0.3">
      <c r="A1063" t="s">
        <v>33</v>
      </c>
      <c r="B1063" t="s">
        <v>236</v>
      </c>
      <c r="C1063">
        <v>344</v>
      </c>
      <c r="D1063" t="s">
        <v>927</v>
      </c>
      <c r="E1063" t="s">
        <v>207</v>
      </c>
      <c r="F1063" t="s">
        <v>916</v>
      </c>
      <c r="G1063" t="s">
        <v>449</v>
      </c>
      <c r="H1063" t="s">
        <v>99</v>
      </c>
    </row>
    <row r="1064" spans="1:8" x14ac:dyDescent="0.3">
      <c r="A1064" t="s">
        <v>33</v>
      </c>
      <c r="B1064" t="s">
        <v>238</v>
      </c>
      <c r="C1064">
        <v>254</v>
      </c>
      <c r="D1064" t="s">
        <v>928</v>
      </c>
      <c r="E1064" t="s">
        <v>99</v>
      </c>
      <c r="F1064" t="s">
        <v>131</v>
      </c>
      <c r="G1064" t="s">
        <v>255</v>
      </c>
      <c r="H1064" t="s">
        <v>99</v>
      </c>
    </row>
    <row r="1065" spans="1:8" x14ac:dyDescent="0.3">
      <c r="A1065" t="s">
        <v>49</v>
      </c>
      <c r="B1065" t="s">
        <v>236</v>
      </c>
      <c r="C1065">
        <v>2770</v>
      </c>
      <c r="D1065" t="s">
        <v>620</v>
      </c>
      <c r="E1065" t="s">
        <v>104</v>
      </c>
      <c r="F1065" t="s">
        <v>349</v>
      </c>
      <c r="G1065" t="s">
        <v>137</v>
      </c>
      <c r="H1065" t="s">
        <v>104</v>
      </c>
    </row>
    <row r="1066" spans="1:8" x14ac:dyDescent="0.3">
      <c r="A1066" t="s">
        <v>49</v>
      </c>
      <c r="B1066" t="s">
        <v>238</v>
      </c>
      <c r="C1066">
        <v>2094</v>
      </c>
      <c r="D1066" t="s">
        <v>929</v>
      </c>
      <c r="E1066" t="s">
        <v>198</v>
      </c>
      <c r="F1066" t="s">
        <v>140</v>
      </c>
      <c r="G1066" t="s">
        <v>930</v>
      </c>
      <c r="H1066" t="s">
        <v>99</v>
      </c>
    </row>
    <row r="1068" spans="1:8" x14ac:dyDescent="0.3">
      <c r="A1068" t="s">
        <v>931</v>
      </c>
    </row>
    <row r="1069" spans="1:8" x14ac:dyDescent="0.3">
      <c r="A1069" t="s">
        <v>44</v>
      </c>
      <c r="B1069" t="s">
        <v>209</v>
      </c>
      <c r="C1069" t="s">
        <v>32</v>
      </c>
      <c r="D1069" t="s">
        <v>891</v>
      </c>
      <c r="E1069" t="s">
        <v>892</v>
      </c>
      <c r="F1069" t="s">
        <v>893</v>
      </c>
      <c r="G1069" t="s">
        <v>83</v>
      </c>
      <c r="H1069" t="s">
        <v>193</v>
      </c>
    </row>
    <row r="1070" spans="1:8" x14ac:dyDescent="0.3">
      <c r="A1070" t="s">
        <v>35</v>
      </c>
      <c r="B1070" t="s">
        <v>210</v>
      </c>
      <c r="C1070">
        <v>59</v>
      </c>
      <c r="D1070" t="s">
        <v>668</v>
      </c>
      <c r="E1070" t="s">
        <v>932</v>
      </c>
      <c r="F1070" t="s">
        <v>902</v>
      </c>
      <c r="G1070" t="s">
        <v>99</v>
      </c>
      <c r="H1070" t="s">
        <v>99</v>
      </c>
    </row>
    <row r="1071" spans="1:8" x14ac:dyDescent="0.3">
      <c r="A1071" t="s">
        <v>35</v>
      </c>
      <c r="B1071" t="s">
        <v>212</v>
      </c>
      <c r="C1071">
        <v>708</v>
      </c>
      <c r="D1071" t="s">
        <v>594</v>
      </c>
      <c r="E1071" t="s">
        <v>246</v>
      </c>
      <c r="F1071" t="s">
        <v>933</v>
      </c>
      <c r="G1071" t="s">
        <v>207</v>
      </c>
      <c r="H1071" t="s">
        <v>99</v>
      </c>
    </row>
    <row r="1072" spans="1:8" x14ac:dyDescent="0.3">
      <c r="A1072" t="s">
        <v>35</v>
      </c>
      <c r="B1072" t="s">
        <v>216</v>
      </c>
      <c r="C1072">
        <v>321</v>
      </c>
      <c r="D1072" t="s">
        <v>817</v>
      </c>
      <c r="E1072" t="s">
        <v>934</v>
      </c>
      <c r="F1072" t="s">
        <v>276</v>
      </c>
      <c r="G1072" t="s">
        <v>136</v>
      </c>
      <c r="H1072" t="s">
        <v>99</v>
      </c>
    </row>
    <row r="1073" spans="1:8" x14ac:dyDescent="0.3">
      <c r="A1073" t="s">
        <v>37</v>
      </c>
      <c r="B1073" t="s">
        <v>210</v>
      </c>
      <c r="C1073">
        <v>52</v>
      </c>
      <c r="D1073" t="s">
        <v>529</v>
      </c>
      <c r="E1073" t="s">
        <v>935</v>
      </c>
      <c r="F1073" t="s">
        <v>814</v>
      </c>
      <c r="G1073" t="s">
        <v>99</v>
      </c>
      <c r="H1073" t="s">
        <v>99</v>
      </c>
    </row>
    <row r="1074" spans="1:8" x14ac:dyDescent="0.3">
      <c r="A1074" t="s">
        <v>37</v>
      </c>
      <c r="B1074" t="s">
        <v>212</v>
      </c>
      <c r="C1074">
        <v>1350</v>
      </c>
      <c r="D1074" t="s">
        <v>936</v>
      </c>
      <c r="E1074" t="s">
        <v>611</v>
      </c>
      <c r="F1074" t="s">
        <v>118</v>
      </c>
      <c r="G1074" t="s">
        <v>99</v>
      </c>
      <c r="H1074" t="s">
        <v>99</v>
      </c>
    </row>
    <row r="1075" spans="1:8" x14ac:dyDescent="0.3">
      <c r="A1075" t="s">
        <v>37</v>
      </c>
      <c r="B1075" t="s">
        <v>216</v>
      </c>
      <c r="C1075">
        <v>71</v>
      </c>
      <c r="D1075" t="s">
        <v>937</v>
      </c>
      <c r="E1075" t="s">
        <v>938</v>
      </c>
      <c r="F1075" t="s">
        <v>129</v>
      </c>
      <c r="G1075" t="s">
        <v>99</v>
      </c>
      <c r="H1075" t="s">
        <v>99</v>
      </c>
    </row>
    <row r="1076" spans="1:8" x14ac:dyDescent="0.3">
      <c r="A1076" t="s">
        <v>36</v>
      </c>
      <c r="B1076" t="s">
        <v>210</v>
      </c>
      <c r="C1076">
        <v>95</v>
      </c>
      <c r="D1076" t="s">
        <v>676</v>
      </c>
      <c r="E1076" t="s">
        <v>70</v>
      </c>
      <c r="F1076" t="s">
        <v>939</v>
      </c>
      <c r="G1076" t="s">
        <v>99</v>
      </c>
      <c r="H1076" t="s">
        <v>99</v>
      </c>
    </row>
    <row r="1077" spans="1:8" x14ac:dyDescent="0.3">
      <c r="A1077" t="s">
        <v>36</v>
      </c>
      <c r="B1077" t="s">
        <v>212</v>
      </c>
      <c r="C1077">
        <v>713</v>
      </c>
      <c r="D1077" t="s">
        <v>940</v>
      </c>
      <c r="E1077" t="s">
        <v>355</v>
      </c>
      <c r="F1077" t="s">
        <v>941</v>
      </c>
      <c r="G1077" t="s">
        <v>104</v>
      </c>
      <c r="H1077" t="s">
        <v>99</v>
      </c>
    </row>
    <row r="1078" spans="1:8" x14ac:dyDescent="0.3">
      <c r="A1078" t="s">
        <v>36</v>
      </c>
      <c r="B1078" t="s">
        <v>216</v>
      </c>
      <c r="C1078">
        <v>176</v>
      </c>
      <c r="D1078" t="s">
        <v>717</v>
      </c>
      <c r="E1078" t="s">
        <v>721</v>
      </c>
      <c r="F1078" t="s">
        <v>863</v>
      </c>
      <c r="G1078" t="s">
        <v>104</v>
      </c>
      <c r="H1078" t="s">
        <v>104</v>
      </c>
    </row>
    <row r="1079" spans="1:8" x14ac:dyDescent="0.3">
      <c r="A1079" t="s">
        <v>34</v>
      </c>
      <c r="B1079" t="s">
        <v>210</v>
      </c>
      <c r="C1079">
        <v>128</v>
      </c>
      <c r="D1079" t="s">
        <v>154</v>
      </c>
      <c r="E1079" t="s">
        <v>99</v>
      </c>
      <c r="F1079" t="s">
        <v>759</v>
      </c>
      <c r="G1079" t="s">
        <v>99</v>
      </c>
      <c r="H1079" t="s">
        <v>99</v>
      </c>
    </row>
    <row r="1080" spans="1:8" x14ac:dyDescent="0.3">
      <c r="A1080" t="s">
        <v>34</v>
      </c>
      <c r="B1080" t="s">
        <v>212</v>
      </c>
      <c r="C1080">
        <v>468</v>
      </c>
      <c r="D1080" t="s">
        <v>145</v>
      </c>
      <c r="E1080" t="s">
        <v>130</v>
      </c>
      <c r="F1080" t="s">
        <v>164</v>
      </c>
      <c r="G1080" t="s">
        <v>207</v>
      </c>
      <c r="H1080" t="s">
        <v>136</v>
      </c>
    </row>
    <row r="1081" spans="1:8" x14ac:dyDescent="0.3">
      <c r="A1081" t="s">
        <v>34</v>
      </c>
      <c r="B1081" t="s">
        <v>216</v>
      </c>
      <c r="C1081">
        <v>125</v>
      </c>
      <c r="D1081" t="s">
        <v>309</v>
      </c>
      <c r="E1081" t="s">
        <v>141</v>
      </c>
      <c r="F1081" t="s">
        <v>500</v>
      </c>
      <c r="G1081" t="s">
        <v>99</v>
      </c>
      <c r="H1081" t="s">
        <v>253</v>
      </c>
    </row>
    <row r="1082" spans="1:8" s="5" customFormat="1" x14ac:dyDescent="0.3">
      <c r="A1082" s="5" t="s">
        <v>33</v>
      </c>
      <c r="B1082" s="5" t="s">
        <v>210</v>
      </c>
      <c r="C1082" s="5">
        <v>24</v>
      </c>
      <c r="D1082" s="5" t="s">
        <v>645</v>
      </c>
      <c r="E1082" s="5" t="s">
        <v>679</v>
      </c>
      <c r="F1082" s="5" t="s">
        <v>942</v>
      </c>
      <c r="G1082" s="5" t="s">
        <v>99</v>
      </c>
      <c r="H1082" s="5" t="s">
        <v>99</v>
      </c>
    </row>
    <row r="1083" spans="1:8" x14ac:dyDescent="0.3">
      <c r="A1083" t="s">
        <v>33</v>
      </c>
      <c r="B1083" t="s">
        <v>212</v>
      </c>
      <c r="C1083">
        <v>538</v>
      </c>
      <c r="D1083" t="s">
        <v>926</v>
      </c>
      <c r="E1083" t="s">
        <v>697</v>
      </c>
      <c r="F1083" t="s">
        <v>408</v>
      </c>
      <c r="G1083" t="s">
        <v>104</v>
      </c>
      <c r="H1083" t="s">
        <v>99</v>
      </c>
    </row>
    <row r="1084" spans="1:8" x14ac:dyDescent="0.3">
      <c r="A1084" t="s">
        <v>33</v>
      </c>
      <c r="B1084" t="s">
        <v>216</v>
      </c>
      <c r="C1084">
        <v>36</v>
      </c>
      <c r="D1084" t="s">
        <v>943</v>
      </c>
      <c r="E1084" t="s">
        <v>944</v>
      </c>
      <c r="F1084" t="s">
        <v>264</v>
      </c>
      <c r="G1084" t="s">
        <v>99</v>
      </c>
      <c r="H1084" t="s">
        <v>99</v>
      </c>
    </row>
    <row r="1085" spans="1:8" x14ac:dyDescent="0.3">
      <c r="A1085" t="s">
        <v>49</v>
      </c>
      <c r="B1085" t="s">
        <v>210</v>
      </c>
      <c r="C1085">
        <v>358</v>
      </c>
      <c r="D1085" t="s">
        <v>255</v>
      </c>
      <c r="E1085" t="s">
        <v>167</v>
      </c>
      <c r="F1085" t="s">
        <v>275</v>
      </c>
      <c r="G1085" t="s">
        <v>99</v>
      </c>
      <c r="H1085" t="s">
        <v>99</v>
      </c>
    </row>
    <row r="1086" spans="1:8" x14ac:dyDescent="0.3">
      <c r="A1086" t="s">
        <v>49</v>
      </c>
      <c r="B1086" t="s">
        <v>212</v>
      </c>
      <c r="C1086">
        <v>3777</v>
      </c>
      <c r="D1086" t="s">
        <v>624</v>
      </c>
      <c r="E1086" t="s">
        <v>224</v>
      </c>
      <c r="F1086" t="s">
        <v>711</v>
      </c>
      <c r="G1086" t="s">
        <v>104</v>
      </c>
      <c r="H1086" t="s">
        <v>104</v>
      </c>
    </row>
    <row r="1087" spans="1:8" x14ac:dyDescent="0.3">
      <c r="A1087" t="s">
        <v>49</v>
      </c>
      <c r="B1087" t="s">
        <v>216</v>
      </c>
      <c r="C1087">
        <v>729</v>
      </c>
      <c r="D1087" t="s">
        <v>940</v>
      </c>
      <c r="E1087" t="s">
        <v>106</v>
      </c>
      <c r="F1087" t="s">
        <v>827</v>
      </c>
      <c r="G1087" t="s">
        <v>198</v>
      </c>
      <c r="H1087" t="s">
        <v>104</v>
      </c>
    </row>
    <row r="1089" spans="1:8" x14ac:dyDescent="0.3">
      <c r="A1089" t="s">
        <v>945</v>
      </c>
    </row>
    <row r="1090" spans="1:8" x14ac:dyDescent="0.3">
      <c r="A1090" t="s">
        <v>44</v>
      </c>
      <c r="B1090" t="s">
        <v>388</v>
      </c>
      <c r="C1090" t="s">
        <v>32</v>
      </c>
      <c r="D1090" t="s">
        <v>891</v>
      </c>
      <c r="E1090" t="s">
        <v>892</v>
      </c>
      <c r="F1090" t="s">
        <v>893</v>
      </c>
      <c r="G1090" t="s">
        <v>83</v>
      </c>
      <c r="H1090" t="s">
        <v>193</v>
      </c>
    </row>
    <row r="1091" spans="1:8" x14ac:dyDescent="0.3">
      <c r="A1091" t="s">
        <v>35</v>
      </c>
      <c r="B1091" t="s">
        <v>389</v>
      </c>
      <c r="C1091">
        <v>807</v>
      </c>
      <c r="D1091" t="s">
        <v>946</v>
      </c>
      <c r="E1091" t="s">
        <v>809</v>
      </c>
      <c r="F1091" t="s">
        <v>457</v>
      </c>
      <c r="G1091" t="s">
        <v>198</v>
      </c>
      <c r="H1091" t="s">
        <v>99</v>
      </c>
    </row>
    <row r="1092" spans="1:8" x14ac:dyDescent="0.3">
      <c r="A1092" t="s">
        <v>35</v>
      </c>
      <c r="B1092" t="s">
        <v>390</v>
      </c>
      <c r="C1092">
        <v>226</v>
      </c>
      <c r="D1092" t="s">
        <v>947</v>
      </c>
      <c r="E1092" t="s">
        <v>542</v>
      </c>
      <c r="F1092" t="s">
        <v>940</v>
      </c>
      <c r="G1092" t="s">
        <v>100</v>
      </c>
      <c r="H1092" t="s">
        <v>99</v>
      </c>
    </row>
    <row r="1093" spans="1:8" x14ac:dyDescent="0.3">
      <c r="A1093" t="s">
        <v>35</v>
      </c>
      <c r="B1093" t="s">
        <v>365</v>
      </c>
      <c r="C1093">
        <v>55</v>
      </c>
      <c r="D1093" t="s">
        <v>594</v>
      </c>
      <c r="E1093" t="s">
        <v>619</v>
      </c>
      <c r="F1093" t="s">
        <v>110</v>
      </c>
      <c r="G1093" t="s">
        <v>99</v>
      </c>
      <c r="H1093" t="s">
        <v>99</v>
      </c>
    </row>
    <row r="1094" spans="1:8" x14ac:dyDescent="0.3">
      <c r="A1094" t="s">
        <v>37</v>
      </c>
      <c r="B1094" t="s">
        <v>389</v>
      </c>
      <c r="C1094">
        <v>1002</v>
      </c>
      <c r="D1094" t="s">
        <v>615</v>
      </c>
      <c r="E1094" t="s">
        <v>948</v>
      </c>
      <c r="F1094" t="s">
        <v>684</v>
      </c>
      <c r="G1094" t="s">
        <v>99</v>
      </c>
      <c r="H1094" t="s">
        <v>99</v>
      </c>
    </row>
    <row r="1095" spans="1:8" x14ac:dyDescent="0.3">
      <c r="A1095" t="s">
        <v>37</v>
      </c>
      <c r="B1095" t="s">
        <v>390</v>
      </c>
      <c r="C1095">
        <v>358</v>
      </c>
      <c r="D1095" t="s">
        <v>614</v>
      </c>
      <c r="E1095" t="s">
        <v>904</v>
      </c>
      <c r="F1095" t="s">
        <v>147</v>
      </c>
      <c r="G1095" t="s">
        <v>99</v>
      </c>
      <c r="H1095" t="s">
        <v>99</v>
      </c>
    </row>
    <row r="1096" spans="1:8" x14ac:dyDescent="0.3">
      <c r="A1096" t="s">
        <v>37</v>
      </c>
      <c r="B1096" t="s">
        <v>365</v>
      </c>
      <c r="C1096">
        <v>113</v>
      </c>
      <c r="D1096" t="s">
        <v>924</v>
      </c>
      <c r="E1096" t="s">
        <v>949</v>
      </c>
      <c r="F1096" t="s">
        <v>253</v>
      </c>
      <c r="G1096" t="s">
        <v>99</v>
      </c>
      <c r="H1096" t="s">
        <v>99</v>
      </c>
    </row>
    <row r="1097" spans="1:8" x14ac:dyDescent="0.3">
      <c r="A1097" t="s">
        <v>36</v>
      </c>
      <c r="B1097" t="s">
        <v>389</v>
      </c>
      <c r="C1097">
        <v>729</v>
      </c>
      <c r="D1097" t="s">
        <v>916</v>
      </c>
      <c r="E1097" t="s">
        <v>814</v>
      </c>
      <c r="F1097" t="s">
        <v>950</v>
      </c>
      <c r="G1097" t="s">
        <v>104</v>
      </c>
      <c r="H1097" t="s">
        <v>99</v>
      </c>
    </row>
    <row r="1098" spans="1:8" x14ac:dyDescent="0.3">
      <c r="A1098" t="s">
        <v>36</v>
      </c>
      <c r="B1098" t="s">
        <v>390</v>
      </c>
      <c r="C1098">
        <v>196</v>
      </c>
      <c r="D1098" t="s">
        <v>347</v>
      </c>
      <c r="E1098" t="s">
        <v>688</v>
      </c>
      <c r="F1098" t="s">
        <v>951</v>
      </c>
      <c r="G1098" t="s">
        <v>136</v>
      </c>
      <c r="H1098" t="s">
        <v>104</v>
      </c>
    </row>
    <row r="1099" spans="1:8" x14ac:dyDescent="0.3">
      <c r="A1099" t="s">
        <v>36</v>
      </c>
      <c r="B1099" t="s">
        <v>365</v>
      </c>
      <c r="C1099">
        <v>59</v>
      </c>
      <c r="D1099" t="s">
        <v>952</v>
      </c>
      <c r="E1099" t="s">
        <v>675</v>
      </c>
      <c r="F1099" t="s">
        <v>498</v>
      </c>
      <c r="G1099" t="s">
        <v>99</v>
      </c>
      <c r="H1099" t="s">
        <v>99</v>
      </c>
    </row>
    <row r="1100" spans="1:8" x14ac:dyDescent="0.3">
      <c r="A1100" t="s">
        <v>34</v>
      </c>
      <c r="B1100" t="s">
        <v>389</v>
      </c>
      <c r="C1100">
        <v>541</v>
      </c>
      <c r="D1100" t="s">
        <v>41</v>
      </c>
      <c r="E1100" t="s">
        <v>268</v>
      </c>
      <c r="F1100" t="s">
        <v>764</v>
      </c>
      <c r="G1100" t="s">
        <v>207</v>
      </c>
      <c r="H1100" t="s">
        <v>141</v>
      </c>
    </row>
    <row r="1101" spans="1:8" x14ac:dyDescent="0.3">
      <c r="A1101" t="s">
        <v>34</v>
      </c>
      <c r="B1101" t="s">
        <v>390</v>
      </c>
      <c r="C1101">
        <v>147</v>
      </c>
      <c r="D1101" t="s">
        <v>248</v>
      </c>
      <c r="E1101" t="s">
        <v>107</v>
      </c>
      <c r="F1101" t="s">
        <v>366</v>
      </c>
      <c r="G1101" t="s">
        <v>99</v>
      </c>
      <c r="H1101" t="s">
        <v>99</v>
      </c>
    </row>
    <row r="1102" spans="1:8" x14ac:dyDescent="0.3">
      <c r="A1102" t="s">
        <v>34</v>
      </c>
      <c r="B1102" t="s">
        <v>365</v>
      </c>
      <c r="C1102">
        <v>33</v>
      </c>
      <c r="D1102" t="s">
        <v>163</v>
      </c>
      <c r="E1102" t="s">
        <v>99</v>
      </c>
      <c r="F1102" t="s">
        <v>164</v>
      </c>
      <c r="G1102" t="s">
        <v>99</v>
      </c>
      <c r="H1102" t="s">
        <v>99</v>
      </c>
    </row>
    <row r="1103" spans="1:8" x14ac:dyDescent="0.3">
      <c r="A1103" t="s">
        <v>33</v>
      </c>
      <c r="B1103" t="s">
        <v>389</v>
      </c>
      <c r="C1103">
        <v>369</v>
      </c>
      <c r="D1103" t="s">
        <v>634</v>
      </c>
      <c r="E1103" t="s">
        <v>626</v>
      </c>
      <c r="F1103" t="s">
        <v>355</v>
      </c>
      <c r="G1103" t="s">
        <v>99</v>
      </c>
      <c r="H1103" t="s">
        <v>99</v>
      </c>
    </row>
    <row r="1104" spans="1:8" x14ac:dyDescent="0.3">
      <c r="A1104" t="s">
        <v>33</v>
      </c>
      <c r="B1104" t="s">
        <v>390</v>
      </c>
      <c r="C1104">
        <v>178</v>
      </c>
      <c r="D1104" t="s">
        <v>953</v>
      </c>
      <c r="E1104" t="s">
        <v>730</v>
      </c>
      <c r="F1104" t="s">
        <v>701</v>
      </c>
      <c r="G1104" t="s">
        <v>136</v>
      </c>
      <c r="H1104" t="s">
        <v>99</v>
      </c>
    </row>
    <row r="1105" spans="1:8" x14ac:dyDescent="0.3">
      <c r="A1105" t="s">
        <v>33</v>
      </c>
      <c r="B1105" t="s">
        <v>365</v>
      </c>
      <c r="C1105">
        <v>51</v>
      </c>
      <c r="D1105" t="s">
        <v>518</v>
      </c>
      <c r="E1105" t="s">
        <v>309</v>
      </c>
      <c r="F1105" t="s">
        <v>712</v>
      </c>
      <c r="G1105" t="s">
        <v>99</v>
      </c>
      <c r="H1105" t="s">
        <v>99</v>
      </c>
    </row>
    <row r="1106" spans="1:8" x14ac:dyDescent="0.3">
      <c r="A1106" t="s">
        <v>49</v>
      </c>
      <c r="B1106" t="s">
        <v>389</v>
      </c>
      <c r="C1106">
        <v>3448</v>
      </c>
      <c r="D1106" t="s">
        <v>952</v>
      </c>
      <c r="E1106" t="s">
        <v>795</v>
      </c>
      <c r="F1106" t="s">
        <v>695</v>
      </c>
      <c r="G1106" t="s">
        <v>104</v>
      </c>
      <c r="H1106" t="s">
        <v>104</v>
      </c>
    </row>
    <row r="1107" spans="1:8" x14ac:dyDescent="0.3">
      <c r="A1107" t="s">
        <v>49</v>
      </c>
      <c r="B1107" t="s">
        <v>390</v>
      </c>
      <c r="C1107">
        <v>1105</v>
      </c>
      <c r="D1107" t="s">
        <v>725</v>
      </c>
      <c r="E1107" t="s">
        <v>540</v>
      </c>
      <c r="F1107" t="s">
        <v>929</v>
      </c>
      <c r="G1107" t="s">
        <v>207</v>
      </c>
      <c r="H1107" t="s">
        <v>99</v>
      </c>
    </row>
    <row r="1108" spans="1:8" x14ac:dyDescent="0.3">
      <c r="A1108" t="s">
        <v>49</v>
      </c>
      <c r="B1108" t="s">
        <v>365</v>
      </c>
      <c r="C1108">
        <v>311</v>
      </c>
      <c r="D1108" t="s">
        <v>496</v>
      </c>
      <c r="E1108" t="s">
        <v>843</v>
      </c>
      <c r="F1108" t="s">
        <v>933</v>
      </c>
      <c r="G1108" t="s">
        <v>99</v>
      </c>
      <c r="H1108" t="s">
        <v>99</v>
      </c>
    </row>
    <row r="1110" spans="1:8" x14ac:dyDescent="0.3">
      <c r="A1110" t="s">
        <v>954</v>
      </c>
    </row>
    <row r="1111" spans="1:8" x14ac:dyDescent="0.3">
      <c r="A1111" t="s">
        <v>44</v>
      </c>
      <c r="B1111" t="s">
        <v>879</v>
      </c>
      <c r="C1111" t="s">
        <v>32</v>
      </c>
      <c r="D1111" t="s">
        <v>891</v>
      </c>
      <c r="E1111" t="s">
        <v>892</v>
      </c>
      <c r="F1111" t="s">
        <v>893</v>
      </c>
      <c r="G1111" t="s">
        <v>83</v>
      </c>
      <c r="H1111" t="s">
        <v>193</v>
      </c>
    </row>
    <row r="1112" spans="1:8" s="5" customFormat="1" x14ac:dyDescent="0.3">
      <c r="A1112" s="5" t="s">
        <v>35</v>
      </c>
      <c r="B1112" s="5" t="s">
        <v>880</v>
      </c>
      <c r="C1112" s="5">
        <v>6</v>
      </c>
      <c r="D1112" s="5" t="s">
        <v>594</v>
      </c>
      <c r="E1112" s="5" t="s">
        <v>99</v>
      </c>
      <c r="F1112" s="5" t="s">
        <v>955</v>
      </c>
      <c r="G1112" s="5" t="s">
        <v>99</v>
      </c>
      <c r="H1112" s="5" t="s">
        <v>99</v>
      </c>
    </row>
    <row r="1113" spans="1:8" x14ac:dyDescent="0.3">
      <c r="A1113" t="s">
        <v>35</v>
      </c>
      <c r="B1113" t="s">
        <v>881</v>
      </c>
      <c r="C1113">
        <v>149</v>
      </c>
      <c r="D1113" t="s">
        <v>629</v>
      </c>
      <c r="E1113" t="s">
        <v>718</v>
      </c>
      <c r="F1113" t="s">
        <v>956</v>
      </c>
      <c r="G1113" t="s">
        <v>99</v>
      </c>
      <c r="H1113" t="s">
        <v>99</v>
      </c>
    </row>
    <row r="1114" spans="1:8" x14ac:dyDescent="0.3">
      <c r="A1114" t="s">
        <v>35</v>
      </c>
      <c r="B1114" t="s">
        <v>882</v>
      </c>
      <c r="C1114">
        <v>933</v>
      </c>
      <c r="D1114" t="s">
        <v>957</v>
      </c>
      <c r="E1114" t="s">
        <v>699</v>
      </c>
      <c r="F1114" t="s">
        <v>749</v>
      </c>
      <c r="G1114" t="s">
        <v>207</v>
      </c>
      <c r="H1114" t="s">
        <v>99</v>
      </c>
    </row>
    <row r="1115" spans="1:8" s="5" customFormat="1" x14ac:dyDescent="0.3">
      <c r="A1115" s="5" t="s">
        <v>37</v>
      </c>
      <c r="B1115" s="5" t="s">
        <v>880</v>
      </c>
      <c r="C1115" s="5">
        <v>10</v>
      </c>
      <c r="D1115" s="5" t="s">
        <v>794</v>
      </c>
      <c r="E1115" s="5" t="s">
        <v>922</v>
      </c>
      <c r="F1115" s="5" t="s">
        <v>99</v>
      </c>
      <c r="G1115" s="5" t="s">
        <v>99</v>
      </c>
      <c r="H1115" s="5" t="s">
        <v>99</v>
      </c>
    </row>
    <row r="1116" spans="1:8" x14ac:dyDescent="0.3">
      <c r="A1116" t="s">
        <v>37</v>
      </c>
      <c r="B1116" t="s">
        <v>881</v>
      </c>
      <c r="C1116">
        <v>144</v>
      </c>
      <c r="D1116" t="s">
        <v>695</v>
      </c>
      <c r="E1116" t="s">
        <v>958</v>
      </c>
      <c r="F1116" t="s">
        <v>125</v>
      </c>
      <c r="G1116" t="s">
        <v>99</v>
      </c>
      <c r="H1116" t="s">
        <v>99</v>
      </c>
    </row>
    <row r="1117" spans="1:8" x14ac:dyDescent="0.3">
      <c r="A1117" t="s">
        <v>37</v>
      </c>
      <c r="B1117" t="s">
        <v>882</v>
      </c>
      <c r="C1117">
        <v>1319</v>
      </c>
      <c r="D1117" t="s">
        <v>826</v>
      </c>
      <c r="E1117" t="s">
        <v>909</v>
      </c>
      <c r="F1117" t="s">
        <v>118</v>
      </c>
      <c r="G1117" t="s">
        <v>99</v>
      </c>
      <c r="H1117" t="s">
        <v>99</v>
      </c>
    </row>
    <row r="1118" spans="1:8" s="5" customFormat="1" x14ac:dyDescent="0.3">
      <c r="A1118" s="5" t="s">
        <v>36</v>
      </c>
      <c r="B1118" s="5" t="s">
        <v>880</v>
      </c>
      <c r="C1118" s="5">
        <v>4</v>
      </c>
      <c r="D1118" s="5" t="s">
        <v>539</v>
      </c>
      <c r="E1118" s="5" t="s">
        <v>626</v>
      </c>
      <c r="F1118" s="5" t="s">
        <v>255</v>
      </c>
      <c r="G1118" s="5" t="s">
        <v>99</v>
      </c>
      <c r="H1118" s="5" t="s">
        <v>99</v>
      </c>
    </row>
    <row r="1119" spans="1:8" x14ac:dyDescent="0.3">
      <c r="A1119" t="s">
        <v>36</v>
      </c>
      <c r="B1119" t="s">
        <v>881</v>
      </c>
      <c r="C1119">
        <v>192</v>
      </c>
      <c r="D1119" t="s">
        <v>959</v>
      </c>
      <c r="E1119" t="s">
        <v>663</v>
      </c>
      <c r="F1119" t="s">
        <v>575</v>
      </c>
      <c r="G1119" t="s">
        <v>104</v>
      </c>
      <c r="H1119" t="s">
        <v>99</v>
      </c>
    </row>
    <row r="1120" spans="1:8" x14ac:dyDescent="0.3">
      <c r="A1120" t="s">
        <v>36</v>
      </c>
      <c r="B1120" t="s">
        <v>882</v>
      </c>
      <c r="C1120">
        <v>788</v>
      </c>
      <c r="D1120" t="s">
        <v>960</v>
      </c>
      <c r="E1120" t="s">
        <v>685</v>
      </c>
      <c r="F1120" t="s">
        <v>590</v>
      </c>
      <c r="G1120" t="s">
        <v>104</v>
      </c>
      <c r="H1120" t="s">
        <v>99</v>
      </c>
    </row>
    <row r="1121" spans="1:8" x14ac:dyDescent="0.3">
      <c r="A1121" t="s">
        <v>34</v>
      </c>
      <c r="B1121" t="s">
        <v>881</v>
      </c>
      <c r="C1121">
        <v>146</v>
      </c>
      <c r="D1121" t="s">
        <v>143</v>
      </c>
      <c r="E1121" t="s">
        <v>155</v>
      </c>
      <c r="F1121" t="s">
        <v>961</v>
      </c>
      <c r="G1121" t="s">
        <v>99</v>
      </c>
      <c r="H1121" t="s">
        <v>99</v>
      </c>
    </row>
    <row r="1122" spans="1:8" x14ac:dyDescent="0.3">
      <c r="A1122" t="s">
        <v>34</v>
      </c>
      <c r="B1122" t="s">
        <v>882</v>
      </c>
      <c r="C1122">
        <v>575</v>
      </c>
      <c r="D1122" t="s">
        <v>142</v>
      </c>
      <c r="E1122" t="s">
        <v>111</v>
      </c>
      <c r="F1122" t="s">
        <v>854</v>
      </c>
      <c r="G1122" t="s">
        <v>198</v>
      </c>
      <c r="H1122" t="s">
        <v>136</v>
      </c>
    </row>
    <row r="1123" spans="1:8" s="5" customFormat="1" x14ac:dyDescent="0.3">
      <c r="A1123" s="5" t="s">
        <v>33</v>
      </c>
      <c r="B1123" s="5" t="s">
        <v>880</v>
      </c>
      <c r="C1123" s="5">
        <v>5</v>
      </c>
      <c r="D1123" s="5" t="s">
        <v>772</v>
      </c>
      <c r="E1123" s="5" t="s">
        <v>751</v>
      </c>
      <c r="F1123" s="5" t="s">
        <v>99</v>
      </c>
      <c r="G1123" s="5" t="s">
        <v>99</v>
      </c>
      <c r="H1123" s="5" t="s">
        <v>99</v>
      </c>
    </row>
    <row r="1124" spans="1:8" x14ac:dyDescent="0.3">
      <c r="A1124" t="s">
        <v>33</v>
      </c>
      <c r="B1124" t="s">
        <v>881</v>
      </c>
      <c r="C1124">
        <v>75</v>
      </c>
      <c r="D1124" t="s">
        <v>808</v>
      </c>
      <c r="E1124" t="s">
        <v>600</v>
      </c>
      <c r="F1124" t="s">
        <v>739</v>
      </c>
      <c r="G1124" t="s">
        <v>99</v>
      </c>
      <c r="H1124" t="s">
        <v>99</v>
      </c>
    </row>
    <row r="1125" spans="1:8" x14ac:dyDescent="0.3">
      <c r="A1125" t="s">
        <v>33</v>
      </c>
      <c r="B1125" t="s">
        <v>882</v>
      </c>
      <c r="C1125">
        <v>518</v>
      </c>
      <c r="D1125" t="s">
        <v>962</v>
      </c>
      <c r="E1125" t="s">
        <v>696</v>
      </c>
      <c r="F1125" t="s">
        <v>721</v>
      </c>
      <c r="G1125" t="s">
        <v>198</v>
      </c>
      <c r="H1125" t="s">
        <v>99</v>
      </c>
    </row>
    <row r="1126" spans="1:8" s="5" customFormat="1" x14ac:dyDescent="0.3">
      <c r="A1126" s="5" t="s">
        <v>49</v>
      </c>
      <c r="B1126" s="5" t="s">
        <v>880</v>
      </c>
      <c r="C1126" s="5">
        <v>25</v>
      </c>
      <c r="D1126" s="5" t="s">
        <v>904</v>
      </c>
      <c r="E1126" s="5" t="s">
        <v>650</v>
      </c>
      <c r="F1126" s="5" t="s">
        <v>206</v>
      </c>
      <c r="G1126" s="5" t="s">
        <v>99</v>
      </c>
      <c r="H1126" s="5" t="s">
        <v>99</v>
      </c>
    </row>
    <row r="1127" spans="1:8" x14ac:dyDescent="0.3">
      <c r="A1127" t="s">
        <v>49</v>
      </c>
      <c r="B1127" t="s">
        <v>881</v>
      </c>
      <c r="C1127">
        <v>706</v>
      </c>
      <c r="D1127" t="s">
        <v>832</v>
      </c>
      <c r="E1127" t="s">
        <v>131</v>
      </c>
      <c r="F1127" t="s">
        <v>633</v>
      </c>
      <c r="G1127" t="s">
        <v>99</v>
      </c>
      <c r="H1127" t="s">
        <v>99</v>
      </c>
    </row>
    <row r="1128" spans="1:8" x14ac:dyDescent="0.3">
      <c r="A1128" t="s">
        <v>49</v>
      </c>
      <c r="B1128" t="s">
        <v>882</v>
      </c>
      <c r="C1128">
        <v>4133</v>
      </c>
      <c r="D1128" t="s">
        <v>963</v>
      </c>
      <c r="E1128" t="s">
        <v>429</v>
      </c>
      <c r="F1128" t="s">
        <v>481</v>
      </c>
      <c r="G1128" t="s">
        <v>198</v>
      </c>
      <c r="H1128" t="s">
        <v>104</v>
      </c>
    </row>
    <row r="1130" spans="1:8" x14ac:dyDescent="0.3">
      <c r="A1130" t="s">
        <v>964</v>
      </c>
    </row>
    <row r="1131" spans="1:8" x14ac:dyDescent="0.3">
      <c r="A1131" t="s">
        <v>44</v>
      </c>
      <c r="B1131" t="s">
        <v>257</v>
      </c>
      <c r="C1131" t="s">
        <v>32</v>
      </c>
      <c r="D1131" t="s">
        <v>891</v>
      </c>
      <c r="E1131" t="s">
        <v>83</v>
      </c>
      <c r="F1131" t="s">
        <v>892</v>
      </c>
      <c r="G1131" t="s">
        <v>893</v>
      </c>
      <c r="H1131" t="s">
        <v>193</v>
      </c>
    </row>
    <row r="1132" spans="1:8" x14ac:dyDescent="0.3">
      <c r="A1132" t="s">
        <v>35</v>
      </c>
      <c r="B1132" t="s">
        <v>258</v>
      </c>
      <c r="C1132">
        <v>936</v>
      </c>
      <c r="D1132" t="s">
        <v>808</v>
      </c>
      <c r="E1132" t="s">
        <v>198</v>
      </c>
      <c r="F1132" t="s">
        <v>924</v>
      </c>
      <c r="G1132" t="s">
        <v>303</v>
      </c>
      <c r="H1132" t="s">
        <v>99</v>
      </c>
    </row>
    <row r="1133" spans="1:8" x14ac:dyDescent="0.3">
      <c r="A1133" t="s">
        <v>35</v>
      </c>
      <c r="B1133" t="s">
        <v>260</v>
      </c>
      <c r="C1133">
        <v>152</v>
      </c>
      <c r="D1133" t="s">
        <v>965</v>
      </c>
      <c r="E1133" t="s">
        <v>115</v>
      </c>
      <c r="F1133" t="s">
        <v>78</v>
      </c>
      <c r="G1133" t="s">
        <v>937</v>
      </c>
      <c r="H1133" t="s">
        <v>99</v>
      </c>
    </row>
    <row r="1134" spans="1:8" x14ac:dyDescent="0.3">
      <c r="A1134" t="s">
        <v>37</v>
      </c>
      <c r="B1134" t="s">
        <v>258</v>
      </c>
      <c r="C1134">
        <v>1473</v>
      </c>
      <c r="D1134" t="s">
        <v>823</v>
      </c>
      <c r="E1134" t="s">
        <v>99</v>
      </c>
      <c r="F1134" t="s">
        <v>895</v>
      </c>
      <c r="G1134" t="s">
        <v>434</v>
      </c>
      <c r="H1134" t="s">
        <v>99</v>
      </c>
    </row>
    <row r="1135" spans="1:8" x14ac:dyDescent="0.3">
      <c r="A1135" t="s">
        <v>36</v>
      </c>
      <c r="B1135" t="s">
        <v>258</v>
      </c>
      <c r="C1135">
        <v>864</v>
      </c>
      <c r="D1135" t="s">
        <v>64</v>
      </c>
      <c r="E1135" t="s">
        <v>104</v>
      </c>
      <c r="F1135" t="s">
        <v>688</v>
      </c>
      <c r="G1135" t="s">
        <v>516</v>
      </c>
      <c r="H1135" t="s">
        <v>99</v>
      </c>
    </row>
    <row r="1136" spans="1:8" x14ac:dyDescent="0.3">
      <c r="A1136" t="s">
        <v>36</v>
      </c>
      <c r="B1136" t="s">
        <v>260</v>
      </c>
      <c r="C1136">
        <v>120</v>
      </c>
      <c r="D1136" t="s">
        <v>215</v>
      </c>
      <c r="E1136" t="s">
        <v>215</v>
      </c>
      <c r="F1136" t="s">
        <v>215</v>
      </c>
      <c r="G1136" t="s">
        <v>327</v>
      </c>
      <c r="H1136" t="s">
        <v>132</v>
      </c>
    </row>
    <row r="1137" spans="1:8" x14ac:dyDescent="0.3">
      <c r="A1137" t="s">
        <v>34</v>
      </c>
      <c r="B1137" t="s">
        <v>258</v>
      </c>
      <c r="C1137">
        <v>318</v>
      </c>
      <c r="D1137" t="s">
        <v>420</v>
      </c>
      <c r="E1137" t="s">
        <v>99</v>
      </c>
      <c r="F1137" t="s">
        <v>120</v>
      </c>
      <c r="G1137" t="s">
        <v>966</v>
      </c>
      <c r="H1137" t="s">
        <v>99</v>
      </c>
    </row>
    <row r="1138" spans="1:8" x14ac:dyDescent="0.3">
      <c r="A1138" t="s">
        <v>34</v>
      </c>
      <c r="B1138" t="s">
        <v>260</v>
      </c>
      <c r="C1138">
        <v>403</v>
      </c>
      <c r="D1138" t="s">
        <v>296</v>
      </c>
      <c r="E1138" t="s">
        <v>198</v>
      </c>
      <c r="F1138" t="s">
        <v>268</v>
      </c>
      <c r="G1138" t="s">
        <v>180</v>
      </c>
      <c r="H1138" t="s">
        <v>136</v>
      </c>
    </row>
    <row r="1139" spans="1:8" x14ac:dyDescent="0.3">
      <c r="A1139" t="s">
        <v>33</v>
      </c>
      <c r="B1139" t="s">
        <v>258</v>
      </c>
      <c r="C1139">
        <v>598</v>
      </c>
      <c r="D1139" t="s">
        <v>896</v>
      </c>
      <c r="E1139" t="s">
        <v>104</v>
      </c>
      <c r="F1139" t="s">
        <v>540</v>
      </c>
      <c r="G1139" t="s">
        <v>368</v>
      </c>
      <c r="H1139" t="s">
        <v>99</v>
      </c>
    </row>
    <row r="1140" spans="1:8" x14ac:dyDescent="0.3">
      <c r="A1140" t="s">
        <v>49</v>
      </c>
      <c r="B1140" t="s">
        <v>258</v>
      </c>
      <c r="C1140">
        <v>4189</v>
      </c>
      <c r="D1140" t="s">
        <v>609</v>
      </c>
      <c r="E1140" t="s">
        <v>104</v>
      </c>
      <c r="F1140" t="s">
        <v>967</v>
      </c>
      <c r="G1140" t="s">
        <v>720</v>
      </c>
      <c r="H1140" t="s">
        <v>99</v>
      </c>
    </row>
    <row r="1141" spans="1:8" x14ac:dyDescent="0.3">
      <c r="A1141" t="s">
        <v>49</v>
      </c>
      <c r="B1141" t="s">
        <v>260</v>
      </c>
      <c r="C1141">
        <v>675</v>
      </c>
      <c r="D1141" t="s">
        <v>406</v>
      </c>
      <c r="E1141" t="s">
        <v>207</v>
      </c>
      <c r="F1141" t="s">
        <v>332</v>
      </c>
      <c r="G1141" t="s">
        <v>968</v>
      </c>
      <c r="H1141" t="s">
        <v>207</v>
      </c>
    </row>
    <row r="1143" spans="1:8" x14ac:dyDescent="0.3">
      <c r="A1143" t="s">
        <v>969</v>
      </c>
    </row>
    <row r="1144" spans="1:8" x14ac:dyDescent="0.3">
      <c r="A1144" t="s">
        <v>44</v>
      </c>
      <c r="B1144" t="s">
        <v>32</v>
      </c>
      <c r="C1144" t="s">
        <v>66</v>
      </c>
      <c r="D1144" t="s">
        <v>67</v>
      </c>
      <c r="E1144" t="s">
        <v>352</v>
      </c>
    </row>
    <row r="1145" spans="1:8" x14ac:dyDescent="0.3">
      <c r="A1145" t="s">
        <v>35</v>
      </c>
      <c r="B1145">
        <v>215</v>
      </c>
      <c r="C1145" t="s">
        <v>325</v>
      </c>
      <c r="D1145" t="s">
        <v>327</v>
      </c>
      <c r="E1145" t="s">
        <v>99</v>
      </c>
    </row>
    <row r="1146" spans="1:8" x14ac:dyDescent="0.3">
      <c r="A1146" t="s">
        <v>37</v>
      </c>
      <c r="B1146">
        <v>698</v>
      </c>
      <c r="C1146" t="s">
        <v>141</v>
      </c>
      <c r="D1146" t="s">
        <v>970</v>
      </c>
      <c r="E1146" t="s">
        <v>99</v>
      </c>
    </row>
    <row r="1147" spans="1:8" x14ac:dyDescent="0.3">
      <c r="A1147" t="s">
        <v>36</v>
      </c>
      <c r="B1147">
        <v>157</v>
      </c>
      <c r="C1147" t="s">
        <v>253</v>
      </c>
      <c r="D1147" t="s">
        <v>358</v>
      </c>
      <c r="E1147" t="s">
        <v>277</v>
      </c>
    </row>
    <row r="1148" spans="1:8" s="5" customFormat="1" x14ac:dyDescent="0.3">
      <c r="A1148" s="5" t="s">
        <v>34</v>
      </c>
      <c r="B1148" s="5">
        <v>17</v>
      </c>
      <c r="C1148" s="5" t="s">
        <v>182</v>
      </c>
      <c r="D1148" s="5" t="s">
        <v>183</v>
      </c>
      <c r="E1148" s="5" t="s">
        <v>99</v>
      </c>
    </row>
    <row r="1149" spans="1:8" x14ac:dyDescent="0.3">
      <c r="A1149" t="s">
        <v>33</v>
      </c>
      <c r="B1149">
        <v>160</v>
      </c>
      <c r="C1149" t="s">
        <v>157</v>
      </c>
      <c r="D1149" t="s">
        <v>404</v>
      </c>
      <c r="E1149" t="s">
        <v>99</v>
      </c>
    </row>
    <row r="1150" spans="1:8" x14ac:dyDescent="0.3">
      <c r="A1150" t="s">
        <v>49</v>
      </c>
      <c r="B1150">
        <v>1247</v>
      </c>
      <c r="C1150" t="s">
        <v>103</v>
      </c>
      <c r="D1150" t="s">
        <v>780</v>
      </c>
      <c r="E1150" t="s">
        <v>198</v>
      </c>
    </row>
    <row r="1152" spans="1:8" x14ac:dyDescent="0.3">
      <c r="A1152" t="s">
        <v>971</v>
      </c>
    </row>
    <row r="1153" spans="1:6" x14ac:dyDescent="0.3">
      <c r="A1153" t="s">
        <v>44</v>
      </c>
      <c r="B1153" t="s">
        <v>972</v>
      </c>
      <c r="C1153" t="s">
        <v>32</v>
      </c>
      <c r="D1153" t="s">
        <v>67</v>
      </c>
      <c r="E1153" t="s">
        <v>66</v>
      </c>
      <c r="F1153" t="s">
        <v>352</v>
      </c>
    </row>
    <row r="1154" spans="1:6" x14ac:dyDescent="0.3">
      <c r="A1154" t="s">
        <v>35</v>
      </c>
      <c r="B1154" t="s">
        <v>973</v>
      </c>
      <c r="C1154">
        <v>32</v>
      </c>
      <c r="D1154" t="s">
        <v>974</v>
      </c>
      <c r="E1154" t="s">
        <v>741</v>
      </c>
      <c r="F1154" t="s">
        <v>99</v>
      </c>
    </row>
    <row r="1155" spans="1:6" x14ac:dyDescent="0.3">
      <c r="A1155" t="s">
        <v>35</v>
      </c>
      <c r="B1155" t="s">
        <v>975</v>
      </c>
      <c r="C1155">
        <v>79</v>
      </c>
      <c r="D1155" t="s">
        <v>404</v>
      </c>
      <c r="E1155" t="s">
        <v>157</v>
      </c>
      <c r="F1155" t="s">
        <v>99</v>
      </c>
    </row>
    <row r="1156" spans="1:6" x14ac:dyDescent="0.3">
      <c r="A1156" t="s">
        <v>35</v>
      </c>
      <c r="B1156" t="s">
        <v>976</v>
      </c>
      <c r="C1156">
        <v>40</v>
      </c>
      <c r="D1156" t="s">
        <v>483</v>
      </c>
      <c r="E1156" t="s">
        <v>319</v>
      </c>
      <c r="F1156" t="s">
        <v>99</v>
      </c>
    </row>
    <row r="1157" spans="1:6" x14ac:dyDescent="0.3">
      <c r="A1157" t="s">
        <v>35</v>
      </c>
      <c r="B1157" t="s">
        <v>977</v>
      </c>
      <c r="C1157">
        <v>61</v>
      </c>
      <c r="D1157" t="s">
        <v>978</v>
      </c>
      <c r="E1157" t="s">
        <v>152</v>
      </c>
      <c r="F1157" t="s">
        <v>99</v>
      </c>
    </row>
    <row r="1158" spans="1:6" s="5" customFormat="1" x14ac:dyDescent="0.3">
      <c r="A1158" s="5" t="s">
        <v>35</v>
      </c>
      <c r="B1158" s="5" t="s">
        <v>979</v>
      </c>
      <c r="C1158" s="5">
        <v>3</v>
      </c>
      <c r="D1158" s="5" t="s">
        <v>211</v>
      </c>
      <c r="E1158" s="5" t="s">
        <v>99</v>
      </c>
      <c r="F1158" s="5" t="s">
        <v>99</v>
      </c>
    </row>
    <row r="1159" spans="1:6" x14ac:dyDescent="0.3">
      <c r="A1159" t="s">
        <v>37</v>
      </c>
      <c r="B1159" t="s">
        <v>973</v>
      </c>
      <c r="C1159">
        <v>129</v>
      </c>
      <c r="D1159" t="s">
        <v>980</v>
      </c>
      <c r="E1159" t="s">
        <v>253</v>
      </c>
      <c r="F1159" t="s">
        <v>99</v>
      </c>
    </row>
    <row r="1160" spans="1:6" x14ac:dyDescent="0.3">
      <c r="A1160" t="s">
        <v>37</v>
      </c>
      <c r="B1160" t="s">
        <v>975</v>
      </c>
      <c r="C1160">
        <v>188</v>
      </c>
      <c r="D1160" t="s">
        <v>225</v>
      </c>
      <c r="E1160" t="s">
        <v>114</v>
      </c>
      <c r="F1160" t="s">
        <v>99</v>
      </c>
    </row>
    <row r="1161" spans="1:6" x14ac:dyDescent="0.3">
      <c r="A1161" t="s">
        <v>37</v>
      </c>
      <c r="B1161" t="s">
        <v>976</v>
      </c>
      <c r="C1161">
        <v>174</v>
      </c>
      <c r="D1161" t="s">
        <v>981</v>
      </c>
      <c r="E1161" t="s">
        <v>207</v>
      </c>
      <c r="F1161" t="s">
        <v>99</v>
      </c>
    </row>
    <row r="1162" spans="1:6" x14ac:dyDescent="0.3">
      <c r="A1162" t="s">
        <v>37</v>
      </c>
      <c r="B1162" t="s">
        <v>977</v>
      </c>
      <c r="C1162">
        <v>174</v>
      </c>
      <c r="D1162" t="s">
        <v>981</v>
      </c>
      <c r="E1162" t="s">
        <v>207</v>
      </c>
      <c r="F1162" t="s">
        <v>99</v>
      </c>
    </row>
    <row r="1163" spans="1:6" x14ac:dyDescent="0.3">
      <c r="A1163" t="s">
        <v>37</v>
      </c>
      <c r="B1163" t="s">
        <v>979</v>
      </c>
      <c r="C1163">
        <v>33</v>
      </c>
      <c r="D1163" t="s">
        <v>211</v>
      </c>
      <c r="E1163" t="s">
        <v>99</v>
      </c>
      <c r="F1163" t="s">
        <v>99</v>
      </c>
    </row>
    <row r="1164" spans="1:6" x14ac:dyDescent="0.3">
      <c r="A1164" t="s">
        <v>36</v>
      </c>
      <c r="B1164" t="s">
        <v>973</v>
      </c>
      <c r="C1164">
        <v>35</v>
      </c>
      <c r="D1164" t="s">
        <v>211</v>
      </c>
      <c r="E1164" t="s">
        <v>99</v>
      </c>
      <c r="F1164" t="s">
        <v>99</v>
      </c>
    </row>
    <row r="1165" spans="1:6" x14ac:dyDescent="0.3">
      <c r="A1165" t="s">
        <v>36</v>
      </c>
      <c r="B1165" t="s">
        <v>975</v>
      </c>
      <c r="C1165">
        <v>43</v>
      </c>
      <c r="D1165" t="s">
        <v>761</v>
      </c>
      <c r="E1165" t="s">
        <v>114</v>
      </c>
      <c r="F1165" t="s">
        <v>395</v>
      </c>
    </row>
    <row r="1166" spans="1:6" s="5" customFormat="1" x14ac:dyDescent="0.3">
      <c r="A1166" s="5" t="s">
        <v>36</v>
      </c>
      <c r="B1166" s="5" t="s">
        <v>976</v>
      </c>
      <c r="C1166" s="5">
        <v>24</v>
      </c>
      <c r="D1166" s="5" t="s">
        <v>211</v>
      </c>
      <c r="E1166" s="5" t="s">
        <v>99</v>
      </c>
      <c r="F1166" s="5" t="s">
        <v>99</v>
      </c>
    </row>
    <row r="1167" spans="1:6" x14ac:dyDescent="0.3">
      <c r="A1167" t="s">
        <v>36</v>
      </c>
      <c r="B1167" t="s">
        <v>977</v>
      </c>
      <c r="C1167">
        <v>51</v>
      </c>
      <c r="D1167" t="s">
        <v>982</v>
      </c>
      <c r="E1167" t="s">
        <v>100</v>
      </c>
      <c r="F1167" t="s">
        <v>99</v>
      </c>
    </row>
    <row r="1168" spans="1:6" s="5" customFormat="1" x14ac:dyDescent="0.3">
      <c r="A1168" s="5" t="s">
        <v>36</v>
      </c>
      <c r="B1168" s="5" t="s">
        <v>979</v>
      </c>
      <c r="C1168" s="5">
        <v>4</v>
      </c>
      <c r="D1168" s="5" t="s">
        <v>211</v>
      </c>
      <c r="E1168" s="5" t="s">
        <v>99</v>
      </c>
      <c r="F1168" s="5" t="s">
        <v>99</v>
      </c>
    </row>
    <row r="1169" spans="1:6" s="5" customFormat="1" x14ac:dyDescent="0.3">
      <c r="A1169" s="5" t="s">
        <v>34</v>
      </c>
      <c r="B1169" s="5" t="s">
        <v>973</v>
      </c>
      <c r="C1169" s="5">
        <v>4</v>
      </c>
      <c r="D1169" s="5" t="s">
        <v>211</v>
      </c>
      <c r="E1169" s="5" t="s">
        <v>99</v>
      </c>
      <c r="F1169" s="5" t="s">
        <v>99</v>
      </c>
    </row>
    <row r="1170" spans="1:6" s="5" customFormat="1" x14ac:dyDescent="0.3">
      <c r="A1170" s="5" t="s">
        <v>34</v>
      </c>
      <c r="B1170" s="5" t="s">
        <v>975</v>
      </c>
      <c r="C1170" s="5">
        <v>6</v>
      </c>
      <c r="D1170" s="5" t="s">
        <v>211</v>
      </c>
      <c r="E1170" s="5" t="s">
        <v>99</v>
      </c>
      <c r="F1170" s="5" t="s">
        <v>99</v>
      </c>
    </row>
    <row r="1171" spans="1:6" s="5" customFormat="1" x14ac:dyDescent="0.3">
      <c r="A1171" s="5" t="s">
        <v>34</v>
      </c>
      <c r="B1171" s="5" t="s">
        <v>976</v>
      </c>
      <c r="C1171" s="5">
        <v>2</v>
      </c>
      <c r="D1171" s="5" t="s">
        <v>211</v>
      </c>
      <c r="E1171" s="5" t="s">
        <v>99</v>
      </c>
      <c r="F1171" s="5" t="s">
        <v>99</v>
      </c>
    </row>
    <row r="1172" spans="1:6" s="5" customFormat="1" x14ac:dyDescent="0.3">
      <c r="A1172" s="5" t="s">
        <v>34</v>
      </c>
      <c r="B1172" s="5" t="s">
        <v>977</v>
      </c>
      <c r="C1172" s="5">
        <v>3</v>
      </c>
      <c r="D1172" s="5" t="s">
        <v>211</v>
      </c>
      <c r="E1172" s="5" t="s">
        <v>99</v>
      </c>
      <c r="F1172" s="5" t="s">
        <v>99</v>
      </c>
    </row>
    <row r="1173" spans="1:6" s="5" customFormat="1" x14ac:dyDescent="0.3">
      <c r="A1173" s="5" t="s">
        <v>34</v>
      </c>
      <c r="B1173" s="5" t="s">
        <v>979</v>
      </c>
      <c r="C1173" s="5">
        <v>2</v>
      </c>
      <c r="D1173" s="5" t="s">
        <v>983</v>
      </c>
      <c r="E1173" s="5" t="s">
        <v>698</v>
      </c>
      <c r="F1173" s="5" t="s">
        <v>99</v>
      </c>
    </row>
    <row r="1174" spans="1:6" x14ac:dyDescent="0.3">
      <c r="A1174" t="s">
        <v>33</v>
      </c>
      <c r="B1174" t="s">
        <v>973</v>
      </c>
      <c r="C1174">
        <v>40</v>
      </c>
      <c r="D1174" t="s">
        <v>211</v>
      </c>
      <c r="E1174" t="s">
        <v>99</v>
      </c>
      <c r="F1174" t="s">
        <v>99</v>
      </c>
    </row>
    <row r="1175" spans="1:6" x14ac:dyDescent="0.3">
      <c r="A1175" t="s">
        <v>33</v>
      </c>
      <c r="B1175" t="s">
        <v>975</v>
      </c>
      <c r="C1175">
        <v>43</v>
      </c>
      <c r="D1175" t="s">
        <v>337</v>
      </c>
      <c r="E1175" t="s">
        <v>474</v>
      </c>
      <c r="F1175" t="s">
        <v>99</v>
      </c>
    </row>
    <row r="1176" spans="1:6" s="5" customFormat="1" x14ac:dyDescent="0.3">
      <c r="A1176" s="5" t="s">
        <v>33</v>
      </c>
      <c r="B1176" s="5" t="s">
        <v>976</v>
      </c>
      <c r="C1176" s="5">
        <v>28</v>
      </c>
      <c r="D1176" s="5" t="s">
        <v>211</v>
      </c>
      <c r="E1176" s="5" t="s">
        <v>99</v>
      </c>
      <c r="F1176" s="5" t="s">
        <v>99</v>
      </c>
    </row>
    <row r="1177" spans="1:6" x14ac:dyDescent="0.3">
      <c r="A1177" t="s">
        <v>33</v>
      </c>
      <c r="B1177" t="s">
        <v>977</v>
      </c>
      <c r="C1177">
        <v>45</v>
      </c>
      <c r="D1177" t="s">
        <v>326</v>
      </c>
      <c r="E1177" t="s">
        <v>109</v>
      </c>
      <c r="F1177" t="s">
        <v>99</v>
      </c>
    </row>
    <row r="1178" spans="1:6" s="5" customFormat="1" x14ac:dyDescent="0.3">
      <c r="A1178" s="5" t="s">
        <v>33</v>
      </c>
      <c r="B1178" s="5" t="s">
        <v>979</v>
      </c>
      <c r="C1178" s="5">
        <v>4</v>
      </c>
      <c r="D1178" s="5" t="s">
        <v>211</v>
      </c>
      <c r="E1178" s="5" t="s">
        <v>99</v>
      </c>
      <c r="F1178" s="5" t="s">
        <v>99</v>
      </c>
    </row>
    <row r="1179" spans="1:6" x14ac:dyDescent="0.3">
      <c r="A1179" t="s">
        <v>49</v>
      </c>
      <c r="B1179" t="s">
        <v>973</v>
      </c>
      <c r="C1179">
        <v>240</v>
      </c>
      <c r="D1179" t="s">
        <v>759</v>
      </c>
      <c r="E1179" t="s">
        <v>154</v>
      </c>
      <c r="F1179" t="s">
        <v>99</v>
      </c>
    </row>
    <row r="1180" spans="1:6" x14ac:dyDescent="0.3">
      <c r="A1180" t="s">
        <v>49</v>
      </c>
      <c r="B1180" t="s">
        <v>975</v>
      </c>
      <c r="C1180">
        <v>359</v>
      </c>
      <c r="D1180" t="s">
        <v>398</v>
      </c>
      <c r="E1180" t="s">
        <v>292</v>
      </c>
      <c r="F1180" t="s">
        <v>115</v>
      </c>
    </row>
    <row r="1181" spans="1:6" x14ac:dyDescent="0.3">
      <c r="A1181" t="s">
        <v>49</v>
      </c>
      <c r="B1181" t="s">
        <v>976</v>
      </c>
      <c r="C1181">
        <v>268</v>
      </c>
      <c r="D1181" t="s">
        <v>970</v>
      </c>
      <c r="E1181" t="s">
        <v>141</v>
      </c>
      <c r="F1181" t="s">
        <v>99</v>
      </c>
    </row>
    <row r="1182" spans="1:6" x14ac:dyDescent="0.3">
      <c r="A1182" t="s">
        <v>49</v>
      </c>
      <c r="B1182" t="s">
        <v>977</v>
      </c>
      <c r="C1182">
        <v>334</v>
      </c>
      <c r="D1182" t="s">
        <v>265</v>
      </c>
      <c r="E1182" t="s">
        <v>332</v>
      </c>
      <c r="F1182" t="s">
        <v>99</v>
      </c>
    </row>
    <row r="1183" spans="1:6" x14ac:dyDescent="0.3">
      <c r="A1183" t="s">
        <v>49</v>
      </c>
      <c r="B1183" t="s">
        <v>979</v>
      </c>
      <c r="C1183">
        <v>46</v>
      </c>
      <c r="D1183" t="s">
        <v>433</v>
      </c>
      <c r="E1183" t="s">
        <v>434</v>
      </c>
      <c r="F1183" t="s">
        <v>99</v>
      </c>
    </row>
    <row r="1185" spans="1:6" x14ac:dyDescent="0.3">
      <c r="A1185" t="s">
        <v>984</v>
      </c>
    </row>
    <row r="1186" spans="1:6" x14ac:dyDescent="0.3">
      <c r="A1186" t="s">
        <v>44</v>
      </c>
      <c r="B1186" t="s">
        <v>847</v>
      </c>
      <c r="C1186" t="s">
        <v>32</v>
      </c>
      <c r="D1186" t="s">
        <v>67</v>
      </c>
      <c r="E1186" t="s">
        <v>66</v>
      </c>
      <c r="F1186" t="s">
        <v>352</v>
      </c>
    </row>
    <row r="1187" spans="1:6" s="5" customFormat="1" x14ac:dyDescent="0.3">
      <c r="A1187" s="5" t="s">
        <v>35</v>
      </c>
      <c r="B1187" s="5" t="s">
        <v>848</v>
      </c>
      <c r="C1187" s="5">
        <v>5</v>
      </c>
      <c r="D1187" s="5" t="s">
        <v>724</v>
      </c>
      <c r="E1187" s="5" t="s">
        <v>985</v>
      </c>
      <c r="F1187" s="5" t="s">
        <v>99</v>
      </c>
    </row>
    <row r="1188" spans="1:6" s="5" customFormat="1" x14ac:dyDescent="0.3">
      <c r="A1188" s="5" t="s">
        <v>35</v>
      </c>
      <c r="B1188" s="5" t="s">
        <v>849</v>
      </c>
      <c r="C1188" s="5">
        <v>1</v>
      </c>
      <c r="D1188" s="5" t="s">
        <v>211</v>
      </c>
      <c r="E1188" s="5" t="s">
        <v>99</v>
      </c>
      <c r="F1188" s="5" t="s">
        <v>99</v>
      </c>
    </row>
    <row r="1189" spans="1:6" s="5" customFormat="1" x14ac:dyDescent="0.3">
      <c r="A1189" s="5" t="s">
        <v>35</v>
      </c>
      <c r="B1189" s="5" t="s">
        <v>850</v>
      </c>
      <c r="C1189" s="5">
        <v>2</v>
      </c>
      <c r="D1189" s="5" t="s">
        <v>211</v>
      </c>
      <c r="E1189" s="5" t="s">
        <v>99</v>
      </c>
      <c r="F1189" s="5" t="s">
        <v>99</v>
      </c>
    </row>
    <row r="1190" spans="1:6" s="5" customFormat="1" x14ac:dyDescent="0.3">
      <c r="A1190" s="5" t="s">
        <v>35</v>
      </c>
      <c r="B1190" s="5" t="s">
        <v>852</v>
      </c>
      <c r="C1190" s="5">
        <v>2</v>
      </c>
      <c r="D1190" s="5" t="s">
        <v>211</v>
      </c>
      <c r="E1190" s="5" t="s">
        <v>99</v>
      </c>
      <c r="F1190" s="5" t="s">
        <v>99</v>
      </c>
    </row>
    <row r="1191" spans="1:6" x14ac:dyDescent="0.3">
      <c r="A1191" t="s">
        <v>35</v>
      </c>
      <c r="B1191" t="s">
        <v>365</v>
      </c>
      <c r="C1191">
        <v>205</v>
      </c>
      <c r="D1191" t="s">
        <v>237</v>
      </c>
      <c r="E1191" t="s">
        <v>130</v>
      </c>
      <c r="F1191" t="s">
        <v>99</v>
      </c>
    </row>
    <row r="1192" spans="1:6" s="5" customFormat="1" x14ac:dyDescent="0.3">
      <c r="A1192" s="5" t="s">
        <v>37</v>
      </c>
      <c r="B1192" s="5" t="s">
        <v>848</v>
      </c>
      <c r="C1192" s="5">
        <v>3</v>
      </c>
      <c r="D1192" s="5" t="s">
        <v>211</v>
      </c>
      <c r="E1192" s="5" t="s">
        <v>99</v>
      </c>
      <c r="F1192" s="5" t="s">
        <v>99</v>
      </c>
    </row>
    <row r="1193" spans="1:6" s="5" customFormat="1" x14ac:dyDescent="0.3">
      <c r="A1193" s="5" t="s">
        <v>37</v>
      </c>
      <c r="B1193" s="5" t="s">
        <v>850</v>
      </c>
      <c r="C1193" s="5">
        <v>6</v>
      </c>
      <c r="D1193" s="5" t="s">
        <v>211</v>
      </c>
      <c r="E1193" s="5" t="s">
        <v>99</v>
      </c>
      <c r="F1193" s="5" t="s">
        <v>99</v>
      </c>
    </row>
    <row r="1194" spans="1:6" s="5" customFormat="1" x14ac:dyDescent="0.3">
      <c r="A1194" s="5" t="s">
        <v>37</v>
      </c>
      <c r="B1194" s="5" t="s">
        <v>852</v>
      </c>
      <c r="C1194" s="5">
        <v>5</v>
      </c>
      <c r="D1194" s="5" t="s">
        <v>211</v>
      </c>
      <c r="E1194" s="5" t="s">
        <v>99</v>
      </c>
      <c r="F1194" s="5" t="s">
        <v>99</v>
      </c>
    </row>
    <row r="1195" spans="1:6" s="5" customFormat="1" x14ac:dyDescent="0.3">
      <c r="A1195" s="5" t="s">
        <v>37</v>
      </c>
      <c r="B1195" s="5" t="s">
        <v>853</v>
      </c>
      <c r="C1195" s="5">
        <v>3</v>
      </c>
      <c r="D1195" s="5" t="s">
        <v>211</v>
      </c>
      <c r="E1195" s="5" t="s">
        <v>99</v>
      </c>
      <c r="F1195" s="5" t="s">
        <v>99</v>
      </c>
    </row>
    <row r="1196" spans="1:6" x14ac:dyDescent="0.3">
      <c r="A1196" t="s">
        <v>37</v>
      </c>
      <c r="B1196" t="s">
        <v>365</v>
      </c>
      <c r="C1196">
        <v>681</v>
      </c>
      <c r="D1196" t="s">
        <v>970</v>
      </c>
      <c r="E1196" t="s">
        <v>141</v>
      </c>
      <c r="F1196" t="s">
        <v>99</v>
      </c>
    </row>
    <row r="1197" spans="1:6" s="5" customFormat="1" x14ac:dyDescent="0.3">
      <c r="A1197" s="5" t="s">
        <v>36</v>
      </c>
      <c r="B1197" s="5" t="s">
        <v>852</v>
      </c>
      <c r="C1197" s="5">
        <v>1</v>
      </c>
      <c r="D1197" s="5" t="s">
        <v>211</v>
      </c>
      <c r="E1197" s="5" t="s">
        <v>99</v>
      </c>
      <c r="F1197" s="5" t="s">
        <v>99</v>
      </c>
    </row>
    <row r="1198" spans="1:6" x14ac:dyDescent="0.3">
      <c r="A1198" t="s">
        <v>36</v>
      </c>
      <c r="B1198" t="s">
        <v>365</v>
      </c>
      <c r="C1198">
        <v>156</v>
      </c>
      <c r="D1198" t="s">
        <v>358</v>
      </c>
      <c r="E1198" t="s">
        <v>253</v>
      </c>
      <c r="F1198" t="s">
        <v>277</v>
      </c>
    </row>
    <row r="1199" spans="1:6" s="5" customFormat="1" x14ac:dyDescent="0.3">
      <c r="A1199" s="5" t="s">
        <v>34</v>
      </c>
      <c r="B1199" s="5" t="s">
        <v>850</v>
      </c>
      <c r="C1199" s="5">
        <v>2</v>
      </c>
      <c r="D1199" s="5" t="s">
        <v>211</v>
      </c>
      <c r="E1199" s="5" t="s">
        <v>99</v>
      </c>
      <c r="F1199" s="5" t="s">
        <v>99</v>
      </c>
    </row>
    <row r="1200" spans="1:6" x14ac:dyDescent="0.3">
      <c r="A1200" t="s">
        <v>34</v>
      </c>
      <c r="B1200" t="s">
        <v>365</v>
      </c>
      <c r="C1200">
        <v>15</v>
      </c>
      <c r="D1200" t="s">
        <v>889</v>
      </c>
      <c r="E1200" t="s">
        <v>262</v>
      </c>
      <c r="F1200" t="s">
        <v>99</v>
      </c>
    </row>
    <row r="1201" spans="1:6" s="5" customFormat="1" x14ac:dyDescent="0.3">
      <c r="A1201" s="5" t="s">
        <v>33</v>
      </c>
      <c r="B1201" s="5" t="s">
        <v>848</v>
      </c>
      <c r="C1201" s="5">
        <v>2</v>
      </c>
      <c r="D1201" s="5" t="s">
        <v>211</v>
      </c>
      <c r="E1201" s="5" t="s">
        <v>99</v>
      </c>
      <c r="F1201" s="5" t="s">
        <v>99</v>
      </c>
    </row>
    <row r="1202" spans="1:6" s="5" customFormat="1" x14ac:dyDescent="0.3">
      <c r="A1202" s="5" t="s">
        <v>33</v>
      </c>
      <c r="B1202" s="5" t="s">
        <v>850</v>
      </c>
      <c r="C1202" s="5">
        <v>2</v>
      </c>
      <c r="D1202" s="5" t="s">
        <v>498</v>
      </c>
      <c r="E1202" s="5" t="s">
        <v>497</v>
      </c>
      <c r="F1202" s="5" t="s">
        <v>99</v>
      </c>
    </row>
    <row r="1203" spans="1:6" s="5" customFormat="1" x14ac:dyDescent="0.3">
      <c r="A1203" s="5" t="s">
        <v>33</v>
      </c>
      <c r="B1203" s="5" t="s">
        <v>852</v>
      </c>
      <c r="C1203" s="5">
        <v>1</v>
      </c>
      <c r="D1203" s="5" t="s">
        <v>211</v>
      </c>
      <c r="E1203" s="5" t="s">
        <v>99</v>
      </c>
      <c r="F1203" s="5" t="s">
        <v>99</v>
      </c>
    </row>
    <row r="1204" spans="1:6" s="5" customFormat="1" x14ac:dyDescent="0.3">
      <c r="A1204" s="5" t="s">
        <v>33</v>
      </c>
      <c r="B1204" s="5" t="s">
        <v>853</v>
      </c>
      <c r="C1204" s="5">
        <v>2</v>
      </c>
      <c r="D1204" s="5" t="s">
        <v>498</v>
      </c>
      <c r="E1204" s="5" t="s">
        <v>497</v>
      </c>
      <c r="F1204" s="5" t="s">
        <v>99</v>
      </c>
    </row>
    <row r="1205" spans="1:6" x14ac:dyDescent="0.3">
      <c r="A1205" t="s">
        <v>33</v>
      </c>
      <c r="B1205" t="s">
        <v>365</v>
      </c>
      <c r="C1205">
        <v>153</v>
      </c>
      <c r="D1205" t="s">
        <v>986</v>
      </c>
      <c r="E1205" t="s">
        <v>292</v>
      </c>
      <c r="F1205" t="s">
        <v>99</v>
      </c>
    </row>
    <row r="1206" spans="1:6" s="5" customFormat="1" x14ac:dyDescent="0.3">
      <c r="A1206" s="5" t="s">
        <v>49</v>
      </c>
      <c r="B1206" s="5" t="s">
        <v>848</v>
      </c>
      <c r="C1206" s="5">
        <v>10</v>
      </c>
      <c r="D1206" s="5" t="s">
        <v>987</v>
      </c>
      <c r="E1206" s="5" t="s">
        <v>941</v>
      </c>
      <c r="F1206" s="5" t="s">
        <v>99</v>
      </c>
    </row>
    <row r="1207" spans="1:6" s="5" customFormat="1" x14ac:dyDescent="0.3">
      <c r="A1207" s="5" t="s">
        <v>49</v>
      </c>
      <c r="B1207" s="5" t="s">
        <v>849</v>
      </c>
      <c r="C1207" s="5">
        <v>1</v>
      </c>
      <c r="D1207" s="5" t="s">
        <v>211</v>
      </c>
      <c r="E1207" s="5" t="s">
        <v>99</v>
      </c>
      <c r="F1207" s="5" t="s">
        <v>99</v>
      </c>
    </row>
    <row r="1208" spans="1:6" s="5" customFormat="1" x14ac:dyDescent="0.3">
      <c r="A1208" s="5" t="s">
        <v>49</v>
      </c>
      <c r="B1208" s="5" t="s">
        <v>850</v>
      </c>
      <c r="C1208" s="5">
        <v>12</v>
      </c>
      <c r="D1208" s="5" t="s">
        <v>335</v>
      </c>
      <c r="E1208" s="5" t="s">
        <v>158</v>
      </c>
      <c r="F1208" s="5" t="s">
        <v>99</v>
      </c>
    </row>
    <row r="1209" spans="1:6" s="5" customFormat="1" x14ac:dyDescent="0.3">
      <c r="A1209" s="5" t="s">
        <v>49</v>
      </c>
      <c r="B1209" s="5" t="s">
        <v>852</v>
      </c>
      <c r="C1209" s="5">
        <v>9</v>
      </c>
      <c r="D1209" s="5" t="s">
        <v>211</v>
      </c>
      <c r="E1209" s="5" t="s">
        <v>99</v>
      </c>
      <c r="F1209" s="5" t="s">
        <v>99</v>
      </c>
    </row>
    <row r="1210" spans="1:6" s="5" customFormat="1" x14ac:dyDescent="0.3">
      <c r="A1210" s="5" t="s">
        <v>49</v>
      </c>
      <c r="B1210" s="5" t="s">
        <v>853</v>
      </c>
      <c r="C1210" s="5">
        <v>5</v>
      </c>
      <c r="D1210" s="5" t="s">
        <v>524</v>
      </c>
      <c r="E1210" s="5" t="s">
        <v>523</v>
      </c>
      <c r="F1210" s="5" t="s">
        <v>99</v>
      </c>
    </row>
    <row r="1211" spans="1:6" x14ac:dyDescent="0.3">
      <c r="A1211" t="s">
        <v>49</v>
      </c>
      <c r="B1211" t="s">
        <v>365</v>
      </c>
      <c r="C1211">
        <v>1210</v>
      </c>
      <c r="D1211" t="s">
        <v>986</v>
      </c>
      <c r="E1211" t="s">
        <v>127</v>
      </c>
      <c r="F1211" t="s">
        <v>198</v>
      </c>
    </row>
    <row r="1213" spans="1:6" x14ac:dyDescent="0.3">
      <c r="A1213" t="s">
        <v>988</v>
      </c>
    </row>
    <row r="1214" spans="1:6" x14ac:dyDescent="0.3">
      <c r="A1214" t="s">
        <v>44</v>
      </c>
      <c r="B1214" t="s">
        <v>235</v>
      </c>
      <c r="C1214" t="s">
        <v>32</v>
      </c>
      <c r="D1214" t="s">
        <v>66</v>
      </c>
      <c r="E1214" t="s">
        <v>67</v>
      </c>
      <c r="F1214" t="s">
        <v>352</v>
      </c>
    </row>
    <row r="1215" spans="1:6" x14ac:dyDescent="0.3">
      <c r="A1215" t="s">
        <v>35</v>
      </c>
      <c r="B1215" t="s">
        <v>236</v>
      </c>
      <c r="C1215">
        <v>106</v>
      </c>
      <c r="D1215" t="s">
        <v>154</v>
      </c>
      <c r="E1215" t="s">
        <v>759</v>
      </c>
      <c r="F1215" t="s">
        <v>99</v>
      </c>
    </row>
    <row r="1216" spans="1:6" x14ac:dyDescent="0.3">
      <c r="A1216" t="s">
        <v>35</v>
      </c>
      <c r="B1216" t="s">
        <v>238</v>
      </c>
      <c r="C1216">
        <v>109</v>
      </c>
      <c r="D1216" t="s">
        <v>145</v>
      </c>
      <c r="E1216" t="s">
        <v>334</v>
      </c>
      <c r="F1216" t="s">
        <v>99</v>
      </c>
    </row>
    <row r="1217" spans="1:6" x14ac:dyDescent="0.3">
      <c r="A1217" t="s">
        <v>37</v>
      </c>
      <c r="B1217" t="s">
        <v>236</v>
      </c>
      <c r="C1217">
        <v>416</v>
      </c>
      <c r="D1217" t="s">
        <v>136</v>
      </c>
      <c r="E1217" t="s">
        <v>511</v>
      </c>
      <c r="F1217" t="s">
        <v>99</v>
      </c>
    </row>
    <row r="1218" spans="1:6" x14ac:dyDescent="0.3">
      <c r="A1218" t="s">
        <v>37</v>
      </c>
      <c r="B1218" t="s">
        <v>238</v>
      </c>
      <c r="C1218">
        <v>282</v>
      </c>
      <c r="D1218" t="s">
        <v>132</v>
      </c>
      <c r="E1218" t="s">
        <v>989</v>
      </c>
      <c r="F1218" t="s">
        <v>99</v>
      </c>
    </row>
    <row r="1219" spans="1:6" x14ac:dyDescent="0.3">
      <c r="A1219" t="s">
        <v>36</v>
      </c>
      <c r="B1219" t="s">
        <v>236</v>
      </c>
      <c r="C1219">
        <v>124</v>
      </c>
      <c r="D1219" t="s">
        <v>121</v>
      </c>
      <c r="E1219" t="s">
        <v>385</v>
      </c>
      <c r="F1219" t="s">
        <v>99</v>
      </c>
    </row>
    <row r="1220" spans="1:6" x14ac:dyDescent="0.3">
      <c r="A1220" t="s">
        <v>36</v>
      </c>
      <c r="B1220" t="s">
        <v>238</v>
      </c>
      <c r="C1220">
        <v>33</v>
      </c>
      <c r="D1220" t="s">
        <v>99</v>
      </c>
      <c r="E1220" t="s">
        <v>366</v>
      </c>
      <c r="F1220" t="s">
        <v>287</v>
      </c>
    </row>
    <row r="1221" spans="1:6" s="5" customFormat="1" x14ac:dyDescent="0.3">
      <c r="A1221" s="5" t="s">
        <v>34</v>
      </c>
      <c r="B1221" s="5" t="s">
        <v>236</v>
      </c>
      <c r="C1221" s="5">
        <v>6</v>
      </c>
      <c r="D1221" s="5" t="s">
        <v>99</v>
      </c>
      <c r="E1221" s="5" t="s">
        <v>211</v>
      </c>
      <c r="F1221" s="5" t="s">
        <v>99</v>
      </c>
    </row>
    <row r="1222" spans="1:6" s="5" customFormat="1" x14ac:dyDescent="0.3">
      <c r="A1222" s="5" t="s">
        <v>34</v>
      </c>
      <c r="B1222" s="5" t="s">
        <v>238</v>
      </c>
      <c r="C1222" s="5">
        <v>11</v>
      </c>
      <c r="D1222" s="5" t="s">
        <v>990</v>
      </c>
      <c r="E1222" s="5" t="s">
        <v>991</v>
      </c>
      <c r="F1222" s="5" t="s">
        <v>99</v>
      </c>
    </row>
    <row r="1223" spans="1:6" x14ac:dyDescent="0.3">
      <c r="A1223" t="s">
        <v>33</v>
      </c>
      <c r="B1223" t="s">
        <v>236</v>
      </c>
      <c r="C1223">
        <v>103</v>
      </c>
      <c r="D1223" t="s">
        <v>292</v>
      </c>
      <c r="E1223" t="s">
        <v>986</v>
      </c>
      <c r="F1223" t="s">
        <v>99</v>
      </c>
    </row>
    <row r="1224" spans="1:6" x14ac:dyDescent="0.3">
      <c r="A1224" t="s">
        <v>33</v>
      </c>
      <c r="B1224" t="s">
        <v>238</v>
      </c>
      <c r="C1224">
        <v>57</v>
      </c>
      <c r="D1224" t="s">
        <v>149</v>
      </c>
      <c r="E1224" t="s">
        <v>786</v>
      </c>
      <c r="F1224" t="s">
        <v>99</v>
      </c>
    </row>
    <row r="1225" spans="1:6" x14ac:dyDescent="0.3">
      <c r="A1225" t="s">
        <v>49</v>
      </c>
      <c r="B1225" t="s">
        <v>236</v>
      </c>
      <c r="C1225">
        <v>755</v>
      </c>
      <c r="D1225" t="s">
        <v>114</v>
      </c>
      <c r="E1225" t="s">
        <v>225</v>
      </c>
      <c r="F1225" t="s">
        <v>99</v>
      </c>
    </row>
    <row r="1226" spans="1:6" x14ac:dyDescent="0.3">
      <c r="A1226" t="s">
        <v>49</v>
      </c>
      <c r="B1226" t="s">
        <v>238</v>
      </c>
      <c r="C1226">
        <v>492</v>
      </c>
      <c r="D1226" t="s">
        <v>118</v>
      </c>
      <c r="E1226" t="s">
        <v>433</v>
      </c>
      <c r="F1226" t="s">
        <v>136</v>
      </c>
    </row>
    <row r="1228" spans="1:6" x14ac:dyDescent="0.3">
      <c r="A1228" t="s">
        <v>992</v>
      </c>
    </row>
    <row r="1229" spans="1:6" x14ac:dyDescent="0.3">
      <c r="A1229" t="s">
        <v>44</v>
      </c>
      <c r="B1229" t="s">
        <v>209</v>
      </c>
      <c r="C1229" t="s">
        <v>32</v>
      </c>
      <c r="D1229" t="s">
        <v>66</v>
      </c>
      <c r="E1229" t="s">
        <v>67</v>
      </c>
      <c r="F1229" t="s">
        <v>352</v>
      </c>
    </row>
    <row r="1230" spans="1:6" s="5" customFormat="1" x14ac:dyDescent="0.3">
      <c r="A1230" s="5" t="s">
        <v>35</v>
      </c>
      <c r="B1230" s="5" t="s">
        <v>210</v>
      </c>
      <c r="C1230" s="5">
        <v>6</v>
      </c>
      <c r="D1230" s="5" t="s">
        <v>99</v>
      </c>
      <c r="E1230" s="5" t="s">
        <v>211</v>
      </c>
      <c r="F1230" s="5" t="s">
        <v>99</v>
      </c>
    </row>
    <row r="1231" spans="1:6" x14ac:dyDescent="0.3">
      <c r="A1231" t="s">
        <v>35</v>
      </c>
      <c r="B1231" t="s">
        <v>212</v>
      </c>
      <c r="C1231">
        <v>137</v>
      </c>
      <c r="D1231" t="s">
        <v>299</v>
      </c>
      <c r="E1231" t="s">
        <v>252</v>
      </c>
      <c r="F1231" t="s">
        <v>99</v>
      </c>
    </row>
    <row r="1232" spans="1:6" x14ac:dyDescent="0.3">
      <c r="A1232" t="s">
        <v>35</v>
      </c>
      <c r="B1232" t="s">
        <v>216</v>
      </c>
      <c r="C1232">
        <v>72</v>
      </c>
      <c r="D1232" t="s">
        <v>112</v>
      </c>
      <c r="E1232" t="s">
        <v>331</v>
      </c>
      <c r="F1232" t="s">
        <v>99</v>
      </c>
    </row>
    <row r="1233" spans="1:6" x14ac:dyDescent="0.3">
      <c r="A1233" t="s">
        <v>37</v>
      </c>
      <c r="B1233" t="s">
        <v>210</v>
      </c>
      <c r="C1233">
        <v>31</v>
      </c>
      <c r="D1233" t="s">
        <v>382</v>
      </c>
      <c r="E1233" t="s">
        <v>993</v>
      </c>
      <c r="F1233" t="s">
        <v>99</v>
      </c>
    </row>
    <row r="1234" spans="1:6" x14ac:dyDescent="0.3">
      <c r="A1234" t="s">
        <v>37</v>
      </c>
      <c r="B1234" t="s">
        <v>212</v>
      </c>
      <c r="C1234">
        <v>634</v>
      </c>
      <c r="D1234" t="s">
        <v>141</v>
      </c>
      <c r="E1234" t="s">
        <v>970</v>
      </c>
      <c r="F1234" t="s">
        <v>99</v>
      </c>
    </row>
    <row r="1235" spans="1:6" x14ac:dyDescent="0.3">
      <c r="A1235" t="s">
        <v>37</v>
      </c>
      <c r="B1235" t="s">
        <v>216</v>
      </c>
      <c r="C1235">
        <v>33</v>
      </c>
      <c r="D1235" t="s">
        <v>99</v>
      </c>
      <c r="E1235" t="s">
        <v>211</v>
      </c>
      <c r="F1235" t="s">
        <v>99</v>
      </c>
    </row>
    <row r="1236" spans="1:6" s="5" customFormat="1" x14ac:dyDescent="0.3">
      <c r="A1236" s="5" t="s">
        <v>36</v>
      </c>
      <c r="B1236" s="5" t="s">
        <v>210</v>
      </c>
      <c r="C1236" s="5">
        <v>9</v>
      </c>
      <c r="D1236" s="5" t="s">
        <v>99</v>
      </c>
      <c r="E1236" s="5" t="s">
        <v>940</v>
      </c>
      <c r="F1236" s="5" t="s">
        <v>994</v>
      </c>
    </row>
    <row r="1237" spans="1:6" x14ac:dyDescent="0.3">
      <c r="A1237" t="s">
        <v>36</v>
      </c>
      <c r="B1237" t="s">
        <v>212</v>
      </c>
      <c r="C1237">
        <v>142</v>
      </c>
      <c r="D1237" t="s">
        <v>132</v>
      </c>
      <c r="E1237" t="s">
        <v>989</v>
      </c>
      <c r="F1237" t="s">
        <v>99</v>
      </c>
    </row>
    <row r="1238" spans="1:6" s="5" customFormat="1" x14ac:dyDescent="0.3">
      <c r="A1238" s="5" t="s">
        <v>36</v>
      </c>
      <c r="B1238" s="5" t="s">
        <v>216</v>
      </c>
      <c r="C1238" s="5">
        <v>6</v>
      </c>
      <c r="D1238" s="5" t="s">
        <v>99</v>
      </c>
      <c r="E1238" s="5" t="s">
        <v>211</v>
      </c>
      <c r="F1238" s="5" t="s">
        <v>99</v>
      </c>
    </row>
    <row r="1239" spans="1:6" s="5" customFormat="1" x14ac:dyDescent="0.3">
      <c r="A1239" s="5" t="s">
        <v>34</v>
      </c>
      <c r="B1239" s="5" t="s">
        <v>212</v>
      </c>
      <c r="C1239" s="5">
        <v>15</v>
      </c>
      <c r="D1239" s="5" t="s">
        <v>722</v>
      </c>
      <c r="E1239" s="5" t="s">
        <v>961</v>
      </c>
      <c r="F1239" s="5" t="s">
        <v>99</v>
      </c>
    </row>
    <row r="1240" spans="1:6" s="5" customFormat="1" x14ac:dyDescent="0.3">
      <c r="A1240" s="5" t="s">
        <v>34</v>
      </c>
      <c r="B1240" s="5" t="s">
        <v>216</v>
      </c>
      <c r="C1240" s="5">
        <v>2</v>
      </c>
      <c r="D1240" s="5" t="s">
        <v>99</v>
      </c>
      <c r="E1240" s="5" t="s">
        <v>211</v>
      </c>
      <c r="F1240" s="5" t="s">
        <v>99</v>
      </c>
    </row>
    <row r="1241" spans="1:6" s="5" customFormat="1" x14ac:dyDescent="0.3">
      <c r="A1241" s="5" t="s">
        <v>33</v>
      </c>
      <c r="B1241" s="5" t="s">
        <v>210</v>
      </c>
      <c r="C1241" s="5">
        <v>2</v>
      </c>
      <c r="D1241" s="5" t="s">
        <v>909</v>
      </c>
      <c r="E1241" s="5" t="s">
        <v>909</v>
      </c>
      <c r="F1241" s="5" t="s">
        <v>99</v>
      </c>
    </row>
    <row r="1242" spans="1:6" x14ac:dyDescent="0.3">
      <c r="A1242" t="s">
        <v>33</v>
      </c>
      <c r="B1242" t="s">
        <v>212</v>
      </c>
      <c r="C1242">
        <v>145</v>
      </c>
      <c r="D1242" t="s">
        <v>151</v>
      </c>
      <c r="E1242" t="s">
        <v>766</v>
      </c>
      <c r="F1242" t="s">
        <v>99</v>
      </c>
    </row>
    <row r="1243" spans="1:6" s="5" customFormat="1" x14ac:dyDescent="0.3">
      <c r="A1243" s="5" t="s">
        <v>33</v>
      </c>
      <c r="B1243" s="5" t="s">
        <v>216</v>
      </c>
      <c r="C1243" s="5">
        <v>13</v>
      </c>
      <c r="D1243" s="5" t="s">
        <v>401</v>
      </c>
      <c r="E1243" s="5" t="s">
        <v>354</v>
      </c>
      <c r="F1243" s="5" t="s">
        <v>99</v>
      </c>
    </row>
    <row r="1244" spans="1:6" x14ac:dyDescent="0.3">
      <c r="A1244" t="s">
        <v>49</v>
      </c>
      <c r="B1244" t="s">
        <v>210</v>
      </c>
      <c r="C1244">
        <v>48</v>
      </c>
      <c r="D1244" t="s">
        <v>111</v>
      </c>
      <c r="E1244" t="s">
        <v>334</v>
      </c>
      <c r="F1244" t="s">
        <v>130</v>
      </c>
    </row>
    <row r="1245" spans="1:6" x14ac:dyDescent="0.3">
      <c r="A1245" t="s">
        <v>49</v>
      </c>
      <c r="B1245" t="s">
        <v>212</v>
      </c>
      <c r="C1245">
        <v>1073</v>
      </c>
      <c r="D1245" t="s">
        <v>111</v>
      </c>
      <c r="E1245" t="s">
        <v>202</v>
      </c>
      <c r="F1245" t="s">
        <v>99</v>
      </c>
    </row>
    <row r="1246" spans="1:6" x14ac:dyDescent="0.3">
      <c r="A1246" t="s">
        <v>49</v>
      </c>
      <c r="B1246" t="s">
        <v>216</v>
      </c>
      <c r="C1246">
        <v>126</v>
      </c>
      <c r="D1246" t="s">
        <v>110</v>
      </c>
      <c r="E1246" t="s">
        <v>768</v>
      </c>
      <c r="F1246" t="s">
        <v>99</v>
      </c>
    </row>
    <row r="1248" spans="1:6" x14ac:dyDescent="0.3">
      <c r="A1248" t="s">
        <v>995</v>
      </c>
    </row>
    <row r="1249" spans="1:6" x14ac:dyDescent="0.3">
      <c r="A1249" t="s">
        <v>44</v>
      </c>
      <c r="B1249" t="s">
        <v>388</v>
      </c>
      <c r="C1249" t="s">
        <v>32</v>
      </c>
      <c r="D1249" t="s">
        <v>66</v>
      </c>
      <c r="E1249" t="s">
        <v>67</v>
      </c>
      <c r="F1249" t="s">
        <v>352</v>
      </c>
    </row>
    <row r="1250" spans="1:6" x14ac:dyDescent="0.3">
      <c r="A1250" t="s">
        <v>35</v>
      </c>
      <c r="B1250" t="s">
        <v>389</v>
      </c>
      <c r="C1250">
        <v>166</v>
      </c>
      <c r="D1250" t="s">
        <v>675</v>
      </c>
      <c r="E1250" t="s">
        <v>391</v>
      </c>
      <c r="F1250" t="s">
        <v>99</v>
      </c>
    </row>
    <row r="1251" spans="1:6" x14ac:dyDescent="0.3">
      <c r="A1251" t="s">
        <v>35</v>
      </c>
      <c r="B1251" t="s">
        <v>390</v>
      </c>
      <c r="C1251">
        <v>36</v>
      </c>
      <c r="D1251" t="s">
        <v>155</v>
      </c>
      <c r="E1251" t="s">
        <v>776</v>
      </c>
      <c r="F1251" t="s">
        <v>99</v>
      </c>
    </row>
    <row r="1252" spans="1:6" x14ac:dyDescent="0.3">
      <c r="A1252" t="s">
        <v>35</v>
      </c>
      <c r="B1252" t="s">
        <v>365</v>
      </c>
      <c r="C1252">
        <v>13</v>
      </c>
      <c r="D1252" t="s">
        <v>99</v>
      </c>
      <c r="E1252" t="s">
        <v>211</v>
      </c>
      <c r="F1252" t="s">
        <v>99</v>
      </c>
    </row>
    <row r="1253" spans="1:6" x14ac:dyDescent="0.3">
      <c r="A1253" t="s">
        <v>37</v>
      </c>
      <c r="B1253" t="s">
        <v>389</v>
      </c>
      <c r="C1253">
        <v>455</v>
      </c>
      <c r="D1253" t="s">
        <v>115</v>
      </c>
      <c r="E1253" t="s">
        <v>996</v>
      </c>
      <c r="F1253" t="s">
        <v>99</v>
      </c>
    </row>
    <row r="1254" spans="1:6" x14ac:dyDescent="0.3">
      <c r="A1254" t="s">
        <v>37</v>
      </c>
      <c r="B1254" t="s">
        <v>390</v>
      </c>
      <c r="C1254">
        <v>174</v>
      </c>
      <c r="D1254" t="s">
        <v>99</v>
      </c>
      <c r="E1254" t="s">
        <v>211</v>
      </c>
      <c r="F1254" t="s">
        <v>99</v>
      </c>
    </row>
    <row r="1255" spans="1:6" x14ac:dyDescent="0.3">
      <c r="A1255" t="s">
        <v>37</v>
      </c>
      <c r="B1255" t="s">
        <v>365</v>
      </c>
      <c r="C1255">
        <v>69</v>
      </c>
      <c r="D1255" t="s">
        <v>115</v>
      </c>
      <c r="E1255" t="s">
        <v>996</v>
      </c>
      <c r="F1255" t="s">
        <v>99</v>
      </c>
    </row>
    <row r="1256" spans="1:6" x14ac:dyDescent="0.3">
      <c r="A1256" t="s">
        <v>36</v>
      </c>
      <c r="B1256" t="s">
        <v>389</v>
      </c>
      <c r="C1256">
        <v>126</v>
      </c>
      <c r="D1256" t="s">
        <v>99</v>
      </c>
      <c r="E1256" t="s">
        <v>978</v>
      </c>
      <c r="F1256" t="s">
        <v>152</v>
      </c>
    </row>
    <row r="1257" spans="1:6" s="5" customFormat="1" x14ac:dyDescent="0.3">
      <c r="A1257" s="5" t="s">
        <v>36</v>
      </c>
      <c r="B1257" s="5" t="s">
        <v>390</v>
      </c>
      <c r="C1257" s="5">
        <v>27</v>
      </c>
      <c r="D1257" s="5" t="s">
        <v>157</v>
      </c>
      <c r="E1257" s="5" t="s">
        <v>404</v>
      </c>
      <c r="F1257" s="5" t="s">
        <v>99</v>
      </c>
    </row>
    <row r="1258" spans="1:6" x14ac:dyDescent="0.3">
      <c r="A1258" t="s">
        <v>36</v>
      </c>
      <c r="B1258" t="s">
        <v>365</v>
      </c>
      <c r="C1258">
        <v>4</v>
      </c>
      <c r="D1258" t="s">
        <v>99</v>
      </c>
      <c r="E1258" t="s">
        <v>211</v>
      </c>
      <c r="F1258" t="s">
        <v>99</v>
      </c>
    </row>
    <row r="1259" spans="1:6" s="5" customFormat="1" x14ac:dyDescent="0.3">
      <c r="A1259" s="5" t="s">
        <v>34</v>
      </c>
      <c r="B1259" s="5" t="s">
        <v>389</v>
      </c>
      <c r="C1259" s="5">
        <v>13</v>
      </c>
      <c r="D1259" s="5" t="s">
        <v>99</v>
      </c>
      <c r="E1259" s="5" t="s">
        <v>211</v>
      </c>
      <c r="F1259" s="5" t="s">
        <v>99</v>
      </c>
    </row>
    <row r="1260" spans="1:6" s="5" customFormat="1" x14ac:dyDescent="0.3">
      <c r="A1260" s="5" t="s">
        <v>34</v>
      </c>
      <c r="B1260" s="5" t="s">
        <v>390</v>
      </c>
      <c r="C1260" s="5">
        <v>4</v>
      </c>
      <c r="D1260" s="5" t="s">
        <v>840</v>
      </c>
      <c r="E1260" s="5" t="s">
        <v>997</v>
      </c>
      <c r="F1260" s="5" t="s">
        <v>99</v>
      </c>
    </row>
    <row r="1261" spans="1:6" x14ac:dyDescent="0.3">
      <c r="A1261" t="s">
        <v>33</v>
      </c>
      <c r="B1261" t="s">
        <v>389</v>
      </c>
      <c r="C1261">
        <v>111</v>
      </c>
      <c r="D1261" t="s">
        <v>123</v>
      </c>
      <c r="E1261" t="s">
        <v>438</v>
      </c>
      <c r="F1261" t="s">
        <v>99</v>
      </c>
    </row>
    <row r="1262" spans="1:6" x14ac:dyDescent="0.3">
      <c r="A1262" t="s">
        <v>33</v>
      </c>
      <c r="B1262" t="s">
        <v>390</v>
      </c>
      <c r="C1262">
        <v>40</v>
      </c>
      <c r="D1262" t="s">
        <v>412</v>
      </c>
      <c r="E1262" t="s">
        <v>413</v>
      </c>
      <c r="F1262" t="s">
        <v>99</v>
      </c>
    </row>
    <row r="1263" spans="1:6" x14ac:dyDescent="0.3">
      <c r="A1263" t="s">
        <v>33</v>
      </c>
      <c r="B1263" t="s">
        <v>365</v>
      </c>
      <c r="C1263">
        <v>9</v>
      </c>
      <c r="D1263" t="s">
        <v>133</v>
      </c>
      <c r="E1263" t="s">
        <v>169</v>
      </c>
      <c r="F1263" t="s">
        <v>99</v>
      </c>
    </row>
    <row r="1264" spans="1:6" x14ac:dyDescent="0.3">
      <c r="A1264" t="s">
        <v>49</v>
      </c>
      <c r="B1264" t="s">
        <v>389</v>
      </c>
      <c r="C1264">
        <v>871</v>
      </c>
      <c r="D1264" t="s">
        <v>128</v>
      </c>
      <c r="E1264" t="s">
        <v>998</v>
      </c>
      <c r="F1264" t="s">
        <v>207</v>
      </c>
    </row>
    <row r="1265" spans="1:6" x14ac:dyDescent="0.3">
      <c r="A1265" t="s">
        <v>49</v>
      </c>
      <c r="B1265" t="s">
        <v>390</v>
      </c>
      <c r="C1265">
        <v>281</v>
      </c>
      <c r="D1265" t="s">
        <v>292</v>
      </c>
      <c r="E1265" t="s">
        <v>986</v>
      </c>
      <c r="F1265" t="s">
        <v>99</v>
      </c>
    </row>
    <row r="1266" spans="1:6" x14ac:dyDescent="0.3">
      <c r="A1266" t="s">
        <v>49</v>
      </c>
      <c r="B1266" t="s">
        <v>365</v>
      </c>
      <c r="C1266">
        <v>95</v>
      </c>
      <c r="D1266" t="s">
        <v>101</v>
      </c>
      <c r="E1266" t="s">
        <v>999</v>
      </c>
      <c r="F1266" t="s">
        <v>99</v>
      </c>
    </row>
    <row r="1268" spans="1:6" x14ac:dyDescent="0.3">
      <c r="A1268" t="s">
        <v>1000</v>
      </c>
    </row>
    <row r="1269" spans="1:6" x14ac:dyDescent="0.3">
      <c r="A1269" t="s">
        <v>44</v>
      </c>
      <c r="B1269" t="s">
        <v>879</v>
      </c>
      <c r="C1269" t="s">
        <v>32</v>
      </c>
      <c r="D1269" t="s">
        <v>67</v>
      </c>
      <c r="E1269" t="s">
        <v>66</v>
      </c>
      <c r="F1269" t="s">
        <v>352</v>
      </c>
    </row>
    <row r="1270" spans="1:6" s="5" customFormat="1" x14ac:dyDescent="0.3">
      <c r="A1270" s="5" t="s">
        <v>35</v>
      </c>
      <c r="B1270" s="5" t="s">
        <v>881</v>
      </c>
      <c r="C1270" s="5">
        <v>24</v>
      </c>
      <c r="D1270" s="5" t="s">
        <v>1001</v>
      </c>
      <c r="E1270" s="5" t="s">
        <v>924</v>
      </c>
      <c r="F1270" s="5" t="s">
        <v>99</v>
      </c>
    </row>
    <row r="1271" spans="1:6" x14ac:dyDescent="0.3">
      <c r="A1271" t="s">
        <v>35</v>
      </c>
      <c r="B1271" t="s">
        <v>882</v>
      </c>
      <c r="C1271">
        <v>191</v>
      </c>
      <c r="D1271" t="s">
        <v>759</v>
      </c>
      <c r="E1271" t="s">
        <v>154</v>
      </c>
      <c r="F1271" t="s">
        <v>99</v>
      </c>
    </row>
    <row r="1272" spans="1:6" s="5" customFormat="1" x14ac:dyDescent="0.3">
      <c r="A1272" s="5" t="s">
        <v>37</v>
      </c>
      <c r="B1272" s="5" t="s">
        <v>880</v>
      </c>
      <c r="C1272" s="5">
        <v>4</v>
      </c>
      <c r="D1272" s="5" t="s">
        <v>211</v>
      </c>
      <c r="E1272" s="5" t="s">
        <v>99</v>
      </c>
      <c r="F1272" s="5" t="s">
        <v>99</v>
      </c>
    </row>
    <row r="1273" spans="1:6" x14ac:dyDescent="0.3">
      <c r="A1273" t="s">
        <v>37</v>
      </c>
      <c r="B1273" t="s">
        <v>881</v>
      </c>
      <c r="C1273">
        <v>78</v>
      </c>
      <c r="D1273" t="s">
        <v>989</v>
      </c>
      <c r="E1273" t="s">
        <v>132</v>
      </c>
      <c r="F1273" t="s">
        <v>99</v>
      </c>
    </row>
    <row r="1274" spans="1:6" x14ac:dyDescent="0.3">
      <c r="A1274" t="s">
        <v>37</v>
      </c>
      <c r="B1274" t="s">
        <v>882</v>
      </c>
      <c r="C1274">
        <v>616</v>
      </c>
      <c r="D1274" t="s">
        <v>970</v>
      </c>
      <c r="E1274" t="s">
        <v>141</v>
      </c>
      <c r="F1274" t="s">
        <v>99</v>
      </c>
    </row>
    <row r="1275" spans="1:6" s="5" customFormat="1" x14ac:dyDescent="0.3">
      <c r="A1275" s="5" t="s">
        <v>36</v>
      </c>
      <c r="B1275" s="5" t="s">
        <v>880</v>
      </c>
      <c r="C1275" s="5">
        <v>1</v>
      </c>
      <c r="D1275" s="5" t="s">
        <v>211</v>
      </c>
      <c r="E1275" s="5" t="s">
        <v>99</v>
      </c>
      <c r="F1275" s="5" t="s">
        <v>99</v>
      </c>
    </row>
    <row r="1276" spans="1:6" s="5" customFormat="1" x14ac:dyDescent="0.3">
      <c r="A1276" s="5" t="s">
        <v>36</v>
      </c>
      <c r="B1276" s="5" t="s">
        <v>881</v>
      </c>
      <c r="C1276" s="5">
        <v>16</v>
      </c>
      <c r="D1276" s="5" t="s">
        <v>957</v>
      </c>
      <c r="E1276" s="5" t="s">
        <v>99</v>
      </c>
      <c r="F1276" s="5" t="s">
        <v>1002</v>
      </c>
    </row>
    <row r="1277" spans="1:6" x14ac:dyDescent="0.3">
      <c r="A1277" t="s">
        <v>36</v>
      </c>
      <c r="B1277" t="s">
        <v>882</v>
      </c>
      <c r="C1277">
        <v>140</v>
      </c>
      <c r="D1277" t="s">
        <v>996</v>
      </c>
      <c r="E1277" t="s">
        <v>115</v>
      </c>
      <c r="F1277" t="s">
        <v>99</v>
      </c>
    </row>
    <row r="1278" spans="1:6" s="5" customFormat="1" x14ac:dyDescent="0.3">
      <c r="A1278" s="5" t="s">
        <v>34</v>
      </c>
      <c r="B1278" s="5" t="s">
        <v>881</v>
      </c>
      <c r="C1278" s="5">
        <v>6</v>
      </c>
      <c r="D1278" s="5" t="s">
        <v>211</v>
      </c>
      <c r="E1278" s="5" t="s">
        <v>99</v>
      </c>
      <c r="F1278" s="5" t="s">
        <v>99</v>
      </c>
    </row>
    <row r="1279" spans="1:6" s="5" customFormat="1" x14ac:dyDescent="0.3">
      <c r="A1279" s="5" t="s">
        <v>34</v>
      </c>
      <c r="B1279" s="5" t="s">
        <v>882</v>
      </c>
      <c r="C1279" s="5">
        <v>11</v>
      </c>
      <c r="D1279" s="5" t="s">
        <v>217</v>
      </c>
      <c r="E1279" s="5" t="s">
        <v>218</v>
      </c>
      <c r="F1279" s="5" t="s">
        <v>99</v>
      </c>
    </row>
    <row r="1280" spans="1:6" s="5" customFormat="1" x14ac:dyDescent="0.3">
      <c r="A1280" s="5" t="s">
        <v>33</v>
      </c>
      <c r="B1280" s="5" t="s">
        <v>880</v>
      </c>
      <c r="C1280" s="5">
        <v>1</v>
      </c>
      <c r="D1280" s="5" t="s">
        <v>211</v>
      </c>
      <c r="E1280" s="5" t="s">
        <v>99</v>
      </c>
      <c r="F1280" s="5" t="s">
        <v>99</v>
      </c>
    </row>
    <row r="1281" spans="1:6" s="5" customFormat="1" x14ac:dyDescent="0.3">
      <c r="A1281" s="5" t="s">
        <v>33</v>
      </c>
      <c r="B1281" s="5" t="s">
        <v>881</v>
      </c>
      <c r="C1281" s="5">
        <v>27</v>
      </c>
      <c r="D1281" s="5" t="s">
        <v>776</v>
      </c>
      <c r="E1281" s="5" t="s">
        <v>155</v>
      </c>
      <c r="F1281" s="5" t="s">
        <v>99</v>
      </c>
    </row>
    <row r="1282" spans="1:6" x14ac:dyDescent="0.3">
      <c r="A1282" t="s">
        <v>33</v>
      </c>
      <c r="B1282" t="s">
        <v>882</v>
      </c>
      <c r="C1282">
        <v>132</v>
      </c>
      <c r="D1282" t="s">
        <v>404</v>
      </c>
      <c r="E1282" t="s">
        <v>157</v>
      </c>
      <c r="F1282" t="s">
        <v>99</v>
      </c>
    </row>
    <row r="1283" spans="1:6" s="5" customFormat="1" x14ac:dyDescent="0.3">
      <c r="A1283" s="5" t="s">
        <v>49</v>
      </c>
      <c r="B1283" s="5" t="s">
        <v>880</v>
      </c>
      <c r="C1283" s="5">
        <v>6</v>
      </c>
      <c r="D1283" s="5" t="s">
        <v>211</v>
      </c>
      <c r="E1283" s="5" t="s">
        <v>99</v>
      </c>
      <c r="F1283" s="5" t="s">
        <v>99</v>
      </c>
    </row>
    <row r="1284" spans="1:6" x14ac:dyDescent="0.3">
      <c r="A1284" t="s">
        <v>49</v>
      </c>
      <c r="B1284" t="s">
        <v>881</v>
      </c>
      <c r="C1284">
        <v>151</v>
      </c>
      <c r="D1284" t="s">
        <v>961</v>
      </c>
      <c r="E1284" t="s">
        <v>184</v>
      </c>
      <c r="F1284" t="s">
        <v>292</v>
      </c>
    </row>
    <row r="1285" spans="1:6" x14ac:dyDescent="0.3">
      <c r="A1285" t="s">
        <v>49</v>
      </c>
      <c r="B1285" t="s">
        <v>882</v>
      </c>
      <c r="C1285">
        <v>1090</v>
      </c>
      <c r="D1285" t="s">
        <v>438</v>
      </c>
      <c r="E1285" t="s">
        <v>123</v>
      </c>
      <c r="F1285" t="s">
        <v>99</v>
      </c>
    </row>
    <row r="1287" spans="1:6" x14ac:dyDescent="0.3">
      <c r="A1287" t="s">
        <v>1003</v>
      </c>
    </row>
    <row r="1288" spans="1:6" x14ac:dyDescent="0.3">
      <c r="A1288" t="s">
        <v>44</v>
      </c>
      <c r="B1288" t="s">
        <v>257</v>
      </c>
      <c r="C1288" t="s">
        <v>32</v>
      </c>
      <c r="D1288" t="s">
        <v>66</v>
      </c>
      <c r="E1288" t="s">
        <v>67</v>
      </c>
      <c r="F1288" t="s">
        <v>352</v>
      </c>
    </row>
    <row r="1289" spans="1:6" x14ac:dyDescent="0.3">
      <c r="A1289" t="s">
        <v>35</v>
      </c>
      <c r="B1289" t="s">
        <v>258</v>
      </c>
      <c r="C1289">
        <v>203</v>
      </c>
      <c r="D1289" t="s">
        <v>468</v>
      </c>
      <c r="E1289" t="s">
        <v>467</v>
      </c>
      <c r="F1289" t="s">
        <v>99</v>
      </c>
    </row>
    <row r="1290" spans="1:6" s="5" customFormat="1" x14ac:dyDescent="0.3">
      <c r="A1290" s="5" t="s">
        <v>35</v>
      </c>
      <c r="B1290" s="5" t="s">
        <v>260</v>
      </c>
      <c r="C1290" s="5">
        <v>12</v>
      </c>
      <c r="D1290" s="5" t="s">
        <v>671</v>
      </c>
      <c r="E1290" s="5" t="s">
        <v>359</v>
      </c>
      <c r="F1290" s="5" t="s">
        <v>99</v>
      </c>
    </row>
    <row r="1291" spans="1:6" x14ac:dyDescent="0.3">
      <c r="A1291" t="s">
        <v>37</v>
      </c>
      <c r="B1291" t="s">
        <v>258</v>
      </c>
      <c r="C1291">
        <v>698</v>
      </c>
      <c r="D1291" t="s">
        <v>141</v>
      </c>
      <c r="E1291" t="s">
        <v>970</v>
      </c>
      <c r="F1291" t="s">
        <v>99</v>
      </c>
    </row>
    <row r="1292" spans="1:6" x14ac:dyDescent="0.3">
      <c r="A1292" t="s">
        <v>36</v>
      </c>
      <c r="B1292" t="s">
        <v>258</v>
      </c>
      <c r="C1292">
        <v>155</v>
      </c>
      <c r="D1292" t="s">
        <v>253</v>
      </c>
      <c r="E1292" t="s">
        <v>358</v>
      </c>
      <c r="F1292" t="s">
        <v>277</v>
      </c>
    </row>
    <row r="1293" spans="1:6" s="5" customFormat="1" x14ac:dyDescent="0.3">
      <c r="A1293" s="5" t="s">
        <v>36</v>
      </c>
      <c r="B1293" s="5" t="s">
        <v>260</v>
      </c>
      <c r="C1293" s="5">
        <v>2</v>
      </c>
      <c r="D1293" s="5" t="s">
        <v>99</v>
      </c>
      <c r="E1293" s="5" t="s">
        <v>211</v>
      </c>
      <c r="F1293" s="5" t="s">
        <v>99</v>
      </c>
    </row>
    <row r="1294" spans="1:6" s="5" customFormat="1" x14ac:dyDescent="0.3">
      <c r="A1294" s="5" t="s">
        <v>34</v>
      </c>
      <c r="B1294" s="5" t="s">
        <v>258</v>
      </c>
      <c r="C1294" s="5">
        <v>8</v>
      </c>
      <c r="D1294" s="5" t="s">
        <v>99</v>
      </c>
      <c r="E1294" s="5" t="s">
        <v>211</v>
      </c>
      <c r="F1294" s="5" t="s">
        <v>99</v>
      </c>
    </row>
    <row r="1295" spans="1:6" s="5" customFormat="1" x14ac:dyDescent="0.3">
      <c r="A1295" s="5" t="s">
        <v>34</v>
      </c>
      <c r="B1295" s="5" t="s">
        <v>260</v>
      </c>
      <c r="C1295" s="5">
        <v>9</v>
      </c>
      <c r="D1295" s="5" t="s">
        <v>289</v>
      </c>
      <c r="E1295" s="5" t="s">
        <v>417</v>
      </c>
      <c r="F1295" s="5" t="s">
        <v>99</v>
      </c>
    </row>
    <row r="1296" spans="1:6" x14ac:dyDescent="0.3">
      <c r="A1296" t="s">
        <v>33</v>
      </c>
      <c r="B1296" t="s">
        <v>258</v>
      </c>
      <c r="C1296">
        <v>160</v>
      </c>
      <c r="D1296" t="s">
        <v>157</v>
      </c>
      <c r="E1296" t="s">
        <v>404</v>
      </c>
      <c r="F1296" t="s">
        <v>99</v>
      </c>
    </row>
    <row r="1297" spans="1:7" x14ac:dyDescent="0.3">
      <c r="A1297" t="s">
        <v>49</v>
      </c>
      <c r="B1297" t="s">
        <v>258</v>
      </c>
      <c r="C1297">
        <v>1224</v>
      </c>
      <c r="D1297" t="s">
        <v>111</v>
      </c>
      <c r="E1297" t="s">
        <v>851</v>
      </c>
      <c r="F1297" t="s">
        <v>198</v>
      </c>
    </row>
    <row r="1298" spans="1:7" s="5" customFormat="1" x14ac:dyDescent="0.3">
      <c r="A1298" s="5" t="s">
        <v>49</v>
      </c>
      <c r="B1298" s="5" t="s">
        <v>260</v>
      </c>
      <c r="C1298" s="5">
        <v>23</v>
      </c>
      <c r="D1298" s="5" t="s">
        <v>171</v>
      </c>
      <c r="E1298" s="5" t="s">
        <v>172</v>
      </c>
      <c r="F1298" s="5" t="s">
        <v>99</v>
      </c>
    </row>
    <row r="1300" spans="1:7" x14ac:dyDescent="0.3">
      <c r="A1300" t="s">
        <v>1004</v>
      </c>
    </row>
    <row r="1301" spans="1:7" x14ac:dyDescent="0.3">
      <c r="A1301" t="s">
        <v>44</v>
      </c>
      <c r="B1301" t="s">
        <v>32</v>
      </c>
      <c r="C1301" t="s">
        <v>67</v>
      </c>
      <c r="D1301" t="s">
        <v>352</v>
      </c>
      <c r="E1301" t="s">
        <v>66</v>
      </c>
      <c r="F1301" t="s">
        <v>193</v>
      </c>
    </row>
    <row r="1302" spans="1:7" x14ac:dyDescent="0.3">
      <c r="A1302" t="s">
        <v>35</v>
      </c>
      <c r="B1302">
        <v>224</v>
      </c>
      <c r="C1302" t="s">
        <v>966</v>
      </c>
      <c r="D1302" t="s">
        <v>104</v>
      </c>
      <c r="E1302" t="s">
        <v>313</v>
      </c>
      <c r="F1302" t="s">
        <v>136</v>
      </c>
    </row>
    <row r="1303" spans="1:7" x14ac:dyDescent="0.3">
      <c r="A1303" t="s">
        <v>37</v>
      </c>
      <c r="B1303">
        <v>66</v>
      </c>
      <c r="C1303" t="s">
        <v>225</v>
      </c>
      <c r="D1303" t="s">
        <v>99</v>
      </c>
      <c r="E1303" t="s">
        <v>114</v>
      </c>
      <c r="F1303" t="s">
        <v>99</v>
      </c>
    </row>
    <row r="1304" spans="1:7" x14ac:dyDescent="0.3">
      <c r="A1304" t="s">
        <v>36</v>
      </c>
      <c r="B1304">
        <v>435</v>
      </c>
      <c r="C1304" t="s">
        <v>362</v>
      </c>
      <c r="D1304" t="s">
        <v>99</v>
      </c>
      <c r="E1304" t="s">
        <v>664</v>
      </c>
      <c r="F1304" t="s">
        <v>99</v>
      </c>
    </row>
    <row r="1305" spans="1:7" x14ac:dyDescent="0.3">
      <c r="A1305" t="s">
        <v>34</v>
      </c>
      <c r="B1305">
        <v>647</v>
      </c>
      <c r="C1305" t="s">
        <v>845</v>
      </c>
      <c r="D1305" t="s">
        <v>136</v>
      </c>
      <c r="E1305" t="s">
        <v>222</v>
      </c>
      <c r="F1305" t="s">
        <v>99</v>
      </c>
    </row>
    <row r="1306" spans="1:7" x14ac:dyDescent="0.3">
      <c r="A1306" t="s">
        <v>33</v>
      </c>
      <c r="B1306">
        <v>74</v>
      </c>
      <c r="C1306" t="s">
        <v>211</v>
      </c>
      <c r="D1306" t="s">
        <v>99</v>
      </c>
      <c r="E1306" t="s">
        <v>99</v>
      </c>
      <c r="F1306" t="s">
        <v>99</v>
      </c>
    </row>
    <row r="1307" spans="1:7" x14ac:dyDescent="0.3">
      <c r="A1307" t="s">
        <v>49</v>
      </c>
      <c r="B1307">
        <v>1446</v>
      </c>
      <c r="C1307" t="s">
        <v>873</v>
      </c>
      <c r="D1307" t="s">
        <v>198</v>
      </c>
      <c r="E1307" t="s">
        <v>262</v>
      </c>
      <c r="F1307" t="s">
        <v>104</v>
      </c>
    </row>
    <row r="1309" spans="1:7" x14ac:dyDescent="0.3">
      <c r="A1309" t="s">
        <v>1005</v>
      </c>
    </row>
    <row r="1310" spans="1:7" x14ac:dyDescent="0.3">
      <c r="A1310" t="s">
        <v>44</v>
      </c>
      <c r="B1310" t="s">
        <v>847</v>
      </c>
      <c r="C1310" t="s">
        <v>32</v>
      </c>
      <c r="D1310" t="s">
        <v>67</v>
      </c>
      <c r="E1310" t="s">
        <v>66</v>
      </c>
      <c r="F1310" t="s">
        <v>352</v>
      </c>
      <c r="G1310" t="s">
        <v>193</v>
      </c>
    </row>
    <row r="1311" spans="1:7" s="5" customFormat="1" x14ac:dyDescent="0.3">
      <c r="A1311" s="5" t="s">
        <v>35</v>
      </c>
      <c r="B1311" s="5" t="s">
        <v>848</v>
      </c>
      <c r="C1311" s="5">
        <v>4</v>
      </c>
      <c r="D1311" s="5" t="s">
        <v>966</v>
      </c>
      <c r="E1311" s="5" t="s">
        <v>315</v>
      </c>
      <c r="F1311" s="5" t="s">
        <v>99</v>
      </c>
      <c r="G1311" s="5" t="s">
        <v>99</v>
      </c>
    </row>
    <row r="1312" spans="1:7" s="5" customFormat="1" x14ac:dyDescent="0.3">
      <c r="A1312" s="5" t="s">
        <v>35</v>
      </c>
      <c r="B1312" s="5" t="s">
        <v>850</v>
      </c>
      <c r="C1312" s="5">
        <v>2</v>
      </c>
      <c r="D1312" s="5" t="s">
        <v>211</v>
      </c>
      <c r="E1312" s="5" t="s">
        <v>99</v>
      </c>
      <c r="F1312" s="5" t="s">
        <v>99</v>
      </c>
      <c r="G1312" s="5" t="s">
        <v>99</v>
      </c>
    </row>
    <row r="1313" spans="1:7" x14ac:dyDescent="0.3">
      <c r="A1313" t="s">
        <v>35</v>
      </c>
      <c r="B1313" t="s">
        <v>365</v>
      </c>
      <c r="C1313">
        <v>218</v>
      </c>
      <c r="D1313" t="s">
        <v>409</v>
      </c>
      <c r="E1313" t="s">
        <v>165</v>
      </c>
      <c r="F1313" t="s">
        <v>104</v>
      </c>
      <c r="G1313" t="s">
        <v>136</v>
      </c>
    </row>
    <row r="1314" spans="1:7" s="5" customFormat="1" x14ac:dyDescent="0.3">
      <c r="A1314" s="5" t="s">
        <v>37</v>
      </c>
      <c r="B1314" s="5" t="s">
        <v>848</v>
      </c>
      <c r="C1314" s="5">
        <v>2</v>
      </c>
      <c r="D1314" s="5" t="s">
        <v>616</v>
      </c>
      <c r="E1314" s="5" t="s">
        <v>938</v>
      </c>
      <c r="F1314" s="5" t="s">
        <v>99</v>
      </c>
      <c r="G1314" s="5" t="s">
        <v>99</v>
      </c>
    </row>
    <row r="1315" spans="1:7" s="5" customFormat="1" x14ac:dyDescent="0.3">
      <c r="A1315" s="5" t="s">
        <v>37</v>
      </c>
      <c r="B1315" s="5" t="s">
        <v>852</v>
      </c>
      <c r="C1315" s="5">
        <v>1</v>
      </c>
      <c r="D1315" s="5" t="s">
        <v>211</v>
      </c>
      <c r="E1315" s="5" t="s">
        <v>99</v>
      </c>
      <c r="F1315" s="5" t="s">
        <v>99</v>
      </c>
      <c r="G1315" s="5" t="s">
        <v>99</v>
      </c>
    </row>
    <row r="1316" spans="1:7" x14ac:dyDescent="0.3">
      <c r="A1316" t="s">
        <v>37</v>
      </c>
      <c r="B1316" t="s">
        <v>365</v>
      </c>
      <c r="C1316">
        <v>63</v>
      </c>
      <c r="D1316" t="s">
        <v>211</v>
      </c>
      <c r="E1316" t="s">
        <v>99</v>
      </c>
      <c r="F1316" t="s">
        <v>99</v>
      </c>
      <c r="G1316" t="s">
        <v>99</v>
      </c>
    </row>
    <row r="1317" spans="1:7" s="5" customFormat="1" x14ac:dyDescent="0.3">
      <c r="A1317" s="5" t="s">
        <v>36</v>
      </c>
      <c r="B1317" s="5" t="s">
        <v>848</v>
      </c>
      <c r="C1317" s="5">
        <v>7</v>
      </c>
      <c r="D1317" s="5" t="s">
        <v>211</v>
      </c>
      <c r="E1317" s="5" t="s">
        <v>99</v>
      </c>
      <c r="F1317" s="5" t="s">
        <v>99</v>
      </c>
      <c r="G1317" s="5" t="s">
        <v>99</v>
      </c>
    </row>
    <row r="1318" spans="1:7" s="5" customFormat="1" x14ac:dyDescent="0.3">
      <c r="A1318" s="5" t="s">
        <v>36</v>
      </c>
      <c r="B1318" s="5" t="s">
        <v>850</v>
      </c>
      <c r="C1318" s="5">
        <v>1</v>
      </c>
      <c r="D1318" s="5" t="s">
        <v>211</v>
      </c>
      <c r="E1318" s="5" t="s">
        <v>99</v>
      </c>
      <c r="F1318" s="5" t="s">
        <v>99</v>
      </c>
      <c r="G1318" s="5" t="s">
        <v>99</v>
      </c>
    </row>
    <row r="1319" spans="1:7" s="5" customFormat="1" x14ac:dyDescent="0.3">
      <c r="A1319" s="5" t="s">
        <v>36</v>
      </c>
      <c r="B1319" s="5" t="s">
        <v>852</v>
      </c>
      <c r="C1319" s="5">
        <v>4</v>
      </c>
      <c r="D1319" s="5" t="s">
        <v>211</v>
      </c>
      <c r="E1319" s="5" t="s">
        <v>99</v>
      </c>
      <c r="F1319" s="5" t="s">
        <v>99</v>
      </c>
      <c r="G1319" s="5" t="s">
        <v>99</v>
      </c>
    </row>
    <row r="1320" spans="1:7" x14ac:dyDescent="0.3">
      <c r="A1320" t="s">
        <v>36</v>
      </c>
      <c r="B1320" t="s">
        <v>365</v>
      </c>
      <c r="C1320">
        <v>423</v>
      </c>
      <c r="D1320" t="s">
        <v>329</v>
      </c>
      <c r="E1320" t="s">
        <v>122</v>
      </c>
      <c r="F1320" t="s">
        <v>99</v>
      </c>
      <c r="G1320" t="s">
        <v>99</v>
      </c>
    </row>
    <row r="1321" spans="1:7" s="5" customFormat="1" x14ac:dyDescent="0.3">
      <c r="A1321" s="5" t="s">
        <v>34</v>
      </c>
      <c r="B1321" s="5" t="s">
        <v>848</v>
      </c>
      <c r="C1321" s="5">
        <v>4</v>
      </c>
      <c r="D1321" s="5" t="s">
        <v>618</v>
      </c>
      <c r="E1321" s="5" t="s">
        <v>619</v>
      </c>
      <c r="F1321" s="5" t="s">
        <v>99</v>
      </c>
      <c r="G1321" s="5" t="s">
        <v>99</v>
      </c>
    </row>
    <row r="1322" spans="1:7" s="5" customFormat="1" x14ac:dyDescent="0.3">
      <c r="A1322" s="5" t="s">
        <v>34</v>
      </c>
      <c r="B1322" s="5" t="s">
        <v>850</v>
      </c>
      <c r="C1322" s="5">
        <v>6</v>
      </c>
      <c r="D1322" s="5" t="s">
        <v>221</v>
      </c>
      <c r="E1322" s="5" t="s">
        <v>222</v>
      </c>
      <c r="F1322" s="5" t="s">
        <v>99</v>
      </c>
      <c r="G1322" s="5" t="s">
        <v>99</v>
      </c>
    </row>
    <row r="1323" spans="1:7" s="5" customFormat="1" x14ac:dyDescent="0.3">
      <c r="A1323" s="5" t="s">
        <v>34</v>
      </c>
      <c r="B1323" s="5" t="s">
        <v>852</v>
      </c>
      <c r="C1323" s="5">
        <v>3</v>
      </c>
      <c r="D1323" s="5" t="s">
        <v>211</v>
      </c>
      <c r="E1323" s="5" t="s">
        <v>99</v>
      </c>
      <c r="F1323" s="5" t="s">
        <v>99</v>
      </c>
      <c r="G1323" s="5" t="s">
        <v>99</v>
      </c>
    </row>
    <row r="1324" spans="1:7" s="5" customFormat="1" x14ac:dyDescent="0.3">
      <c r="A1324" s="5" t="s">
        <v>34</v>
      </c>
      <c r="B1324" s="5" t="s">
        <v>853</v>
      </c>
      <c r="C1324" s="5">
        <v>3</v>
      </c>
      <c r="D1324" s="5" t="s">
        <v>1006</v>
      </c>
      <c r="E1324" s="5" t="s">
        <v>584</v>
      </c>
      <c r="F1324" s="5" t="s">
        <v>99</v>
      </c>
      <c r="G1324" s="5" t="s">
        <v>99</v>
      </c>
    </row>
    <row r="1325" spans="1:7" x14ac:dyDescent="0.3">
      <c r="A1325" t="s">
        <v>34</v>
      </c>
      <c r="B1325" t="s">
        <v>365</v>
      </c>
      <c r="C1325">
        <v>631</v>
      </c>
      <c r="D1325" t="s">
        <v>1007</v>
      </c>
      <c r="E1325" t="s">
        <v>714</v>
      </c>
      <c r="F1325" t="s">
        <v>136</v>
      </c>
      <c r="G1325" t="s">
        <v>99</v>
      </c>
    </row>
    <row r="1326" spans="1:7" s="5" customFormat="1" x14ac:dyDescent="0.3">
      <c r="A1326" s="5" t="s">
        <v>33</v>
      </c>
      <c r="B1326" s="5" t="s">
        <v>848</v>
      </c>
      <c r="C1326" s="5">
        <v>1</v>
      </c>
      <c r="D1326" s="5" t="s">
        <v>211</v>
      </c>
      <c r="E1326" s="5" t="s">
        <v>99</v>
      </c>
      <c r="F1326" s="5" t="s">
        <v>99</v>
      </c>
      <c r="G1326" s="5" t="s">
        <v>99</v>
      </c>
    </row>
    <row r="1327" spans="1:7" s="5" customFormat="1" x14ac:dyDescent="0.3">
      <c r="A1327" s="5" t="s">
        <v>33</v>
      </c>
      <c r="B1327" s="5" t="s">
        <v>850</v>
      </c>
      <c r="C1327" s="5">
        <v>1</v>
      </c>
      <c r="D1327" s="5" t="s">
        <v>211</v>
      </c>
      <c r="E1327" s="5" t="s">
        <v>99</v>
      </c>
      <c r="F1327" s="5" t="s">
        <v>99</v>
      </c>
      <c r="G1327" s="5" t="s">
        <v>99</v>
      </c>
    </row>
    <row r="1328" spans="1:7" x14ac:dyDescent="0.3">
      <c r="A1328" t="s">
        <v>33</v>
      </c>
      <c r="B1328" t="s">
        <v>365</v>
      </c>
      <c r="C1328">
        <v>72</v>
      </c>
      <c r="D1328" t="s">
        <v>211</v>
      </c>
      <c r="E1328" t="s">
        <v>99</v>
      </c>
      <c r="F1328" t="s">
        <v>99</v>
      </c>
      <c r="G1328" t="s">
        <v>99</v>
      </c>
    </row>
    <row r="1329" spans="1:7" s="5" customFormat="1" x14ac:dyDescent="0.3">
      <c r="A1329" s="5" t="s">
        <v>49</v>
      </c>
      <c r="B1329" s="5" t="s">
        <v>848</v>
      </c>
      <c r="C1329" s="5">
        <v>18</v>
      </c>
      <c r="D1329" s="5" t="s">
        <v>259</v>
      </c>
      <c r="E1329" s="5" t="s">
        <v>1008</v>
      </c>
      <c r="F1329" s="5" t="s">
        <v>99</v>
      </c>
      <c r="G1329" s="5" t="s">
        <v>99</v>
      </c>
    </row>
    <row r="1330" spans="1:7" s="5" customFormat="1" x14ac:dyDescent="0.3">
      <c r="A1330" s="5" t="s">
        <v>49</v>
      </c>
      <c r="B1330" s="5" t="s">
        <v>850</v>
      </c>
      <c r="C1330" s="5">
        <v>10</v>
      </c>
      <c r="D1330" s="5" t="s">
        <v>293</v>
      </c>
      <c r="E1330" s="5" t="s">
        <v>470</v>
      </c>
      <c r="F1330" s="5" t="s">
        <v>99</v>
      </c>
      <c r="G1330" s="5" t="s">
        <v>99</v>
      </c>
    </row>
    <row r="1331" spans="1:7" s="5" customFormat="1" x14ac:dyDescent="0.3">
      <c r="A1331" s="5" t="s">
        <v>49</v>
      </c>
      <c r="B1331" s="5" t="s">
        <v>852</v>
      </c>
      <c r="C1331" s="5">
        <v>8</v>
      </c>
      <c r="D1331" s="5" t="s">
        <v>211</v>
      </c>
      <c r="E1331" s="5" t="s">
        <v>99</v>
      </c>
      <c r="F1331" s="5" t="s">
        <v>99</v>
      </c>
      <c r="G1331" s="5" t="s">
        <v>99</v>
      </c>
    </row>
    <row r="1332" spans="1:7" s="5" customFormat="1" x14ac:dyDescent="0.3">
      <c r="A1332" s="5" t="s">
        <v>49</v>
      </c>
      <c r="B1332" s="5" t="s">
        <v>853</v>
      </c>
      <c r="C1332" s="5">
        <v>3</v>
      </c>
      <c r="D1332" s="5" t="s">
        <v>1006</v>
      </c>
      <c r="E1332" s="5" t="s">
        <v>584</v>
      </c>
      <c r="F1332" s="5" t="s">
        <v>99</v>
      </c>
      <c r="G1332" s="5" t="s">
        <v>99</v>
      </c>
    </row>
    <row r="1333" spans="1:7" x14ac:dyDescent="0.3">
      <c r="A1333" t="s">
        <v>49</v>
      </c>
      <c r="B1333" t="s">
        <v>365</v>
      </c>
      <c r="C1333">
        <v>1407</v>
      </c>
      <c r="D1333" t="s">
        <v>889</v>
      </c>
      <c r="E1333" t="s">
        <v>251</v>
      </c>
      <c r="F1333" t="s">
        <v>198</v>
      </c>
      <c r="G1333" t="s">
        <v>104</v>
      </c>
    </row>
    <row r="1335" spans="1:7" x14ac:dyDescent="0.3">
      <c r="A1335" t="s">
        <v>1009</v>
      </c>
    </row>
    <row r="1336" spans="1:7" x14ac:dyDescent="0.3">
      <c r="A1336" t="s">
        <v>44</v>
      </c>
      <c r="B1336" t="s">
        <v>235</v>
      </c>
      <c r="C1336" t="s">
        <v>32</v>
      </c>
      <c r="D1336" t="s">
        <v>67</v>
      </c>
      <c r="E1336" t="s">
        <v>352</v>
      </c>
      <c r="F1336" t="s">
        <v>66</v>
      </c>
      <c r="G1336" t="s">
        <v>193</v>
      </c>
    </row>
    <row r="1337" spans="1:7" x14ac:dyDescent="0.3">
      <c r="A1337" t="s">
        <v>35</v>
      </c>
      <c r="B1337" t="s">
        <v>236</v>
      </c>
      <c r="C1337">
        <v>97</v>
      </c>
      <c r="D1337" t="s">
        <v>433</v>
      </c>
      <c r="E1337" t="s">
        <v>141</v>
      </c>
      <c r="F1337" t="s">
        <v>134</v>
      </c>
      <c r="G1337" t="s">
        <v>99</v>
      </c>
    </row>
    <row r="1338" spans="1:7" x14ac:dyDescent="0.3">
      <c r="A1338" t="s">
        <v>35</v>
      </c>
      <c r="B1338" t="s">
        <v>238</v>
      </c>
      <c r="C1338">
        <v>127</v>
      </c>
      <c r="D1338" t="s">
        <v>1010</v>
      </c>
      <c r="E1338" t="s">
        <v>99</v>
      </c>
      <c r="F1338" t="s">
        <v>721</v>
      </c>
      <c r="G1338" t="s">
        <v>141</v>
      </c>
    </row>
    <row r="1339" spans="1:7" x14ac:dyDescent="0.3">
      <c r="A1339" t="s">
        <v>37</v>
      </c>
      <c r="B1339" t="s">
        <v>236</v>
      </c>
      <c r="C1339">
        <v>35</v>
      </c>
      <c r="D1339" t="s">
        <v>211</v>
      </c>
      <c r="E1339" t="s">
        <v>99</v>
      </c>
      <c r="F1339" t="s">
        <v>99</v>
      </c>
      <c r="G1339" t="s">
        <v>99</v>
      </c>
    </row>
    <row r="1340" spans="1:7" x14ac:dyDescent="0.3">
      <c r="A1340" t="s">
        <v>37</v>
      </c>
      <c r="B1340" t="s">
        <v>238</v>
      </c>
      <c r="C1340">
        <v>31</v>
      </c>
      <c r="D1340" t="s">
        <v>202</v>
      </c>
      <c r="E1340" t="s">
        <v>99</v>
      </c>
      <c r="F1340" t="s">
        <v>111</v>
      </c>
      <c r="G1340" t="s">
        <v>99</v>
      </c>
    </row>
    <row r="1341" spans="1:7" x14ac:dyDescent="0.3">
      <c r="A1341" t="s">
        <v>36</v>
      </c>
      <c r="B1341" t="s">
        <v>236</v>
      </c>
      <c r="C1341">
        <v>306</v>
      </c>
      <c r="D1341" t="s">
        <v>447</v>
      </c>
      <c r="E1341" t="s">
        <v>99</v>
      </c>
      <c r="F1341" t="s">
        <v>206</v>
      </c>
      <c r="G1341" t="s">
        <v>99</v>
      </c>
    </row>
    <row r="1342" spans="1:7" x14ac:dyDescent="0.3">
      <c r="A1342" t="s">
        <v>36</v>
      </c>
      <c r="B1342" t="s">
        <v>238</v>
      </c>
      <c r="C1342">
        <v>129</v>
      </c>
      <c r="D1342" t="s">
        <v>998</v>
      </c>
      <c r="E1342" t="s">
        <v>99</v>
      </c>
      <c r="F1342" t="s">
        <v>107</v>
      </c>
      <c r="G1342" t="s">
        <v>99</v>
      </c>
    </row>
    <row r="1343" spans="1:7" x14ac:dyDescent="0.3">
      <c r="A1343" t="s">
        <v>34</v>
      </c>
      <c r="B1343" t="s">
        <v>236</v>
      </c>
      <c r="C1343">
        <v>238</v>
      </c>
      <c r="D1343" t="s">
        <v>502</v>
      </c>
      <c r="E1343" t="s">
        <v>100</v>
      </c>
      <c r="F1343" t="s">
        <v>811</v>
      </c>
      <c r="G1343" t="s">
        <v>99</v>
      </c>
    </row>
    <row r="1344" spans="1:7" x14ac:dyDescent="0.3">
      <c r="A1344" t="s">
        <v>34</v>
      </c>
      <c r="B1344" t="s">
        <v>238</v>
      </c>
      <c r="C1344">
        <v>409</v>
      </c>
      <c r="D1344" t="s">
        <v>250</v>
      </c>
      <c r="E1344" t="s">
        <v>99</v>
      </c>
      <c r="F1344" t="s">
        <v>251</v>
      </c>
      <c r="G1344" t="s">
        <v>99</v>
      </c>
    </row>
    <row r="1345" spans="1:7" x14ac:dyDescent="0.3">
      <c r="A1345" t="s">
        <v>33</v>
      </c>
      <c r="B1345" t="s">
        <v>236</v>
      </c>
      <c r="C1345">
        <v>40</v>
      </c>
      <c r="D1345" t="s">
        <v>211</v>
      </c>
      <c r="E1345" t="s">
        <v>99</v>
      </c>
      <c r="F1345" t="s">
        <v>99</v>
      </c>
      <c r="G1345" t="s">
        <v>99</v>
      </c>
    </row>
    <row r="1346" spans="1:7" x14ac:dyDescent="0.3">
      <c r="A1346" t="s">
        <v>33</v>
      </c>
      <c r="B1346" t="s">
        <v>238</v>
      </c>
      <c r="C1346">
        <v>34</v>
      </c>
      <c r="D1346" t="s">
        <v>211</v>
      </c>
      <c r="E1346" t="s">
        <v>99</v>
      </c>
      <c r="F1346" t="s">
        <v>99</v>
      </c>
      <c r="G1346" t="s">
        <v>99</v>
      </c>
    </row>
    <row r="1347" spans="1:7" x14ac:dyDescent="0.3">
      <c r="A1347" t="s">
        <v>49</v>
      </c>
      <c r="B1347" t="s">
        <v>236</v>
      </c>
      <c r="C1347">
        <v>716</v>
      </c>
      <c r="D1347" t="s">
        <v>866</v>
      </c>
      <c r="E1347" t="s">
        <v>115</v>
      </c>
      <c r="F1347" t="s">
        <v>708</v>
      </c>
      <c r="G1347" t="s">
        <v>99</v>
      </c>
    </row>
    <row r="1348" spans="1:7" x14ac:dyDescent="0.3">
      <c r="A1348" t="s">
        <v>49</v>
      </c>
      <c r="B1348" t="s">
        <v>238</v>
      </c>
      <c r="C1348">
        <v>730</v>
      </c>
      <c r="D1348" t="s">
        <v>183</v>
      </c>
      <c r="E1348" t="s">
        <v>99</v>
      </c>
      <c r="F1348" t="s">
        <v>125</v>
      </c>
      <c r="G1348" t="s">
        <v>104</v>
      </c>
    </row>
    <row r="1350" spans="1:7" x14ac:dyDescent="0.3">
      <c r="A1350" t="s">
        <v>1011</v>
      </c>
    </row>
    <row r="1351" spans="1:7" x14ac:dyDescent="0.3">
      <c r="A1351" t="s">
        <v>44</v>
      </c>
      <c r="B1351" t="s">
        <v>209</v>
      </c>
      <c r="C1351" t="s">
        <v>32</v>
      </c>
      <c r="D1351" t="s">
        <v>67</v>
      </c>
      <c r="E1351" t="s">
        <v>66</v>
      </c>
      <c r="F1351" t="s">
        <v>352</v>
      </c>
      <c r="G1351" t="s">
        <v>193</v>
      </c>
    </row>
    <row r="1352" spans="1:7" s="5" customFormat="1" x14ac:dyDescent="0.3">
      <c r="A1352" s="5" t="s">
        <v>35</v>
      </c>
      <c r="B1352" s="5" t="s">
        <v>210</v>
      </c>
      <c r="C1352" s="5">
        <v>28</v>
      </c>
      <c r="D1352" s="5" t="s">
        <v>870</v>
      </c>
      <c r="E1352" s="5" t="s">
        <v>811</v>
      </c>
      <c r="F1352" s="5" t="s">
        <v>99</v>
      </c>
      <c r="G1352" s="5" t="s">
        <v>99</v>
      </c>
    </row>
    <row r="1353" spans="1:7" x14ac:dyDescent="0.3">
      <c r="A1353" t="s">
        <v>35</v>
      </c>
      <c r="B1353" t="s">
        <v>212</v>
      </c>
      <c r="C1353">
        <v>111</v>
      </c>
      <c r="D1353" t="s">
        <v>430</v>
      </c>
      <c r="E1353" t="s">
        <v>267</v>
      </c>
      <c r="F1353" t="s">
        <v>198</v>
      </c>
      <c r="G1353" t="s">
        <v>99</v>
      </c>
    </row>
    <row r="1354" spans="1:7" x14ac:dyDescent="0.3">
      <c r="A1354" t="s">
        <v>35</v>
      </c>
      <c r="B1354" t="s">
        <v>216</v>
      </c>
      <c r="C1354">
        <v>85</v>
      </c>
      <c r="D1354" t="s">
        <v>391</v>
      </c>
      <c r="E1354" t="s">
        <v>468</v>
      </c>
      <c r="F1354" t="s">
        <v>99</v>
      </c>
      <c r="G1354" t="s">
        <v>114</v>
      </c>
    </row>
    <row r="1355" spans="1:7" s="5" customFormat="1" x14ac:dyDescent="0.3">
      <c r="A1355" s="5" t="s">
        <v>37</v>
      </c>
      <c r="B1355" s="5" t="s">
        <v>210</v>
      </c>
      <c r="C1355" s="5">
        <v>9</v>
      </c>
      <c r="D1355" s="5" t="s">
        <v>211</v>
      </c>
      <c r="E1355" s="5" t="s">
        <v>99</v>
      </c>
      <c r="F1355" s="5" t="s">
        <v>99</v>
      </c>
      <c r="G1355" s="5" t="s">
        <v>99</v>
      </c>
    </row>
    <row r="1356" spans="1:7" x14ac:dyDescent="0.3">
      <c r="A1356" t="s">
        <v>37</v>
      </c>
      <c r="B1356" t="s">
        <v>212</v>
      </c>
      <c r="C1356">
        <v>53</v>
      </c>
      <c r="D1356" t="s">
        <v>211</v>
      </c>
      <c r="E1356" t="s">
        <v>99</v>
      </c>
      <c r="F1356" t="s">
        <v>99</v>
      </c>
      <c r="G1356" t="s">
        <v>99</v>
      </c>
    </row>
    <row r="1357" spans="1:7" s="5" customFormat="1" x14ac:dyDescent="0.3">
      <c r="A1357" s="5" t="s">
        <v>37</v>
      </c>
      <c r="B1357" s="5" t="s">
        <v>216</v>
      </c>
      <c r="C1357" s="5">
        <v>4</v>
      </c>
      <c r="D1357" s="5" t="s">
        <v>1012</v>
      </c>
      <c r="E1357" s="5" t="s">
        <v>692</v>
      </c>
      <c r="F1357" s="5" t="s">
        <v>99</v>
      </c>
      <c r="G1357" s="5" t="s">
        <v>99</v>
      </c>
    </row>
    <row r="1358" spans="1:7" x14ac:dyDescent="0.3">
      <c r="A1358" t="s">
        <v>36</v>
      </c>
      <c r="B1358" t="s">
        <v>210</v>
      </c>
      <c r="C1358">
        <v>67</v>
      </c>
      <c r="D1358" t="s">
        <v>337</v>
      </c>
      <c r="E1358" t="s">
        <v>474</v>
      </c>
      <c r="F1358" t="s">
        <v>99</v>
      </c>
      <c r="G1358" t="s">
        <v>99</v>
      </c>
    </row>
    <row r="1359" spans="1:7" x14ac:dyDescent="0.3">
      <c r="A1359" t="s">
        <v>36</v>
      </c>
      <c r="B1359" t="s">
        <v>212</v>
      </c>
      <c r="C1359">
        <v>229</v>
      </c>
      <c r="D1359" t="s">
        <v>857</v>
      </c>
      <c r="E1359" t="s">
        <v>142</v>
      </c>
      <c r="F1359" t="s">
        <v>99</v>
      </c>
      <c r="G1359" t="s">
        <v>99</v>
      </c>
    </row>
    <row r="1360" spans="1:7" x14ac:dyDescent="0.3">
      <c r="A1360" t="s">
        <v>36</v>
      </c>
      <c r="B1360" t="s">
        <v>216</v>
      </c>
      <c r="C1360">
        <v>139</v>
      </c>
      <c r="D1360" t="s">
        <v>336</v>
      </c>
      <c r="E1360" t="s">
        <v>138</v>
      </c>
      <c r="F1360" t="s">
        <v>99</v>
      </c>
      <c r="G1360" t="s">
        <v>99</v>
      </c>
    </row>
    <row r="1361" spans="1:7" x14ac:dyDescent="0.3">
      <c r="A1361" t="s">
        <v>34</v>
      </c>
      <c r="B1361" t="s">
        <v>210</v>
      </c>
      <c r="C1361">
        <v>123</v>
      </c>
      <c r="D1361" t="s">
        <v>460</v>
      </c>
      <c r="E1361" t="s">
        <v>38</v>
      </c>
      <c r="F1361" t="s">
        <v>99</v>
      </c>
      <c r="G1361" t="s">
        <v>99</v>
      </c>
    </row>
    <row r="1362" spans="1:7" x14ac:dyDescent="0.3">
      <c r="A1362" t="s">
        <v>34</v>
      </c>
      <c r="B1362" t="s">
        <v>212</v>
      </c>
      <c r="C1362">
        <v>421</v>
      </c>
      <c r="D1362" t="s">
        <v>290</v>
      </c>
      <c r="E1362" t="s">
        <v>222</v>
      </c>
      <c r="F1362" t="s">
        <v>115</v>
      </c>
      <c r="G1362" t="s">
        <v>99</v>
      </c>
    </row>
    <row r="1363" spans="1:7" x14ac:dyDescent="0.3">
      <c r="A1363" t="s">
        <v>34</v>
      </c>
      <c r="B1363" t="s">
        <v>216</v>
      </c>
      <c r="C1363">
        <v>103</v>
      </c>
      <c r="D1363" t="s">
        <v>421</v>
      </c>
      <c r="E1363" t="s">
        <v>41</v>
      </c>
      <c r="F1363" t="s">
        <v>99</v>
      </c>
      <c r="G1363" t="s">
        <v>99</v>
      </c>
    </row>
    <row r="1364" spans="1:7" s="5" customFormat="1" x14ac:dyDescent="0.3">
      <c r="A1364" s="5" t="s">
        <v>33</v>
      </c>
      <c r="B1364" s="5" t="s">
        <v>210</v>
      </c>
      <c r="C1364" s="5">
        <v>12</v>
      </c>
      <c r="D1364" s="5" t="s">
        <v>211</v>
      </c>
      <c r="E1364" s="5" t="s">
        <v>99</v>
      </c>
      <c r="F1364" s="5" t="s">
        <v>99</v>
      </c>
      <c r="G1364" s="5" t="s">
        <v>99</v>
      </c>
    </row>
    <row r="1365" spans="1:7" x14ac:dyDescent="0.3">
      <c r="A1365" t="s">
        <v>33</v>
      </c>
      <c r="B1365" t="s">
        <v>212</v>
      </c>
      <c r="C1365">
        <v>56</v>
      </c>
      <c r="D1365" t="s">
        <v>211</v>
      </c>
      <c r="E1365" t="s">
        <v>99</v>
      </c>
      <c r="F1365" t="s">
        <v>99</v>
      </c>
      <c r="G1365" t="s">
        <v>99</v>
      </c>
    </row>
    <row r="1366" spans="1:7" s="5" customFormat="1" x14ac:dyDescent="0.3">
      <c r="A1366" s="5" t="s">
        <v>33</v>
      </c>
      <c r="B1366" s="5" t="s">
        <v>216</v>
      </c>
      <c r="C1366" s="5">
        <v>6</v>
      </c>
      <c r="D1366" s="5" t="s">
        <v>211</v>
      </c>
      <c r="E1366" s="5" t="s">
        <v>99</v>
      </c>
      <c r="F1366" s="5" t="s">
        <v>99</v>
      </c>
      <c r="G1366" s="5" t="s">
        <v>99</v>
      </c>
    </row>
    <row r="1367" spans="1:7" x14ac:dyDescent="0.3">
      <c r="A1367" t="s">
        <v>49</v>
      </c>
      <c r="B1367" t="s">
        <v>210</v>
      </c>
      <c r="C1367">
        <v>239</v>
      </c>
      <c r="D1367" t="s">
        <v>866</v>
      </c>
      <c r="E1367" t="s">
        <v>746</v>
      </c>
      <c r="F1367" t="s">
        <v>99</v>
      </c>
      <c r="G1367" t="s">
        <v>99</v>
      </c>
    </row>
    <row r="1368" spans="1:7" x14ac:dyDescent="0.3">
      <c r="A1368" t="s">
        <v>49</v>
      </c>
      <c r="B1368" t="s">
        <v>212</v>
      </c>
      <c r="C1368">
        <v>870</v>
      </c>
      <c r="D1368" t="s">
        <v>199</v>
      </c>
      <c r="E1368" t="s">
        <v>716</v>
      </c>
      <c r="F1368" t="s">
        <v>136</v>
      </c>
      <c r="G1368" t="s">
        <v>99</v>
      </c>
    </row>
    <row r="1369" spans="1:7" x14ac:dyDescent="0.3">
      <c r="A1369" t="s">
        <v>49</v>
      </c>
      <c r="B1369" t="s">
        <v>216</v>
      </c>
      <c r="C1369">
        <v>337</v>
      </c>
      <c r="D1369" t="s">
        <v>362</v>
      </c>
      <c r="E1369" t="s">
        <v>109</v>
      </c>
      <c r="F1369" t="s">
        <v>99</v>
      </c>
      <c r="G1369" t="s">
        <v>207</v>
      </c>
    </row>
    <row r="1371" spans="1:7" x14ac:dyDescent="0.3">
      <c r="A1371" t="s">
        <v>1013</v>
      </c>
    </row>
    <row r="1372" spans="1:7" x14ac:dyDescent="0.3">
      <c r="A1372" t="s">
        <v>44</v>
      </c>
      <c r="B1372" t="s">
        <v>388</v>
      </c>
      <c r="C1372" t="s">
        <v>32</v>
      </c>
      <c r="D1372" t="s">
        <v>67</v>
      </c>
      <c r="E1372" t="s">
        <v>352</v>
      </c>
      <c r="F1372" t="s">
        <v>66</v>
      </c>
      <c r="G1372" t="s">
        <v>193</v>
      </c>
    </row>
    <row r="1373" spans="1:7" x14ac:dyDescent="0.3">
      <c r="A1373" t="s">
        <v>35</v>
      </c>
      <c r="B1373" t="s">
        <v>389</v>
      </c>
      <c r="C1373">
        <v>162</v>
      </c>
      <c r="D1373" t="s">
        <v>288</v>
      </c>
      <c r="E1373" t="s">
        <v>198</v>
      </c>
      <c r="F1373" t="s">
        <v>218</v>
      </c>
      <c r="G1373" t="s">
        <v>141</v>
      </c>
    </row>
    <row r="1374" spans="1:7" x14ac:dyDescent="0.3">
      <c r="A1374" t="s">
        <v>35</v>
      </c>
      <c r="B1374" t="s">
        <v>390</v>
      </c>
      <c r="C1374">
        <v>57</v>
      </c>
      <c r="D1374" t="s">
        <v>337</v>
      </c>
      <c r="E1374" t="s">
        <v>99</v>
      </c>
      <c r="F1374" t="s">
        <v>474</v>
      </c>
      <c r="G1374" t="s">
        <v>99</v>
      </c>
    </row>
    <row r="1375" spans="1:7" x14ac:dyDescent="0.3">
      <c r="A1375" t="s">
        <v>35</v>
      </c>
      <c r="B1375" t="s">
        <v>365</v>
      </c>
      <c r="C1375">
        <v>5</v>
      </c>
      <c r="D1375" t="s">
        <v>870</v>
      </c>
      <c r="E1375" t="s">
        <v>99</v>
      </c>
      <c r="F1375" t="s">
        <v>811</v>
      </c>
      <c r="G1375" t="s">
        <v>99</v>
      </c>
    </row>
    <row r="1376" spans="1:7" x14ac:dyDescent="0.3">
      <c r="A1376" t="s">
        <v>37</v>
      </c>
      <c r="B1376" t="s">
        <v>389</v>
      </c>
      <c r="C1376">
        <v>54</v>
      </c>
      <c r="D1376" t="s">
        <v>999</v>
      </c>
      <c r="E1376" t="s">
        <v>99</v>
      </c>
      <c r="F1376" t="s">
        <v>101</v>
      </c>
      <c r="G1376" t="s">
        <v>99</v>
      </c>
    </row>
    <row r="1377" spans="1:7" s="5" customFormat="1" x14ac:dyDescent="0.3">
      <c r="A1377" s="5" t="s">
        <v>37</v>
      </c>
      <c r="B1377" s="5" t="s">
        <v>390</v>
      </c>
      <c r="C1377" s="5">
        <v>11</v>
      </c>
      <c r="D1377" s="5" t="s">
        <v>211</v>
      </c>
      <c r="E1377" s="5" t="s">
        <v>99</v>
      </c>
      <c r="F1377" s="5" t="s">
        <v>99</v>
      </c>
      <c r="G1377" s="5" t="s">
        <v>99</v>
      </c>
    </row>
    <row r="1378" spans="1:7" x14ac:dyDescent="0.3">
      <c r="A1378" t="s">
        <v>37</v>
      </c>
      <c r="B1378" t="s">
        <v>365</v>
      </c>
      <c r="C1378">
        <v>1</v>
      </c>
      <c r="D1378" t="s">
        <v>211</v>
      </c>
      <c r="E1378" t="s">
        <v>99</v>
      </c>
      <c r="F1378" t="s">
        <v>99</v>
      </c>
      <c r="G1378" t="s">
        <v>99</v>
      </c>
    </row>
    <row r="1379" spans="1:7" x14ac:dyDescent="0.3">
      <c r="A1379" t="s">
        <v>36</v>
      </c>
      <c r="B1379" t="s">
        <v>389</v>
      </c>
      <c r="C1379">
        <v>315</v>
      </c>
      <c r="D1379" t="s">
        <v>73</v>
      </c>
      <c r="E1379" t="s">
        <v>99</v>
      </c>
      <c r="F1379" t="s">
        <v>72</v>
      </c>
      <c r="G1379" t="s">
        <v>99</v>
      </c>
    </row>
    <row r="1380" spans="1:7" x14ac:dyDescent="0.3">
      <c r="A1380" t="s">
        <v>36</v>
      </c>
      <c r="B1380" t="s">
        <v>390</v>
      </c>
      <c r="C1380">
        <v>89</v>
      </c>
      <c r="D1380" t="s">
        <v>375</v>
      </c>
      <c r="E1380" t="s">
        <v>99</v>
      </c>
      <c r="F1380" t="s">
        <v>242</v>
      </c>
      <c r="G1380" t="s">
        <v>99</v>
      </c>
    </row>
    <row r="1381" spans="1:7" x14ac:dyDescent="0.3">
      <c r="A1381" t="s">
        <v>36</v>
      </c>
      <c r="B1381" t="s">
        <v>365</v>
      </c>
      <c r="C1381">
        <v>31</v>
      </c>
      <c r="D1381" t="s">
        <v>776</v>
      </c>
      <c r="E1381" t="s">
        <v>99</v>
      </c>
      <c r="F1381" t="s">
        <v>155</v>
      </c>
      <c r="G1381" t="s">
        <v>99</v>
      </c>
    </row>
    <row r="1382" spans="1:7" x14ac:dyDescent="0.3">
      <c r="A1382" t="s">
        <v>34</v>
      </c>
      <c r="B1382" t="s">
        <v>389</v>
      </c>
      <c r="C1382">
        <v>485</v>
      </c>
      <c r="D1382" t="s">
        <v>356</v>
      </c>
      <c r="E1382" t="s">
        <v>141</v>
      </c>
      <c r="F1382" t="s">
        <v>731</v>
      </c>
      <c r="G1382" t="s">
        <v>99</v>
      </c>
    </row>
    <row r="1383" spans="1:7" x14ac:dyDescent="0.3">
      <c r="A1383" t="s">
        <v>34</v>
      </c>
      <c r="B1383" t="s">
        <v>390</v>
      </c>
      <c r="C1383">
        <v>132</v>
      </c>
      <c r="D1383" t="s">
        <v>312</v>
      </c>
      <c r="E1383" t="s">
        <v>99</v>
      </c>
      <c r="F1383" t="s">
        <v>294</v>
      </c>
      <c r="G1383" t="s">
        <v>99</v>
      </c>
    </row>
    <row r="1384" spans="1:7" x14ac:dyDescent="0.3">
      <c r="A1384" t="s">
        <v>34</v>
      </c>
      <c r="B1384" t="s">
        <v>365</v>
      </c>
      <c r="C1384">
        <v>30</v>
      </c>
      <c r="D1384" t="s">
        <v>337</v>
      </c>
      <c r="E1384" t="s">
        <v>99</v>
      </c>
      <c r="F1384" t="s">
        <v>474</v>
      </c>
      <c r="G1384" t="s">
        <v>99</v>
      </c>
    </row>
    <row r="1385" spans="1:7" x14ac:dyDescent="0.3">
      <c r="A1385" t="s">
        <v>33</v>
      </c>
      <c r="B1385" t="s">
        <v>389</v>
      </c>
      <c r="C1385">
        <v>46</v>
      </c>
      <c r="D1385" t="s">
        <v>211</v>
      </c>
      <c r="E1385" t="s">
        <v>99</v>
      </c>
      <c r="F1385" t="s">
        <v>99</v>
      </c>
      <c r="G1385" t="s">
        <v>99</v>
      </c>
    </row>
    <row r="1386" spans="1:7" s="5" customFormat="1" x14ac:dyDescent="0.3">
      <c r="A1386" s="5" t="s">
        <v>33</v>
      </c>
      <c r="B1386" s="5" t="s">
        <v>390</v>
      </c>
      <c r="C1386" s="5">
        <v>26</v>
      </c>
      <c r="D1386" s="5" t="s">
        <v>211</v>
      </c>
      <c r="E1386" s="5" t="s">
        <v>99</v>
      </c>
      <c r="F1386" s="5" t="s">
        <v>99</v>
      </c>
      <c r="G1386" s="5" t="s">
        <v>99</v>
      </c>
    </row>
    <row r="1387" spans="1:7" x14ac:dyDescent="0.3">
      <c r="A1387" t="s">
        <v>33</v>
      </c>
      <c r="B1387" t="s">
        <v>365</v>
      </c>
      <c r="C1387">
        <v>2</v>
      </c>
      <c r="D1387" t="s">
        <v>211</v>
      </c>
      <c r="E1387" t="s">
        <v>99</v>
      </c>
      <c r="F1387" t="s">
        <v>99</v>
      </c>
      <c r="G1387" t="s">
        <v>99</v>
      </c>
    </row>
    <row r="1388" spans="1:7" x14ac:dyDescent="0.3">
      <c r="A1388" t="s">
        <v>49</v>
      </c>
      <c r="B1388" t="s">
        <v>389</v>
      </c>
      <c r="C1388">
        <v>1062</v>
      </c>
      <c r="D1388" t="s">
        <v>448</v>
      </c>
      <c r="E1388" t="s">
        <v>207</v>
      </c>
      <c r="F1388" t="s">
        <v>291</v>
      </c>
      <c r="G1388" t="s">
        <v>104</v>
      </c>
    </row>
    <row r="1389" spans="1:7" x14ac:dyDescent="0.3">
      <c r="A1389" t="s">
        <v>49</v>
      </c>
      <c r="B1389" t="s">
        <v>390</v>
      </c>
      <c r="C1389">
        <v>315</v>
      </c>
      <c r="D1389" t="s">
        <v>203</v>
      </c>
      <c r="E1389" t="s">
        <v>99</v>
      </c>
      <c r="F1389" t="s">
        <v>305</v>
      </c>
      <c r="G1389" t="s">
        <v>99</v>
      </c>
    </row>
    <row r="1390" spans="1:7" x14ac:dyDescent="0.3">
      <c r="A1390" t="s">
        <v>49</v>
      </c>
      <c r="B1390" t="s">
        <v>365</v>
      </c>
      <c r="C1390">
        <v>69</v>
      </c>
      <c r="D1390" t="s">
        <v>237</v>
      </c>
      <c r="E1390" t="s">
        <v>99</v>
      </c>
      <c r="F1390" t="s">
        <v>130</v>
      </c>
      <c r="G1390" t="s">
        <v>99</v>
      </c>
    </row>
    <row r="1392" spans="1:7" x14ac:dyDescent="0.3">
      <c r="A1392" t="s">
        <v>1014</v>
      </c>
    </row>
    <row r="1393" spans="1:7" x14ac:dyDescent="0.3">
      <c r="A1393" t="s">
        <v>44</v>
      </c>
      <c r="B1393" t="s">
        <v>879</v>
      </c>
      <c r="C1393" t="s">
        <v>32</v>
      </c>
      <c r="D1393" t="s">
        <v>67</v>
      </c>
      <c r="E1393" t="s">
        <v>66</v>
      </c>
      <c r="F1393" t="s">
        <v>352</v>
      </c>
      <c r="G1393" t="s">
        <v>193</v>
      </c>
    </row>
    <row r="1394" spans="1:7" s="5" customFormat="1" x14ac:dyDescent="0.3">
      <c r="A1394" s="5" t="s">
        <v>35</v>
      </c>
      <c r="B1394" s="5" t="s">
        <v>880</v>
      </c>
      <c r="C1394" s="5">
        <v>2</v>
      </c>
      <c r="D1394" s="5" t="s">
        <v>639</v>
      </c>
      <c r="E1394" s="5" t="s">
        <v>638</v>
      </c>
      <c r="F1394" s="5" t="s">
        <v>99</v>
      </c>
      <c r="G1394" s="5" t="s">
        <v>99</v>
      </c>
    </row>
    <row r="1395" spans="1:7" x14ac:dyDescent="0.3">
      <c r="A1395" t="s">
        <v>35</v>
      </c>
      <c r="B1395" t="s">
        <v>881</v>
      </c>
      <c r="C1395">
        <v>43</v>
      </c>
      <c r="D1395" t="s">
        <v>164</v>
      </c>
      <c r="E1395" t="s">
        <v>72</v>
      </c>
      <c r="F1395" t="s">
        <v>253</v>
      </c>
      <c r="G1395" t="s">
        <v>123</v>
      </c>
    </row>
    <row r="1396" spans="1:7" x14ac:dyDescent="0.3">
      <c r="A1396" t="s">
        <v>35</v>
      </c>
      <c r="B1396" t="s">
        <v>882</v>
      </c>
      <c r="C1396">
        <v>179</v>
      </c>
      <c r="D1396" t="s">
        <v>199</v>
      </c>
      <c r="E1396" t="s">
        <v>311</v>
      </c>
      <c r="F1396" t="s">
        <v>99</v>
      </c>
      <c r="G1396" t="s">
        <v>99</v>
      </c>
    </row>
    <row r="1397" spans="1:7" s="5" customFormat="1" x14ac:dyDescent="0.3">
      <c r="A1397" s="5" t="s">
        <v>37</v>
      </c>
      <c r="B1397" s="5" t="s">
        <v>881</v>
      </c>
      <c r="C1397" s="5">
        <v>15</v>
      </c>
      <c r="D1397" s="5" t="s">
        <v>211</v>
      </c>
      <c r="E1397" s="5" t="s">
        <v>99</v>
      </c>
      <c r="F1397" s="5" t="s">
        <v>99</v>
      </c>
      <c r="G1397" s="5" t="s">
        <v>99</v>
      </c>
    </row>
    <row r="1398" spans="1:7" x14ac:dyDescent="0.3">
      <c r="A1398" t="s">
        <v>37</v>
      </c>
      <c r="B1398" t="s">
        <v>882</v>
      </c>
      <c r="C1398">
        <v>51</v>
      </c>
      <c r="D1398" t="s">
        <v>999</v>
      </c>
      <c r="E1398" t="s">
        <v>101</v>
      </c>
      <c r="F1398" t="s">
        <v>99</v>
      </c>
      <c r="G1398" t="s">
        <v>99</v>
      </c>
    </row>
    <row r="1399" spans="1:7" s="5" customFormat="1" x14ac:dyDescent="0.3">
      <c r="A1399" s="5" t="s">
        <v>36</v>
      </c>
      <c r="B1399" s="5" t="s">
        <v>880</v>
      </c>
      <c r="C1399" s="5">
        <v>1</v>
      </c>
      <c r="D1399" s="5" t="s">
        <v>211</v>
      </c>
      <c r="E1399" s="5" t="s">
        <v>99</v>
      </c>
      <c r="F1399" s="5" t="s">
        <v>99</v>
      </c>
      <c r="G1399" s="5" t="s">
        <v>99</v>
      </c>
    </row>
    <row r="1400" spans="1:7" x14ac:dyDescent="0.3">
      <c r="A1400" t="s">
        <v>36</v>
      </c>
      <c r="B1400" t="s">
        <v>881</v>
      </c>
      <c r="C1400">
        <v>100</v>
      </c>
      <c r="D1400" t="s">
        <v>762</v>
      </c>
      <c r="E1400" t="s">
        <v>737</v>
      </c>
      <c r="F1400" t="s">
        <v>99</v>
      </c>
      <c r="G1400" t="s">
        <v>99</v>
      </c>
    </row>
    <row r="1401" spans="1:7" x14ac:dyDescent="0.3">
      <c r="A1401" t="s">
        <v>36</v>
      </c>
      <c r="B1401" t="s">
        <v>882</v>
      </c>
      <c r="C1401">
        <v>334</v>
      </c>
      <c r="D1401" t="s">
        <v>358</v>
      </c>
      <c r="E1401" t="s">
        <v>328</v>
      </c>
      <c r="F1401" t="s">
        <v>99</v>
      </c>
      <c r="G1401" t="s">
        <v>99</v>
      </c>
    </row>
    <row r="1402" spans="1:7" x14ac:dyDescent="0.3">
      <c r="A1402" t="s">
        <v>34</v>
      </c>
      <c r="B1402" t="s">
        <v>881</v>
      </c>
      <c r="C1402">
        <v>130</v>
      </c>
      <c r="D1402" t="s">
        <v>324</v>
      </c>
      <c r="E1402" t="s">
        <v>679</v>
      </c>
      <c r="F1402" t="s">
        <v>99</v>
      </c>
      <c r="G1402" t="s">
        <v>99</v>
      </c>
    </row>
    <row r="1403" spans="1:7" x14ac:dyDescent="0.3">
      <c r="A1403" t="s">
        <v>34</v>
      </c>
      <c r="B1403" t="s">
        <v>882</v>
      </c>
      <c r="C1403">
        <v>517</v>
      </c>
      <c r="D1403" t="s">
        <v>200</v>
      </c>
      <c r="E1403" t="s">
        <v>672</v>
      </c>
      <c r="F1403" t="s">
        <v>141</v>
      </c>
      <c r="G1403" t="s">
        <v>99</v>
      </c>
    </row>
    <row r="1404" spans="1:7" s="5" customFormat="1" x14ac:dyDescent="0.3">
      <c r="A1404" s="5" t="s">
        <v>33</v>
      </c>
      <c r="B1404" s="5" t="s">
        <v>881</v>
      </c>
      <c r="C1404" s="5">
        <v>12</v>
      </c>
      <c r="D1404" s="5" t="s">
        <v>211</v>
      </c>
      <c r="E1404" s="5" t="s">
        <v>99</v>
      </c>
      <c r="F1404" s="5" t="s">
        <v>99</v>
      </c>
      <c r="G1404" s="5" t="s">
        <v>99</v>
      </c>
    </row>
    <row r="1405" spans="1:7" x14ac:dyDescent="0.3">
      <c r="A1405" t="s">
        <v>33</v>
      </c>
      <c r="B1405" t="s">
        <v>882</v>
      </c>
      <c r="C1405">
        <v>62</v>
      </c>
      <c r="D1405" t="s">
        <v>211</v>
      </c>
      <c r="E1405" t="s">
        <v>99</v>
      </c>
      <c r="F1405" t="s">
        <v>99</v>
      </c>
      <c r="G1405" t="s">
        <v>99</v>
      </c>
    </row>
    <row r="1406" spans="1:7" s="5" customFormat="1" x14ac:dyDescent="0.3">
      <c r="A1406" s="5" t="s">
        <v>49</v>
      </c>
      <c r="B1406" s="5" t="s">
        <v>880</v>
      </c>
      <c r="C1406" s="5">
        <v>3</v>
      </c>
      <c r="D1406" s="5" t="s">
        <v>1015</v>
      </c>
      <c r="E1406" s="5" t="s">
        <v>597</v>
      </c>
      <c r="F1406" s="5" t="s">
        <v>99</v>
      </c>
      <c r="G1406" s="5" t="s">
        <v>99</v>
      </c>
    </row>
    <row r="1407" spans="1:7" x14ac:dyDescent="0.3">
      <c r="A1407" t="s">
        <v>49</v>
      </c>
      <c r="B1407" t="s">
        <v>881</v>
      </c>
      <c r="C1407">
        <v>300</v>
      </c>
      <c r="D1407" t="s">
        <v>203</v>
      </c>
      <c r="E1407" t="s">
        <v>401</v>
      </c>
      <c r="F1407" t="s">
        <v>104</v>
      </c>
      <c r="G1407" t="s">
        <v>207</v>
      </c>
    </row>
    <row r="1408" spans="1:7" x14ac:dyDescent="0.3">
      <c r="A1408" t="s">
        <v>49</v>
      </c>
      <c r="B1408" t="s">
        <v>882</v>
      </c>
      <c r="C1408">
        <v>1143</v>
      </c>
      <c r="D1408" t="s">
        <v>164</v>
      </c>
      <c r="E1408" t="s">
        <v>313</v>
      </c>
      <c r="F1408" t="s">
        <v>207</v>
      </c>
      <c r="G1408" t="s">
        <v>99</v>
      </c>
    </row>
    <row r="1410" spans="1:7" x14ac:dyDescent="0.3">
      <c r="A1410" t="s">
        <v>1016</v>
      </c>
    </row>
    <row r="1411" spans="1:7" x14ac:dyDescent="0.3">
      <c r="A1411" t="s">
        <v>44</v>
      </c>
      <c r="B1411" t="s">
        <v>257</v>
      </c>
      <c r="C1411" t="s">
        <v>32</v>
      </c>
      <c r="D1411" t="s">
        <v>67</v>
      </c>
      <c r="E1411" t="s">
        <v>66</v>
      </c>
      <c r="F1411" t="s">
        <v>352</v>
      </c>
      <c r="G1411" t="s">
        <v>193</v>
      </c>
    </row>
    <row r="1412" spans="1:7" x14ac:dyDescent="0.3">
      <c r="A1412" t="s">
        <v>35</v>
      </c>
      <c r="B1412" t="s">
        <v>258</v>
      </c>
      <c r="C1412">
        <v>149</v>
      </c>
      <c r="D1412" t="s">
        <v>320</v>
      </c>
      <c r="E1412" t="s">
        <v>201</v>
      </c>
      <c r="F1412" t="s">
        <v>198</v>
      </c>
      <c r="G1412" t="s">
        <v>253</v>
      </c>
    </row>
    <row r="1413" spans="1:7" x14ac:dyDescent="0.3">
      <c r="A1413" t="s">
        <v>35</v>
      </c>
      <c r="B1413" t="s">
        <v>260</v>
      </c>
      <c r="C1413">
        <v>75</v>
      </c>
      <c r="D1413" t="s">
        <v>1017</v>
      </c>
      <c r="E1413" t="s">
        <v>712</v>
      </c>
      <c r="F1413" t="s">
        <v>99</v>
      </c>
      <c r="G1413" t="s">
        <v>99</v>
      </c>
    </row>
    <row r="1414" spans="1:7" x14ac:dyDescent="0.3">
      <c r="A1414" t="s">
        <v>37</v>
      </c>
      <c r="B1414" t="s">
        <v>258</v>
      </c>
      <c r="C1414">
        <v>66</v>
      </c>
      <c r="D1414" t="s">
        <v>225</v>
      </c>
      <c r="E1414" t="s">
        <v>114</v>
      </c>
      <c r="F1414" t="s">
        <v>99</v>
      </c>
      <c r="G1414" t="s">
        <v>99</v>
      </c>
    </row>
    <row r="1415" spans="1:7" x14ac:dyDescent="0.3">
      <c r="A1415" t="s">
        <v>36</v>
      </c>
      <c r="B1415" t="s">
        <v>258</v>
      </c>
      <c r="C1415">
        <v>322</v>
      </c>
      <c r="D1415" t="s">
        <v>226</v>
      </c>
      <c r="E1415" t="s">
        <v>150</v>
      </c>
      <c r="F1415" t="s">
        <v>99</v>
      </c>
      <c r="G1415" t="s">
        <v>99</v>
      </c>
    </row>
    <row r="1416" spans="1:7" x14ac:dyDescent="0.3">
      <c r="A1416" t="s">
        <v>36</v>
      </c>
      <c r="B1416" t="s">
        <v>260</v>
      </c>
      <c r="C1416">
        <v>113</v>
      </c>
      <c r="D1416" t="s">
        <v>450</v>
      </c>
      <c r="E1416" t="s">
        <v>255</v>
      </c>
      <c r="F1416" t="s">
        <v>99</v>
      </c>
      <c r="G1416" t="s">
        <v>99</v>
      </c>
    </row>
    <row r="1417" spans="1:7" x14ac:dyDescent="0.3">
      <c r="A1417" t="s">
        <v>34</v>
      </c>
      <c r="B1417" t="s">
        <v>258</v>
      </c>
      <c r="C1417">
        <v>290</v>
      </c>
      <c r="D1417" t="s">
        <v>202</v>
      </c>
      <c r="E1417" t="s">
        <v>111</v>
      </c>
      <c r="F1417" t="s">
        <v>99</v>
      </c>
      <c r="G1417" t="s">
        <v>99</v>
      </c>
    </row>
    <row r="1418" spans="1:7" x14ac:dyDescent="0.3">
      <c r="A1418" t="s">
        <v>34</v>
      </c>
      <c r="B1418" t="s">
        <v>260</v>
      </c>
      <c r="C1418">
        <v>357</v>
      </c>
      <c r="D1418" t="s">
        <v>174</v>
      </c>
      <c r="E1418" t="s">
        <v>255</v>
      </c>
      <c r="F1418" t="s">
        <v>141</v>
      </c>
      <c r="G1418" t="s">
        <v>99</v>
      </c>
    </row>
    <row r="1419" spans="1:7" x14ac:dyDescent="0.3">
      <c r="A1419" t="s">
        <v>33</v>
      </c>
      <c r="B1419" t="s">
        <v>258</v>
      </c>
      <c r="C1419">
        <v>74</v>
      </c>
      <c r="D1419" t="s">
        <v>211</v>
      </c>
      <c r="E1419" t="s">
        <v>99</v>
      </c>
      <c r="F1419" t="s">
        <v>99</v>
      </c>
      <c r="G1419" t="s">
        <v>99</v>
      </c>
    </row>
    <row r="1420" spans="1:7" x14ac:dyDescent="0.3">
      <c r="A1420" t="s">
        <v>49</v>
      </c>
      <c r="B1420" t="s">
        <v>258</v>
      </c>
      <c r="C1420">
        <v>901</v>
      </c>
      <c r="D1420" t="s">
        <v>326</v>
      </c>
      <c r="E1420" t="s">
        <v>663</v>
      </c>
      <c r="F1420" t="s">
        <v>99</v>
      </c>
      <c r="G1420" t="s">
        <v>104</v>
      </c>
    </row>
    <row r="1421" spans="1:7" x14ac:dyDescent="0.3">
      <c r="A1421" t="s">
        <v>49</v>
      </c>
      <c r="B1421" t="s">
        <v>260</v>
      </c>
      <c r="C1421">
        <v>545</v>
      </c>
      <c r="D1421" t="s">
        <v>855</v>
      </c>
      <c r="E1421" t="s">
        <v>244</v>
      </c>
      <c r="F1421" t="s">
        <v>136</v>
      </c>
      <c r="G1421" t="s">
        <v>99</v>
      </c>
    </row>
    <row r="1423" spans="1:7" x14ac:dyDescent="0.3">
      <c r="A1423" t="s">
        <v>1018</v>
      </c>
    </row>
    <row r="1424" spans="1:7" x14ac:dyDescent="0.3">
      <c r="A1424" t="s">
        <v>44</v>
      </c>
      <c r="B1424" t="s">
        <v>32</v>
      </c>
      <c r="C1424" t="s">
        <v>66</v>
      </c>
      <c r="D1424" t="s">
        <v>67</v>
      </c>
      <c r="E1424" t="s">
        <v>352</v>
      </c>
    </row>
    <row r="1425" spans="1:6" x14ac:dyDescent="0.3">
      <c r="A1425" t="s">
        <v>35</v>
      </c>
      <c r="B1425">
        <v>645</v>
      </c>
      <c r="C1425" t="s">
        <v>157</v>
      </c>
      <c r="D1425" t="s">
        <v>404</v>
      </c>
      <c r="E1425" t="s">
        <v>99</v>
      </c>
    </row>
    <row r="1426" spans="1:6" x14ac:dyDescent="0.3">
      <c r="A1426" t="s">
        <v>37</v>
      </c>
      <c r="B1426">
        <v>709</v>
      </c>
      <c r="C1426" t="s">
        <v>117</v>
      </c>
      <c r="D1426" t="s">
        <v>851</v>
      </c>
      <c r="E1426" t="s">
        <v>104</v>
      </c>
    </row>
    <row r="1427" spans="1:6" x14ac:dyDescent="0.3">
      <c r="A1427" t="s">
        <v>36</v>
      </c>
      <c r="B1427">
        <v>387</v>
      </c>
      <c r="C1427" t="s">
        <v>128</v>
      </c>
      <c r="D1427" t="s">
        <v>398</v>
      </c>
      <c r="E1427" t="s">
        <v>198</v>
      </c>
    </row>
    <row r="1428" spans="1:6" x14ac:dyDescent="0.3">
      <c r="A1428" t="s">
        <v>34</v>
      </c>
      <c r="B1428">
        <v>53</v>
      </c>
      <c r="C1428" t="s">
        <v>129</v>
      </c>
      <c r="D1428" t="s">
        <v>782</v>
      </c>
      <c r="E1428" t="s">
        <v>99</v>
      </c>
    </row>
    <row r="1429" spans="1:6" x14ac:dyDescent="0.3">
      <c r="A1429" t="s">
        <v>33</v>
      </c>
      <c r="B1429">
        <v>363</v>
      </c>
      <c r="C1429" t="s">
        <v>207</v>
      </c>
      <c r="D1429" t="s">
        <v>981</v>
      </c>
      <c r="E1429" t="s">
        <v>99</v>
      </c>
    </row>
    <row r="1430" spans="1:6" x14ac:dyDescent="0.3">
      <c r="A1430" t="s">
        <v>49</v>
      </c>
      <c r="B1430">
        <v>2157</v>
      </c>
      <c r="C1430" t="s">
        <v>268</v>
      </c>
      <c r="D1430" t="s">
        <v>386</v>
      </c>
      <c r="E1430" t="s">
        <v>99</v>
      </c>
    </row>
    <row r="1432" spans="1:6" x14ac:dyDescent="0.3">
      <c r="A1432" t="s">
        <v>1019</v>
      </c>
    </row>
    <row r="1433" spans="1:6" x14ac:dyDescent="0.3">
      <c r="A1433" t="s">
        <v>44</v>
      </c>
      <c r="B1433" t="s">
        <v>847</v>
      </c>
      <c r="C1433" t="s">
        <v>32</v>
      </c>
      <c r="D1433" t="s">
        <v>66</v>
      </c>
      <c r="E1433" t="s">
        <v>67</v>
      </c>
      <c r="F1433" t="s">
        <v>352</v>
      </c>
    </row>
    <row r="1434" spans="1:6" s="5" customFormat="1" x14ac:dyDescent="0.3">
      <c r="A1434" s="5" t="s">
        <v>35</v>
      </c>
      <c r="B1434" s="5" t="s">
        <v>848</v>
      </c>
      <c r="C1434" s="5">
        <v>6</v>
      </c>
      <c r="D1434" s="5" t="s">
        <v>420</v>
      </c>
      <c r="E1434" s="5" t="s">
        <v>400</v>
      </c>
      <c r="F1434" s="5" t="s">
        <v>99</v>
      </c>
    </row>
    <row r="1435" spans="1:6" s="5" customFormat="1" x14ac:dyDescent="0.3">
      <c r="A1435" s="5" t="s">
        <v>35</v>
      </c>
      <c r="B1435" s="5" t="s">
        <v>850</v>
      </c>
      <c r="C1435" s="5">
        <v>5</v>
      </c>
      <c r="D1435" s="5" t="s">
        <v>99</v>
      </c>
      <c r="E1435" s="5" t="s">
        <v>211</v>
      </c>
      <c r="F1435" s="5" t="s">
        <v>99</v>
      </c>
    </row>
    <row r="1436" spans="1:6" s="5" customFormat="1" x14ac:dyDescent="0.3">
      <c r="A1436" s="5" t="s">
        <v>35</v>
      </c>
      <c r="B1436" s="5" t="s">
        <v>852</v>
      </c>
      <c r="C1436" s="5">
        <v>5</v>
      </c>
      <c r="D1436" s="5" t="s">
        <v>99</v>
      </c>
      <c r="E1436" s="5" t="s">
        <v>211</v>
      </c>
      <c r="F1436" s="5" t="s">
        <v>99</v>
      </c>
    </row>
    <row r="1437" spans="1:6" s="5" customFormat="1" x14ac:dyDescent="0.3">
      <c r="A1437" s="5" t="s">
        <v>35</v>
      </c>
      <c r="B1437" s="5" t="s">
        <v>853</v>
      </c>
      <c r="C1437" s="5">
        <v>2</v>
      </c>
      <c r="D1437" s="5" t="s">
        <v>99</v>
      </c>
      <c r="E1437" s="5" t="s">
        <v>211</v>
      </c>
      <c r="F1437" s="5" t="s">
        <v>99</v>
      </c>
    </row>
    <row r="1438" spans="1:6" x14ac:dyDescent="0.3">
      <c r="A1438" t="s">
        <v>35</v>
      </c>
      <c r="B1438" t="s">
        <v>365</v>
      </c>
      <c r="C1438">
        <v>627</v>
      </c>
      <c r="D1438" t="s">
        <v>157</v>
      </c>
      <c r="E1438" t="s">
        <v>404</v>
      </c>
      <c r="F1438" t="s">
        <v>99</v>
      </c>
    </row>
    <row r="1439" spans="1:6" s="5" customFormat="1" x14ac:dyDescent="0.3">
      <c r="A1439" s="5" t="s">
        <v>37</v>
      </c>
      <c r="B1439" s="5" t="s">
        <v>848</v>
      </c>
      <c r="C1439" s="5">
        <v>3</v>
      </c>
      <c r="D1439" s="5" t="s">
        <v>99</v>
      </c>
      <c r="E1439" s="5" t="s">
        <v>211</v>
      </c>
      <c r="F1439" s="5" t="s">
        <v>99</v>
      </c>
    </row>
    <row r="1440" spans="1:6" s="5" customFormat="1" x14ac:dyDescent="0.3">
      <c r="A1440" s="5" t="s">
        <v>37</v>
      </c>
      <c r="B1440" s="5" t="s">
        <v>850</v>
      </c>
      <c r="C1440" s="5">
        <v>1</v>
      </c>
      <c r="D1440" s="5" t="s">
        <v>99</v>
      </c>
      <c r="E1440" s="5" t="s">
        <v>211</v>
      </c>
      <c r="F1440" s="5" t="s">
        <v>99</v>
      </c>
    </row>
    <row r="1441" spans="1:6" s="5" customFormat="1" x14ac:dyDescent="0.3">
      <c r="A1441" s="5" t="s">
        <v>37</v>
      </c>
      <c r="B1441" s="5" t="s">
        <v>852</v>
      </c>
      <c r="C1441" s="5">
        <v>2</v>
      </c>
      <c r="D1441" s="5" t="s">
        <v>568</v>
      </c>
      <c r="E1441" s="5" t="s">
        <v>517</v>
      </c>
      <c r="F1441" s="5" t="s">
        <v>99</v>
      </c>
    </row>
    <row r="1442" spans="1:6" s="5" customFormat="1" x14ac:dyDescent="0.3">
      <c r="A1442" s="5" t="s">
        <v>37</v>
      </c>
      <c r="B1442" s="5" t="s">
        <v>853</v>
      </c>
      <c r="C1442" s="5">
        <v>4</v>
      </c>
      <c r="D1442" s="5" t="s">
        <v>99</v>
      </c>
      <c r="E1442" s="5" t="s">
        <v>211</v>
      </c>
      <c r="F1442" s="5" t="s">
        <v>99</v>
      </c>
    </row>
    <row r="1443" spans="1:6" x14ac:dyDescent="0.3">
      <c r="A1443" t="s">
        <v>37</v>
      </c>
      <c r="B1443" t="s">
        <v>365</v>
      </c>
      <c r="C1443">
        <v>699</v>
      </c>
      <c r="D1443" t="s">
        <v>151</v>
      </c>
      <c r="E1443" t="s">
        <v>986</v>
      </c>
      <c r="F1443" t="s">
        <v>104</v>
      </c>
    </row>
    <row r="1444" spans="1:6" s="5" customFormat="1" x14ac:dyDescent="0.3">
      <c r="A1444" s="5" t="s">
        <v>36</v>
      </c>
      <c r="B1444" s="5" t="s">
        <v>848</v>
      </c>
      <c r="C1444" s="5">
        <v>3</v>
      </c>
      <c r="D1444" s="5" t="s">
        <v>99</v>
      </c>
      <c r="E1444" s="5" t="s">
        <v>211</v>
      </c>
      <c r="F1444" s="5" t="s">
        <v>99</v>
      </c>
    </row>
    <row r="1445" spans="1:6" s="5" customFormat="1" x14ac:dyDescent="0.3">
      <c r="A1445" s="5" t="s">
        <v>36</v>
      </c>
      <c r="B1445" s="5" t="s">
        <v>850</v>
      </c>
      <c r="C1445" s="5">
        <v>1</v>
      </c>
      <c r="D1445" s="5" t="s">
        <v>99</v>
      </c>
      <c r="E1445" s="5" t="s">
        <v>211</v>
      </c>
      <c r="F1445" s="5" t="s">
        <v>99</v>
      </c>
    </row>
    <row r="1446" spans="1:6" s="5" customFormat="1" x14ac:dyDescent="0.3">
      <c r="A1446" s="5" t="s">
        <v>36</v>
      </c>
      <c r="B1446" s="5" t="s">
        <v>852</v>
      </c>
      <c r="C1446" s="5">
        <v>1</v>
      </c>
      <c r="D1446" s="5" t="s">
        <v>99</v>
      </c>
      <c r="E1446" s="5" t="s">
        <v>211</v>
      </c>
      <c r="F1446" s="5" t="s">
        <v>99</v>
      </c>
    </row>
    <row r="1447" spans="1:6" s="5" customFormat="1" x14ac:dyDescent="0.3">
      <c r="A1447" s="5" t="s">
        <v>36</v>
      </c>
      <c r="B1447" s="5" t="s">
        <v>853</v>
      </c>
      <c r="C1447" s="5">
        <v>1</v>
      </c>
      <c r="D1447" s="5" t="s">
        <v>99</v>
      </c>
      <c r="E1447" s="5" t="s">
        <v>211</v>
      </c>
      <c r="F1447" s="5" t="s">
        <v>99</v>
      </c>
    </row>
    <row r="1448" spans="1:6" x14ac:dyDescent="0.3">
      <c r="A1448" t="s">
        <v>36</v>
      </c>
      <c r="B1448" t="s">
        <v>365</v>
      </c>
      <c r="C1448">
        <v>381</v>
      </c>
      <c r="D1448" t="s">
        <v>128</v>
      </c>
      <c r="E1448" t="s">
        <v>398</v>
      </c>
      <c r="F1448" t="s">
        <v>198</v>
      </c>
    </row>
    <row r="1449" spans="1:6" x14ac:dyDescent="0.3">
      <c r="A1449" t="s">
        <v>34</v>
      </c>
      <c r="B1449" t="s">
        <v>365</v>
      </c>
      <c r="C1449">
        <v>53</v>
      </c>
      <c r="D1449" t="s">
        <v>129</v>
      </c>
      <c r="E1449" t="s">
        <v>782</v>
      </c>
      <c r="F1449" t="s">
        <v>99</v>
      </c>
    </row>
    <row r="1450" spans="1:6" s="5" customFormat="1" x14ac:dyDescent="0.3">
      <c r="A1450" s="5" t="s">
        <v>33</v>
      </c>
      <c r="B1450" s="5" t="s">
        <v>848</v>
      </c>
      <c r="C1450" s="5">
        <v>2</v>
      </c>
      <c r="D1450" s="5" t="s">
        <v>573</v>
      </c>
      <c r="E1450" s="5" t="s">
        <v>653</v>
      </c>
      <c r="F1450" s="5" t="s">
        <v>99</v>
      </c>
    </row>
    <row r="1451" spans="1:6" s="5" customFormat="1" x14ac:dyDescent="0.3">
      <c r="A1451" s="5" t="s">
        <v>33</v>
      </c>
      <c r="B1451" s="5" t="s">
        <v>852</v>
      </c>
      <c r="C1451" s="5">
        <v>3</v>
      </c>
      <c r="D1451" s="5" t="s">
        <v>99</v>
      </c>
      <c r="E1451" s="5" t="s">
        <v>211</v>
      </c>
      <c r="F1451" s="5" t="s">
        <v>99</v>
      </c>
    </row>
    <row r="1452" spans="1:6" x14ac:dyDescent="0.3">
      <c r="A1452" t="s">
        <v>33</v>
      </c>
      <c r="B1452" t="s">
        <v>365</v>
      </c>
      <c r="C1452">
        <v>358</v>
      </c>
      <c r="D1452" t="s">
        <v>99</v>
      </c>
      <c r="E1452" t="s">
        <v>211</v>
      </c>
      <c r="F1452" t="s">
        <v>99</v>
      </c>
    </row>
    <row r="1453" spans="1:6" s="5" customFormat="1" x14ac:dyDescent="0.3">
      <c r="A1453" s="5" t="s">
        <v>49</v>
      </c>
      <c r="B1453" s="5" t="s">
        <v>848</v>
      </c>
      <c r="C1453" s="5">
        <v>14</v>
      </c>
      <c r="D1453" s="5" t="s">
        <v>542</v>
      </c>
      <c r="E1453" s="5" t="s">
        <v>784</v>
      </c>
      <c r="F1453" s="5" t="s">
        <v>99</v>
      </c>
    </row>
    <row r="1454" spans="1:6" s="5" customFormat="1" x14ac:dyDescent="0.3">
      <c r="A1454" s="5" t="s">
        <v>49</v>
      </c>
      <c r="B1454" s="5" t="s">
        <v>850</v>
      </c>
      <c r="C1454" s="5">
        <v>7</v>
      </c>
      <c r="D1454" s="5" t="s">
        <v>99</v>
      </c>
      <c r="E1454" s="5" t="s">
        <v>211</v>
      </c>
      <c r="F1454" s="5" t="s">
        <v>99</v>
      </c>
    </row>
    <row r="1455" spans="1:6" s="5" customFormat="1" x14ac:dyDescent="0.3">
      <c r="A1455" s="5" t="s">
        <v>49</v>
      </c>
      <c r="B1455" s="5" t="s">
        <v>852</v>
      </c>
      <c r="C1455" s="5">
        <v>11</v>
      </c>
      <c r="D1455" s="5" t="s">
        <v>670</v>
      </c>
      <c r="E1455" s="5" t="s">
        <v>1020</v>
      </c>
      <c r="F1455" s="5" t="s">
        <v>99</v>
      </c>
    </row>
    <row r="1456" spans="1:6" s="5" customFormat="1" x14ac:dyDescent="0.3">
      <c r="A1456" s="5" t="s">
        <v>49</v>
      </c>
      <c r="B1456" s="5" t="s">
        <v>853</v>
      </c>
      <c r="C1456" s="5">
        <v>7</v>
      </c>
      <c r="D1456" s="5" t="s">
        <v>99</v>
      </c>
      <c r="E1456" s="5" t="s">
        <v>211</v>
      </c>
      <c r="F1456" s="5" t="s">
        <v>99</v>
      </c>
    </row>
    <row r="1457" spans="1:6" x14ac:dyDescent="0.3">
      <c r="A1457" t="s">
        <v>49</v>
      </c>
      <c r="B1457" t="s">
        <v>365</v>
      </c>
      <c r="C1457">
        <v>2118</v>
      </c>
      <c r="D1457" t="s">
        <v>292</v>
      </c>
      <c r="E1457" t="s">
        <v>986</v>
      </c>
      <c r="F1457" t="s">
        <v>99</v>
      </c>
    </row>
    <row r="1459" spans="1:6" x14ac:dyDescent="0.3">
      <c r="A1459" t="s">
        <v>1021</v>
      </c>
    </row>
    <row r="1460" spans="1:6" x14ac:dyDescent="0.3">
      <c r="A1460" t="s">
        <v>44</v>
      </c>
      <c r="B1460" t="s">
        <v>972</v>
      </c>
      <c r="C1460" t="s">
        <v>32</v>
      </c>
      <c r="D1460" t="s">
        <v>66</v>
      </c>
      <c r="E1460" t="s">
        <v>67</v>
      </c>
      <c r="F1460" t="s">
        <v>352</v>
      </c>
    </row>
    <row r="1461" spans="1:6" x14ac:dyDescent="0.3">
      <c r="A1461" t="s">
        <v>35</v>
      </c>
      <c r="B1461" t="s">
        <v>973</v>
      </c>
      <c r="C1461">
        <v>153</v>
      </c>
      <c r="D1461" t="s">
        <v>120</v>
      </c>
      <c r="E1461" t="s">
        <v>466</v>
      </c>
      <c r="F1461" t="s">
        <v>99</v>
      </c>
    </row>
    <row r="1462" spans="1:6" x14ac:dyDescent="0.3">
      <c r="A1462" t="s">
        <v>35</v>
      </c>
      <c r="B1462" t="s">
        <v>975</v>
      </c>
      <c r="C1462">
        <v>139</v>
      </c>
      <c r="D1462" t="s">
        <v>111</v>
      </c>
      <c r="E1462" t="s">
        <v>202</v>
      </c>
      <c r="F1462" t="s">
        <v>99</v>
      </c>
    </row>
    <row r="1463" spans="1:6" x14ac:dyDescent="0.3">
      <c r="A1463" t="s">
        <v>35</v>
      </c>
      <c r="B1463" t="s">
        <v>976</v>
      </c>
      <c r="C1463">
        <v>178</v>
      </c>
      <c r="D1463" t="s">
        <v>107</v>
      </c>
      <c r="E1463" t="s">
        <v>998</v>
      </c>
      <c r="F1463" t="s">
        <v>99</v>
      </c>
    </row>
    <row r="1464" spans="1:6" x14ac:dyDescent="0.3">
      <c r="A1464" t="s">
        <v>35</v>
      </c>
      <c r="B1464" t="s">
        <v>977</v>
      </c>
      <c r="C1464">
        <v>155</v>
      </c>
      <c r="D1464" t="s">
        <v>68</v>
      </c>
      <c r="E1464" t="s">
        <v>69</v>
      </c>
      <c r="F1464" t="s">
        <v>99</v>
      </c>
    </row>
    <row r="1465" spans="1:6" s="5" customFormat="1" x14ac:dyDescent="0.3">
      <c r="A1465" s="5" t="s">
        <v>35</v>
      </c>
      <c r="B1465" s="5" t="s">
        <v>979</v>
      </c>
      <c r="C1465" s="5">
        <v>20</v>
      </c>
      <c r="D1465" s="5" t="s">
        <v>99</v>
      </c>
      <c r="E1465" s="5" t="s">
        <v>211</v>
      </c>
      <c r="F1465" s="5" t="s">
        <v>99</v>
      </c>
    </row>
    <row r="1466" spans="1:6" x14ac:dyDescent="0.3">
      <c r="A1466" t="s">
        <v>37</v>
      </c>
      <c r="B1466" t="s">
        <v>973</v>
      </c>
      <c r="C1466">
        <v>193</v>
      </c>
      <c r="D1466" t="s">
        <v>108</v>
      </c>
      <c r="E1466" t="s">
        <v>1022</v>
      </c>
      <c r="F1466" t="s">
        <v>99</v>
      </c>
    </row>
    <row r="1467" spans="1:6" x14ac:dyDescent="0.3">
      <c r="A1467" t="s">
        <v>37</v>
      </c>
      <c r="B1467" t="s">
        <v>975</v>
      </c>
      <c r="C1467">
        <v>165</v>
      </c>
      <c r="D1467" t="s">
        <v>100</v>
      </c>
      <c r="E1467" t="s">
        <v>982</v>
      </c>
      <c r="F1467" t="s">
        <v>99</v>
      </c>
    </row>
    <row r="1468" spans="1:6" x14ac:dyDescent="0.3">
      <c r="A1468" t="s">
        <v>37</v>
      </c>
      <c r="B1468" t="s">
        <v>976</v>
      </c>
      <c r="C1468">
        <v>160</v>
      </c>
      <c r="D1468" t="s">
        <v>112</v>
      </c>
      <c r="E1468" t="s">
        <v>375</v>
      </c>
      <c r="F1468" t="s">
        <v>136</v>
      </c>
    </row>
    <row r="1469" spans="1:6" x14ac:dyDescent="0.3">
      <c r="A1469" t="s">
        <v>37</v>
      </c>
      <c r="B1469" t="s">
        <v>977</v>
      </c>
      <c r="C1469">
        <v>161</v>
      </c>
      <c r="D1469" t="s">
        <v>147</v>
      </c>
      <c r="E1469" t="s">
        <v>398</v>
      </c>
      <c r="F1469" t="s">
        <v>99</v>
      </c>
    </row>
    <row r="1470" spans="1:6" s="5" customFormat="1" x14ac:dyDescent="0.3">
      <c r="A1470" s="5" t="s">
        <v>37</v>
      </c>
      <c r="B1470" s="5" t="s">
        <v>979</v>
      </c>
      <c r="C1470" s="5">
        <v>30</v>
      </c>
      <c r="D1470" s="5" t="s">
        <v>412</v>
      </c>
      <c r="E1470" s="5" t="s">
        <v>413</v>
      </c>
      <c r="F1470" s="5" t="s">
        <v>99</v>
      </c>
    </row>
    <row r="1471" spans="1:6" x14ac:dyDescent="0.3">
      <c r="A1471" t="s">
        <v>36</v>
      </c>
      <c r="B1471" t="s">
        <v>973</v>
      </c>
      <c r="C1471">
        <v>94</v>
      </c>
      <c r="D1471" t="s">
        <v>117</v>
      </c>
      <c r="E1471" t="s">
        <v>998</v>
      </c>
      <c r="F1471" t="s">
        <v>115</v>
      </c>
    </row>
    <row r="1472" spans="1:6" x14ac:dyDescent="0.3">
      <c r="A1472" t="s">
        <v>36</v>
      </c>
      <c r="B1472" t="s">
        <v>975</v>
      </c>
      <c r="C1472">
        <v>88</v>
      </c>
      <c r="D1472" t="s">
        <v>332</v>
      </c>
      <c r="E1472" t="s">
        <v>265</v>
      </c>
      <c r="F1472" t="s">
        <v>99</v>
      </c>
    </row>
    <row r="1473" spans="1:6" x14ac:dyDescent="0.3">
      <c r="A1473" t="s">
        <v>36</v>
      </c>
      <c r="B1473" t="s">
        <v>976</v>
      </c>
      <c r="C1473">
        <v>113</v>
      </c>
      <c r="D1473" t="s">
        <v>154</v>
      </c>
      <c r="E1473" t="s">
        <v>759</v>
      </c>
      <c r="F1473" t="s">
        <v>99</v>
      </c>
    </row>
    <row r="1474" spans="1:6" x14ac:dyDescent="0.3">
      <c r="A1474" t="s">
        <v>36</v>
      </c>
      <c r="B1474" t="s">
        <v>977</v>
      </c>
      <c r="C1474">
        <v>80</v>
      </c>
      <c r="D1474" t="s">
        <v>253</v>
      </c>
      <c r="E1474" t="s">
        <v>980</v>
      </c>
      <c r="F1474" t="s">
        <v>99</v>
      </c>
    </row>
    <row r="1475" spans="1:6" s="5" customFormat="1" x14ac:dyDescent="0.3">
      <c r="A1475" s="5" t="s">
        <v>36</v>
      </c>
      <c r="B1475" s="5" t="s">
        <v>979</v>
      </c>
      <c r="C1475" s="5">
        <v>12</v>
      </c>
      <c r="D1475" s="5" t="s">
        <v>105</v>
      </c>
      <c r="E1475" s="5" t="s">
        <v>384</v>
      </c>
      <c r="F1475" s="5" t="s">
        <v>99</v>
      </c>
    </row>
    <row r="1476" spans="1:6" s="5" customFormat="1" x14ac:dyDescent="0.3">
      <c r="A1476" s="5" t="s">
        <v>34</v>
      </c>
      <c r="B1476" s="5" t="s">
        <v>973</v>
      </c>
      <c r="C1476" s="5">
        <v>12</v>
      </c>
      <c r="D1476" s="5" t="s">
        <v>99</v>
      </c>
      <c r="E1476" s="5" t="s">
        <v>211</v>
      </c>
      <c r="F1476" s="5" t="s">
        <v>99</v>
      </c>
    </row>
    <row r="1477" spans="1:6" s="5" customFormat="1" x14ac:dyDescent="0.3">
      <c r="A1477" s="5" t="s">
        <v>34</v>
      </c>
      <c r="B1477" s="5" t="s">
        <v>975</v>
      </c>
      <c r="C1477" s="5">
        <v>12</v>
      </c>
      <c r="D1477" s="5" t="s">
        <v>99</v>
      </c>
      <c r="E1477" s="5" t="s">
        <v>211</v>
      </c>
      <c r="F1477" s="5" t="s">
        <v>99</v>
      </c>
    </row>
    <row r="1478" spans="1:6" s="5" customFormat="1" x14ac:dyDescent="0.3">
      <c r="A1478" s="5" t="s">
        <v>34</v>
      </c>
      <c r="B1478" s="5" t="s">
        <v>976</v>
      </c>
      <c r="C1478" s="5">
        <v>11</v>
      </c>
      <c r="D1478" s="5" t="s">
        <v>99</v>
      </c>
      <c r="E1478" s="5" t="s">
        <v>211</v>
      </c>
      <c r="F1478" s="5" t="s">
        <v>99</v>
      </c>
    </row>
    <row r="1479" spans="1:6" s="5" customFormat="1" x14ac:dyDescent="0.3">
      <c r="A1479" s="5" t="s">
        <v>34</v>
      </c>
      <c r="B1479" s="5" t="s">
        <v>977</v>
      </c>
      <c r="C1479" s="5">
        <v>10</v>
      </c>
      <c r="D1479" s="5" t="s">
        <v>425</v>
      </c>
      <c r="E1479" s="5" t="s">
        <v>1023</v>
      </c>
      <c r="F1479" s="5" t="s">
        <v>99</v>
      </c>
    </row>
    <row r="1480" spans="1:6" s="5" customFormat="1" x14ac:dyDescent="0.3">
      <c r="A1480" s="5" t="s">
        <v>34</v>
      </c>
      <c r="B1480" s="5" t="s">
        <v>979</v>
      </c>
      <c r="C1480" s="5">
        <v>8</v>
      </c>
      <c r="D1480" s="5" t="s">
        <v>99</v>
      </c>
      <c r="E1480" s="5" t="s">
        <v>211</v>
      </c>
      <c r="F1480" s="5" t="s">
        <v>99</v>
      </c>
    </row>
    <row r="1481" spans="1:6" x14ac:dyDescent="0.3">
      <c r="A1481" t="s">
        <v>33</v>
      </c>
      <c r="B1481" t="s">
        <v>973</v>
      </c>
      <c r="C1481">
        <v>105</v>
      </c>
      <c r="D1481" t="s">
        <v>121</v>
      </c>
      <c r="E1481" t="s">
        <v>385</v>
      </c>
      <c r="F1481" t="s">
        <v>99</v>
      </c>
    </row>
    <row r="1482" spans="1:6" x14ac:dyDescent="0.3">
      <c r="A1482" t="s">
        <v>33</v>
      </c>
      <c r="B1482" t="s">
        <v>975</v>
      </c>
      <c r="C1482">
        <v>69</v>
      </c>
      <c r="D1482" t="s">
        <v>99</v>
      </c>
      <c r="E1482" t="s">
        <v>211</v>
      </c>
      <c r="F1482" t="s">
        <v>99</v>
      </c>
    </row>
    <row r="1483" spans="1:6" x14ac:dyDescent="0.3">
      <c r="A1483" t="s">
        <v>33</v>
      </c>
      <c r="B1483" t="s">
        <v>976</v>
      </c>
      <c r="C1483">
        <v>103</v>
      </c>
      <c r="D1483" t="s">
        <v>99</v>
      </c>
      <c r="E1483" t="s">
        <v>211</v>
      </c>
      <c r="F1483" t="s">
        <v>99</v>
      </c>
    </row>
    <row r="1484" spans="1:6" x14ac:dyDescent="0.3">
      <c r="A1484" t="s">
        <v>33</v>
      </c>
      <c r="B1484" t="s">
        <v>977</v>
      </c>
      <c r="C1484">
        <v>77</v>
      </c>
      <c r="D1484" t="s">
        <v>99</v>
      </c>
      <c r="E1484" t="s">
        <v>211</v>
      </c>
      <c r="F1484" t="s">
        <v>99</v>
      </c>
    </row>
    <row r="1485" spans="1:6" s="5" customFormat="1" x14ac:dyDescent="0.3">
      <c r="A1485" s="5" t="s">
        <v>33</v>
      </c>
      <c r="B1485" s="5" t="s">
        <v>979</v>
      </c>
      <c r="C1485" s="5">
        <v>9</v>
      </c>
      <c r="D1485" s="5" t="s">
        <v>99</v>
      </c>
      <c r="E1485" s="5" t="s">
        <v>211</v>
      </c>
      <c r="F1485" s="5" t="s">
        <v>99</v>
      </c>
    </row>
    <row r="1486" spans="1:6" x14ac:dyDescent="0.3">
      <c r="A1486" t="s">
        <v>49</v>
      </c>
      <c r="B1486" t="s">
        <v>973</v>
      </c>
      <c r="C1486">
        <v>557</v>
      </c>
      <c r="D1486" t="s">
        <v>382</v>
      </c>
      <c r="E1486" t="s">
        <v>383</v>
      </c>
      <c r="F1486" t="s">
        <v>104</v>
      </c>
    </row>
    <row r="1487" spans="1:6" x14ac:dyDescent="0.3">
      <c r="A1487" t="s">
        <v>49</v>
      </c>
      <c r="B1487" t="s">
        <v>975</v>
      </c>
      <c r="C1487">
        <v>473</v>
      </c>
      <c r="D1487" t="s">
        <v>319</v>
      </c>
      <c r="E1487" t="s">
        <v>483</v>
      </c>
      <c r="F1487" t="s">
        <v>99</v>
      </c>
    </row>
    <row r="1488" spans="1:6" x14ac:dyDescent="0.3">
      <c r="A1488" t="s">
        <v>49</v>
      </c>
      <c r="B1488" t="s">
        <v>976</v>
      </c>
      <c r="C1488">
        <v>565</v>
      </c>
      <c r="D1488" t="s">
        <v>128</v>
      </c>
      <c r="E1488" t="s">
        <v>466</v>
      </c>
      <c r="F1488" t="s">
        <v>104</v>
      </c>
    </row>
    <row r="1489" spans="1:6" x14ac:dyDescent="0.3">
      <c r="A1489" t="s">
        <v>49</v>
      </c>
      <c r="B1489" t="s">
        <v>977</v>
      </c>
      <c r="C1489">
        <v>483</v>
      </c>
      <c r="D1489" t="s">
        <v>332</v>
      </c>
      <c r="E1489" t="s">
        <v>265</v>
      </c>
      <c r="F1489" t="s">
        <v>99</v>
      </c>
    </row>
    <row r="1490" spans="1:6" x14ac:dyDescent="0.3">
      <c r="A1490" t="s">
        <v>49</v>
      </c>
      <c r="B1490" t="s">
        <v>979</v>
      </c>
      <c r="C1490">
        <v>79</v>
      </c>
      <c r="D1490" t="s">
        <v>292</v>
      </c>
      <c r="E1490" t="s">
        <v>986</v>
      </c>
      <c r="F1490" t="s">
        <v>99</v>
      </c>
    </row>
    <row r="1492" spans="1:6" x14ac:dyDescent="0.3">
      <c r="A1492" t="s">
        <v>1024</v>
      </c>
    </row>
    <row r="1493" spans="1:6" x14ac:dyDescent="0.3">
      <c r="A1493" t="s">
        <v>44</v>
      </c>
      <c r="B1493" t="s">
        <v>235</v>
      </c>
      <c r="C1493" t="s">
        <v>32</v>
      </c>
      <c r="D1493" t="s">
        <v>67</v>
      </c>
      <c r="E1493" t="s">
        <v>66</v>
      </c>
      <c r="F1493" t="s">
        <v>352</v>
      </c>
    </row>
    <row r="1494" spans="1:6" x14ac:dyDescent="0.3">
      <c r="A1494" t="s">
        <v>35</v>
      </c>
      <c r="B1494" t="s">
        <v>236</v>
      </c>
      <c r="C1494">
        <v>346</v>
      </c>
      <c r="D1494" t="s">
        <v>249</v>
      </c>
      <c r="E1494" t="s">
        <v>316</v>
      </c>
      <c r="F1494" t="s">
        <v>99</v>
      </c>
    </row>
    <row r="1495" spans="1:6" x14ac:dyDescent="0.3">
      <c r="A1495" t="s">
        <v>35</v>
      </c>
      <c r="B1495" t="s">
        <v>238</v>
      </c>
      <c r="C1495">
        <v>299</v>
      </c>
      <c r="D1495" t="s">
        <v>265</v>
      </c>
      <c r="E1495" t="s">
        <v>332</v>
      </c>
      <c r="F1495" t="s">
        <v>99</v>
      </c>
    </row>
    <row r="1496" spans="1:6" x14ac:dyDescent="0.3">
      <c r="A1496" t="s">
        <v>37</v>
      </c>
      <c r="B1496" t="s">
        <v>236</v>
      </c>
      <c r="C1496">
        <v>441</v>
      </c>
      <c r="D1496" t="s">
        <v>386</v>
      </c>
      <c r="E1496" t="s">
        <v>268</v>
      </c>
      <c r="F1496" t="s">
        <v>99</v>
      </c>
    </row>
    <row r="1497" spans="1:6" x14ac:dyDescent="0.3">
      <c r="A1497" t="s">
        <v>37</v>
      </c>
      <c r="B1497" t="s">
        <v>238</v>
      </c>
      <c r="C1497">
        <v>268</v>
      </c>
      <c r="D1497" t="s">
        <v>466</v>
      </c>
      <c r="E1497" t="s">
        <v>103</v>
      </c>
      <c r="F1497" t="s">
        <v>198</v>
      </c>
    </row>
    <row r="1498" spans="1:6" x14ac:dyDescent="0.3">
      <c r="A1498" t="s">
        <v>36</v>
      </c>
      <c r="B1498" t="s">
        <v>236</v>
      </c>
      <c r="C1498">
        <v>280</v>
      </c>
      <c r="D1498" t="s">
        <v>331</v>
      </c>
      <c r="E1498" t="s">
        <v>112</v>
      </c>
      <c r="F1498" t="s">
        <v>99</v>
      </c>
    </row>
    <row r="1499" spans="1:6" x14ac:dyDescent="0.3">
      <c r="A1499" t="s">
        <v>36</v>
      </c>
      <c r="B1499" t="s">
        <v>238</v>
      </c>
      <c r="C1499">
        <v>107</v>
      </c>
      <c r="D1499" t="s">
        <v>980</v>
      </c>
      <c r="E1499" t="s">
        <v>99</v>
      </c>
      <c r="F1499" t="s">
        <v>253</v>
      </c>
    </row>
    <row r="1500" spans="1:6" s="5" customFormat="1" x14ac:dyDescent="0.3">
      <c r="A1500" s="5" t="s">
        <v>34</v>
      </c>
      <c r="B1500" s="5" t="s">
        <v>236</v>
      </c>
      <c r="C1500" s="5">
        <v>23</v>
      </c>
      <c r="D1500" s="5" t="s">
        <v>413</v>
      </c>
      <c r="E1500" s="5" t="s">
        <v>412</v>
      </c>
      <c r="F1500" s="5" t="s">
        <v>99</v>
      </c>
    </row>
    <row r="1501" spans="1:6" s="5" customFormat="1" x14ac:dyDescent="0.3">
      <c r="A1501" s="5" t="s">
        <v>34</v>
      </c>
      <c r="B1501" s="5" t="s">
        <v>238</v>
      </c>
      <c r="C1501" s="5">
        <v>30</v>
      </c>
      <c r="D1501" s="5" t="s">
        <v>998</v>
      </c>
      <c r="E1501" s="5" t="s">
        <v>107</v>
      </c>
      <c r="F1501" s="5" t="s">
        <v>99</v>
      </c>
    </row>
    <row r="1502" spans="1:6" x14ac:dyDescent="0.3">
      <c r="A1502" t="s">
        <v>33</v>
      </c>
      <c r="B1502" t="s">
        <v>236</v>
      </c>
      <c r="C1502">
        <v>200</v>
      </c>
      <c r="D1502" t="s">
        <v>211</v>
      </c>
      <c r="E1502" t="s">
        <v>99</v>
      </c>
      <c r="F1502" t="s">
        <v>99</v>
      </c>
    </row>
    <row r="1503" spans="1:6" x14ac:dyDescent="0.3">
      <c r="A1503" t="s">
        <v>33</v>
      </c>
      <c r="B1503" t="s">
        <v>238</v>
      </c>
      <c r="C1503">
        <v>163</v>
      </c>
      <c r="D1503" t="s">
        <v>996</v>
      </c>
      <c r="E1503" t="s">
        <v>115</v>
      </c>
      <c r="F1503" t="s">
        <v>99</v>
      </c>
    </row>
    <row r="1504" spans="1:6" x14ac:dyDescent="0.3">
      <c r="A1504" t="s">
        <v>49</v>
      </c>
      <c r="B1504" t="s">
        <v>236</v>
      </c>
      <c r="C1504">
        <v>1290</v>
      </c>
      <c r="D1504" t="s">
        <v>386</v>
      </c>
      <c r="E1504" t="s">
        <v>268</v>
      </c>
      <c r="F1504" t="s">
        <v>99</v>
      </c>
    </row>
    <row r="1505" spans="1:6" x14ac:dyDescent="0.3">
      <c r="A1505" t="s">
        <v>49</v>
      </c>
      <c r="B1505" t="s">
        <v>238</v>
      </c>
      <c r="C1505">
        <v>867</v>
      </c>
      <c r="D1505" t="s">
        <v>476</v>
      </c>
      <c r="E1505" t="s">
        <v>268</v>
      </c>
      <c r="F1505" t="s">
        <v>104</v>
      </c>
    </row>
    <row r="1507" spans="1:6" x14ac:dyDescent="0.3">
      <c r="A1507" t="s">
        <v>1025</v>
      </c>
    </row>
    <row r="1508" spans="1:6" x14ac:dyDescent="0.3">
      <c r="A1508" t="s">
        <v>44</v>
      </c>
      <c r="B1508" t="s">
        <v>209</v>
      </c>
      <c r="C1508" t="s">
        <v>32</v>
      </c>
      <c r="D1508" t="s">
        <v>67</v>
      </c>
      <c r="E1508" t="s">
        <v>66</v>
      </c>
      <c r="F1508" t="s">
        <v>352</v>
      </c>
    </row>
    <row r="1509" spans="1:6" s="5" customFormat="1" x14ac:dyDescent="0.3">
      <c r="A1509" s="5" t="s">
        <v>35</v>
      </c>
      <c r="B1509" s="5" t="s">
        <v>210</v>
      </c>
      <c r="C1509" s="5">
        <v>25</v>
      </c>
      <c r="D1509" s="5" t="s">
        <v>398</v>
      </c>
      <c r="E1509" s="5" t="s">
        <v>147</v>
      </c>
      <c r="F1509" s="5" t="s">
        <v>99</v>
      </c>
    </row>
    <row r="1510" spans="1:6" x14ac:dyDescent="0.3">
      <c r="A1510" t="s">
        <v>35</v>
      </c>
      <c r="B1510" t="s">
        <v>212</v>
      </c>
      <c r="C1510">
        <v>458</v>
      </c>
      <c r="D1510" t="s">
        <v>1026</v>
      </c>
      <c r="E1510" t="s">
        <v>127</v>
      </c>
      <c r="F1510" t="s">
        <v>99</v>
      </c>
    </row>
    <row r="1511" spans="1:6" x14ac:dyDescent="0.3">
      <c r="A1511" t="s">
        <v>35</v>
      </c>
      <c r="B1511" t="s">
        <v>216</v>
      </c>
      <c r="C1511">
        <v>162</v>
      </c>
      <c r="D1511" t="s">
        <v>327</v>
      </c>
      <c r="E1511" t="s">
        <v>325</v>
      </c>
      <c r="F1511" t="s">
        <v>99</v>
      </c>
    </row>
    <row r="1512" spans="1:6" s="5" customFormat="1" x14ac:dyDescent="0.3">
      <c r="A1512" s="5" t="s">
        <v>37</v>
      </c>
      <c r="B1512" s="5" t="s">
        <v>210</v>
      </c>
      <c r="C1512" s="5">
        <v>12</v>
      </c>
      <c r="D1512" s="5" t="s">
        <v>162</v>
      </c>
      <c r="E1512" s="5" t="s">
        <v>143</v>
      </c>
      <c r="F1512" s="5" t="s">
        <v>99</v>
      </c>
    </row>
    <row r="1513" spans="1:6" x14ac:dyDescent="0.3">
      <c r="A1513" t="s">
        <v>37</v>
      </c>
      <c r="B1513" t="s">
        <v>212</v>
      </c>
      <c r="C1513">
        <v>663</v>
      </c>
      <c r="D1513" t="s">
        <v>383</v>
      </c>
      <c r="E1513" t="s">
        <v>382</v>
      </c>
      <c r="F1513" t="s">
        <v>104</v>
      </c>
    </row>
    <row r="1514" spans="1:6" x14ac:dyDescent="0.3">
      <c r="A1514" t="s">
        <v>37</v>
      </c>
      <c r="B1514" t="s">
        <v>216</v>
      </c>
      <c r="C1514">
        <v>34</v>
      </c>
      <c r="D1514" t="s">
        <v>443</v>
      </c>
      <c r="E1514" t="s">
        <v>444</v>
      </c>
      <c r="F1514" t="s">
        <v>99</v>
      </c>
    </row>
    <row r="1515" spans="1:6" s="5" customFormat="1" x14ac:dyDescent="0.3">
      <c r="A1515" s="5" t="s">
        <v>36</v>
      </c>
      <c r="B1515" s="5" t="s">
        <v>210</v>
      </c>
      <c r="C1515" s="5">
        <v>19</v>
      </c>
      <c r="D1515" s="5" t="s">
        <v>448</v>
      </c>
      <c r="E1515" s="5" t="s">
        <v>449</v>
      </c>
      <c r="F1515" s="5" t="s">
        <v>99</v>
      </c>
    </row>
    <row r="1516" spans="1:6" x14ac:dyDescent="0.3">
      <c r="A1516" t="s">
        <v>36</v>
      </c>
      <c r="B1516" t="s">
        <v>212</v>
      </c>
      <c r="C1516">
        <v>340</v>
      </c>
      <c r="D1516" t="s">
        <v>386</v>
      </c>
      <c r="E1516" t="s">
        <v>268</v>
      </c>
      <c r="F1516" t="s">
        <v>99</v>
      </c>
    </row>
    <row r="1517" spans="1:6" s="5" customFormat="1" x14ac:dyDescent="0.3">
      <c r="A1517" s="5" t="s">
        <v>36</v>
      </c>
      <c r="B1517" s="5" t="s">
        <v>216</v>
      </c>
      <c r="C1517" s="5">
        <v>28</v>
      </c>
      <c r="D1517" s="5" t="s">
        <v>383</v>
      </c>
      <c r="E1517" s="5" t="s">
        <v>136</v>
      </c>
      <c r="F1517" s="5" t="s">
        <v>101</v>
      </c>
    </row>
    <row r="1518" spans="1:6" s="5" customFormat="1" x14ac:dyDescent="0.3">
      <c r="A1518" s="5" t="s">
        <v>34</v>
      </c>
      <c r="B1518" s="5" t="s">
        <v>210</v>
      </c>
      <c r="C1518" s="5">
        <v>5</v>
      </c>
      <c r="D1518" s="5" t="s">
        <v>1027</v>
      </c>
      <c r="E1518" s="5" t="s">
        <v>711</v>
      </c>
      <c r="F1518" s="5" t="s">
        <v>99</v>
      </c>
    </row>
    <row r="1519" spans="1:6" s="5" customFormat="1" x14ac:dyDescent="0.3">
      <c r="A1519" s="5" t="s">
        <v>34</v>
      </c>
      <c r="B1519" s="5" t="s">
        <v>212</v>
      </c>
      <c r="C1519" s="5">
        <v>29</v>
      </c>
      <c r="D1519" s="5" t="s">
        <v>211</v>
      </c>
      <c r="E1519" s="5" t="s">
        <v>99</v>
      </c>
      <c r="F1519" s="5" t="s">
        <v>99</v>
      </c>
    </row>
    <row r="1520" spans="1:6" s="5" customFormat="1" x14ac:dyDescent="0.3">
      <c r="A1520" s="5" t="s">
        <v>34</v>
      </c>
      <c r="B1520" s="5" t="s">
        <v>216</v>
      </c>
      <c r="C1520" s="5">
        <v>19</v>
      </c>
      <c r="D1520" s="5" t="s">
        <v>398</v>
      </c>
      <c r="E1520" s="5" t="s">
        <v>147</v>
      </c>
      <c r="F1520" s="5" t="s">
        <v>99</v>
      </c>
    </row>
    <row r="1521" spans="1:6" s="5" customFormat="1" x14ac:dyDescent="0.3">
      <c r="A1521" s="5" t="s">
        <v>33</v>
      </c>
      <c r="B1521" s="5" t="s">
        <v>210</v>
      </c>
      <c r="C1521" s="5">
        <v>10</v>
      </c>
      <c r="D1521" s="5" t="s">
        <v>211</v>
      </c>
      <c r="E1521" s="5" t="s">
        <v>99</v>
      </c>
      <c r="F1521" s="5" t="s">
        <v>99</v>
      </c>
    </row>
    <row r="1522" spans="1:6" x14ac:dyDescent="0.3">
      <c r="A1522" t="s">
        <v>33</v>
      </c>
      <c r="B1522" t="s">
        <v>212</v>
      </c>
      <c r="C1522">
        <v>336</v>
      </c>
      <c r="D1522" t="s">
        <v>511</v>
      </c>
      <c r="E1522" t="s">
        <v>136</v>
      </c>
      <c r="F1522" t="s">
        <v>99</v>
      </c>
    </row>
    <row r="1523" spans="1:6" s="5" customFormat="1" x14ac:dyDescent="0.3">
      <c r="A1523" s="5" t="s">
        <v>33</v>
      </c>
      <c r="B1523" s="5" t="s">
        <v>216</v>
      </c>
      <c r="C1523" s="5">
        <v>17</v>
      </c>
      <c r="D1523" s="5" t="s">
        <v>211</v>
      </c>
      <c r="E1523" s="5" t="s">
        <v>99</v>
      </c>
      <c r="F1523" s="5" t="s">
        <v>99</v>
      </c>
    </row>
    <row r="1524" spans="1:6" x14ac:dyDescent="0.3">
      <c r="A1524" t="s">
        <v>49</v>
      </c>
      <c r="B1524" t="s">
        <v>210</v>
      </c>
      <c r="C1524">
        <v>71</v>
      </c>
      <c r="D1524" t="s">
        <v>329</v>
      </c>
      <c r="E1524" t="s">
        <v>122</v>
      </c>
      <c r="F1524" t="s">
        <v>99</v>
      </c>
    </row>
    <row r="1525" spans="1:6" x14ac:dyDescent="0.3">
      <c r="A1525" t="s">
        <v>49</v>
      </c>
      <c r="B1525" t="s">
        <v>212</v>
      </c>
      <c r="C1525">
        <v>1826</v>
      </c>
      <c r="D1525" t="s">
        <v>483</v>
      </c>
      <c r="E1525" t="s">
        <v>101</v>
      </c>
      <c r="F1525" t="s">
        <v>99</v>
      </c>
    </row>
    <row r="1526" spans="1:6" x14ac:dyDescent="0.3">
      <c r="A1526" t="s">
        <v>49</v>
      </c>
      <c r="B1526" t="s">
        <v>216</v>
      </c>
      <c r="C1526">
        <v>260</v>
      </c>
      <c r="D1526" t="s">
        <v>327</v>
      </c>
      <c r="E1526" t="s">
        <v>328</v>
      </c>
      <c r="F1526" t="s">
        <v>104</v>
      </c>
    </row>
    <row r="1528" spans="1:6" x14ac:dyDescent="0.3">
      <c r="A1528" t="s">
        <v>1028</v>
      </c>
    </row>
    <row r="1529" spans="1:6" x14ac:dyDescent="0.3">
      <c r="A1529" t="s">
        <v>44</v>
      </c>
      <c r="B1529" t="s">
        <v>388</v>
      </c>
      <c r="C1529" t="s">
        <v>32</v>
      </c>
      <c r="D1529" t="s">
        <v>67</v>
      </c>
      <c r="E1529" t="s">
        <v>66</v>
      </c>
      <c r="F1529" t="s">
        <v>352</v>
      </c>
    </row>
    <row r="1530" spans="1:6" x14ac:dyDescent="0.3">
      <c r="A1530" t="s">
        <v>35</v>
      </c>
      <c r="B1530" t="s">
        <v>389</v>
      </c>
      <c r="C1530">
        <v>477</v>
      </c>
      <c r="D1530" t="s">
        <v>398</v>
      </c>
      <c r="E1530" t="s">
        <v>147</v>
      </c>
      <c r="F1530" t="s">
        <v>99</v>
      </c>
    </row>
    <row r="1531" spans="1:6" x14ac:dyDescent="0.3">
      <c r="A1531" t="s">
        <v>35</v>
      </c>
      <c r="B1531" t="s">
        <v>390</v>
      </c>
      <c r="C1531">
        <v>131</v>
      </c>
      <c r="D1531" t="s">
        <v>69</v>
      </c>
      <c r="E1531" t="s">
        <v>68</v>
      </c>
      <c r="F1531" t="s">
        <v>99</v>
      </c>
    </row>
    <row r="1532" spans="1:6" x14ac:dyDescent="0.3">
      <c r="A1532" t="s">
        <v>35</v>
      </c>
      <c r="B1532" t="s">
        <v>365</v>
      </c>
      <c r="C1532">
        <v>37</v>
      </c>
      <c r="D1532" t="s">
        <v>999</v>
      </c>
      <c r="E1532" t="s">
        <v>101</v>
      </c>
      <c r="F1532" t="s">
        <v>99</v>
      </c>
    </row>
    <row r="1533" spans="1:6" x14ac:dyDescent="0.3">
      <c r="A1533" t="s">
        <v>37</v>
      </c>
      <c r="B1533" t="s">
        <v>389</v>
      </c>
      <c r="C1533">
        <v>493</v>
      </c>
      <c r="D1533" t="s">
        <v>851</v>
      </c>
      <c r="E1533" t="s">
        <v>103</v>
      </c>
      <c r="F1533" t="s">
        <v>99</v>
      </c>
    </row>
    <row r="1534" spans="1:6" x14ac:dyDescent="0.3">
      <c r="A1534" t="s">
        <v>37</v>
      </c>
      <c r="B1534" t="s">
        <v>390</v>
      </c>
      <c r="C1534">
        <v>173</v>
      </c>
      <c r="D1534" t="s">
        <v>993</v>
      </c>
      <c r="E1534" t="s">
        <v>121</v>
      </c>
      <c r="F1534" t="s">
        <v>207</v>
      </c>
    </row>
    <row r="1535" spans="1:6" x14ac:dyDescent="0.3">
      <c r="A1535" t="s">
        <v>37</v>
      </c>
      <c r="B1535" t="s">
        <v>365</v>
      </c>
      <c r="C1535">
        <v>43</v>
      </c>
      <c r="D1535" t="s">
        <v>391</v>
      </c>
      <c r="E1535" t="s">
        <v>675</v>
      </c>
      <c r="F1535" t="s">
        <v>99</v>
      </c>
    </row>
    <row r="1536" spans="1:6" x14ac:dyDescent="0.3">
      <c r="A1536" t="s">
        <v>36</v>
      </c>
      <c r="B1536" t="s">
        <v>389</v>
      </c>
      <c r="C1536">
        <v>286</v>
      </c>
      <c r="D1536" t="s">
        <v>336</v>
      </c>
      <c r="E1536" t="s">
        <v>138</v>
      </c>
      <c r="F1536" t="s">
        <v>99</v>
      </c>
    </row>
    <row r="1537" spans="1:6" x14ac:dyDescent="0.3">
      <c r="A1537" t="s">
        <v>36</v>
      </c>
      <c r="B1537" t="s">
        <v>390</v>
      </c>
      <c r="C1537">
        <v>77</v>
      </c>
      <c r="D1537" t="s">
        <v>780</v>
      </c>
      <c r="E1537" t="s">
        <v>319</v>
      </c>
      <c r="F1537" t="s">
        <v>101</v>
      </c>
    </row>
    <row r="1538" spans="1:6" x14ac:dyDescent="0.3">
      <c r="A1538" t="s">
        <v>36</v>
      </c>
      <c r="B1538" t="s">
        <v>365</v>
      </c>
      <c r="C1538">
        <v>24</v>
      </c>
      <c r="D1538" t="s">
        <v>483</v>
      </c>
      <c r="E1538" t="s">
        <v>319</v>
      </c>
      <c r="F1538" t="s">
        <v>99</v>
      </c>
    </row>
    <row r="1539" spans="1:6" x14ac:dyDescent="0.3">
      <c r="A1539" t="s">
        <v>34</v>
      </c>
      <c r="B1539" t="s">
        <v>389</v>
      </c>
      <c r="C1539">
        <v>39</v>
      </c>
      <c r="D1539" t="s">
        <v>336</v>
      </c>
      <c r="E1539" t="s">
        <v>138</v>
      </c>
      <c r="F1539" t="s">
        <v>99</v>
      </c>
    </row>
    <row r="1540" spans="1:6" s="5" customFormat="1" x14ac:dyDescent="0.3">
      <c r="A1540" s="5" t="s">
        <v>34</v>
      </c>
      <c r="B1540" s="5" t="s">
        <v>390</v>
      </c>
      <c r="C1540" s="5">
        <v>11</v>
      </c>
      <c r="D1540" s="5" t="s">
        <v>161</v>
      </c>
      <c r="E1540" s="5" t="s">
        <v>160</v>
      </c>
      <c r="F1540" s="5" t="s">
        <v>99</v>
      </c>
    </row>
    <row r="1541" spans="1:6" x14ac:dyDescent="0.3">
      <c r="A1541" t="s">
        <v>34</v>
      </c>
      <c r="B1541" t="s">
        <v>365</v>
      </c>
      <c r="C1541">
        <v>3</v>
      </c>
      <c r="D1541" t="s">
        <v>211</v>
      </c>
      <c r="E1541" t="s">
        <v>99</v>
      </c>
      <c r="F1541" t="s">
        <v>99</v>
      </c>
    </row>
    <row r="1542" spans="1:6" x14ac:dyDescent="0.3">
      <c r="A1542" t="s">
        <v>33</v>
      </c>
      <c r="B1542" t="s">
        <v>389</v>
      </c>
      <c r="C1542">
        <v>212</v>
      </c>
      <c r="D1542" t="s">
        <v>211</v>
      </c>
      <c r="E1542" t="s">
        <v>99</v>
      </c>
      <c r="F1542" t="s">
        <v>99</v>
      </c>
    </row>
    <row r="1543" spans="1:6" x14ac:dyDescent="0.3">
      <c r="A1543" t="s">
        <v>33</v>
      </c>
      <c r="B1543" t="s">
        <v>390</v>
      </c>
      <c r="C1543">
        <v>111</v>
      </c>
      <c r="D1543" t="s">
        <v>982</v>
      </c>
      <c r="E1543" t="s">
        <v>100</v>
      </c>
      <c r="F1543" t="s">
        <v>99</v>
      </c>
    </row>
    <row r="1544" spans="1:6" x14ac:dyDescent="0.3">
      <c r="A1544" t="s">
        <v>33</v>
      </c>
      <c r="B1544" t="s">
        <v>365</v>
      </c>
      <c r="C1544">
        <v>40</v>
      </c>
      <c r="D1544" t="s">
        <v>211</v>
      </c>
      <c r="E1544" t="s">
        <v>99</v>
      </c>
      <c r="F1544" t="s">
        <v>99</v>
      </c>
    </row>
    <row r="1545" spans="1:6" x14ac:dyDescent="0.3">
      <c r="A1545" t="s">
        <v>49</v>
      </c>
      <c r="B1545" t="s">
        <v>389</v>
      </c>
      <c r="C1545">
        <v>1507</v>
      </c>
      <c r="D1545" t="s">
        <v>386</v>
      </c>
      <c r="E1545" t="s">
        <v>268</v>
      </c>
      <c r="F1545" t="s">
        <v>99</v>
      </c>
    </row>
    <row r="1546" spans="1:6" x14ac:dyDescent="0.3">
      <c r="A1546" t="s">
        <v>49</v>
      </c>
      <c r="B1546" t="s">
        <v>390</v>
      </c>
      <c r="C1546">
        <v>503</v>
      </c>
      <c r="D1546" t="s">
        <v>851</v>
      </c>
      <c r="E1546" t="s">
        <v>268</v>
      </c>
      <c r="F1546" t="s">
        <v>198</v>
      </c>
    </row>
    <row r="1547" spans="1:6" x14ac:dyDescent="0.3">
      <c r="A1547" t="s">
        <v>49</v>
      </c>
      <c r="B1547" t="s">
        <v>365</v>
      </c>
      <c r="C1547">
        <v>147</v>
      </c>
      <c r="D1547" t="s">
        <v>476</v>
      </c>
      <c r="E1547" t="s">
        <v>117</v>
      </c>
      <c r="F1547" t="s">
        <v>99</v>
      </c>
    </row>
    <row r="1549" spans="1:6" x14ac:dyDescent="0.3">
      <c r="A1549" t="s">
        <v>1029</v>
      </c>
    </row>
    <row r="1550" spans="1:6" x14ac:dyDescent="0.3">
      <c r="A1550" t="s">
        <v>44</v>
      </c>
      <c r="B1550" t="s">
        <v>879</v>
      </c>
      <c r="C1550" t="s">
        <v>32</v>
      </c>
      <c r="D1550" t="s">
        <v>67</v>
      </c>
      <c r="E1550" t="s">
        <v>66</v>
      </c>
      <c r="F1550" t="s">
        <v>352</v>
      </c>
    </row>
    <row r="1551" spans="1:6" s="5" customFormat="1" x14ac:dyDescent="0.3">
      <c r="A1551" s="5" t="s">
        <v>35</v>
      </c>
      <c r="B1551" s="5" t="s">
        <v>880</v>
      </c>
      <c r="C1551" s="5">
        <v>4</v>
      </c>
      <c r="D1551" s="5" t="s">
        <v>211</v>
      </c>
      <c r="E1551" s="5" t="s">
        <v>99</v>
      </c>
      <c r="F1551" s="5" t="s">
        <v>99</v>
      </c>
    </row>
    <row r="1552" spans="1:6" x14ac:dyDescent="0.3">
      <c r="A1552" t="s">
        <v>35</v>
      </c>
      <c r="B1552" t="s">
        <v>881</v>
      </c>
      <c r="C1552">
        <v>82</v>
      </c>
      <c r="D1552" t="s">
        <v>505</v>
      </c>
      <c r="E1552" t="s">
        <v>98</v>
      </c>
      <c r="F1552" t="s">
        <v>99</v>
      </c>
    </row>
    <row r="1553" spans="1:6" x14ac:dyDescent="0.3">
      <c r="A1553" t="s">
        <v>35</v>
      </c>
      <c r="B1553" t="s">
        <v>882</v>
      </c>
      <c r="C1553">
        <v>559</v>
      </c>
      <c r="D1553" t="s">
        <v>466</v>
      </c>
      <c r="E1553" t="s">
        <v>120</v>
      </c>
      <c r="F1553" t="s">
        <v>99</v>
      </c>
    </row>
    <row r="1554" spans="1:6" s="5" customFormat="1" x14ac:dyDescent="0.3">
      <c r="A1554" s="5" t="s">
        <v>37</v>
      </c>
      <c r="B1554" s="5" t="s">
        <v>880</v>
      </c>
      <c r="C1554" s="5">
        <v>6</v>
      </c>
      <c r="D1554" s="5" t="s">
        <v>211</v>
      </c>
      <c r="E1554" s="5" t="s">
        <v>99</v>
      </c>
      <c r="F1554" s="5" t="s">
        <v>99</v>
      </c>
    </row>
    <row r="1555" spans="1:6" x14ac:dyDescent="0.3">
      <c r="A1555" t="s">
        <v>37</v>
      </c>
      <c r="B1555" t="s">
        <v>881</v>
      </c>
      <c r="C1555">
        <v>51</v>
      </c>
      <c r="D1555" t="s">
        <v>327</v>
      </c>
      <c r="E1555" t="s">
        <v>139</v>
      </c>
      <c r="F1555" t="s">
        <v>121</v>
      </c>
    </row>
    <row r="1556" spans="1:6" x14ac:dyDescent="0.3">
      <c r="A1556" t="s">
        <v>37</v>
      </c>
      <c r="B1556" t="s">
        <v>882</v>
      </c>
      <c r="C1556">
        <v>652</v>
      </c>
      <c r="D1556" t="s">
        <v>386</v>
      </c>
      <c r="E1556" t="s">
        <v>268</v>
      </c>
      <c r="F1556" t="s">
        <v>99</v>
      </c>
    </row>
    <row r="1557" spans="1:6" s="5" customFormat="1" x14ac:dyDescent="0.3">
      <c r="A1557" s="5" t="s">
        <v>36</v>
      </c>
      <c r="B1557" s="5" t="s">
        <v>880</v>
      </c>
      <c r="C1557" s="5">
        <v>2</v>
      </c>
      <c r="D1557" s="5" t="s">
        <v>211</v>
      </c>
      <c r="E1557" s="5" t="s">
        <v>99</v>
      </c>
      <c r="F1557" s="5" t="s">
        <v>99</v>
      </c>
    </row>
    <row r="1558" spans="1:6" x14ac:dyDescent="0.3">
      <c r="A1558" t="s">
        <v>36</v>
      </c>
      <c r="B1558" t="s">
        <v>881</v>
      </c>
      <c r="C1558">
        <v>75</v>
      </c>
      <c r="D1558" t="s">
        <v>327</v>
      </c>
      <c r="E1558" t="s">
        <v>325</v>
      </c>
      <c r="F1558" t="s">
        <v>99</v>
      </c>
    </row>
    <row r="1559" spans="1:6" x14ac:dyDescent="0.3">
      <c r="A1559" t="s">
        <v>36</v>
      </c>
      <c r="B1559" t="s">
        <v>882</v>
      </c>
      <c r="C1559">
        <v>310</v>
      </c>
      <c r="D1559" t="s">
        <v>476</v>
      </c>
      <c r="E1559" t="s">
        <v>111</v>
      </c>
      <c r="F1559" t="s">
        <v>207</v>
      </c>
    </row>
    <row r="1560" spans="1:6" s="5" customFormat="1" x14ac:dyDescent="0.3">
      <c r="A1560" s="5" t="s">
        <v>34</v>
      </c>
      <c r="B1560" s="5" t="s">
        <v>881</v>
      </c>
      <c r="C1560" s="5">
        <v>10</v>
      </c>
      <c r="D1560" s="5" t="s">
        <v>211</v>
      </c>
      <c r="E1560" s="5" t="s">
        <v>99</v>
      </c>
      <c r="F1560" s="5" t="s">
        <v>99</v>
      </c>
    </row>
    <row r="1561" spans="1:6" x14ac:dyDescent="0.3">
      <c r="A1561" t="s">
        <v>34</v>
      </c>
      <c r="B1561" t="s">
        <v>882</v>
      </c>
      <c r="C1561">
        <v>43</v>
      </c>
      <c r="D1561" t="s">
        <v>367</v>
      </c>
      <c r="E1561" t="s">
        <v>139</v>
      </c>
      <c r="F1561" t="s">
        <v>99</v>
      </c>
    </row>
    <row r="1562" spans="1:6" s="5" customFormat="1" x14ac:dyDescent="0.3">
      <c r="A1562" s="5" t="s">
        <v>33</v>
      </c>
      <c r="B1562" s="5" t="s">
        <v>880</v>
      </c>
      <c r="C1562" s="5">
        <v>4</v>
      </c>
      <c r="D1562" s="5" t="s">
        <v>211</v>
      </c>
      <c r="E1562" s="5" t="s">
        <v>99</v>
      </c>
      <c r="F1562" s="5" t="s">
        <v>99</v>
      </c>
    </row>
    <row r="1563" spans="1:6" x14ac:dyDescent="0.3">
      <c r="A1563" t="s">
        <v>33</v>
      </c>
      <c r="B1563" t="s">
        <v>881</v>
      </c>
      <c r="C1563">
        <v>36</v>
      </c>
      <c r="D1563" t="s">
        <v>211</v>
      </c>
      <c r="E1563" t="s">
        <v>99</v>
      </c>
      <c r="F1563" t="s">
        <v>99</v>
      </c>
    </row>
    <row r="1564" spans="1:6" x14ac:dyDescent="0.3">
      <c r="A1564" t="s">
        <v>33</v>
      </c>
      <c r="B1564" t="s">
        <v>882</v>
      </c>
      <c r="C1564">
        <v>323</v>
      </c>
      <c r="D1564" t="s">
        <v>511</v>
      </c>
      <c r="E1564" t="s">
        <v>136</v>
      </c>
      <c r="F1564" t="s">
        <v>99</v>
      </c>
    </row>
    <row r="1565" spans="1:6" s="5" customFormat="1" x14ac:dyDescent="0.3">
      <c r="A1565" s="5" t="s">
        <v>49</v>
      </c>
      <c r="B1565" s="5" t="s">
        <v>880</v>
      </c>
      <c r="C1565" s="5">
        <v>16</v>
      </c>
      <c r="D1565" s="5" t="s">
        <v>211</v>
      </c>
      <c r="E1565" s="5" t="s">
        <v>99</v>
      </c>
      <c r="F1565" s="5" t="s">
        <v>99</v>
      </c>
    </row>
    <row r="1566" spans="1:6" x14ac:dyDescent="0.3">
      <c r="A1566" t="s">
        <v>49</v>
      </c>
      <c r="B1566" t="s">
        <v>881</v>
      </c>
      <c r="C1566">
        <v>254</v>
      </c>
      <c r="D1566" t="s">
        <v>782</v>
      </c>
      <c r="E1566" t="s">
        <v>134</v>
      </c>
      <c r="F1566" t="s">
        <v>207</v>
      </c>
    </row>
    <row r="1567" spans="1:6" x14ac:dyDescent="0.3">
      <c r="A1567" t="s">
        <v>49</v>
      </c>
      <c r="B1567" t="s">
        <v>882</v>
      </c>
      <c r="C1567">
        <v>1887</v>
      </c>
      <c r="D1567" t="s">
        <v>202</v>
      </c>
      <c r="E1567" t="s">
        <v>292</v>
      </c>
      <c r="F1567" t="s">
        <v>99</v>
      </c>
    </row>
    <row r="1569" spans="1:17" x14ac:dyDescent="0.3">
      <c r="A1569" t="s">
        <v>1030</v>
      </c>
    </row>
    <row r="1570" spans="1:17" x14ac:dyDescent="0.3">
      <c r="A1570" t="s">
        <v>44</v>
      </c>
      <c r="B1570" t="s">
        <v>257</v>
      </c>
      <c r="C1570" t="s">
        <v>32</v>
      </c>
      <c r="D1570" t="s">
        <v>66</v>
      </c>
      <c r="E1570" t="s">
        <v>67</v>
      </c>
      <c r="F1570" t="s">
        <v>352</v>
      </c>
    </row>
    <row r="1571" spans="1:17" x14ac:dyDescent="0.3">
      <c r="A1571" t="s">
        <v>35</v>
      </c>
      <c r="B1571" t="s">
        <v>258</v>
      </c>
      <c r="C1571">
        <v>581</v>
      </c>
      <c r="D1571" t="s">
        <v>147</v>
      </c>
      <c r="E1571" t="s">
        <v>398</v>
      </c>
      <c r="F1571" t="s">
        <v>99</v>
      </c>
    </row>
    <row r="1572" spans="1:17" x14ac:dyDescent="0.3">
      <c r="A1572" t="s">
        <v>35</v>
      </c>
      <c r="B1572" t="s">
        <v>260</v>
      </c>
      <c r="C1572">
        <v>64</v>
      </c>
      <c r="D1572" t="s">
        <v>112</v>
      </c>
      <c r="E1572" t="s">
        <v>331</v>
      </c>
      <c r="F1572" t="s">
        <v>99</v>
      </c>
    </row>
    <row r="1573" spans="1:17" x14ac:dyDescent="0.3">
      <c r="A1573" t="s">
        <v>37</v>
      </c>
      <c r="B1573" t="s">
        <v>258</v>
      </c>
      <c r="C1573">
        <v>709</v>
      </c>
      <c r="D1573" t="s">
        <v>117</v>
      </c>
      <c r="E1573" t="s">
        <v>851</v>
      </c>
      <c r="F1573" t="s">
        <v>104</v>
      </c>
    </row>
    <row r="1574" spans="1:17" x14ac:dyDescent="0.3">
      <c r="A1574" t="s">
        <v>36</v>
      </c>
      <c r="B1574" t="s">
        <v>258</v>
      </c>
      <c r="C1574">
        <v>385</v>
      </c>
      <c r="D1574" t="s">
        <v>316</v>
      </c>
      <c r="E1574" t="s">
        <v>466</v>
      </c>
      <c r="F1574" t="s">
        <v>198</v>
      </c>
    </row>
    <row r="1575" spans="1:17" s="5" customFormat="1" x14ac:dyDescent="0.3">
      <c r="A1575" s="5" t="s">
        <v>36</v>
      </c>
      <c r="B1575" s="5" t="s">
        <v>260</v>
      </c>
      <c r="C1575" s="5">
        <v>2</v>
      </c>
      <c r="D1575" s="5" t="s">
        <v>211</v>
      </c>
      <c r="E1575" s="5" t="s">
        <v>99</v>
      </c>
      <c r="F1575" s="5" t="s">
        <v>99</v>
      </c>
    </row>
    <row r="1576" spans="1:17" s="5" customFormat="1" x14ac:dyDescent="0.3">
      <c r="A1576" s="5" t="s">
        <v>34</v>
      </c>
      <c r="B1576" s="5" t="s">
        <v>258</v>
      </c>
      <c r="C1576" s="5">
        <v>20</v>
      </c>
      <c r="D1576" s="5" t="s">
        <v>99</v>
      </c>
      <c r="E1576" s="5" t="s">
        <v>211</v>
      </c>
      <c r="F1576" s="5" t="s">
        <v>99</v>
      </c>
    </row>
    <row r="1577" spans="1:17" x14ac:dyDescent="0.3">
      <c r="A1577" t="s">
        <v>34</v>
      </c>
      <c r="B1577" t="s">
        <v>260</v>
      </c>
      <c r="C1577">
        <v>33</v>
      </c>
      <c r="D1577" t="s">
        <v>68</v>
      </c>
      <c r="E1577" t="s">
        <v>69</v>
      </c>
      <c r="F1577" t="s">
        <v>99</v>
      </c>
    </row>
    <row r="1578" spans="1:17" x14ac:dyDescent="0.3">
      <c r="A1578" t="s">
        <v>33</v>
      </c>
      <c r="B1578" t="s">
        <v>258</v>
      </c>
      <c r="C1578">
        <v>363</v>
      </c>
      <c r="D1578" t="s">
        <v>207</v>
      </c>
      <c r="E1578" t="s">
        <v>981</v>
      </c>
      <c r="F1578" t="s">
        <v>99</v>
      </c>
    </row>
    <row r="1579" spans="1:17" x14ac:dyDescent="0.3">
      <c r="A1579" t="s">
        <v>49</v>
      </c>
      <c r="B1579" t="s">
        <v>258</v>
      </c>
      <c r="C1579">
        <v>2058</v>
      </c>
      <c r="D1579" t="s">
        <v>292</v>
      </c>
      <c r="E1579" t="s">
        <v>986</v>
      </c>
      <c r="F1579" t="s">
        <v>104</v>
      </c>
    </row>
    <row r="1580" spans="1:17" x14ac:dyDescent="0.3">
      <c r="A1580" t="s">
        <v>49</v>
      </c>
      <c r="B1580" t="s">
        <v>260</v>
      </c>
      <c r="C1580">
        <v>99</v>
      </c>
      <c r="D1580" t="s">
        <v>149</v>
      </c>
      <c r="E1580" t="s">
        <v>786</v>
      </c>
      <c r="F1580" t="s">
        <v>99</v>
      </c>
    </row>
    <row r="1582" spans="1:17" x14ac:dyDescent="0.3">
      <c r="A1582" s="2" t="s">
        <v>23</v>
      </c>
      <c r="B1582" s="2"/>
      <c r="C1582" s="2"/>
      <c r="D1582" s="2"/>
      <c r="E1582" s="2"/>
      <c r="F1582" s="2"/>
      <c r="G1582" s="2"/>
      <c r="H1582" s="2"/>
      <c r="I1582" s="2"/>
      <c r="J1582" s="2"/>
      <c r="K1582" s="2"/>
      <c r="L1582" s="2"/>
      <c r="M1582" s="2"/>
      <c r="N1582" s="2"/>
      <c r="O1582" s="2"/>
      <c r="P1582" s="2"/>
      <c r="Q1582" s="2"/>
    </row>
    <row r="1583" spans="1:17" x14ac:dyDescent="0.3">
      <c r="A1583" s="2" t="s">
        <v>44</v>
      </c>
      <c r="B1583" s="2" t="s">
        <v>32</v>
      </c>
      <c r="C1583" s="2" t="s">
        <v>1031</v>
      </c>
      <c r="D1583" s="2" t="s">
        <v>1032</v>
      </c>
      <c r="E1583" s="2" t="s">
        <v>1033</v>
      </c>
      <c r="F1583" s="2" t="s">
        <v>1034</v>
      </c>
      <c r="G1583" s="2" t="s">
        <v>1035</v>
      </c>
      <c r="H1583" s="2" t="s">
        <v>1036</v>
      </c>
      <c r="I1583" s="2" t="s">
        <v>1037</v>
      </c>
      <c r="J1583" s="2" t="s">
        <v>1038</v>
      </c>
      <c r="K1583" s="2" t="s">
        <v>83</v>
      </c>
      <c r="L1583" s="2" t="s">
        <v>1039</v>
      </c>
      <c r="M1583" s="2" t="s">
        <v>1040</v>
      </c>
      <c r="N1583" s="2" t="s">
        <v>1041</v>
      </c>
      <c r="O1583" s="2" t="s">
        <v>1042</v>
      </c>
      <c r="P1583" s="2"/>
      <c r="Q1583" s="2"/>
    </row>
    <row r="1584" spans="1:17" x14ac:dyDescent="0.3">
      <c r="A1584" s="2" t="s">
        <v>35</v>
      </c>
      <c r="B1584" s="2">
        <v>39</v>
      </c>
      <c r="C1584" s="2" t="s">
        <v>680</v>
      </c>
      <c r="D1584" s="2" t="s">
        <v>99</v>
      </c>
      <c r="E1584" s="2" t="s">
        <v>959</v>
      </c>
      <c r="F1584" s="2" t="s">
        <v>99</v>
      </c>
      <c r="G1584" s="2" t="s">
        <v>692</v>
      </c>
      <c r="H1584" s="2" t="s">
        <v>416</v>
      </c>
      <c r="I1584" s="2" t="s">
        <v>99</v>
      </c>
      <c r="J1584" s="2" t="s">
        <v>680</v>
      </c>
      <c r="K1584" s="2" t="s">
        <v>316</v>
      </c>
      <c r="L1584" s="2" t="s">
        <v>321</v>
      </c>
      <c r="M1584" s="2" t="s">
        <v>99</v>
      </c>
      <c r="N1584" s="2" t="s">
        <v>99</v>
      </c>
      <c r="O1584" s="2" t="s">
        <v>99</v>
      </c>
      <c r="P1584" s="2"/>
      <c r="Q1584" s="2"/>
    </row>
    <row r="1585" spans="1:17" s="5" customFormat="1" x14ac:dyDescent="0.3">
      <c r="A1585" s="6" t="s">
        <v>37</v>
      </c>
      <c r="B1585" s="6">
        <v>12</v>
      </c>
      <c r="C1585" s="6" t="s">
        <v>746</v>
      </c>
      <c r="D1585" s="6" t="s">
        <v>99</v>
      </c>
      <c r="E1585" s="6" t="s">
        <v>1043</v>
      </c>
      <c r="F1585" s="6" t="s">
        <v>99</v>
      </c>
      <c r="G1585" s="6" t="s">
        <v>704</v>
      </c>
      <c r="H1585" s="6" t="s">
        <v>1044</v>
      </c>
      <c r="I1585" s="6" t="s">
        <v>98</v>
      </c>
      <c r="J1585" s="6" t="s">
        <v>99</v>
      </c>
      <c r="K1585" s="6" t="s">
        <v>99</v>
      </c>
      <c r="L1585" s="6" t="s">
        <v>99</v>
      </c>
      <c r="M1585" s="6" t="s">
        <v>99</v>
      </c>
      <c r="N1585" s="6" t="s">
        <v>99</v>
      </c>
      <c r="O1585" s="6" t="s">
        <v>145</v>
      </c>
      <c r="P1585" s="6"/>
      <c r="Q1585" s="6"/>
    </row>
    <row r="1586" spans="1:17" x14ac:dyDescent="0.3">
      <c r="A1586" s="2" t="s">
        <v>36</v>
      </c>
      <c r="B1586" s="2">
        <v>57</v>
      </c>
      <c r="C1586" s="2" t="s">
        <v>244</v>
      </c>
      <c r="D1586" s="2" t="s">
        <v>99</v>
      </c>
      <c r="E1586" s="2" t="s">
        <v>292</v>
      </c>
      <c r="F1586" s="2" t="s">
        <v>160</v>
      </c>
      <c r="G1586" s="2" t="s">
        <v>488</v>
      </c>
      <c r="H1586" s="2" t="s">
        <v>831</v>
      </c>
      <c r="I1586" s="2" t="s">
        <v>253</v>
      </c>
      <c r="J1586" s="2" t="s">
        <v>99</v>
      </c>
      <c r="K1586" s="2" t="s">
        <v>99</v>
      </c>
      <c r="L1586" s="2" t="s">
        <v>136</v>
      </c>
      <c r="M1586" s="2" t="s">
        <v>712</v>
      </c>
      <c r="N1586" s="2" t="s">
        <v>382</v>
      </c>
      <c r="O1586" s="2" t="s">
        <v>99</v>
      </c>
      <c r="P1586" s="2"/>
      <c r="Q1586" s="2"/>
    </row>
    <row r="1587" spans="1:17" x14ac:dyDescent="0.3">
      <c r="A1587" s="2" t="s">
        <v>34</v>
      </c>
      <c r="B1587" s="2">
        <v>41</v>
      </c>
      <c r="C1587" s="2" t="s">
        <v>99</v>
      </c>
      <c r="D1587" s="2" t="s">
        <v>99</v>
      </c>
      <c r="E1587" s="2" t="s">
        <v>184</v>
      </c>
      <c r="F1587" s="2" t="s">
        <v>99</v>
      </c>
      <c r="G1587" s="2" t="s">
        <v>906</v>
      </c>
      <c r="H1587" s="2" t="s">
        <v>674</v>
      </c>
      <c r="I1587" s="2" t="s">
        <v>726</v>
      </c>
      <c r="J1587" s="2" t="s">
        <v>99</v>
      </c>
      <c r="K1587" s="2" t="s">
        <v>99</v>
      </c>
      <c r="L1587" s="2" t="s">
        <v>99</v>
      </c>
      <c r="M1587" s="2" t="s">
        <v>99</v>
      </c>
      <c r="N1587" s="2" t="s">
        <v>99</v>
      </c>
      <c r="O1587" s="2" t="s">
        <v>99</v>
      </c>
      <c r="P1587" s="2"/>
      <c r="Q1587" s="2"/>
    </row>
    <row r="1588" spans="1:17" s="5" customFormat="1" x14ac:dyDescent="0.3">
      <c r="A1588" s="6" t="s">
        <v>33</v>
      </c>
      <c r="B1588" s="6">
        <v>4</v>
      </c>
      <c r="C1588" s="6" t="s">
        <v>690</v>
      </c>
      <c r="D1588" s="6" t="s">
        <v>690</v>
      </c>
      <c r="E1588" s="6" t="s">
        <v>246</v>
      </c>
      <c r="F1588" s="6" t="s">
        <v>481</v>
      </c>
      <c r="G1588" s="6" t="s">
        <v>99</v>
      </c>
      <c r="H1588" s="6" t="s">
        <v>99</v>
      </c>
      <c r="I1588" s="6" t="s">
        <v>99</v>
      </c>
      <c r="J1588" s="6" t="s">
        <v>99</v>
      </c>
      <c r="K1588" s="6" t="s">
        <v>99</v>
      </c>
      <c r="L1588" s="6" t="s">
        <v>99</v>
      </c>
      <c r="M1588" s="6" t="s">
        <v>99</v>
      </c>
      <c r="N1588" s="6" t="s">
        <v>99</v>
      </c>
      <c r="O1588" s="6" t="s">
        <v>99</v>
      </c>
      <c r="P1588" s="6"/>
      <c r="Q1588" s="6"/>
    </row>
    <row r="1589" spans="1:17" x14ac:dyDescent="0.3">
      <c r="A1589" s="2" t="s">
        <v>49</v>
      </c>
      <c r="B1589" s="2">
        <v>153</v>
      </c>
      <c r="C1589" s="2" t="s">
        <v>109</v>
      </c>
      <c r="D1589" s="2" t="s">
        <v>141</v>
      </c>
      <c r="E1589" s="2" t="s">
        <v>694</v>
      </c>
      <c r="F1589" s="2" t="s">
        <v>126</v>
      </c>
      <c r="G1589" s="2" t="s">
        <v>674</v>
      </c>
      <c r="H1589" s="2" t="s">
        <v>1045</v>
      </c>
      <c r="I1589" s="2" t="s">
        <v>184</v>
      </c>
      <c r="J1589" s="2" t="s">
        <v>118</v>
      </c>
      <c r="K1589" s="2" t="s">
        <v>132</v>
      </c>
      <c r="L1589" s="2" t="s">
        <v>112</v>
      </c>
      <c r="M1589" s="2" t="s">
        <v>141</v>
      </c>
      <c r="N1589" s="2" t="s">
        <v>198</v>
      </c>
      <c r="O1589" s="2" t="s">
        <v>136</v>
      </c>
      <c r="P1589" s="2"/>
      <c r="Q1589" s="2"/>
    </row>
    <row r="1590" spans="1:17" x14ac:dyDescent="0.3">
      <c r="A1590" s="2"/>
      <c r="B1590" s="2"/>
      <c r="C1590" s="2"/>
      <c r="D1590" s="2"/>
      <c r="E1590" s="2"/>
      <c r="F1590" s="2"/>
      <c r="G1590" s="2"/>
      <c r="H1590" s="2"/>
      <c r="I1590" s="2"/>
      <c r="J1590" s="2"/>
      <c r="K1590" s="2"/>
      <c r="L1590" s="2"/>
      <c r="M1590" s="2"/>
      <c r="N1590" s="2"/>
      <c r="O1590" s="2"/>
      <c r="P1590" s="2"/>
      <c r="Q1590" s="2"/>
    </row>
    <row r="1591" spans="1:17" x14ac:dyDescent="0.3">
      <c r="A1591" s="2" t="s">
        <v>24</v>
      </c>
      <c r="B1591" s="2"/>
      <c r="C1591" s="2"/>
      <c r="D1591" s="2"/>
      <c r="E1591" s="2"/>
      <c r="F1591" s="2"/>
      <c r="G1591" s="2"/>
      <c r="H1591" s="2"/>
      <c r="I1591" s="2"/>
      <c r="J1591" s="2"/>
      <c r="K1591" s="2"/>
      <c r="L1591" s="2"/>
      <c r="M1591" s="2"/>
      <c r="N1591" s="2"/>
      <c r="O1591" s="2"/>
      <c r="P1591" s="2"/>
      <c r="Q1591" s="2"/>
    </row>
    <row r="1592" spans="1:17" x14ac:dyDescent="0.3">
      <c r="A1592" s="2" t="s">
        <v>44</v>
      </c>
      <c r="B1592" s="2" t="s">
        <v>847</v>
      </c>
      <c r="C1592" s="2" t="s">
        <v>32</v>
      </c>
      <c r="D1592" s="2" t="s">
        <v>1034</v>
      </c>
      <c r="E1592" s="2" t="s">
        <v>1032</v>
      </c>
      <c r="F1592" s="2" t="s">
        <v>1031</v>
      </c>
      <c r="G1592" s="2" t="s">
        <v>1033</v>
      </c>
      <c r="H1592" s="2" t="s">
        <v>1036</v>
      </c>
      <c r="I1592" s="2" t="s">
        <v>1037</v>
      </c>
      <c r="J1592" s="2" t="s">
        <v>1035</v>
      </c>
      <c r="K1592" s="2" t="s">
        <v>1038</v>
      </c>
      <c r="L1592" s="2" t="s">
        <v>83</v>
      </c>
      <c r="M1592" s="2" t="s">
        <v>1039</v>
      </c>
      <c r="N1592" s="2" t="s">
        <v>1040</v>
      </c>
      <c r="O1592" s="2" t="s">
        <v>1041</v>
      </c>
      <c r="P1592" s="2" t="s">
        <v>1042</v>
      </c>
      <c r="Q1592" s="2"/>
    </row>
    <row r="1593" spans="1:17" s="5" customFormat="1" x14ac:dyDescent="0.3">
      <c r="A1593" s="6" t="s">
        <v>35</v>
      </c>
      <c r="B1593" s="6" t="s">
        <v>848</v>
      </c>
      <c r="C1593" s="6">
        <v>2</v>
      </c>
      <c r="D1593" s="6" t="s">
        <v>99</v>
      </c>
      <c r="E1593" s="6" t="s">
        <v>99</v>
      </c>
      <c r="F1593" s="6" t="s">
        <v>290</v>
      </c>
      <c r="G1593" s="6" t="s">
        <v>99</v>
      </c>
      <c r="H1593" s="6" t="s">
        <v>99</v>
      </c>
      <c r="I1593" s="6" t="s">
        <v>99</v>
      </c>
      <c r="J1593" s="6" t="s">
        <v>368</v>
      </c>
      <c r="K1593" s="6" t="s">
        <v>99</v>
      </c>
      <c r="L1593" s="6" t="s">
        <v>99</v>
      </c>
      <c r="M1593" s="6" t="s">
        <v>99</v>
      </c>
      <c r="N1593" s="6" t="s">
        <v>99</v>
      </c>
      <c r="O1593" s="6" t="s">
        <v>99</v>
      </c>
      <c r="P1593" s="6" t="s">
        <v>99</v>
      </c>
      <c r="Q1593" s="6"/>
    </row>
    <row r="1594" spans="1:17" x14ac:dyDescent="0.3">
      <c r="A1594" s="2" t="s">
        <v>35</v>
      </c>
      <c r="B1594" s="2" t="s">
        <v>365</v>
      </c>
      <c r="C1594" s="2">
        <v>37</v>
      </c>
      <c r="D1594" s="2" t="s">
        <v>99</v>
      </c>
      <c r="E1594" s="2" t="s">
        <v>99</v>
      </c>
      <c r="F1594" s="2" t="s">
        <v>99</v>
      </c>
      <c r="G1594" s="2" t="s">
        <v>723</v>
      </c>
      <c r="H1594" s="2" t="s">
        <v>368</v>
      </c>
      <c r="I1594" s="2" t="s">
        <v>99</v>
      </c>
      <c r="J1594" s="2" t="s">
        <v>742</v>
      </c>
      <c r="K1594" s="2" t="s">
        <v>321</v>
      </c>
      <c r="L1594" s="2" t="s">
        <v>107</v>
      </c>
      <c r="M1594" s="2" t="s">
        <v>393</v>
      </c>
      <c r="N1594" s="2" t="s">
        <v>99</v>
      </c>
      <c r="O1594" s="2" t="s">
        <v>99</v>
      </c>
      <c r="P1594" s="2" t="s">
        <v>99</v>
      </c>
      <c r="Q1594" s="2"/>
    </row>
    <row r="1595" spans="1:17" s="5" customFormat="1" x14ac:dyDescent="0.3">
      <c r="A1595" s="6" t="s">
        <v>37</v>
      </c>
      <c r="B1595" s="6" t="s">
        <v>848</v>
      </c>
      <c r="C1595" s="6">
        <v>1</v>
      </c>
      <c r="D1595" s="6" t="s">
        <v>99</v>
      </c>
      <c r="E1595" s="6" t="s">
        <v>99</v>
      </c>
      <c r="F1595" s="6" t="s">
        <v>211</v>
      </c>
      <c r="G1595" s="6" t="s">
        <v>99</v>
      </c>
      <c r="H1595" s="6" t="s">
        <v>99</v>
      </c>
      <c r="I1595" s="6" t="s">
        <v>99</v>
      </c>
      <c r="J1595" s="6" t="s">
        <v>99</v>
      </c>
      <c r="K1595" s="6" t="s">
        <v>99</v>
      </c>
      <c r="L1595" s="6" t="s">
        <v>99</v>
      </c>
      <c r="M1595" s="6" t="s">
        <v>99</v>
      </c>
      <c r="N1595" s="6" t="s">
        <v>99</v>
      </c>
      <c r="O1595" s="6" t="s">
        <v>99</v>
      </c>
      <c r="P1595" s="6" t="s">
        <v>99</v>
      </c>
      <c r="Q1595" s="6"/>
    </row>
    <row r="1596" spans="1:17" s="5" customFormat="1" x14ac:dyDescent="0.3">
      <c r="A1596" s="6" t="s">
        <v>37</v>
      </c>
      <c r="B1596" s="6" t="s">
        <v>852</v>
      </c>
      <c r="C1596" s="6">
        <v>1</v>
      </c>
      <c r="D1596" s="6" t="s">
        <v>99</v>
      </c>
      <c r="E1596" s="6" t="s">
        <v>99</v>
      </c>
      <c r="F1596" s="6" t="s">
        <v>99</v>
      </c>
      <c r="G1596" s="6" t="s">
        <v>211</v>
      </c>
      <c r="H1596" s="6" t="s">
        <v>99</v>
      </c>
      <c r="I1596" s="6" t="s">
        <v>99</v>
      </c>
      <c r="J1596" s="6" t="s">
        <v>99</v>
      </c>
      <c r="K1596" s="6" t="s">
        <v>99</v>
      </c>
      <c r="L1596" s="6" t="s">
        <v>99</v>
      </c>
      <c r="M1596" s="6" t="s">
        <v>99</v>
      </c>
      <c r="N1596" s="6" t="s">
        <v>99</v>
      </c>
      <c r="O1596" s="6" t="s">
        <v>99</v>
      </c>
      <c r="P1596" s="6" t="s">
        <v>99</v>
      </c>
      <c r="Q1596" s="6"/>
    </row>
    <row r="1597" spans="1:17" x14ac:dyDescent="0.3">
      <c r="A1597" s="2" t="s">
        <v>37</v>
      </c>
      <c r="B1597" s="2" t="s">
        <v>365</v>
      </c>
      <c r="C1597" s="2">
        <v>10</v>
      </c>
      <c r="D1597" s="2" t="s">
        <v>99</v>
      </c>
      <c r="E1597" s="2" t="s">
        <v>99</v>
      </c>
      <c r="F1597" s="2" t="s">
        <v>291</v>
      </c>
      <c r="G1597" s="2" t="s">
        <v>156</v>
      </c>
      <c r="H1597" s="2" t="s">
        <v>488</v>
      </c>
      <c r="I1597" s="2" t="s">
        <v>160</v>
      </c>
      <c r="J1597" s="2" t="s">
        <v>309</v>
      </c>
      <c r="K1597" s="2" t="s">
        <v>99</v>
      </c>
      <c r="L1597" s="2" t="s">
        <v>99</v>
      </c>
      <c r="M1597" s="2" t="s">
        <v>99</v>
      </c>
      <c r="N1597" s="2" t="s">
        <v>99</v>
      </c>
      <c r="O1597" s="2" t="s">
        <v>99</v>
      </c>
      <c r="P1597" s="2" t="s">
        <v>420</v>
      </c>
      <c r="Q1597" s="2"/>
    </row>
    <row r="1598" spans="1:17" x14ac:dyDescent="0.3">
      <c r="A1598" s="2" t="s">
        <v>36</v>
      </c>
      <c r="B1598" s="2" t="s">
        <v>365</v>
      </c>
      <c r="C1598" s="2">
        <v>57</v>
      </c>
      <c r="D1598" s="2" t="s">
        <v>160</v>
      </c>
      <c r="E1598" s="2" t="s">
        <v>99</v>
      </c>
      <c r="F1598" s="2" t="s">
        <v>244</v>
      </c>
      <c r="G1598" s="2" t="s">
        <v>292</v>
      </c>
      <c r="H1598" s="2" t="s">
        <v>831</v>
      </c>
      <c r="I1598" s="2" t="s">
        <v>253</v>
      </c>
      <c r="J1598" s="2" t="s">
        <v>488</v>
      </c>
      <c r="K1598" s="2" t="s">
        <v>99</v>
      </c>
      <c r="L1598" s="2" t="s">
        <v>99</v>
      </c>
      <c r="M1598" s="2" t="s">
        <v>136</v>
      </c>
      <c r="N1598" s="2" t="s">
        <v>712</v>
      </c>
      <c r="O1598" s="2" t="s">
        <v>382</v>
      </c>
      <c r="P1598" s="2" t="s">
        <v>99</v>
      </c>
      <c r="Q1598" s="2"/>
    </row>
    <row r="1599" spans="1:17" s="5" customFormat="1" x14ac:dyDescent="0.3">
      <c r="A1599" s="6" t="s">
        <v>34</v>
      </c>
      <c r="B1599" s="6" t="s">
        <v>848</v>
      </c>
      <c r="C1599" s="6">
        <v>1</v>
      </c>
      <c r="D1599" s="6" t="s">
        <v>99</v>
      </c>
      <c r="E1599" s="6" t="s">
        <v>99</v>
      </c>
      <c r="F1599" s="6" t="s">
        <v>99</v>
      </c>
      <c r="G1599" s="6" t="s">
        <v>99</v>
      </c>
      <c r="H1599" s="6" t="s">
        <v>211</v>
      </c>
      <c r="I1599" s="6" t="s">
        <v>99</v>
      </c>
      <c r="J1599" s="6" t="s">
        <v>99</v>
      </c>
      <c r="K1599" s="6" t="s">
        <v>99</v>
      </c>
      <c r="L1599" s="6" t="s">
        <v>99</v>
      </c>
      <c r="M1599" s="6" t="s">
        <v>99</v>
      </c>
      <c r="N1599" s="6" t="s">
        <v>99</v>
      </c>
      <c r="O1599" s="6" t="s">
        <v>99</v>
      </c>
      <c r="P1599" s="6" t="s">
        <v>99</v>
      </c>
      <c r="Q1599" s="6"/>
    </row>
    <row r="1600" spans="1:17" s="5" customFormat="1" x14ac:dyDescent="0.3">
      <c r="A1600" s="6" t="s">
        <v>34</v>
      </c>
      <c r="B1600" s="6" t="s">
        <v>853</v>
      </c>
      <c r="C1600" s="6">
        <v>1</v>
      </c>
      <c r="D1600" s="6" t="s">
        <v>99</v>
      </c>
      <c r="E1600" s="6" t="s">
        <v>99</v>
      </c>
      <c r="F1600" s="6" t="s">
        <v>99</v>
      </c>
      <c r="G1600" s="6" t="s">
        <v>99</v>
      </c>
      <c r="H1600" s="6" t="s">
        <v>99</v>
      </c>
      <c r="I1600" s="6" t="s">
        <v>211</v>
      </c>
      <c r="J1600" s="6" t="s">
        <v>99</v>
      </c>
      <c r="K1600" s="6" t="s">
        <v>99</v>
      </c>
      <c r="L1600" s="6" t="s">
        <v>99</v>
      </c>
      <c r="M1600" s="6" t="s">
        <v>99</v>
      </c>
      <c r="N1600" s="6" t="s">
        <v>99</v>
      </c>
      <c r="O1600" s="6" t="s">
        <v>99</v>
      </c>
      <c r="P1600" s="6" t="s">
        <v>99</v>
      </c>
      <c r="Q1600" s="6"/>
    </row>
    <row r="1601" spans="1:17" x14ac:dyDescent="0.3">
      <c r="A1601" s="2" t="s">
        <v>34</v>
      </c>
      <c r="B1601" s="2" t="s">
        <v>365</v>
      </c>
      <c r="C1601" s="2">
        <v>39</v>
      </c>
      <c r="D1601" s="2" t="s">
        <v>99</v>
      </c>
      <c r="E1601" s="2" t="s">
        <v>99</v>
      </c>
      <c r="F1601" s="2" t="s">
        <v>99</v>
      </c>
      <c r="G1601" s="2" t="s">
        <v>401</v>
      </c>
      <c r="H1601" s="2" t="s">
        <v>1046</v>
      </c>
      <c r="I1601" s="2" t="s">
        <v>179</v>
      </c>
      <c r="J1601" s="2" t="s">
        <v>987</v>
      </c>
      <c r="K1601" s="2" t="s">
        <v>99</v>
      </c>
      <c r="L1601" s="2" t="s">
        <v>99</v>
      </c>
      <c r="M1601" s="2" t="s">
        <v>99</v>
      </c>
      <c r="N1601" s="2" t="s">
        <v>99</v>
      </c>
      <c r="O1601" s="2" t="s">
        <v>99</v>
      </c>
      <c r="P1601" s="2" t="s">
        <v>99</v>
      </c>
      <c r="Q1601" s="2"/>
    </row>
    <row r="1602" spans="1:17" s="5" customFormat="1" x14ac:dyDescent="0.3">
      <c r="A1602" s="6" t="s">
        <v>33</v>
      </c>
      <c r="B1602" s="6" t="s">
        <v>848</v>
      </c>
      <c r="C1602" s="6">
        <v>1</v>
      </c>
      <c r="D1602" s="6" t="s">
        <v>211</v>
      </c>
      <c r="E1602" s="6" t="s">
        <v>99</v>
      </c>
      <c r="F1602" s="6" t="s">
        <v>99</v>
      </c>
      <c r="G1602" s="6" t="s">
        <v>99</v>
      </c>
      <c r="H1602" s="6" t="s">
        <v>99</v>
      </c>
      <c r="I1602" s="6" t="s">
        <v>99</v>
      </c>
      <c r="J1602" s="6" t="s">
        <v>99</v>
      </c>
      <c r="K1602" s="6" t="s">
        <v>99</v>
      </c>
      <c r="L1602" s="6" t="s">
        <v>99</v>
      </c>
      <c r="M1602" s="6" t="s">
        <v>99</v>
      </c>
      <c r="N1602" s="6" t="s">
        <v>99</v>
      </c>
      <c r="O1602" s="6" t="s">
        <v>99</v>
      </c>
      <c r="P1602" s="6" t="s">
        <v>99</v>
      </c>
      <c r="Q1602" s="6"/>
    </row>
    <row r="1603" spans="1:17" s="5" customFormat="1" x14ac:dyDescent="0.3">
      <c r="A1603" s="6" t="s">
        <v>33</v>
      </c>
      <c r="B1603" s="6" t="s">
        <v>850</v>
      </c>
      <c r="C1603" s="6">
        <v>1</v>
      </c>
      <c r="D1603" s="6" t="s">
        <v>99</v>
      </c>
      <c r="E1603" s="6" t="s">
        <v>211</v>
      </c>
      <c r="F1603" s="6" t="s">
        <v>99</v>
      </c>
      <c r="G1603" s="6" t="s">
        <v>99</v>
      </c>
      <c r="H1603" s="6" t="s">
        <v>99</v>
      </c>
      <c r="I1603" s="6" t="s">
        <v>99</v>
      </c>
      <c r="J1603" s="6" t="s">
        <v>99</v>
      </c>
      <c r="K1603" s="6" t="s">
        <v>99</v>
      </c>
      <c r="L1603" s="6" t="s">
        <v>99</v>
      </c>
      <c r="M1603" s="6" t="s">
        <v>99</v>
      </c>
      <c r="N1603" s="6" t="s">
        <v>99</v>
      </c>
      <c r="O1603" s="6" t="s">
        <v>99</v>
      </c>
      <c r="P1603" s="6" t="s">
        <v>99</v>
      </c>
      <c r="Q1603" s="6"/>
    </row>
    <row r="1604" spans="1:17" s="5" customFormat="1" x14ac:dyDescent="0.3">
      <c r="A1604" s="6" t="s">
        <v>33</v>
      </c>
      <c r="B1604" s="6" t="s">
        <v>853</v>
      </c>
      <c r="C1604" s="6">
        <v>1</v>
      </c>
      <c r="D1604" s="6" t="s">
        <v>99</v>
      </c>
      <c r="E1604" s="6" t="s">
        <v>99</v>
      </c>
      <c r="F1604" s="6" t="s">
        <v>211</v>
      </c>
      <c r="G1604" s="6" t="s">
        <v>99</v>
      </c>
      <c r="H1604" s="6" t="s">
        <v>99</v>
      </c>
      <c r="I1604" s="6" t="s">
        <v>99</v>
      </c>
      <c r="J1604" s="6" t="s">
        <v>99</v>
      </c>
      <c r="K1604" s="6" t="s">
        <v>99</v>
      </c>
      <c r="L1604" s="6" t="s">
        <v>99</v>
      </c>
      <c r="M1604" s="6" t="s">
        <v>99</v>
      </c>
      <c r="N1604" s="6" t="s">
        <v>99</v>
      </c>
      <c r="O1604" s="6" t="s">
        <v>99</v>
      </c>
      <c r="P1604" s="6" t="s">
        <v>99</v>
      </c>
      <c r="Q1604" s="6"/>
    </row>
    <row r="1605" spans="1:17" x14ac:dyDescent="0.3">
      <c r="A1605" s="2" t="s">
        <v>33</v>
      </c>
      <c r="B1605" s="2" t="s">
        <v>365</v>
      </c>
      <c r="C1605" s="2">
        <v>1</v>
      </c>
      <c r="D1605" s="2" t="s">
        <v>99</v>
      </c>
      <c r="E1605" s="2" t="s">
        <v>99</v>
      </c>
      <c r="F1605" s="2" t="s">
        <v>99</v>
      </c>
      <c r="G1605" s="2" t="s">
        <v>211</v>
      </c>
      <c r="H1605" s="2" t="s">
        <v>99</v>
      </c>
      <c r="I1605" s="2" t="s">
        <v>99</v>
      </c>
      <c r="J1605" s="2" t="s">
        <v>99</v>
      </c>
      <c r="K1605" s="2" t="s">
        <v>99</v>
      </c>
      <c r="L1605" s="2" t="s">
        <v>99</v>
      </c>
      <c r="M1605" s="2" t="s">
        <v>99</v>
      </c>
      <c r="N1605" s="2" t="s">
        <v>99</v>
      </c>
      <c r="O1605" s="2" t="s">
        <v>99</v>
      </c>
      <c r="P1605" s="2" t="s">
        <v>99</v>
      </c>
      <c r="Q1605" s="2"/>
    </row>
    <row r="1606" spans="1:17" s="5" customFormat="1" x14ac:dyDescent="0.3">
      <c r="A1606" s="6" t="s">
        <v>49</v>
      </c>
      <c r="B1606" s="6" t="s">
        <v>848</v>
      </c>
      <c r="C1606" s="6">
        <v>5</v>
      </c>
      <c r="D1606" s="6" t="s">
        <v>142</v>
      </c>
      <c r="E1606" s="6" t="s">
        <v>99</v>
      </c>
      <c r="F1606" s="6" t="s">
        <v>495</v>
      </c>
      <c r="G1606" s="6" t="s">
        <v>99</v>
      </c>
      <c r="H1606" s="6" t="s">
        <v>240</v>
      </c>
      <c r="I1606" s="6" t="s">
        <v>99</v>
      </c>
      <c r="J1606" s="6" t="s">
        <v>363</v>
      </c>
      <c r="K1606" s="6" t="s">
        <v>99</v>
      </c>
      <c r="L1606" s="6" t="s">
        <v>99</v>
      </c>
      <c r="M1606" s="6" t="s">
        <v>99</v>
      </c>
      <c r="N1606" s="6" t="s">
        <v>99</v>
      </c>
      <c r="O1606" s="6" t="s">
        <v>99</v>
      </c>
      <c r="P1606" s="6" t="s">
        <v>99</v>
      </c>
      <c r="Q1606" s="6"/>
    </row>
    <row r="1607" spans="1:17" s="5" customFormat="1" x14ac:dyDescent="0.3">
      <c r="A1607" s="6" t="s">
        <v>49</v>
      </c>
      <c r="B1607" s="6" t="s">
        <v>850</v>
      </c>
      <c r="C1607" s="6">
        <v>1</v>
      </c>
      <c r="D1607" s="6" t="s">
        <v>99</v>
      </c>
      <c r="E1607" s="6" t="s">
        <v>211</v>
      </c>
      <c r="F1607" s="6" t="s">
        <v>99</v>
      </c>
      <c r="G1607" s="6" t="s">
        <v>99</v>
      </c>
      <c r="H1607" s="6" t="s">
        <v>99</v>
      </c>
      <c r="I1607" s="6" t="s">
        <v>99</v>
      </c>
      <c r="J1607" s="6" t="s">
        <v>99</v>
      </c>
      <c r="K1607" s="6" t="s">
        <v>99</v>
      </c>
      <c r="L1607" s="6" t="s">
        <v>99</v>
      </c>
      <c r="M1607" s="6" t="s">
        <v>99</v>
      </c>
      <c r="N1607" s="6" t="s">
        <v>99</v>
      </c>
      <c r="O1607" s="6" t="s">
        <v>99</v>
      </c>
      <c r="P1607" s="6" t="s">
        <v>99</v>
      </c>
      <c r="Q1607" s="6"/>
    </row>
    <row r="1608" spans="1:17" s="5" customFormat="1" x14ac:dyDescent="0.3">
      <c r="A1608" s="6" t="s">
        <v>49</v>
      </c>
      <c r="B1608" s="6" t="s">
        <v>852</v>
      </c>
      <c r="C1608" s="6">
        <v>1</v>
      </c>
      <c r="D1608" s="6" t="s">
        <v>99</v>
      </c>
      <c r="E1608" s="6" t="s">
        <v>99</v>
      </c>
      <c r="F1608" s="6" t="s">
        <v>99</v>
      </c>
      <c r="G1608" s="6" t="s">
        <v>211</v>
      </c>
      <c r="H1608" s="6" t="s">
        <v>99</v>
      </c>
      <c r="I1608" s="6" t="s">
        <v>99</v>
      </c>
      <c r="J1608" s="6" t="s">
        <v>99</v>
      </c>
      <c r="K1608" s="6" t="s">
        <v>99</v>
      </c>
      <c r="L1608" s="6" t="s">
        <v>99</v>
      </c>
      <c r="M1608" s="6" t="s">
        <v>99</v>
      </c>
      <c r="N1608" s="6" t="s">
        <v>99</v>
      </c>
      <c r="O1608" s="6" t="s">
        <v>99</v>
      </c>
      <c r="P1608" s="6" t="s">
        <v>99</v>
      </c>
      <c r="Q1608" s="6"/>
    </row>
    <row r="1609" spans="1:17" s="5" customFormat="1" x14ac:dyDescent="0.3">
      <c r="A1609" s="6" t="s">
        <v>49</v>
      </c>
      <c r="B1609" s="6" t="s">
        <v>853</v>
      </c>
      <c r="C1609" s="6">
        <v>2</v>
      </c>
      <c r="D1609" s="6" t="s">
        <v>99</v>
      </c>
      <c r="E1609" s="6" t="s">
        <v>99</v>
      </c>
      <c r="F1609" s="6" t="s">
        <v>741</v>
      </c>
      <c r="G1609" s="6" t="s">
        <v>99</v>
      </c>
      <c r="H1609" s="6" t="s">
        <v>99</v>
      </c>
      <c r="I1609" s="6" t="s">
        <v>974</v>
      </c>
      <c r="J1609" s="6" t="s">
        <v>99</v>
      </c>
      <c r="K1609" s="6" t="s">
        <v>99</v>
      </c>
      <c r="L1609" s="6" t="s">
        <v>99</v>
      </c>
      <c r="M1609" s="6" t="s">
        <v>99</v>
      </c>
      <c r="N1609" s="6" t="s">
        <v>99</v>
      </c>
      <c r="O1609" s="6" t="s">
        <v>99</v>
      </c>
      <c r="P1609" s="6" t="s">
        <v>99</v>
      </c>
      <c r="Q1609" s="6"/>
    </row>
    <row r="1610" spans="1:17" x14ac:dyDescent="0.3">
      <c r="A1610" s="2" t="s">
        <v>49</v>
      </c>
      <c r="B1610" s="2" t="s">
        <v>365</v>
      </c>
      <c r="C1610" s="2">
        <v>144</v>
      </c>
      <c r="D1610" s="2" t="s">
        <v>108</v>
      </c>
      <c r="E1610" s="2" t="s">
        <v>99</v>
      </c>
      <c r="F1610" s="2" t="s">
        <v>117</v>
      </c>
      <c r="G1610" s="2" t="s">
        <v>173</v>
      </c>
      <c r="H1610" s="2" t="s">
        <v>732</v>
      </c>
      <c r="I1610" s="2" t="s">
        <v>145</v>
      </c>
      <c r="J1610" s="2" t="s">
        <v>56</v>
      </c>
      <c r="K1610" s="2" t="s">
        <v>712</v>
      </c>
      <c r="L1610" s="2" t="s">
        <v>108</v>
      </c>
      <c r="M1610" s="2" t="s">
        <v>412</v>
      </c>
      <c r="N1610" s="2" t="s">
        <v>253</v>
      </c>
      <c r="O1610" s="2" t="s">
        <v>198</v>
      </c>
      <c r="P1610" s="2" t="s">
        <v>141</v>
      </c>
      <c r="Q1610" s="2"/>
    </row>
    <row r="1611" spans="1:17" x14ac:dyDescent="0.3">
      <c r="A1611" s="2"/>
      <c r="B1611" s="2"/>
      <c r="C1611" s="2"/>
      <c r="D1611" s="2"/>
      <c r="E1611" s="2"/>
      <c r="F1611" s="2"/>
      <c r="G1611" s="2"/>
      <c r="H1611" s="2"/>
      <c r="I1611" s="2"/>
      <c r="J1611" s="2"/>
      <c r="K1611" s="2"/>
      <c r="L1611" s="2"/>
      <c r="M1611" s="2"/>
      <c r="N1611" s="2"/>
      <c r="O1611" s="2"/>
      <c r="P1611" s="2"/>
      <c r="Q1611" s="2"/>
    </row>
    <row r="1612" spans="1:17" x14ac:dyDescent="0.3">
      <c r="A1612" s="2" t="s">
        <v>25</v>
      </c>
      <c r="B1612" s="2"/>
      <c r="C1612" s="2"/>
      <c r="D1612" s="2"/>
      <c r="E1612" s="2"/>
      <c r="F1612" s="2"/>
      <c r="G1612" s="2"/>
      <c r="H1612" s="2"/>
      <c r="I1612" s="2"/>
      <c r="J1612" s="2"/>
      <c r="K1612" s="2"/>
      <c r="L1612" s="2"/>
      <c r="M1612" s="2"/>
      <c r="N1612" s="2"/>
      <c r="O1612" s="2"/>
      <c r="P1612" s="2"/>
      <c r="Q1612" s="2"/>
    </row>
    <row r="1613" spans="1:17" x14ac:dyDescent="0.3">
      <c r="A1613" s="2" t="s">
        <v>44</v>
      </c>
      <c r="B1613" s="2" t="s">
        <v>972</v>
      </c>
      <c r="C1613" s="2" t="s">
        <v>32</v>
      </c>
      <c r="D1613" s="2" t="s">
        <v>1034</v>
      </c>
      <c r="E1613" s="2" t="s">
        <v>1032</v>
      </c>
      <c r="F1613" s="2" t="s">
        <v>1031</v>
      </c>
      <c r="G1613" s="2" t="s">
        <v>1033</v>
      </c>
      <c r="H1613" s="2" t="s">
        <v>1035</v>
      </c>
      <c r="I1613" s="2" t="s">
        <v>1036</v>
      </c>
      <c r="J1613" s="2" t="s">
        <v>1037</v>
      </c>
      <c r="K1613" s="2" t="s">
        <v>1039</v>
      </c>
      <c r="L1613" s="2" t="s">
        <v>1038</v>
      </c>
      <c r="M1613" s="2" t="s">
        <v>83</v>
      </c>
      <c r="N1613" s="2" t="s">
        <v>1041</v>
      </c>
      <c r="O1613" s="2" t="s">
        <v>1040</v>
      </c>
      <c r="P1613" s="2" t="s">
        <v>1042</v>
      </c>
      <c r="Q1613" s="2"/>
    </row>
    <row r="1614" spans="1:17" s="5" customFormat="1" x14ac:dyDescent="0.3">
      <c r="A1614" s="6" t="s">
        <v>35</v>
      </c>
      <c r="B1614" s="6" t="s">
        <v>973</v>
      </c>
      <c r="C1614" s="6">
        <v>12</v>
      </c>
      <c r="D1614" s="6" t="s">
        <v>99</v>
      </c>
      <c r="E1614" s="6" t="s">
        <v>99</v>
      </c>
      <c r="F1614" s="6" t="s">
        <v>906</v>
      </c>
      <c r="G1614" s="6" t="s">
        <v>737</v>
      </c>
      <c r="H1614" s="6" t="s">
        <v>153</v>
      </c>
      <c r="I1614" s="6" t="s">
        <v>311</v>
      </c>
      <c r="J1614" s="6" t="s">
        <v>99</v>
      </c>
      <c r="K1614" s="6" t="s">
        <v>99</v>
      </c>
      <c r="L1614" s="6" t="s">
        <v>99</v>
      </c>
      <c r="M1614" s="6" t="s">
        <v>99</v>
      </c>
      <c r="N1614" s="6" t="s">
        <v>99</v>
      </c>
      <c r="O1614" s="6" t="s">
        <v>99</v>
      </c>
      <c r="P1614" s="6" t="s">
        <v>99</v>
      </c>
      <c r="Q1614" s="6"/>
    </row>
    <row r="1615" spans="1:17" s="5" customFormat="1" x14ac:dyDescent="0.3">
      <c r="A1615" s="6" t="s">
        <v>35</v>
      </c>
      <c r="B1615" s="6" t="s">
        <v>975</v>
      </c>
      <c r="C1615" s="6">
        <v>6</v>
      </c>
      <c r="D1615" s="6" t="s">
        <v>99</v>
      </c>
      <c r="E1615" s="6" t="s">
        <v>99</v>
      </c>
      <c r="F1615" s="6" t="s">
        <v>99</v>
      </c>
      <c r="G1615" s="6" t="s">
        <v>446</v>
      </c>
      <c r="H1615" s="6" t="s">
        <v>1047</v>
      </c>
      <c r="I1615" s="6" t="s">
        <v>99</v>
      </c>
      <c r="J1615" s="6" t="s">
        <v>99</v>
      </c>
      <c r="K1615" s="6" t="s">
        <v>99</v>
      </c>
      <c r="L1615" s="6" t="s">
        <v>99</v>
      </c>
      <c r="M1615" s="6" t="s">
        <v>99</v>
      </c>
      <c r="N1615" s="6" t="s">
        <v>99</v>
      </c>
      <c r="O1615" s="6" t="s">
        <v>99</v>
      </c>
      <c r="P1615" s="6" t="s">
        <v>99</v>
      </c>
      <c r="Q1615" s="6"/>
    </row>
    <row r="1616" spans="1:17" s="5" customFormat="1" x14ac:dyDescent="0.3">
      <c r="A1616" s="6" t="s">
        <v>35</v>
      </c>
      <c r="B1616" s="6" t="s">
        <v>976</v>
      </c>
      <c r="C1616" s="6">
        <v>9</v>
      </c>
      <c r="D1616" s="6" t="s">
        <v>99</v>
      </c>
      <c r="E1616" s="6" t="s">
        <v>99</v>
      </c>
      <c r="F1616" s="6" t="s">
        <v>99</v>
      </c>
      <c r="G1616" s="6" t="s">
        <v>887</v>
      </c>
      <c r="H1616" s="6" t="s">
        <v>147</v>
      </c>
      <c r="I1616" s="6" t="s">
        <v>218</v>
      </c>
      <c r="J1616" s="6" t="s">
        <v>99</v>
      </c>
      <c r="K1616" s="6" t="s">
        <v>1048</v>
      </c>
      <c r="L1616" s="6" t="s">
        <v>99</v>
      </c>
      <c r="M1616" s="6" t="s">
        <v>99</v>
      </c>
      <c r="N1616" s="6" t="s">
        <v>99</v>
      </c>
      <c r="O1616" s="6" t="s">
        <v>99</v>
      </c>
      <c r="P1616" s="6" t="s">
        <v>99</v>
      </c>
      <c r="Q1616" s="6"/>
    </row>
    <row r="1617" spans="1:17" s="5" customFormat="1" x14ac:dyDescent="0.3">
      <c r="A1617" s="6" t="s">
        <v>35</v>
      </c>
      <c r="B1617" s="6" t="s">
        <v>977</v>
      </c>
      <c r="C1617" s="6">
        <v>11</v>
      </c>
      <c r="D1617" s="6" t="s">
        <v>99</v>
      </c>
      <c r="E1617" s="6" t="s">
        <v>99</v>
      </c>
      <c r="F1617" s="6" t="s">
        <v>99</v>
      </c>
      <c r="G1617" s="6" t="s">
        <v>78</v>
      </c>
      <c r="H1617" s="6" t="s">
        <v>700</v>
      </c>
      <c r="I1617" s="6" t="s">
        <v>672</v>
      </c>
      <c r="J1617" s="6" t="s">
        <v>99</v>
      </c>
      <c r="K1617" s="6" t="s">
        <v>152</v>
      </c>
      <c r="L1617" s="6" t="s">
        <v>629</v>
      </c>
      <c r="M1617" s="6" t="s">
        <v>405</v>
      </c>
      <c r="N1617" s="6" t="s">
        <v>99</v>
      </c>
      <c r="O1617" s="6" t="s">
        <v>99</v>
      </c>
      <c r="P1617" s="6" t="s">
        <v>99</v>
      </c>
      <c r="Q1617" s="6"/>
    </row>
    <row r="1618" spans="1:17" s="5" customFormat="1" x14ac:dyDescent="0.3">
      <c r="A1618" s="6" t="s">
        <v>35</v>
      </c>
      <c r="B1618" s="6" t="s">
        <v>979</v>
      </c>
      <c r="C1618" s="6">
        <v>1</v>
      </c>
      <c r="D1618" s="6" t="s">
        <v>99</v>
      </c>
      <c r="E1618" s="6" t="s">
        <v>99</v>
      </c>
      <c r="F1618" s="6" t="s">
        <v>99</v>
      </c>
      <c r="G1618" s="6" t="s">
        <v>99</v>
      </c>
      <c r="H1618" s="6" t="s">
        <v>99</v>
      </c>
      <c r="I1618" s="6" t="s">
        <v>211</v>
      </c>
      <c r="J1618" s="6" t="s">
        <v>99</v>
      </c>
      <c r="K1618" s="6" t="s">
        <v>99</v>
      </c>
      <c r="L1618" s="6" t="s">
        <v>99</v>
      </c>
      <c r="M1618" s="6" t="s">
        <v>99</v>
      </c>
      <c r="N1618" s="6" t="s">
        <v>99</v>
      </c>
      <c r="O1618" s="6" t="s">
        <v>99</v>
      </c>
      <c r="P1618" s="6" t="s">
        <v>99</v>
      </c>
      <c r="Q1618" s="6"/>
    </row>
    <row r="1619" spans="1:17" s="5" customFormat="1" x14ac:dyDescent="0.3">
      <c r="A1619" s="6" t="s">
        <v>37</v>
      </c>
      <c r="B1619" s="6" t="s">
        <v>973</v>
      </c>
      <c r="C1619" s="6">
        <v>4</v>
      </c>
      <c r="D1619" s="6" t="s">
        <v>99</v>
      </c>
      <c r="E1619" s="6" t="s">
        <v>99</v>
      </c>
      <c r="F1619" s="6" t="s">
        <v>370</v>
      </c>
      <c r="G1619" s="6" t="s">
        <v>99</v>
      </c>
      <c r="H1619" s="6" t="s">
        <v>99</v>
      </c>
      <c r="I1619" s="6" t="s">
        <v>1049</v>
      </c>
      <c r="J1619" s="6" t="s">
        <v>99</v>
      </c>
      <c r="K1619" s="6" t="s">
        <v>99</v>
      </c>
      <c r="L1619" s="6" t="s">
        <v>99</v>
      </c>
      <c r="M1619" s="6" t="s">
        <v>99</v>
      </c>
      <c r="N1619" s="6" t="s">
        <v>99</v>
      </c>
      <c r="O1619" s="6" t="s">
        <v>99</v>
      </c>
      <c r="P1619" s="6" t="s">
        <v>697</v>
      </c>
      <c r="Q1619" s="6"/>
    </row>
    <row r="1620" spans="1:17" s="5" customFormat="1" x14ac:dyDescent="0.3">
      <c r="A1620" s="6" t="s">
        <v>37</v>
      </c>
      <c r="B1620" s="6" t="s">
        <v>975</v>
      </c>
      <c r="C1620" s="6">
        <v>1</v>
      </c>
      <c r="D1620" s="6" t="s">
        <v>99</v>
      </c>
      <c r="E1620" s="6" t="s">
        <v>99</v>
      </c>
      <c r="F1620" s="6" t="s">
        <v>99</v>
      </c>
      <c r="G1620" s="6" t="s">
        <v>99</v>
      </c>
      <c r="H1620" s="6" t="s">
        <v>99</v>
      </c>
      <c r="I1620" s="6" t="s">
        <v>211</v>
      </c>
      <c r="J1620" s="6" t="s">
        <v>99</v>
      </c>
      <c r="K1620" s="6" t="s">
        <v>99</v>
      </c>
      <c r="L1620" s="6" t="s">
        <v>99</v>
      </c>
      <c r="M1620" s="6" t="s">
        <v>99</v>
      </c>
      <c r="N1620" s="6" t="s">
        <v>99</v>
      </c>
      <c r="O1620" s="6" t="s">
        <v>99</v>
      </c>
      <c r="P1620" s="6" t="s">
        <v>99</v>
      </c>
      <c r="Q1620" s="6"/>
    </row>
    <row r="1621" spans="1:17" s="5" customFormat="1" x14ac:dyDescent="0.3">
      <c r="A1621" s="6" t="s">
        <v>37</v>
      </c>
      <c r="B1621" s="6" t="s">
        <v>976</v>
      </c>
      <c r="C1621" s="6">
        <v>5</v>
      </c>
      <c r="D1621" s="6" t="s">
        <v>99</v>
      </c>
      <c r="E1621" s="6" t="s">
        <v>99</v>
      </c>
      <c r="F1621" s="6" t="s">
        <v>491</v>
      </c>
      <c r="G1621" s="6" t="s">
        <v>615</v>
      </c>
      <c r="H1621" s="6" t="s">
        <v>864</v>
      </c>
      <c r="I1621" s="6" t="s">
        <v>99</v>
      </c>
      <c r="J1621" s="6" t="s">
        <v>294</v>
      </c>
      <c r="K1621" s="6" t="s">
        <v>99</v>
      </c>
      <c r="L1621" s="6" t="s">
        <v>99</v>
      </c>
      <c r="M1621" s="6" t="s">
        <v>99</v>
      </c>
      <c r="N1621" s="6" t="s">
        <v>99</v>
      </c>
      <c r="O1621" s="6" t="s">
        <v>99</v>
      </c>
      <c r="P1621" s="6" t="s">
        <v>99</v>
      </c>
      <c r="Q1621" s="6"/>
    </row>
    <row r="1622" spans="1:17" s="5" customFormat="1" x14ac:dyDescent="0.3">
      <c r="A1622" s="6" t="s">
        <v>37</v>
      </c>
      <c r="B1622" s="6" t="s">
        <v>977</v>
      </c>
      <c r="C1622" s="6">
        <v>1</v>
      </c>
      <c r="D1622" s="6" t="s">
        <v>99</v>
      </c>
      <c r="E1622" s="6" t="s">
        <v>99</v>
      </c>
      <c r="F1622" s="6" t="s">
        <v>99</v>
      </c>
      <c r="G1622" s="6" t="s">
        <v>211</v>
      </c>
      <c r="H1622" s="6" t="s">
        <v>99</v>
      </c>
      <c r="I1622" s="6" t="s">
        <v>99</v>
      </c>
      <c r="J1622" s="6" t="s">
        <v>99</v>
      </c>
      <c r="K1622" s="6" t="s">
        <v>99</v>
      </c>
      <c r="L1622" s="6" t="s">
        <v>99</v>
      </c>
      <c r="M1622" s="6" t="s">
        <v>99</v>
      </c>
      <c r="N1622" s="6" t="s">
        <v>99</v>
      </c>
      <c r="O1622" s="6" t="s">
        <v>99</v>
      </c>
      <c r="P1622" s="6" t="s">
        <v>99</v>
      </c>
      <c r="Q1622" s="6"/>
    </row>
    <row r="1623" spans="1:17" s="5" customFormat="1" x14ac:dyDescent="0.3">
      <c r="A1623" s="6" t="s">
        <v>37</v>
      </c>
      <c r="B1623" s="6" t="s">
        <v>979</v>
      </c>
      <c r="C1623" s="6">
        <v>1</v>
      </c>
      <c r="D1623" s="6" t="s">
        <v>99</v>
      </c>
      <c r="E1623" s="6" t="s">
        <v>99</v>
      </c>
      <c r="F1623" s="6" t="s">
        <v>99</v>
      </c>
      <c r="G1623" s="6" t="s">
        <v>99</v>
      </c>
      <c r="H1623" s="6" t="s">
        <v>211</v>
      </c>
      <c r="I1623" s="6" t="s">
        <v>99</v>
      </c>
      <c r="J1623" s="6" t="s">
        <v>99</v>
      </c>
      <c r="K1623" s="6" t="s">
        <v>99</v>
      </c>
      <c r="L1623" s="6" t="s">
        <v>99</v>
      </c>
      <c r="M1623" s="6" t="s">
        <v>99</v>
      </c>
      <c r="N1623" s="6" t="s">
        <v>99</v>
      </c>
      <c r="O1623" s="6" t="s">
        <v>99</v>
      </c>
      <c r="P1623" s="6" t="s">
        <v>99</v>
      </c>
      <c r="Q1623" s="6"/>
    </row>
    <row r="1624" spans="1:17" s="5" customFormat="1" x14ac:dyDescent="0.3">
      <c r="A1624" s="6" t="s">
        <v>36</v>
      </c>
      <c r="B1624" s="6" t="s">
        <v>973</v>
      </c>
      <c r="C1624" s="6">
        <v>13</v>
      </c>
      <c r="D1624" s="6" t="s">
        <v>99</v>
      </c>
      <c r="E1624" s="6" t="s">
        <v>99</v>
      </c>
      <c r="F1624" s="6" t="s">
        <v>99</v>
      </c>
      <c r="G1624" s="6" t="s">
        <v>117</v>
      </c>
      <c r="H1624" s="6" t="s">
        <v>690</v>
      </c>
      <c r="I1624" s="6" t="s">
        <v>1050</v>
      </c>
      <c r="J1624" s="6" t="s">
        <v>108</v>
      </c>
      <c r="K1624" s="6" t="s">
        <v>215</v>
      </c>
      <c r="L1624" s="6" t="s">
        <v>99</v>
      </c>
      <c r="M1624" s="6" t="s">
        <v>99</v>
      </c>
      <c r="N1624" s="6" t="s">
        <v>99</v>
      </c>
      <c r="O1624" s="6" t="s">
        <v>99</v>
      </c>
      <c r="P1624" s="6" t="s">
        <v>99</v>
      </c>
      <c r="Q1624" s="6"/>
    </row>
    <row r="1625" spans="1:17" s="5" customFormat="1" x14ac:dyDescent="0.3">
      <c r="A1625" s="6" t="s">
        <v>36</v>
      </c>
      <c r="B1625" s="6" t="s">
        <v>975</v>
      </c>
      <c r="C1625" s="6">
        <v>18</v>
      </c>
      <c r="D1625" s="6" t="s">
        <v>814</v>
      </c>
      <c r="E1625" s="6" t="s">
        <v>99</v>
      </c>
      <c r="F1625" s="6" t="s">
        <v>99</v>
      </c>
      <c r="G1625" s="6" t="s">
        <v>150</v>
      </c>
      <c r="H1625" s="6" t="s">
        <v>616</v>
      </c>
      <c r="I1625" s="6" t="s">
        <v>802</v>
      </c>
      <c r="J1625" s="6" t="s">
        <v>114</v>
      </c>
      <c r="K1625" s="6" t="s">
        <v>99</v>
      </c>
      <c r="L1625" s="6" t="s">
        <v>99</v>
      </c>
      <c r="M1625" s="6" t="s">
        <v>99</v>
      </c>
      <c r="N1625" s="6" t="s">
        <v>118</v>
      </c>
      <c r="O1625" s="6" t="s">
        <v>99</v>
      </c>
      <c r="P1625" s="6" t="s">
        <v>99</v>
      </c>
      <c r="Q1625" s="6"/>
    </row>
    <row r="1626" spans="1:17" s="5" customFormat="1" x14ac:dyDescent="0.3">
      <c r="A1626" s="6" t="s">
        <v>36</v>
      </c>
      <c r="B1626" s="6" t="s">
        <v>976</v>
      </c>
      <c r="C1626" s="6">
        <v>12</v>
      </c>
      <c r="D1626" s="6" t="s">
        <v>173</v>
      </c>
      <c r="E1626" s="6" t="s">
        <v>99</v>
      </c>
      <c r="F1626" s="6" t="s">
        <v>610</v>
      </c>
      <c r="G1626" s="6" t="s">
        <v>99</v>
      </c>
      <c r="H1626" s="6" t="s">
        <v>140</v>
      </c>
      <c r="I1626" s="6" t="s">
        <v>305</v>
      </c>
      <c r="J1626" s="6" t="s">
        <v>99</v>
      </c>
      <c r="K1626" s="6" t="s">
        <v>99</v>
      </c>
      <c r="L1626" s="6" t="s">
        <v>99</v>
      </c>
      <c r="M1626" s="6" t="s">
        <v>99</v>
      </c>
      <c r="N1626" s="6" t="s">
        <v>99</v>
      </c>
      <c r="O1626" s="6" t="s">
        <v>99</v>
      </c>
      <c r="P1626" s="6" t="s">
        <v>99</v>
      </c>
      <c r="Q1626" s="6"/>
    </row>
    <row r="1627" spans="1:17" s="5" customFormat="1" x14ac:dyDescent="0.3">
      <c r="A1627" s="6" t="s">
        <v>36</v>
      </c>
      <c r="B1627" s="6" t="s">
        <v>977</v>
      </c>
      <c r="C1627" s="6">
        <v>13</v>
      </c>
      <c r="D1627" s="6" t="s">
        <v>99</v>
      </c>
      <c r="E1627" s="6" t="s">
        <v>99</v>
      </c>
      <c r="F1627" s="6" t="s">
        <v>99</v>
      </c>
      <c r="G1627" s="6" t="s">
        <v>99</v>
      </c>
      <c r="H1627" s="6" t="s">
        <v>150</v>
      </c>
      <c r="I1627" s="6" t="s">
        <v>773</v>
      </c>
      <c r="J1627" s="6" t="s">
        <v>132</v>
      </c>
      <c r="K1627" s="6" t="s">
        <v>99</v>
      </c>
      <c r="L1627" s="6" t="s">
        <v>99</v>
      </c>
      <c r="M1627" s="6" t="s">
        <v>99</v>
      </c>
      <c r="N1627" s="6" t="s">
        <v>157</v>
      </c>
      <c r="O1627" s="6" t="s">
        <v>687</v>
      </c>
      <c r="P1627" s="6" t="s">
        <v>99</v>
      </c>
      <c r="Q1627" s="6"/>
    </row>
    <row r="1628" spans="1:17" s="5" customFormat="1" x14ac:dyDescent="0.3">
      <c r="A1628" s="6" t="s">
        <v>36</v>
      </c>
      <c r="B1628" s="6" t="s">
        <v>979</v>
      </c>
      <c r="C1628" s="6">
        <v>1</v>
      </c>
      <c r="D1628" s="6" t="s">
        <v>99</v>
      </c>
      <c r="E1628" s="6" t="s">
        <v>99</v>
      </c>
      <c r="F1628" s="6" t="s">
        <v>99</v>
      </c>
      <c r="G1628" s="6" t="s">
        <v>99</v>
      </c>
      <c r="H1628" s="6" t="s">
        <v>99</v>
      </c>
      <c r="I1628" s="6" t="s">
        <v>211</v>
      </c>
      <c r="J1628" s="6" t="s">
        <v>99</v>
      </c>
      <c r="K1628" s="6" t="s">
        <v>99</v>
      </c>
      <c r="L1628" s="6" t="s">
        <v>99</v>
      </c>
      <c r="M1628" s="6" t="s">
        <v>99</v>
      </c>
      <c r="N1628" s="6" t="s">
        <v>99</v>
      </c>
      <c r="O1628" s="6" t="s">
        <v>99</v>
      </c>
      <c r="P1628" s="6" t="s">
        <v>99</v>
      </c>
      <c r="Q1628" s="6"/>
    </row>
    <row r="1629" spans="1:17" s="5" customFormat="1" x14ac:dyDescent="0.3">
      <c r="A1629" s="6" t="s">
        <v>34</v>
      </c>
      <c r="B1629" s="6" t="s">
        <v>973</v>
      </c>
      <c r="C1629" s="6">
        <v>14</v>
      </c>
      <c r="D1629" s="6" t="s">
        <v>99</v>
      </c>
      <c r="E1629" s="6" t="s">
        <v>99</v>
      </c>
      <c r="F1629" s="6" t="s">
        <v>99</v>
      </c>
      <c r="G1629" s="6" t="s">
        <v>133</v>
      </c>
      <c r="H1629" s="6" t="s">
        <v>831</v>
      </c>
      <c r="I1629" s="6" t="s">
        <v>946</v>
      </c>
      <c r="J1629" s="6" t="s">
        <v>99</v>
      </c>
      <c r="K1629" s="6" t="s">
        <v>99</v>
      </c>
      <c r="L1629" s="6" t="s">
        <v>99</v>
      </c>
      <c r="M1629" s="6" t="s">
        <v>99</v>
      </c>
      <c r="N1629" s="6" t="s">
        <v>99</v>
      </c>
      <c r="O1629" s="6" t="s">
        <v>99</v>
      </c>
      <c r="P1629" s="6" t="s">
        <v>99</v>
      </c>
      <c r="Q1629" s="6"/>
    </row>
    <row r="1630" spans="1:17" s="5" customFormat="1" x14ac:dyDescent="0.3">
      <c r="A1630" s="6" t="s">
        <v>34</v>
      </c>
      <c r="B1630" s="6" t="s">
        <v>975</v>
      </c>
      <c r="C1630" s="6">
        <v>9</v>
      </c>
      <c r="D1630" s="6" t="s">
        <v>99</v>
      </c>
      <c r="E1630" s="6" t="s">
        <v>99</v>
      </c>
      <c r="F1630" s="6" t="s">
        <v>99</v>
      </c>
      <c r="G1630" s="6" t="s">
        <v>99</v>
      </c>
      <c r="H1630" s="6" t="s">
        <v>653</v>
      </c>
      <c r="I1630" s="6" t="s">
        <v>529</v>
      </c>
      <c r="J1630" s="6" t="s">
        <v>719</v>
      </c>
      <c r="K1630" s="6" t="s">
        <v>99</v>
      </c>
      <c r="L1630" s="6" t="s">
        <v>99</v>
      </c>
      <c r="M1630" s="6" t="s">
        <v>99</v>
      </c>
      <c r="N1630" s="6" t="s">
        <v>99</v>
      </c>
      <c r="O1630" s="6" t="s">
        <v>99</v>
      </c>
      <c r="P1630" s="6" t="s">
        <v>99</v>
      </c>
      <c r="Q1630" s="6"/>
    </row>
    <row r="1631" spans="1:17" s="5" customFormat="1" x14ac:dyDescent="0.3">
      <c r="A1631" s="6" t="s">
        <v>34</v>
      </c>
      <c r="B1631" s="6" t="s">
        <v>976</v>
      </c>
      <c r="C1631" s="6">
        <v>9</v>
      </c>
      <c r="D1631" s="6" t="s">
        <v>99</v>
      </c>
      <c r="E1631" s="6" t="s">
        <v>99</v>
      </c>
      <c r="F1631" s="6" t="s">
        <v>99</v>
      </c>
      <c r="G1631" s="6" t="s">
        <v>72</v>
      </c>
      <c r="H1631" s="6" t="s">
        <v>884</v>
      </c>
      <c r="I1631" s="6" t="s">
        <v>613</v>
      </c>
      <c r="J1631" s="6" t="s">
        <v>99</v>
      </c>
      <c r="K1631" s="6" t="s">
        <v>99</v>
      </c>
      <c r="L1631" s="6" t="s">
        <v>99</v>
      </c>
      <c r="M1631" s="6" t="s">
        <v>99</v>
      </c>
      <c r="N1631" s="6" t="s">
        <v>99</v>
      </c>
      <c r="O1631" s="6" t="s">
        <v>99</v>
      </c>
      <c r="P1631" s="6" t="s">
        <v>99</v>
      </c>
      <c r="Q1631" s="6"/>
    </row>
    <row r="1632" spans="1:17" s="5" customFormat="1" x14ac:dyDescent="0.3">
      <c r="A1632" s="6" t="s">
        <v>34</v>
      </c>
      <c r="B1632" s="6" t="s">
        <v>977</v>
      </c>
      <c r="C1632" s="6">
        <v>7</v>
      </c>
      <c r="D1632" s="6" t="s">
        <v>99</v>
      </c>
      <c r="E1632" s="6" t="s">
        <v>99</v>
      </c>
      <c r="F1632" s="6" t="s">
        <v>99</v>
      </c>
      <c r="G1632" s="6" t="s">
        <v>99</v>
      </c>
      <c r="H1632" s="6" t="s">
        <v>806</v>
      </c>
      <c r="I1632" s="6" t="s">
        <v>444</v>
      </c>
      <c r="J1632" s="6" t="s">
        <v>965</v>
      </c>
      <c r="K1632" s="6" t="s">
        <v>99</v>
      </c>
      <c r="L1632" s="6" t="s">
        <v>99</v>
      </c>
      <c r="M1632" s="6" t="s">
        <v>99</v>
      </c>
      <c r="N1632" s="6" t="s">
        <v>99</v>
      </c>
      <c r="O1632" s="6" t="s">
        <v>99</v>
      </c>
      <c r="P1632" s="6" t="s">
        <v>99</v>
      </c>
      <c r="Q1632" s="6"/>
    </row>
    <row r="1633" spans="1:17" s="5" customFormat="1" x14ac:dyDescent="0.3">
      <c r="A1633" s="6" t="s">
        <v>34</v>
      </c>
      <c r="B1633" s="6" t="s">
        <v>979</v>
      </c>
      <c r="C1633" s="6">
        <v>2</v>
      </c>
      <c r="D1633" s="6" t="s">
        <v>99</v>
      </c>
      <c r="E1633" s="6" t="s">
        <v>99</v>
      </c>
      <c r="F1633" s="6" t="s">
        <v>99</v>
      </c>
      <c r="G1633" s="6" t="s">
        <v>698</v>
      </c>
      <c r="H1633" s="6" t="s">
        <v>983</v>
      </c>
      <c r="I1633" s="6" t="s">
        <v>99</v>
      </c>
      <c r="J1633" s="6" t="s">
        <v>99</v>
      </c>
      <c r="K1633" s="6" t="s">
        <v>99</v>
      </c>
      <c r="L1633" s="6" t="s">
        <v>99</v>
      </c>
      <c r="M1633" s="6" t="s">
        <v>99</v>
      </c>
      <c r="N1633" s="6" t="s">
        <v>99</v>
      </c>
      <c r="O1633" s="6" t="s">
        <v>99</v>
      </c>
      <c r="P1633" s="6" t="s">
        <v>99</v>
      </c>
      <c r="Q1633" s="6"/>
    </row>
    <row r="1634" spans="1:17" s="5" customFormat="1" x14ac:dyDescent="0.3">
      <c r="A1634" s="6" t="s">
        <v>33</v>
      </c>
      <c r="B1634" s="6" t="s">
        <v>973</v>
      </c>
      <c r="C1634" s="6">
        <v>1</v>
      </c>
      <c r="D1634" s="6" t="s">
        <v>211</v>
      </c>
      <c r="E1634" s="6" t="s">
        <v>99</v>
      </c>
      <c r="F1634" s="6" t="s">
        <v>99</v>
      </c>
      <c r="G1634" s="6" t="s">
        <v>99</v>
      </c>
      <c r="H1634" s="6" t="s">
        <v>99</v>
      </c>
      <c r="I1634" s="6" t="s">
        <v>99</v>
      </c>
      <c r="J1634" s="6" t="s">
        <v>99</v>
      </c>
      <c r="K1634" s="6" t="s">
        <v>99</v>
      </c>
      <c r="L1634" s="6" t="s">
        <v>99</v>
      </c>
      <c r="M1634" s="6" t="s">
        <v>99</v>
      </c>
      <c r="N1634" s="6" t="s">
        <v>99</v>
      </c>
      <c r="O1634" s="6" t="s">
        <v>99</v>
      </c>
      <c r="P1634" s="6" t="s">
        <v>99</v>
      </c>
      <c r="Q1634" s="6"/>
    </row>
    <row r="1635" spans="1:17" s="5" customFormat="1" x14ac:dyDescent="0.3">
      <c r="A1635" s="6" t="s">
        <v>33</v>
      </c>
      <c r="B1635" s="6" t="s">
        <v>975</v>
      </c>
      <c r="C1635" s="6">
        <v>1</v>
      </c>
      <c r="D1635" s="6" t="s">
        <v>99</v>
      </c>
      <c r="E1635" s="6" t="s">
        <v>211</v>
      </c>
      <c r="F1635" s="6" t="s">
        <v>99</v>
      </c>
      <c r="G1635" s="6" t="s">
        <v>99</v>
      </c>
      <c r="H1635" s="6" t="s">
        <v>99</v>
      </c>
      <c r="I1635" s="6" t="s">
        <v>99</v>
      </c>
      <c r="J1635" s="6" t="s">
        <v>99</v>
      </c>
      <c r="K1635" s="6" t="s">
        <v>99</v>
      </c>
      <c r="L1635" s="6" t="s">
        <v>99</v>
      </c>
      <c r="M1635" s="6" t="s">
        <v>99</v>
      </c>
      <c r="N1635" s="6" t="s">
        <v>99</v>
      </c>
      <c r="O1635" s="6" t="s">
        <v>99</v>
      </c>
      <c r="P1635" s="6" t="s">
        <v>99</v>
      </c>
      <c r="Q1635" s="6"/>
    </row>
    <row r="1636" spans="1:17" s="5" customFormat="1" x14ac:dyDescent="0.3">
      <c r="A1636" s="6" t="s">
        <v>33</v>
      </c>
      <c r="B1636" s="6" t="s">
        <v>977</v>
      </c>
      <c r="C1636" s="6">
        <v>2</v>
      </c>
      <c r="D1636" s="6" t="s">
        <v>99</v>
      </c>
      <c r="E1636" s="6" t="s">
        <v>99</v>
      </c>
      <c r="F1636" s="6" t="s">
        <v>943</v>
      </c>
      <c r="G1636" s="6" t="s">
        <v>603</v>
      </c>
      <c r="H1636" s="6" t="s">
        <v>99</v>
      </c>
      <c r="I1636" s="6" t="s">
        <v>99</v>
      </c>
      <c r="J1636" s="6" t="s">
        <v>99</v>
      </c>
      <c r="K1636" s="6" t="s">
        <v>99</v>
      </c>
      <c r="L1636" s="6" t="s">
        <v>99</v>
      </c>
      <c r="M1636" s="6" t="s">
        <v>99</v>
      </c>
      <c r="N1636" s="6" t="s">
        <v>99</v>
      </c>
      <c r="O1636" s="6" t="s">
        <v>99</v>
      </c>
      <c r="P1636" s="6" t="s">
        <v>99</v>
      </c>
      <c r="Q1636" s="6"/>
    </row>
    <row r="1637" spans="1:17" x14ac:dyDescent="0.3">
      <c r="A1637" s="2" t="s">
        <v>49</v>
      </c>
      <c r="B1637" s="2" t="s">
        <v>973</v>
      </c>
      <c r="C1637" s="2">
        <v>44</v>
      </c>
      <c r="D1637" s="2" t="s">
        <v>292</v>
      </c>
      <c r="E1637" s="2" t="s">
        <v>99</v>
      </c>
      <c r="F1637" s="2" t="s">
        <v>677</v>
      </c>
      <c r="G1637" s="2" t="s">
        <v>41</v>
      </c>
      <c r="H1637" s="2" t="s">
        <v>829</v>
      </c>
      <c r="I1637" s="2" t="s">
        <v>459</v>
      </c>
      <c r="J1637" s="2" t="s">
        <v>104</v>
      </c>
      <c r="K1637" s="2" t="s">
        <v>198</v>
      </c>
      <c r="L1637" s="2" t="s">
        <v>99</v>
      </c>
      <c r="M1637" s="2" t="s">
        <v>99</v>
      </c>
      <c r="N1637" s="2" t="s">
        <v>99</v>
      </c>
      <c r="O1637" s="2" t="s">
        <v>99</v>
      </c>
      <c r="P1637" s="2" t="s">
        <v>101</v>
      </c>
      <c r="Q1637" s="2"/>
    </row>
    <row r="1638" spans="1:17" x14ac:dyDescent="0.3">
      <c r="A1638" s="2" t="s">
        <v>49</v>
      </c>
      <c r="B1638" s="2" t="s">
        <v>975</v>
      </c>
      <c r="C1638" s="2">
        <v>35</v>
      </c>
      <c r="D1638" s="2" t="s">
        <v>127</v>
      </c>
      <c r="E1638" s="2" t="s">
        <v>120</v>
      </c>
      <c r="F1638" s="2" t="s">
        <v>99</v>
      </c>
      <c r="G1638" s="2" t="s">
        <v>679</v>
      </c>
      <c r="H1638" s="2" t="s">
        <v>1051</v>
      </c>
      <c r="I1638" s="2" t="s">
        <v>1044</v>
      </c>
      <c r="J1638" s="2" t="s">
        <v>740</v>
      </c>
      <c r="K1638" s="2" t="s">
        <v>99</v>
      </c>
      <c r="L1638" s="2" t="s">
        <v>99</v>
      </c>
      <c r="M1638" s="2" t="s">
        <v>99</v>
      </c>
      <c r="N1638" s="2" t="s">
        <v>141</v>
      </c>
      <c r="O1638" s="2" t="s">
        <v>99</v>
      </c>
      <c r="P1638" s="2" t="s">
        <v>99</v>
      </c>
      <c r="Q1638" s="2"/>
    </row>
    <row r="1639" spans="1:17" x14ac:dyDescent="0.3">
      <c r="A1639" s="2" t="s">
        <v>49</v>
      </c>
      <c r="B1639" s="2" t="s">
        <v>976</v>
      </c>
      <c r="C1639" s="2">
        <v>35</v>
      </c>
      <c r="D1639" s="2" t="s">
        <v>151</v>
      </c>
      <c r="E1639" s="2" t="s">
        <v>99</v>
      </c>
      <c r="F1639" s="2" t="s">
        <v>461</v>
      </c>
      <c r="G1639" s="2" t="s">
        <v>681</v>
      </c>
      <c r="H1639" s="2" t="s">
        <v>423</v>
      </c>
      <c r="I1639" s="2" t="s">
        <v>197</v>
      </c>
      <c r="J1639" s="2" t="s">
        <v>126</v>
      </c>
      <c r="K1639" s="2" t="s">
        <v>482</v>
      </c>
      <c r="L1639" s="2" t="s">
        <v>99</v>
      </c>
      <c r="M1639" s="2" t="s">
        <v>99</v>
      </c>
      <c r="N1639" s="2" t="s">
        <v>99</v>
      </c>
      <c r="O1639" s="2" t="s">
        <v>99</v>
      </c>
      <c r="P1639" s="2" t="s">
        <v>99</v>
      </c>
      <c r="Q1639" s="2"/>
    </row>
    <row r="1640" spans="1:17" x14ac:dyDescent="0.3">
      <c r="A1640" s="2" t="s">
        <v>49</v>
      </c>
      <c r="B1640" s="2" t="s">
        <v>977</v>
      </c>
      <c r="C1640" s="2">
        <v>34</v>
      </c>
      <c r="D1640" s="2" t="s">
        <v>99</v>
      </c>
      <c r="E1640" s="2" t="s">
        <v>99</v>
      </c>
      <c r="F1640" s="2" t="s">
        <v>111</v>
      </c>
      <c r="G1640" s="2" t="s">
        <v>449</v>
      </c>
      <c r="H1640" s="2" t="s">
        <v>730</v>
      </c>
      <c r="I1640" s="2" t="s">
        <v>911</v>
      </c>
      <c r="J1640" s="2" t="s">
        <v>536</v>
      </c>
      <c r="K1640" s="2" t="s">
        <v>128</v>
      </c>
      <c r="L1640" s="2" t="s">
        <v>373</v>
      </c>
      <c r="M1640" s="2" t="s">
        <v>118</v>
      </c>
      <c r="N1640" s="2" t="s">
        <v>136</v>
      </c>
      <c r="O1640" s="2" t="s">
        <v>111</v>
      </c>
      <c r="P1640" s="2" t="s">
        <v>99</v>
      </c>
      <c r="Q1640" s="2"/>
    </row>
    <row r="1641" spans="1:17" s="5" customFormat="1" x14ac:dyDescent="0.3">
      <c r="A1641" s="6" t="s">
        <v>49</v>
      </c>
      <c r="B1641" s="6" t="s">
        <v>979</v>
      </c>
      <c r="C1641" s="6">
        <v>5</v>
      </c>
      <c r="D1641" s="6" t="s">
        <v>99</v>
      </c>
      <c r="E1641" s="6" t="s">
        <v>99</v>
      </c>
      <c r="F1641" s="6" t="s">
        <v>99</v>
      </c>
      <c r="G1641" s="6" t="s">
        <v>840</v>
      </c>
      <c r="H1641" s="6" t="s">
        <v>1052</v>
      </c>
      <c r="I1641" s="6" t="s">
        <v>113</v>
      </c>
      <c r="J1641" s="6" t="s">
        <v>99</v>
      </c>
      <c r="K1641" s="6" t="s">
        <v>99</v>
      </c>
      <c r="L1641" s="6" t="s">
        <v>99</v>
      </c>
      <c r="M1641" s="6" t="s">
        <v>99</v>
      </c>
      <c r="N1641" s="6" t="s">
        <v>99</v>
      </c>
      <c r="O1641" s="6" t="s">
        <v>99</v>
      </c>
      <c r="P1641" s="6" t="s">
        <v>99</v>
      </c>
      <c r="Q1641" s="6"/>
    </row>
    <row r="1642" spans="1:17" x14ac:dyDescent="0.3">
      <c r="A1642" s="2"/>
      <c r="B1642" s="2"/>
      <c r="C1642" s="2"/>
      <c r="D1642" s="2"/>
      <c r="E1642" s="2"/>
      <c r="F1642" s="2"/>
      <c r="G1642" s="2"/>
      <c r="H1642" s="2"/>
      <c r="I1642" s="2"/>
      <c r="J1642" s="2"/>
      <c r="K1642" s="2"/>
      <c r="L1642" s="2"/>
      <c r="M1642" s="2"/>
      <c r="N1642" s="2"/>
      <c r="O1642" s="2"/>
      <c r="P1642" s="2"/>
      <c r="Q1642" s="2"/>
    </row>
    <row r="1643" spans="1:17" x14ac:dyDescent="0.3">
      <c r="A1643" s="2" t="s">
        <v>26</v>
      </c>
      <c r="B1643" s="2"/>
      <c r="C1643" s="2"/>
      <c r="D1643" s="2"/>
      <c r="E1643" s="2"/>
      <c r="F1643" s="2"/>
      <c r="G1643" s="2"/>
      <c r="H1643" s="2"/>
      <c r="I1643" s="2"/>
      <c r="J1643" s="2"/>
      <c r="K1643" s="2"/>
      <c r="L1643" s="2"/>
      <c r="M1643" s="2"/>
      <c r="N1643" s="2"/>
      <c r="O1643" s="2"/>
      <c r="P1643" s="2"/>
      <c r="Q1643" s="2"/>
    </row>
    <row r="1644" spans="1:17" x14ac:dyDescent="0.3">
      <c r="A1644" s="2" t="s">
        <v>44</v>
      </c>
      <c r="B1644" s="2" t="s">
        <v>235</v>
      </c>
      <c r="C1644" s="2" t="s">
        <v>32</v>
      </c>
      <c r="D1644" s="2" t="s">
        <v>1033</v>
      </c>
      <c r="E1644" s="2" t="s">
        <v>1031</v>
      </c>
      <c r="F1644" s="2" t="s">
        <v>1032</v>
      </c>
      <c r="G1644" s="2" t="s">
        <v>1034</v>
      </c>
      <c r="H1644" s="2" t="s">
        <v>1035</v>
      </c>
      <c r="I1644" s="2" t="s">
        <v>1036</v>
      </c>
      <c r="J1644" s="2" t="s">
        <v>1037</v>
      </c>
      <c r="K1644" s="2" t="s">
        <v>1038</v>
      </c>
      <c r="L1644" s="2" t="s">
        <v>83</v>
      </c>
      <c r="M1644" s="2" t="s">
        <v>1039</v>
      </c>
      <c r="N1644" s="2" t="s">
        <v>1040</v>
      </c>
      <c r="O1644" s="2" t="s">
        <v>1041</v>
      </c>
      <c r="P1644" s="2" t="s">
        <v>1042</v>
      </c>
      <c r="Q1644" s="2"/>
    </row>
    <row r="1645" spans="1:17" s="5" customFormat="1" x14ac:dyDescent="0.3">
      <c r="A1645" s="6" t="s">
        <v>35</v>
      </c>
      <c r="B1645" s="6" t="s">
        <v>236</v>
      </c>
      <c r="C1645" s="6">
        <v>14</v>
      </c>
      <c r="D1645" s="6" t="s">
        <v>700</v>
      </c>
      <c r="E1645" s="6" t="s">
        <v>99</v>
      </c>
      <c r="F1645" s="6" t="s">
        <v>99</v>
      </c>
      <c r="G1645" s="6" t="s">
        <v>99</v>
      </c>
      <c r="H1645" s="6" t="s">
        <v>599</v>
      </c>
      <c r="I1645" s="6" t="s">
        <v>729</v>
      </c>
      <c r="J1645" s="6" t="s">
        <v>99</v>
      </c>
      <c r="K1645" s="6" t="s">
        <v>99</v>
      </c>
      <c r="L1645" s="6" t="s">
        <v>99</v>
      </c>
      <c r="M1645" s="6" t="s">
        <v>99</v>
      </c>
      <c r="N1645" s="6" t="s">
        <v>99</v>
      </c>
      <c r="O1645" s="6" t="s">
        <v>99</v>
      </c>
      <c r="P1645" s="6" t="s">
        <v>99</v>
      </c>
      <c r="Q1645" s="6"/>
    </row>
    <row r="1646" spans="1:17" s="5" customFormat="1" x14ac:dyDescent="0.3">
      <c r="A1646" s="6" t="s">
        <v>35</v>
      </c>
      <c r="B1646" s="6" t="s">
        <v>238</v>
      </c>
      <c r="C1646" s="6">
        <v>25</v>
      </c>
      <c r="D1646" s="6" t="s">
        <v>717</v>
      </c>
      <c r="E1646" s="6" t="s">
        <v>244</v>
      </c>
      <c r="F1646" s="6" t="s">
        <v>99</v>
      </c>
      <c r="G1646" s="6" t="s">
        <v>99</v>
      </c>
      <c r="H1646" s="6" t="s">
        <v>740</v>
      </c>
      <c r="I1646" s="6" t="s">
        <v>305</v>
      </c>
      <c r="J1646" s="6" t="s">
        <v>99</v>
      </c>
      <c r="K1646" s="6" t="s">
        <v>244</v>
      </c>
      <c r="L1646" s="6" t="s">
        <v>107</v>
      </c>
      <c r="M1646" s="6" t="s">
        <v>38</v>
      </c>
      <c r="N1646" s="6" t="s">
        <v>99</v>
      </c>
      <c r="O1646" s="6" t="s">
        <v>99</v>
      </c>
      <c r="P1646" s="6" t="s">
        <v>99</v>
      </c>
      <c r="Q1646" s="6"/>
    </row>
    <row r="1647" spans="1:17" s="5" customFormat="1" x14ac:dyDescent="0.3">
      <c r="A1647" s="6" t="s">
        <v>37</v>
      </c>
      <c r="B1647" s="6" t="s">
        <v>236</v>
      </c>
      <c r="C1647" s="6">
        <v>7</v>
      </c>
      <c r="D1647" s="6" t="s">
        <v>99</v>
      </c>
      <c r="E1647" s="6" t="s">
        <v>303</v>
      </c>
      <c r="F1647" s="6" t="s">
        <v>99</v>
      </c>
      <c r="G1647" s="6" t="s">
        <v>99</v>
      </c>
      <c r="H1647" s="6" t="s">
        <v>1053</v>
      </c>
      <c r="I1647" s="6" t="s">
        <v>624</v>
      </c>
      <c r="J1647" s="6" t="s">
        <v>99</v>
      </c>
      <c r="K1647" s="6" t="s">
        <v>99</v>
      </c>
      <c r="L1647" s="6" t="s">
        <v>99</v>
      </c>
      <c r="M1647" s="6" t="s">
        <v>99</v>
      </c>
      <c r="N1647" s="6" t="s">
        <v>99</v>
      </c>
      <c r="O1647" s="6" t="s">
        <v>99</v>
      </c>
      <c r="P1647" s="6" t="s">
        <v>672</v>
      </c>
      <c r="Q1647" s="6"/>
    </row>
    <row r="1648" spans="1:17" s="5" customFormat="1" x14ac:dyDescent="0.3">
      <c r="A1648" s="6" t="s">
        <v>37</v>
      </c>
      <c r="B1648" s="6" t="s">
        <v>238</v>
      </c>
      <c r="C1648" s="6">
        <v>5</v>
      </c>
      <c r="D1648" s="6" t="s">
        <v>1054</v>
      </c>
      <c r="E1648" s="6" t="s">
        <v>461</v>
      </c>
      <c r="F1648" s="6" t="s">
        <v>99</v>
      </c>
      <c r="G1648" s="6" t="s">
        <v>99</v>
      </c>
      <c r="H1648" s="6" t="s">
        <v>122</v>
      </c>
      <c r="I1648" s="6" t="s">
        <v>99</v>
      </c>
      <c r="J1648" s="6" t="s">
        <v>405</v>
      </c>
      <c r="K1648" s="6" t="s">
        <v>99</v>
      </c>
      <c r="L1648" s="6" t="s">
        <v>99</v>
      </c>
      <c r="M1648" s="6" t="s">
        <v>99</v>
      </c>
      <c r="N1648" s="6" t="s">
        <v>99</v>
      </c>
      <c r="O1648" s="6" t="s">
        <v>99</v>
      </c>
      <c r="P1648" s="6" t="s">
        <v>99</v>
      </c>
      <c r="Q1648" s="6"/>
    </row>
    <row r="1649" spans="1:17" x14ac:dyDescent="0.3">
      <c r="A1649" s="2" t="s">
        <v>36</v>
      </c>
      <c r="B1649" s="2" t="s">
        <v>236</v>
      </c>
      <c r="C1649" s="2">
        <v>54</v>
      </c>
      <c r="D1649" s="2" t="s">
        <v>103</v>
      </c>
      <c r="E1649" s="2" t="s">
        <v>99</v>
      </c>
      <c r="F1649" s="2" t="s">
        <v>99</v>
      </c>
      <c r="G1649" s="2" t="s">
        <v>296</v>
      </c>
      <c r="H1649" s="2" t="s">
        <v>840</v>
      </c>
      <c r="I1649" s="2" t="s">
        <v>1055</v>
      </c>
      <c r="J1649" s="2" t="s">
        <v>132</v>
      </c>
      <c r="K1649" s="2" t="s">
        <v>99</v>
      </c>
      <c r="L1649" s="2" t="s">
        <v>99</v>
      </c>
      <c r="M1649" s="2" t="s">
        <v>141</v>
      </c>
      <c r="N1649" s="2" t="s">
        <v>158</v>
      </c>
      <c r="O1649" s="2" t="s">
        <v>151</v>
      </c>
      <c r="P1649" s="2" t="s">
        <v>99</v>
      </c>
      <c r="Q1649" s="2"/>
    </row>
    <row r="1650" spans="1:17" s="5" customFormat="1" x14ac:dyDescent="0.3">
      <c r="A1650" s="6" t="s">
        <v>36</v>
      </c>
      <c r="B1650" s="6" t="s">
        <v>238</v>
      </c>
      <c r="C1650" s="6">
        <v>3</v>
      </c>
      <c r="D1650" s="6" t="s">
        <v>99</v>
      </c>
      <c r="E1650" s="6" t="s">
        <v>1056</v>
      </c>
      <c r="F1650" s="6" t="s">
        <v>99</v>
      </c>
      <c r="G1650" s="6" t="s">
        <v>99</v>
      </c>
      <c r="H1650" s="6" t="s">
        <v>99</v>
      </c>
      <c r="I1650" s="6" t="s">
        <v>1057</v>
      </c>
      <c r="J1650" s="6" t="s">
        <v>99</v>
      </c>
      <c r="K1650" s="6" t="s">
        <v>99</v>
      </c>
      <c r="L1650" s="6" t="s">
        <v>99</v>
      </c>
      <c r="M1650" s="6" t="s">
        <v>99</v>
      </c>
      <c r="N1650" s="6" t="s">
        <v>99</v>
      </c>
      <c r="O1650" s="6" t="s">
        <v>99</v>
      </c>
      <c r="P1650" s="6" t="s">
        <v>99</v>
      </c>
      <c r="Q1650" s="6"/>
    </row>
    <row r="1651" spans="1:17" s="5" customFormat="1" x14ac:dyDescent="0.3">
      <c r="A1651" s="6" t="s">
        <v>34</v>
      </c>
      <c r="B1651" s="6" t="s">
        <v>236</v>
      </c>
      <c r="C1651" s="6">
        <v>18</v>
      </c>
      <c r="D1651" s="6" t="s">
        <v>99</v>
      </c>
      <c r="E1651" s="6" t="s">
        <v>99</v>
      </c>
      <c r="F1651" s="6" t="s">
        <v>99</v>
      </c>
      <c r="G1651" s="6" t="s">
        <v>99</v>
      </c>
      <c r="H1651" s="6" t="s">
        <v>639</v>
      </c>
      <c r="I1651" s="6" t="s">
        <v>706</v>
      </c>
      <c r="J1651" s="6" t="s">
        <v>499</v>
      </c>
      <c r="K1651" s="6" t="s">
        <v>99</v>
      </c>
      <c r="L1651" s="6" t="s">
        <v>99</v>
      </c>
      <c r="M1651" s="6" t="s">
        <v>99</v>
      </c>
      <c r="N1651" s="6" t="s">
        <v>99</v>
      </c>
      <c r="O1651" s="6" t="s">
        <v>99</v>
      </c>
      <c r="P1651" s="6" t="s">
        <v>99</v>
      </c>
      <c r="Q1651" s="6"/>
    </row>
    <row r="1652" spans="1:17" s="5" customFormat="1" x14ac:dyDescent="0.3">
      <c r="A1652" s="6" t="s">
        <v>34</v>
      </c>
      <c r="B1652" s="6" t="s">
        <v>238</v>
      </c>
      <c r="C1652" s="6">
        <v>23</v>
      </c>
      <c r="D1652" s="6" t="s">
        <v>173</v>
      </c>
      <c r="E1652" s="6" t="s">
        <v>99</v>
      </c>
      <c r="F1652" s="6" t="s">
        <v>99</v>
      </c>
      <c r="G1652" s="6" t="s">
        <v>99</v>
      </c>
      <c r="H1652" s="6" t="s">
        <v>916</v>
      </c>
      <c r="I1652" s="6" t="s">
        <v>621</v>
      </c>
      <c r="J1652" s="6" t="s">
        <v>78</v>
      </c>
      <c r="K1652" s="6" t="s">
        <v>99</v>
      </c>
      <c r="L1652" s="6" t="s">
        <v>99</v>
      </c>
      <c r="M1652" s="6" t="s">
        <v>99</v>
      </c>
      <c r="N1652" s="6" t="s">
        <v>99</v>
      </c>
      <c r="O1652" s="6" t="s">
        <v>99</v>
      </c>
      <c r="P1652" s="6" t="s">
        <v>99</v>
      </c>
      <c r="Q1652" s="6"/>
    </row>
    <row r="1653" spans="1:17" s="5" customFormat="1" x14ac:dyDescent="0.3">
      <c r="A1653" s="6" t="s">
        <v>33</v>
      </c>
      <c r="B1653" s="6" t="s">
        <v>236</v>
      </c>
      <c r="C1653" s="6">
        <v>1</v>
      </c>
      <c r="D1653" s="6" t="s">
        <v>211</v>
      </c>
      <c r="E1653" s="6" t="s">
        <v>99</v>
      </c>
      <c r="F1653" s="6" t="s">
        <v>99</v>
      </c>
      <c r="G1653" s="6" t="s">
        <v>99</v>
      </c>
      <c r="H1653" s="6" t="s">
        <v>99</v>
      </c>
      <c r="I1653" s="6" t="s">
        <v>99</v>
      </c>
      <c r="J1653" s="6" t="s">
        <v>99</v>
      </c>
      <c r="K1653" s="6" t="s">
        <v>99</v>
      </c>
      <c r="L1653" s="6" t="s">
        <v>99</v>
      </c>
      <c r="M1653" s="6" t="s">
        <v>99</v>
      </c>
      <c r="N1653" s="6" t="s">
        <v>99</v>
      </c>
      <c r="O1653" s="6" t="s">
        <v>99</v>
      </c>
      <c r="P1653" s="6" t="s">
        <v>99</v>
      </c>
      <c r="Q1653" s="6"/>
    </row>
    <row r="1654" spans="1:17" s="5" customFormat="1" x14ac:dyDescent="0.3">
      <c r="A1654" s="6" t="s">
        <v>33</v>
      </c>
      <c r="B1654" s="6" t="s">
        <v>238</v>
      </c>
      <c r="C1654" s="6">
        <v>3</v>
      </c>
      <c r="D1654" s="6" t="s">
        <v>99</v>
      </c>
      <c r="E1654" s="6" t="s">
        <v>349</v>
      </c>
      <c r="F1654" s="6" t="s">
        <v>349</v>
      </c>
      <c r="G1654" s="6" t="s">
        <v>817</v>
      </c>
      <c r="H1654" s="6" t="s">
        <v>99</v>
      </c>
      <c r="I1654" s="6" t="s">
        <v>99</v>
      </c>
      <c r="J1654" s="6" t="s">
        <v>99</v>
      </c>
      <c r="K1654" s="6" t="s">
        <v>99</v>
      </c>
      <c r="L1654" s="6" t="s">
        <v>99</v>
      </c>
      <c r="M1654" s="6" t="s">
        <v>99</v>
      </c>
      <c r="N1654" s="6" t="s">
        <v>99</v>
      </c>
      <c r="O1654" s="6" t="s">
        <v>99</v>
      </c>
      <c r="P1654" s="6" t="s">
        <v>99</v>
      </c>
      <c r="Q1654" s="6"/>
    </row>
    <row r="1655" spans="1:17" x14ac:dyDescent="0.3">
      <c r="A1655" s="2" t="s">
        <v>49</v>
      </c>
      <c r="B1655" s="2" t="s">
        <v>236</v>
      </c>
      <c r="C1655" s="2">
        <v>94</v>
      </c>
      <c r="D1655" s="2" t="s">
        <v>155</v>
      </c>
      <c r="E1655" s="2" t="s">
        <v>319</v>
      </c>
      <c r="F1655" s="2" t="s">
        <v>99</v>
      </c>
      <c r="G1655" s="2" t="s">
        <v>151</v>
      </c>
      <c r="H1655" s="2" t="s">
        <v>1058</v>
      </c>
      <c r="I1655" s="2" t="s">
        <v>485</v>
      </c>
      <c r="J1655" s="2" t="s">
        <v>222</v>
      </c>
      <c r="K1655" s="2" t="s">
        <v>99</v>
      </c>
      <c r="L1655" s="2" t="s">
        <v>99</v>
      </c>
      <c r="M1655" s="2" t="s">
        <v>104</v>
      </c>
      <c r="N1655" s="2" t="s">
        <v>121</v>
      </c>
      <c r="O1655" s="2" t="s">
        <v>136</v>
      </c>
      <c r="P1655" s="2" t="s">
        <v>114</v>
      </c>
      <c r="Q1655" s="2"/>
    </row>
    <row r="1656" spans="1:17" x14ac:dyDescent="0.3">
      <c r="A1656" s="2" t="s">
        <v>49</v>
      </c>
      <c r="B1656" s="2" t="s">
        <v>238</v>
      </c>
      <c r="C1656" s="2">
        <v>59</v>
      </c>
      <c r="D1656" s="2" t="s">
        <v>1059</v>
      </c>
      <c r="E1656" s="2" t="s">
        <v>287</v>
      </c>
      <c r="F1656" s="2" t="s">
        <v>132</v>
      </c>
      <c r="G1656" s="2" t="s">
        <v>100</v>
      </c>
      <c r="H1656" s="2" t="s">
        <v>749</v>
      </c>
      <c r="I1656" s="2" t="s">
        <v>670</v>
      </c>
      <c r="J1656" s="2" t="s">
        <v>154</v>
      </c>
      <c r="K1656" s="2" t="s">
        <v>663</v>
      </c>
      <c r="L1656" s="2" t="s">
        <v>319</v>
      </c>
      <c r="M1656" s="2" t="s">
        <v>70</v>
      </c>
      <c r="N1656" s="2" t="s">
        <v>99</v>
      </c>
      <c r="O1656" s="2" t="s">
        <v>99</v>
      </c>
      <c r="P1656" s="2" t="s">
        <v>99</v>
      </c>
      <c r="Q1656" s="2"/>
    </row>
    <row r="1657" spans="1:17" x14ac:dyDescent="0.3">
      <c r="A1657" s="2"/>
      <c r="B1657" s="2"/>
      <c r="C1657" s="2"/>
      <c r="D1657" s="2"/>
      <c r="E1657" s="2"/>
      <c r="F1657" s="2"/>
      <c r="G1657" s="2"/>
      <c r="H1657" s="2"/>
      <c r="I1657" s="2"/>
      <c r="J1657" s="2"/>
      <c r="K1657" s="2"/>
      <c r="L1657" s="2"/>
      <c r="M1657" s="2"/>
      <c r="N1657" s="2"/>
      <c r="O1657" s="2"/>
      <c r="P1657" s="2"/>
      <c r="Q1657" s="2"/>
    </row>
    <row r="1658" spans="1:17" x14ac:dyDescent="0.3">
      <c r="A1658" s="2" t="s">
        <v>27</v>
      </c>
      <c r="B1658" s="2"/>
      <c r="C1658" s="2"/>
      <c r="D1658" s="2"/>
      <c r="E1658" s="2"/>
      <c r="F1658" s="2"/>
      <c r="G1658" s="2"/>
      <c r="H1658" s="2"/>
      <c r="I1658" s="2"/>
      <c r="J1658" s="2"/>
      <c r="K1658" s="2"/>
      <c r="L1658" s="2"/>
      <c r="M1658" s="2"/>
      <c r="N1658" s="2"/>
      <c r="O1658" s="2"/>
      <c r="P1658" s="2"/>
      <c r="Q1658" s="2"/>
    </row>
    <row r="1659" spans="1:17" x14ac:dyDescent="0.3">
      <c r="A1659" s="2" t="s">
        <v>44</v>
      </c>
      <c r="B1659" s="2" t="s">
        <v>209</v>
      </c>
      <c r="C1659" s="2" t="s">
        <v>32</v>
      </c>
      <c r="D1659" s="2" t="s">
        <v>1033</v>
      </c>
      <c r="E1659" s="2" t="s">
        <v>1031</v>
      </c>
      <c r="F1659" s="2" t="s">
        <v>1032</v>
      </c>
      <c r="G1659" s="2" t="s">
        <v>1034</v>
      </c>
      <c r="H1659" s="2" t="s">
        <v>1035</v>
      </c>
      <c r="I1659" s="2" t="s">
        <v>1036</v>
      </c>
      <c r="J1659" s="2" t="s">
        <v>1037</v>
      </c>
      <c r="K1659" s="2" t="s">
        <v>1039</v>
      </c>
      <c r="L1659" s="2" t="s">
        <v>1038</v>
      </c>
      <c r="M1659" s="2" t="s">
        <v>83</v>
      </c>
      <c r="N1659" s="2" t="s">
        <v>1041</v>
      </c>
      <c r="O1659" s="2" t="s">
        <v>1040</v>
      </c>
      <c r="P1659" s="2" t="s">
        <v>1042</v>
      </c>
      <c r="Q1659" s="2"/>
    </row>
    <row r="1660" spans="1:17" s="5" customFormat="1" x14ac:dyDescent="0.3">
      <c r="A1660" s="6" t="s">
        <v>35</v>
      </c>
      <c r="B1660" s="6" t="s">
        <v>210</v>
      </c>
      <c r="C1660" s="6">
        <v>5</v>
      </c>
      <c r="D1660" s="6" t="s">
        <v>99</v>
      </c>
      <c r="E1660" s="6" t="s">
        <v>99</v>
      </c>
      <c r="F1660" s="6" t="s">
        <v>99</v>
      </c>
      <c r="G1660" s="6" t="s">
        <v>99</v>
      </c>
      <c r="H1660" s="6" t="s">
        <v>764</v>
      </c>
      <c r="I1660" s="6" t="s">
        <v>710</v>
      </c>
      <c r="J1660" s="6" t="s">
        <v>99</v>
      </c>
      <c r="K1660" s="6" t="s">
        <v>99</v>
      </c>
      <c r="L1660" s="6" t="s">
        <v>99</v>
      </c>
      <c r="M1660" s="6" t="s">
        <v>99</v>
      </c>
      <c r="N1660" s="6" t="s">
        <v>99</v>
      </c>
      <c r="O1660" s="6" t="s">
        <v>99</v>
      </c>
      <c r="P1660" s="6" t="s">
        <v>99</v>
      </c>
      <c r="Q1660" s="6"/>
    </row>
    <row r="1661" spans="1:17" s="5" customFormat="1" x14ac:dyDescent="0.3">
      <c r="A1661" s="6" t="s">
        <v>35</v>
      </c>
      <c r="B1661" s="6" t="s">
        <v>212</v>
      </c>
      <c r="C1661" s="6">
        <v>17</v>
      </c>
      <c r="D1661" s="6" t="s">
        <v>699</v>
      </c>
      <c r="E1661" s="6" t="s">
        <v>670</v>
      </c>
      <c r="F1661" s="6" t="s">
        <v>99</v>
      </c>
      <c r="G1661" s="6" t="s">
        <v>99</v>
      </c>
      <c r="H1661" s="6" t="s">
        <v>231</v>
      </c>
      <c r="I1661" s="6" t="s">
        <v>299</v>
      </c>
      <c r="J1661" s="6" t="s">
        <v>99</v>
      </c>
      <c r="K1661" s="6" t="s">
        <v>670</v>
      </c>
      <c r="L1661" s="6" t="s">
        <v>99</v>
      </c>
      <c r="M1661" s="6" t="s">
        <v>99</v>
      </c>
      <c r="N1661" s="6" t="s">
        <v>99</v>
      </c>
      <c r="O1661" s="6" t="s">
        <v>99</v>
      </c>
      <c r="P1661" s="6" t="s">
        <v>99</v>
      </c>
      <c r="Q1661" s="6"/>
    </row>
    <row r="1662" spans="1:17" s="5" customFormat="1" x14ac:dyDescent="0.3">
      <c r="A1662" s="6" t="s">
        <v>35</v>
      </c>
      <c r="B1662" s="6" t="s">
        <v>216</v>
      </c>
      <c r="C1662" s="6">
        <v>17</v>
      </c>
      <c r="D1662" s="6" t="s">
        <v>735</v>
      </c>
      <c r="E1662" s="6" t="s">
        <v>99</v>
      </c>
      <c r="F1662" s="6" t="s">
        <v>99</v>
      </c>
      <c r="G1662" s="6" t="s">
        <v>99</v>
      </c>
      <c r="H1662" s="6" t="s">
        <v>691</v>
      </c>
      <c r="I1662" s="6" t="s">
        <v>393</v>
      </c>
      <c r="J1662" s="6" t="s">
        <v>99</v>
      </c>
      <c r="K1662" s="6" t="s">
        <v>68</v>
      </c>
      <c r="L1662" s="6" t="s">
        <v>809</v>
      </c>
      <c r="M1662" s="6" t="s">
        <v>109</v>
      </c>
      <c r="N1662" s="6" t="s">
        <v>99</v>
      </c>
      <c r="O1662" s="6" t="s">
        <v>99</v>
      </c>
      <c r="P1662" s="6" t="s">
        <v>99</v>
      </c>
      <c r="Q1662" s="6"/>
    </row>
    <row r="1663" spans="1:17" s="5" customFormat="1" x14ac:dyDescent="0.3">
      <c r="A1663" s="6" t="s">
        <v>37</v>
      </c>
      <c r="B1663" s="6" t="s">
        <v>212</v>
      </c>
      <c r="C1663" s="6">
        <v>9</v>
      </c>
      <c r="D1663" s="6" t="s">
        <v>99</v>
      </c>
      <c r="E1663" s="6" t="s">
        <v>372</v>
      </c>
      <c r="F1663" s="6" t="s">
        <v>99</v>
      </c>
      <c r="G1663" s="6" t="s">
        <v>99</v>
      </c>
      <c r="H1663" s="6" t="s">
        <v>795</v>
      </c>
      <c r="I1663" s="6" t="s">
        <v>580</v>
      </c>
      <c r="J1663" s="6" t="s">
        <v>405</v>
      </c>
      <c r="K1663" s="6" t="s">
        <v>99</v>
      </c>
      <c r="L1663" s="6" t="s">
        <v>99</v>
      </c>
      <c r="M1663" s="6" t="s">
        <v>99</v>
      </c>
      <c r="N1663" s="6" t="s">
        <v>99</v>
      </c>
      <c r="O1663" s="6" t="s">
        <v>99</v>
      </c>
      <c r="P1663" s="6" t="s">
        <v>289</v>
      </c>
      <c r="Q1663" s="6"/>
    </row>
    <row r="1664" spans="1:17" s="5" customFormat="1" x14ac:dyDescent="0.3">
      <c r="A1664" s="6" t="s">
        <v>37</v>
      </c>
      <c r="B1664" s="6" t="s">
        <v>216</v>
      </c>
      <c r="C1664" s="6">
        <v>3</v>
      </c>
      <c r="D1664" s="6" t="s">
        <v>232</v>
      </c>
      <c r="E1664" s="6" t="s">
        <v>233</v>
      </c>
      <c r="F1664" s="6" t="s">
        <v>99</v>
      </c>
      <c r="G1664" s="6" t="s">
        <v>99</v>
      </c>
      <c r="H1664" s="6" t="s">
        <v>99</v>
      </c>
      <c r="I1664" s="6" t="s">
        <v>99</v>
      </c>
      <c r="J1664" s="6" t="s">
        <v>99</v>
      </c>
      <c r="K1664" s="6" t="s">
        <v>99</v>
      </c>
      <c r="L1664" s="6" t="s">
        <v>99</v>
      </c>
      <c r="M1664" s="6" t="s">
        <v>99</v>
      </c>
      <c r="N1664" s="6" t="s">
        <v>99</v>
      </c>
      <c r="O1664" s="6" t="s">
        <v>99</v>
      </c>
      <c r="P1664" s="6" t="s">
        <v>99</v>
      </c>
      <c r="Q1664" s="6"/>
    </row>
    <row r="1665" spans="1:17" s="5" customFormat="1" x14ac:dyDescent="0.3">
      <c r="A1665" s="6" t="s">
        <v>36</v>
      </c>
      <c r="B1665" s="6" t="s">
        <v>210</v>
      </c>
      <c r="C1665" s="6">
        <v>9</v>
      </c>
      <c r="D1665" s="6" t="s">
        <v>99</v>
      </c>
      <c r="E1665" s="6" t="s">
        <v>99</v>
      </c>
      <c r="F1665" s="6" t="s">
        <v>99</v>
      </c>
      <c r="G1665" s="6" t="s">
        <v>267</v>
      </c>
      <c r="H1665" s="6" t="s">
        <v>287</v>
      </c>
      <c r="I1665" s="6" t="s">
        <v>1060</v>
      </c>
      <c r="J1665" s="6" t="s">
        <v>99</v>
      </c>
      <c r="K1665" s="6" t="s">
        <v>99</v>
      </c>
      <c r="L1665" s="6" t="s">
        <v>99</v>
      </c>
      <c r="M1665" s="6" t="s">
        <v>99</v>
      </c>
      <c r="N1665" s="6" t="s">
        <v>99</v>
      </c>
      <c r="O1665" s="6" t="s">
        <v>99</v>
      </c>
      <c r="P1665" s="6" t="s">
        <v>99</v>
      </c>
      <c r="Q1665" s="6"/>
    </row>
    <row r="1666" spans="1:17" x14ac:dyDescent="0.3">
      <c r="A1666" s="2" t="s">
        <v>36</v>
      </c>
      <c r="B1666" s="2" t="s">
        <v>212</v>
      </c>
      <c r="C1666" s="2">
        <v>31</v>
      </c>
      <c r="D1666" s="2" t="s">
        <v>316</v>
      </c>
      <c r="E1666" s="2" t="s">
        <v>440</v>
      </c>
      <c r="F1666" s="2" t="s">
        <v>99</v>
      </c>
      <c r="G1666" s="2" t="s">
        <v>160</v>
      </c>
      <c r="H1666" s="2" t="s">
        <v>795</v>
      </c>
      <c r="I1666" s="2" t="s">
        <v>584</v>
      </c>
      <c r="J1666" s="2" t="s">
        <v>99</v>
      </c>
      <c r="K1666" s="2" t="s">
        <v>99</v>
      </c>
      <c r="L1666" s="2" t="s">
        <v>99</v>
      </c>
      <c r="M1666" s="2" t="s">
        <v>99</v>
      </c>
      <c r="N1666" s="2" t="s">
        <v>151</v>
      </c>
      <c r="O1666" s="2" t="s">
        <v>99</v>
      </c>
      <c r="P1666" s="2" t="s">
        <v>99</v>
      </c>
      <c r="Q1666" s="2"/>
    </row>
    <row r="1667" spans="1:17" s="5" customFormat="1" x14ac:dyDescent="0.3">
      <c r="A1667" s="6" t="s">
        <v>36</v>
      </c>
      <c r="B1667" s="6" t="s">
        <v>216</v>
      </c>
      <c r="C1667" s="6">
        <v>17</v>
      </c>
      <c r="D1667" s="6" t="s">
        <v>99</v>
      </c>
      <c r="E1667" s="6" t="s">
        <v>99</v>
      </c>
      <c r="F1667" s="6" t="s">
        <v>99</v>
      </c>
      <c r="G1667" s="6" t="s">
        <v>99</v>
      </c>
      <c r="H1667" s="6" t="s">
        <v>860</v>
      </c>
      <c r="I1667" s="6" t="s">
        <v>465</v>
      </c>
      <c r="J1667" s="6" t="s">
        <v>664</v>
      </c>
      <c r="K1667" s="6" t="s">
        <v>68</v>
      </c>
      <c r="L1667" s="6" t="s">
        <v>99</v>
      </c>
      <c r="M1667" s="6" t="s">
        <v>99</v>
      </c>
      <c r="N1667" s="6" t="s">
        <v>99</v>
      </c>
      <c r="O1667" s="6" t="s">
        <v>948</v>
      </c>
      <c r="P1667" s="6" t="s">
        <v>99</v>
      </c>
      <c r="Q1667" s="6"/>
    </row>
    <row r="1668" spans="1:17" s="5" customFormat="1" x14ac:dyDescent="0.3">
      <c r="A1668" s="6" t="s">
        <v>34</v>
      </c>
      <c r="B1668" s="6" t="s">
        <v>210</v>
      </c>
      <c r="C1668" s="6">
        <v>13</v>
      </c>
      <c r="D1668" s="6" t="s">
        <v>99</v>
      </c>
      <c r="E1668" s="6" t="s">
        <v>99</v>
      </c>
      <c r="F1668" s="6" t="s">
        <v>99</v>
      </c>
      <c r="G1668" s="6" t="s">
        <v>99</v>
      </c>
      <c r="H1668" s="6" t="s">
        <v>228</v>
      </c>
      <c r="I1668" s="6" t="s">
        <v>227</v>
      </c>
      <c r="J1668" s="6" t="s">
        <v>99</v>
      </c>
      <c r="K1668" s="6" t="s">
        <v>99</v>
      </c>
      <c r="L1668" s="6" t="s">
        <v>99</v>
      </c>
      <c r="M1668" s="6" t="s">
        <v>99</v>
      </c>
      <c r="N1668" s="6" t="s">
        <v>99</v>
      </c>
      <c r="O1668" s="6" t="s">
        <v>99</v>
      </c>
      <c r="P1668" s="6" t="s">
        <v>99</v>
      </c>
      <c r="Q1668" s="6"/>
    </row>
    <row r="1669" spans="1:17" s="5" customFormat="1" x14ac:dyDescent="0.3">
      <c r="A1669" s="6" t="s">
        <v>34</v>
      </c>
      <c r="B1669" s="6" t="s">
        <v>212</v>
      </c>
      <c r="C1669" s="6">
        <v>21</v>
      </c>
      <c r="D1669" s="6" t="s">
        <v>672</v>
      </c>
      <c r="E1669" s="6" t="s">
        <v>99</v>
      </c>
      <c r="F1669" s="6" t="s">
        <v>99</v>
      </c>
      <c r="G1669" s="6" t="s">
        <v>99</v>
      </c>
      <c r="H1669" s="6" t="s">
        <v>729</v>
      </c>
      <c r="I1669" s="6" t="s">
        <v>665</v>
      </c>
      <c r="J1669" s="6" t="s">
        <v>519</v>
      </c>
      <c r="K1669" s="6" t="s">
        <v>99</v>
      </c>
      <c r="L1669" s="6" t="s">
        <v>99</v>
      </c>
      <c r="M1669" s="6" t="s">
        <v>99</v>
      </c>
      <c r="N1669" s="6" t="s">
        <v>99</v>
      </c>
      <c r="O1669" s="6" t="s">
        <v>99</v>
      </c>
      <c r="P1669" s="6" t="s">
        <v>99</v>
      </c>
      <c r="Q1669" s="6"/>
    </row>
    <row r="1670" spans="1:17" s="5" customFormat="1" x14ac:dyDescent="0.3">
      <c r="A1670" s="6" t="s">
        <v>34</v>
      </c>
      <c r="B1670" s="6" t="s">
        <v>216</v>
      </c>
      <c r="C1670" s="6">
        <v>7</v>
      </c>
      <c r="D1670" s="6" t="s">
        <v>99</v>
      </c>
      <c r="E1670" s="6" t="s">
        <v>99</v>
      </c>
      <c r="F1670" s="6" t="s">
        <v>99</v>
      </c>
      <c r="G1670" s="6" t="s">
        <v>99</v>
      </c>
      <c r="H1670" s="6" t="s">
        <v>581</v>
      </c>
      <c r="I1670" s="6" t="s">
        <v>580</v>
      </c>
      <c r="J1670" s="6" t="s">
        <v>99</v>
      </c>
      <c r="K1670" s="6" t="s">
        <v>99</v>
      </c>
      <c r="L1670" s="6" t="s">
        <v>99</v>
      </c>
      <c r="M1670" s="6" t="s">
        <v>99</v>
      </c>
      <c r="N1670" s="6" t="s">
        <v>99</v>
      </c>
      <c r="O1670" s="6" t="s">
        <v>99</v>
      </c>
      <c r="P1670" s="6" t="s">
        <v>99</v>
      </c>
      <c r="Q1670" s="6"/>
    </row>
    <row r="1671" spans="1:17" s="5" customFormat="1" x14ac:dyDescent="0.3">
      <c r="A1671" s="6" t="s">
        <v>33</v>
      </c>
      <c r="B1671" s="6" t="s">
        <v>210</v>
      </c>
      <c r="C1671" s="6">
        <v>1</v>
      </c>
      <c r="D1671" s="6" t="s">
        <v>211</v>
      </c>
      <c r="E1671" s="6" t="s">
        <v>99</v>
      </c>
      <c r="F1671" s="6" t="s">
        <v>99</v>
      </c>
      <c r="G1671" s="6" t="s">
        <v>99</v>
      </c>
      <c r="H1671" s="6" t="s">
        <v>99</v>
      </c>
      <c r="I1671" s="6" t="s">
        <v>99</v>
      </c>
      <c r="J1671" s="6" t="s">
        <v>99</v>
      </c>
      <c r="K1671" s="6" t="s">
        <v>99</v>
      </c>
      <c r="L1671" s="6" t="s">
        <v>99</v>
      </c>
      <c r="M1671" s="6" t="s">
        <v>99</v>
      </c>
      <c r="N1671" s="6" t="s">
        <v>99</v>
      </c>
      <c r="O1671" s="6" t="s">
        <v>99</v>
      </c>
      <c r="P1671" s="6" t="s">
        <v>99</v>
      </c>
      <c r="Q1671" s="6"/>
    </row>
    <row r="1672" spans="1:17" s="5" customFormat="1" x14ac:dyDescent="0.3">
      <c r="A1672" s="6" t="s">
        <v>33</v>
      </c>
      <c r="B1672" s="6" t="s">
        <v>212</v>
      </c>
      <c r="C1672" s="6">
        <v>3</v>
      </c>
      <c r="D1672" s="6" t="s">
        <v>99</v>
      </c>
      <c r="E1672" s="6" t="s">
        <v>349</v>
      </c>
      <c r="F1672" s="6" t="s">
        <v>349</v>
      </c>
      <c r="G1672" s="6" t="s">
        <v>817</v>
      </c>
      <c r="H1672" s="6" t="s">
        <v>99</v>
      </c>
      <c r="I1672" s="6" t="s">
        <v>99</v>
      </c>
      <c r="J1672" s="6" t="s">
        <v>99</v>
      </c>
      <c r="K1672" s="6" t="s">
        <v>99</v>
      </c>
      <c r="L1672" s="6" t="s">
        <v>99</v>
      </c>
      <c r="M1672" s="6" t="s">
        <v>99</v>
      </c>
      <c r="N1672" s="6" t="s">
        <v>99</v>
      </c>
      <c r="O1672" s="6" t="s">
        <v>99</v>
      </c>
      <c r="P1672" s="6" t="s">
        <v>99</v>
      </c>
      <c r="Q1672" s="6"/>
    </row>
    <row r="1673" spans="1:17" s="5" customFormat="1" x14ac:dyDescent="0.3">
      <c r="A1673" s="6" t="s">
        <v>49</v>
      </c>
      <c r="B1673" s="6" t="s">
        <v>210</v>
      </c>
      <c r="C1673" s="6">
        <v>28</v>
      </c>
      <c r="D1673" s="6" t="s">
        <v>128</v>
      </c>
      <c r="E1673" s="6" t="s">
        <v>99</v>
      </c>
      <c r="F1673" s="6" t="s">
        <v>99</v>
      </c>
      <c r="G1673" s="6" t="s">
        <v>132</v>
      </c>
      <c r="H1673" s="6" t="s">
        <v>498</v>
      </c>
      <c r="I1673" s="6" t="s">
        <v>899</v>
      </c>
      <c r="J1673" s="6" t="s">
        <v>99</v>
      </c>
      <c r="K1673" s="6" t="s">
        <v>99</v>
      </c>
      <c r="L1673" s="6" t="s">
        <v>99</v>
      </c>
      <c r="M1673" s="6" t="s">
        <v>99</v>
      </c>
      <c r="N1673" s="6" t="s">
        <v>99</v>
      </c>
      <c r="O1673" s="6" t="s">
        <v>99</v>
      </c>
      <c r="P1673" s="6" t="s">
        <v>99</v>
      </c>
      <c r="Q1673" s="6"/>
    </row>
    <row r="1674" spans="1:17" x14ac:dyDescent="0.3">
      <c r="A1674" s="2" t="s">
        <v>49</v>
      </c>
      <c r="B1674" s="2" t="s">
        <v>212</v>
      </c>
      <c r="C1674" s="2">
        <v>81</v>
      </c>
      <c r="D1674" s="2" t="s">
        <v>536</v>
      </c>
      <c r="E1674" s="2" t="s">
        <v>416</v>
      </c>
      <c r="F1674" s="2" t="s">
        <v>108</v>
      </c>
      <c r="G1674" s="2" t="s">
        <v>117</v>
      </c>
      <c r="H1674" s="2" t="s">
        <v>503</v>
      </c>
      <c r="I1674" s="2" t="s">
        <v>457</v>
      </c>
      <c r="J1674" s="2" t="s">
        <v>677</v>
      </c>
      <c r="K1674" s="2" t="s">
        <v>109</v>
      </c>
      <c r="L1674" s="2" t="s">
        <v>99</v>
      </c>
      <c r="M1674" s="2" t="s">
        <v>99</v>
      </c>
      <c r="N1674" s="2" t="s">
        <v>207</v>
      </c>
      <c r="O1674" s="2" t="s">
        <v>99</v>
      </c>
      <c r="P1674" s="2" t="s">
        <v>132</v>
      </c>
      <c r="Q1674" s="2"/>
    </row>
    <row r="1675" spans="1:17" x14ac:dyDescent="0.3">
      <c r="A1675" s="2" t="s">
        <v>49</v>
      </c>
      <c r="B1675" s="2" t="s">
        <v>216</v>
      </c>
      <c r="C1675" s="2">
        <v>44</v>
      </c>
      <c r="D1675" s="2" t="s">
        <v>1059</v>
      </c>
      <c r="E1675" s="2" t="s">
        <v>101</v>
      </c>
      <c r="F1675" s="2" t="s">
        <v>99</v>
      </c>
      <c r="G1675" s="2" t="s">
        <v>99</v>
      </c>
      <c r="H1675" s="2" t="s">
        <v>456</v>
      </c>
      <c r="I1675" s="2" t="s">
        <v>197</v>
      </c>
      <c r="J1675" s="2" t="s">
        <v>207</v>
      </c>
      <c r="K1675" s="2" t="s">
        <v>128</v>
      </c>
      <c r="L1675" s="2" t="s">
        <v>393</v>
      </c>
      <c r="M1675" s="2" t="s">
        <v>332</v>
      </c>
      <c r="N1675" s="2" t="s">
        <v>99</v>
      </c>
      <c r="O1675" s="2" t="s">
        <v>151</v>
      </c>
      <c r="P1675" s="2" t="s">
        <v>99</v>
      </c>
      <c r="Q1675" s="2"/>
    </row>
    <row r="1676" spans="1:17" x14ac:dyDescent="0.3">
      <c r="A1676" s="2"/>
      <c r="B1676" s="2"/>
      <c r="C1676" s="2"/>
      <c r="D1676" s="2"/>
      <c r="E1676" s="2"/>
      <c r="F1676" s="2"/>
      <c r="G1676" s="2"/>
      <c r="H1676" s="2"/>
      <c r="I1676" s="2"/>
      <c r="J1676" s="2"/>
      <c r="K1676" s="2"/>
      <c r="L1676" s="2"/>
      <c r="M1676" s="2"/>
      <c r="N1676" s="2"/>
      <c r="O1676" s="2"/>
      <c r="P1676" s="2"/>
      <c r="Q1676" s="2"/>
    </row>
    <row r="1677" spans="1:17" x14ac:dyDescent="0.3">
      <c r="A1677" s="2" t="s">
        <v>28</v>
      </c>
      <c r="B1677" s="2"/>
      <c r="C1677" s="2"/>
      <c r="D1677" s="2"/>
      <c r="E1677" s="2"/>
      <c r="F1677" s="2"/>
      <c r="G1677" s="2"/>
      <c r="H1677" s="2"/>
      <c r="I1677" s="2"/>
      <c r="J1677" s="2"/>
      <c r="K1677" s="2"/>
      <c r="L1677" s="2"/>
      <c r="M1677" s="2"/>
      <c r="N1677" s="2"/>
      <c r="O1677" s="2"/>
      <c r="P1677" s="2"/>
      <c r="Q1677" s="2"/>
    </row>
    <row r="1678" spans="1:17" x14ac:dyDescent="0.3">
      <c r="A1678" s="2" t="s">
        <v>44</v>
      </c>
      <c r="B1678" s="2" t="s">
        <v>388</v>
      </c>
      <c r="C1678" s="2" t="s">
        <v>32</v>
      </c>
      <c r="D1678" s="2" t="s">
        <v>1033</v>
      </c>
      <c r="E1678" s="2" t="s">
        <v>1032</v>
      </c>
      <c r="F1678" s="2" t="s">
        <v>1034</v>
      </c>
      <c r="G1678" s="2" t="s">
        <v>1031</v>
      </c>
      <c r="H1678" s="2" t="s">
        <v>1035</v>
      </c>
      <c r="I1678" s="2" t="s">
        <v>1036</v>
      </c>
      <c r="J1678" s="2" t="s">
        <v>1037</v>
      </c>
      <c r="K1678" s="2" t="s">
        <v>1038</v>
      </c>
      <c r="L1678" s="2" t="s">
        <v>83</v>
      </c>
      <c r="M1678" s="2" t="s">
        <v>1039</v>
      </c>
      <c r="N1678" s="2" t="s">
        <v>1040</v>
      </c>
      <c r="O1678" s="2" t="s">
        <v>1041</v>
      </c>
      <c r="P1678" s="2" t="s">
        <v>1042</v>
      </c>
      <c r="Q1678" s="2"/>
    </row>
    <row r="1679" spans="1:17" s="5" customFormat="1" x14ac:dyDescent="0.3">
      <c r="A1679" s="6" t="s">
        <v>35</v>
      </c>
      <c r="B1679" s="6" t="s">
        <v>389</v>
      </c>
      <c r="C1679" s="6">
        <v>29</v>
      </c>
      <c r="D1679" s="6" t="s">
        <v>734</v>
      </c>
      <c r="E1679" s="6" t="s">
        <v>99</v>
      </c>
      <c r="F1679" s="6" t="s">
        <v>99</v>
      </c>
      <c r="G1679" s="6" t="s">
        <v>321</v>
      </c>
      <c r="H1679" s="6" t="s">
        <v>747</v>
      </c>
      <c r="I1679" s="6" t="s">
        <v>680</v>
      </c>
      <c r="J1679" s="6" t="s">
        <v>99</v>
      </c>
      <c r="K1679" s="6" t="s">
        <v>321</v>
      </c>
      <c r="L1679" s="6" t="s">
        <v>107</v>
      </c>
      <c r="M1679" s="6" t="s">
        <v>321</v>
      </c>
      <c r="N1679" s="6" t="s">
        <v>99</v>
      </c>
      <c r="O1679" s="6" t="s">
        <v>99</v>
      </c>
      <c r="P1679" s="6" t="s">
        <v>99</v>
      </c>
      <c r="Q1679" s="6"/>
    </row>
    <row r="1680" spans="1:17" s="5" customFormat="1" x14ac:dyDescent="0.3">
      <c r="A1680" s="6" t="s">
        <v>35</v>
      </c>
      <c r="B1680" s="6" t="s">
        <v>390</v>
      </c>
      <c r="C1680" s="6">
        <v>8</v>
      </c>
      <c r="D1680" s="6" t="s">
        <v>1061</v>
      </c>
      <c r="E1680" s="6" t="s">
        <v>99</v>
      </c>
      <c r="F1680" s="6" t="s">
        <v>99</v>
      </c>
      <c r="G1680" s="6" t="s">
        <v>99</v>
      </c>
      <c r="H1680" s="6" t="s">
        <v>1062</v>
      </c>
      <c r="I1680" s="6" t="s">
        <v>99</v>
      </c>
      <c r="J1680" s="6" t="s">
        <v>99</v>
      </c>
      <c r="K1680" s="6" t="s">
        <v>99</v>
      </c>
      <c r="L1680" s="6" t="s">
        <v>99</v>
      </c>
      <c r="M1680" s="6" t="s">
        <v>231</v>
      </c>
      <c r="N1680" s="6" t="s">
        <v>99</v>
      </c>
      <c r="O1680" s="6" t="s">
        <v>99</v>
      </c>
      <c r="P1680" s="6" t="s">
        <v>99</v>
      </c>
      <c r="Q1680" s="6"/>
    </row>
    <row r="1681" spans="1:17" x14ac:dyDescent="0.3">
      <c r="A1681" s="2" t="s">
        <v>35</v>
      </c>
      <c r="B1681" s="2" t="s">
        <v>365</v>
      </c>
      <c r="C1681" s="2">
        <v>2</v>
      </c>
      <c r="D1681" s="2" t="s">
        <v>99</v>
      </c>
      <c r="E1681" s="2" t="s">
        <v>99</v>
      </c>
      <c r="F1681" s="2" t="s">
        <v>99</v>
      </c>
      <c r="G1681" s="2" t="s">
        <v>99</v>
      </c>
      <c r="H1681" s="2" t="s">
        <v>99</v>
      </c>
      <c r="I1681" s="2" t="s">
        <v>211</v>
      </c>
      <c r="J1681" s="2" t="s">
        <v>99</v>
      </c>
      <c r="K1681" s="2" t="s">
        <v>99</v>
      </c>
      <c r="L1681" s="2" t="s">
        <v>99</v>
      </c>
      <c r="M1681" s="2" t="s">
        <v>99</v>
      </c>
      <c r="N1681" s="2" t="s">
        <v>99</v>
      </c>
      <c r="O1681" s="2" t="s">
        <v>99</v>
      </c>
      <c r="P1681" s="2" t="s">
        <v>99</v>
      </c>
      <c r="Q1681" s="2"/>
    </row>
    <row r="1682" spans="1:17" s="5" customFormat="1" x14ac:dyDescent="0.3">
      <c r="A1682" s="6" t="s">
        <v>37</v>
      </c>
      <c r="B1682" s="6" t="s">
        <v>389</v>
      </c>
      <c r="C1682" s="6">
        <v>6</v>
      </c>
      <c r="D1682" s="6" t="s">
        <v>962</v>
      </c>
      <c r="E1682" s="6" t="s">
        <v>99</v>
      </c>
      <c r="F1682" s="6" t="s">
        <v>99</v>
      </c>
      <c r="G1682" s="6" t="s">
        <v>197</v>
      </c>
      <c r="H1682" s="6" t="s">
        <v>420</v>
      </c>
      <c r="I1682" s="6" t="s">
        <v>99</v>
      </c>
      <c r="J1682" s="6" t="s">
        <v>99</v>
      </c>
      <c r="K1682" s="6" t="s">
        <v>99</v>
      </c>
      <c r="L1682" s="6" t="s">
        <v>99</v>
      </c>
      <c r="M1682" s="6" t="s">
        <v>99</v>
      </c>
      <c r="N1682" s="6" t="s">
        <v>99</v>
      </c>
      <c r="O1682" s="6" t="s">
        <v>99</v>
      </c>
      <c r="P1682" s="6" t="s">
        <v>220</v>
      </c>
      <c r="Q1682" s="6"/>
    </row>
    <row r="1683" spans="1:17" s="5" customFormat="1" x14ac:dyDescent="0.3">
      <c r="A1683" s="6" t="s">
        <v>37</v>
      </c>
      <c r="B1683" s="6" t="s">
        <v>390</v>
      </c>
      <c r="C1683" s="6">
        <v>3</v>
      </c>
      <c r="D1683" s="6" t="s">
        <v>99</v>
      </c>
      <c r="E1683" s="6" t="s">
        <v>99</v>
      </c>
      <c r="F1683" s="6" t="s">
        <v>99</v>
      </c>
      <c r="G1683" s="6" t="s">
        <v>99</v>
      </c>
      <c r="H1683" s="6" t="s">
        <v>1063</v>
      </c>
      <c r="I1683" s="6" t="s">
        <v>99</v>
      </c>
      <c r="J1683" s="6" t="s">
        <v>1048</v>
      </c>
      <c r="K1683" s="6" t="s">
        <v>99</v>
      </c>
      <c r="L1683" s="6" t="s">
        <v>99</v>
      </c>
      <c r="M1683" s="6" t="s">
        <v>99</v>
      </c>
      <c r="N1683" s="6" t="s">
        <v>99</v>
      </c>
      <c r="O1683" s="6" t="s">
        <v>99</v>
      </c>
      <c r="P1683" s="6" t="s">
        <v>99</v>
      </c>
      <c r="Q1683" s="6"/>
    </row>
    <row r="1684" spans="1:17" x14ac:dyDescent="0.3">
      <c r="A1684" s="2" t="s">
        <v>37</v>
      </c>
      <c r="B1684" s="2" t="s">
        <v>365</v>
      </c>
      <c r="C1684" s="2">
        <v>3</v>
      </c>
      <c r="D1684" s="2" t="s">
        <v>99</v>
      </c>
      <c r="E1684" s="2" t="s">
        <v>99</v>
      </c>
      <c r="F1684" s="2" t="s">
        <v>99</v>
      </c>
      <c r="G1684" s="2" t="s">
        <v>99</v>
      </c>
      <c r="H1684" s="2" t="s">
        <v>99</v>
      </c>
      <c r="I1684" s="2" t="s">
        <v>211</v>
      </c>
      <c r="J1684" s="2" t="s">
        <v>99</v>
      </c>
      <c r="K1684" s="2" t="s">
        <v>99</v>
      </c>
      <c r="L1684" s="2" t="s">
        <v>99</v>
      </c>
      <c r="M1684" s="2" t="s">
        <v>99</v>
      </c>
      <c r="N1684" s="2" t="s">
        <v>99</v>
      </c>
      <c r="O1684" s="2" t="s">
        <v>99</v>
      </c>
      <c r="P1684" s="2" t="s">
        <v>99</v>
      </c>
      <c r="Q1684" s="2"/>
    </row>
    <row r="1685" spans="1:17" x14ac:dyDescent="0.3">
      <c r="A1685" s="2" t="s">
        <v>36</v>
      </c>
      <c r="B1685" s="2" t="s">
        <v>389</v>
      </c>
      <c r="C1685" s="2">
        <v>36</v>
      </c>
      <c r="D1685" s="2" t="s">
        <v>316</v>
      </c>
      <c r="E1685" s="2" t="s">
        <v>99</v>
      </c>
      <c r="F1685" s="2" t="s">
        <v>122</v>
      </c>
      <c r="G1685" s="2" t="s">
        <v>678</v>
      </c>
      <c r="H1685" s="2" t="s">
        <v>696</v>
      </c>
      <c r="I1685" s="2" t="s">
        <v>604</v>
      </c>
      <c r="J1685" s="2" t="s">
        <v>132</v>
      </c>
      <c r="K1685" s="2" t="s">
        <v>99</v>
      </c>
      <c r="L1685" s="2" t="s">
        <v>99</v>
      </c>
      <c r="M1685" s="2" t="s">
        <v>141</v>
      </c>
      <c r="N1685" s="2" t="s">
        <v>98</v>
      </c>
      <c r="O1685" s="2" t="s">
        <v>99</v>
      </c>
      <c r="P1685" s="2" t="s">
        <v>99</v>
      </c>
      <c r="Q1685" s="2"/>
    </row>
    <row r="1686" spans="1:17" s="5" customFormat="1" x14ac:dyDescent="0.3">
      <c r="A1686" s="6" t="s">
        <v>36</v>
      </c>
      <c r="B1686" s="6" t="s">
        <v>390</v>
      </c>
      <c r="C1686" s="6">
        <v>16</v>
      </c>
      <c r="D1686" s="6" t="s">
        <v>99</v>
      </c>
      <c r="E1686" s="6" t="s">
        <v>99</v>
      </c>
      <c r="F1686" s="6" t="s">
        <v>99</v>
      </c>
      <c r="G1686" s="6" t="s">
        <v>99</v>
      </c>
      <c r="H1686" s="6" t="s">
        <v>680</v>
      </c>
      <c r="I1686" s="6" t="s">
        <v>1064</v>
      </c>
      <c r="J1686" s="6" t="s">
        <v>99</v>
      </c>
      <c r="K1686" s="6" t="s">
        <v>99</v>
      </c>
      <c r="L1686" s="6" t="s">
        <v>99</v>
      </c>
      <c r="M1686" s="6" t="s">
        <v>99</v>
      </c>
      <c r="N1686" s="6" t="s">
        <v>99</v>
      </c>
      <c r="O1686" s="6" t="s">
        <v>287</v>
      </c>
      <c r="P1686" s="6" t="s">
        <v>99</v>
      </c>
      <c r="Q1686" s="6"/>
    </row>
    <row r="1687" spans="1:17" x14ac:dyDescent="0.3">
      <c r="A1687" s="2" t="s">
        <v>36</v>
      </c>
      <c r="B1687" s="2" t="s">
        <v>365</v>
      </c>
      <c r="C1687" s="2">
        <v>5</v>
      </c>
      <c r="D1687" s="2" t="s">
        <v>99</v>
      </c>
      <c r="E1687" s="2" t="s">
        <v>99</v>
      </c>
      <c r="F1687" s="2" t="s">
        <v>933</v>
      </c>
      <c r="G1687" s="2" t="s">
        <v>99</v>
      </c>
      <c r="H1687" s="2" t="s">
        <v>1065</v>
      </c>
      <c r="I1687" s="2" t="s">
        <v>369</v>
      </c>
      <c r="J1687" s="2" t="s">
        <v>99</v>
      </c>
      <c r="K1687" s="2" t="s">
        <v>99</v>
      </c>
      <c r="L1687" s="2" t="s">
        <v>99</v>
      </c>
      <c r="M1687" s="2" t="s">
        <v>99</v>
      </c>
      <c r="N1687" s="2" t="s">
        <v>99</v>
      </c>
      <c r="O1687" s="2" t="s">
        <v>99</v>
      </c>
      <c r="P1687" s="2" t="s">
        <v>99</v>
      </c>
      <c r="Q1687" s="2"/>
    </row>
    <row r="1688" spans="1:17" s="5" customFormat="1" x14ac:dyDescent="0.3">
      <c r="A1688" s="6" t="s">
        <v>34</v>
      </c>
      <c r="B1688" s="6" t="s">
        <v>389</v>
      </c>
      <c r="C1688" s="6">
        <v>27</v>
      </c>
      <c r="D1688" s="6" t="s">
        <v>123</v>
      </c>
      <c r="E1688" s="6" t="s">
        <v>99</v>
      </c>
      <c r="F1688" s="6" t="s">
        <v>99</v>
      </c>
      <c r="G1688" s="6" t="s">
        <v>99</v>
      </c>
      <c r="H1688" s="6" t="s">
        <v>909</v>
      </c>
      <c r="I1688" s="6" t="s">
        <v>519</v>
      </c>
      <c r="J1688" s="6" t="s">
        <v>309</v>
      </c>
      <c r="K1688" s="6" t="s">
        <v>99</v>
      </c>
      <c r="L1688" s="6" t="s">
        <v>99</v>
      </c>
      <c r="M1688" s="6" t="s">
        <v>99</v>
      </c>
      <c r="N1688" s="6" t="s">
        <v>99</v>
      </c>
      <c r="O1688" s="6" t="s">
        <v>99</v>
      </c>
      <c r="P1688" s="6" t="s">
        <v>99</v>
      </c>
      <c r="Q1688" s="6"/>
    </row>
    <row r="1689" spans="1:17" s="5" customFormat="1" x14ac:dyDescent="0.3">
      <c r="A1689" s="6" t="s">
        <v>34</v>
      </c>
      <c r="B1689" s="6" t="s">
        <v>390</v>
      </c>
      <c r="C1689" s="6">
        <v>12</v>
      </c>
      <c r="D1689" s="6" t="s">
        <v>1008</v>
      </c>
      <c r="E1689" s="6" t="s">
        <v>99</v>
      </c>
      <c r="F1689" s="6" t="s">
        <v>99</v>
      </c>
      <c r="G1689" s="6" t="s">
        <v>99</v>
      </c>
      <c r="H1689" s="6" t="s">
        <v>667</v>
      </c>
      <c r="I1689" s="6" t="s">
        <v>826</v>
      </c>
      <c r="J1689" s="6" t="s">
        <v>99</v>
      </c>
      <c r="K1689" s="6" t="s">
        <v>99</v>
      </c>
      <c r="L1689" s="6" t="s">
        <v>99</v>
      </c>
      <c r="M1689" s="6" t="s">
        <v>99</v>
      </c>
      <c r="N1689" s="6" t="s">
        <v>99</v>
      </c>
      <c r="O1689" s="6" t="s">
        <v>99</v>
      </c>
      <c r="P1689" s="6" t="s">
        <v>99</v>
      </c>
      <c r="Q1689" s="6"/>
    </row>
    <row r="1690" spans="1:17" x14ac:dyDescent="0.3">
      <c r="A1690" s="2" t="s">
        <v>34</v>
      </c>
      <c r="B1690" s="2" t="s">
        <v>365</v>
      </c>
      <c r="C1690" s="2">
        <v>2</v>
      </c>
      <c r="D1690" s="2" t="s">
        <v>99</v>
      </c>
      <c r="E1690" s="2" t="s">
        <v>99</v>
      </c>
      <c r="F1690" s="2" t="s">
        <v>99</v>
      </c>
      <c r="G1690" s="2" t="s">
        <v>99</v>
      </c>
      <c r="H1690" s="2" t="s">
        <v>1066</v>
      </c>
      <c r="I1690" s="2" t="s">
        <v>1067</v>
      </c>
      <c r="J1690" s="2" t="s">
        <v>99</v>
      </c>
      <c r="K1690" s="2" t="s">
        <v>99</v>
      </c>
      <c r="L1690" s="2" t="s">
        <v>99</v>
      </c>
      <c r="M1690" s="2" t="s">
        <v>99</v>
      </c>
      <c r="N1690" s="2" t="s">
        <v>99</v>
      </c>
      <c r="O1690" s="2" t="s">
        <v>99</v>
      </c>
      <c r="P1690" s="2" t="s">
        <v>99</v>
      </c>
      <c r="Q1690" s="2"/>
    </row>
    <row r="1691" spans="1:17" s="5" customFormat="1" x14ac:dyDescent="0.3">
      <c r="A1691" s="6" t="s">
        <v>33</v>
      </c>
      <c r="B1691" s="6" t="s">
        <v>389</v>
      </c>
      <c r="C1691" s="6">
        <v>1</v>
      </c>
      <c r="D1691" s="6" t="s">
        <v>211</v>
      </c>
      <c r="E1691" s="6" t="s">
        <v>99</v>
      </c>
      <c r="F1691" s="6" t="s">
        <v>99</v>
      </c>
      <c r="G1691" s="6" t="s">
        <v>99</v>
      </c>
      <c r="H1691" s="6" t="s">
        <v>99</v>
      </c>
      <c r="I1691" s="6" t="s">
        <v>99</v>
      </c>
      <c r="J1691" s="6" t="s">
        <v>99</v>
      </c>
      <c r="K1691" s="6" t="s">
        <v>99</v>
      </c>
      <c r="L1691" s="6" t="s">
        <v>99</v>
      </c>
      <c r="M1691" s="6" t="s">
        <v>99</v>
      </c>
      <c r="N1691" s="6" t="s">
        <v>99</v>
      </c>
      <c r="O1691" s="6" t="s">
        <v>99</v>
      </c>
      <c r="P1691" s="6" t="s">
        <v>99</v>
      </c>
      <c r="Q1691" s="6"/>
    </row>
    <row r="1692" spans="1:17" s="5" customFormat="1" x14ac:dyDescent="0.3">
      <c r="A1692" s="6" t="s">
        <v>33</v>
      </c>
      <c r="B1692" s="6" t="s">
        <v>390</v>
      </c>
      <c r="C1692" s="6">
        <v>2</v>
      </c>
      <c r="D1692" s="6" t="s">
        <v>99</v>
      </c>
      <c r="E1692" s="6" t="s">
        <v>653</v>
      </c>
      <c r="F1692" s="6" t="s">
        <v>573</v>
      </c>
      <c r="G1692" s="6" t="s">
        <v>99</v>
      </c>
      <c r="H1692" s="6" t="s">
        <v>99</v>
      </c>
      <c r="I1692" s="6" t="s">
        <v>99</v>
      </c>
      <c r="J1692" s="6" t="s">
        <v>99</v>
      </c>
      <c r="K1692" s="6" t="s">
        <v>99</v>
      </c>
      <c r="L1692" s="6" t="s">
        <v>99</v>
      </c>
      <c r="M1692" s="6" t="s">
        <v>99</v>
      </c>
      <c r="N1692" s="6" t="s">
        <v>99</v>
      </c>
      <c r="O1692" s="6" t="s">
        <v>99</v>
      </c>
      <c r="P1692" s="6" t="s">
        <v>99</v>
      </c>
      <c r="Q1692" s="6"/>
    </row>
    <row r="1693" spans="1:17" x14ac:dyDescent="0.3">
      <c r="A1693" s="2" t="s">
        <v>33</v>
      </c>
      <c r="B1693" s="2" t="s">
        <v>365</v>
      </c>
      <c r="C1693" s="2">
        <v>1</v>
      </c>
      <c r="D1693" s="2" t="s">
        <v>99</v>
      </c>
      <c r="E1693" s="2" t="s">
        <v>99</v>
      </c>
      <c r="F1693" s="2" t="s">
        <v>99</v>
      </c>
      <c r="G1693" s="2" t="s">
        <v>211</v>
      </c>
      <c r="H1693" s="2" t="s">
        <v>99</v>
      </c>
      <c r="I1693" s="2" t="s">
        <v>99</v>
      </c>
      <c r="J1693" s="2" t="s">
        <v>99</v>
      </c>
      <c r="K1693" s="2" t="s">
        <v>99</v>
      </c>
      <c r="L1693" s="2" t="s">
        <v>99</v>
      </c>
      <c r="M1693" s="2" t="s">
        <v>99</v>
      </c>
      <c r="N1693" s="2" t="s">
        <v>99</v>
      </c>
      <c r="O1693" s="2" t="s">
        <v>99</v>
      </c>
      <c r="P1693" s="2" t="s">
        <v>99</v>
      </c>
      <c r="Q1693" s="2"/>
    </row>
    <row r="1694" spans="1:17" x14ac:dyDescent="0.3">
      <c r="A1694" s="2" t="s">
        <v>49</v>
      </c>
      <c r="B1694" s="2" t="s">
        <v>389</v>
      </c>
      <c r="C1694" s="2">
        <v>99</v>
      </c>
      <c r="D1694" s="2" t="s">
        <v>355</v>
      </c>
      <c r="E1694" s="2" t="s">
        <v>99</v>
      </c>
      <c r="F1694" s="2" t="s">
        <v>108</v>
      </c>
      <c r="G1694" s="2" t="s">
        <v>113</v>
      </c>
      <c r="H1694" s="2" t="s">
        <v>662</v>
      </c>
      <c r="I1694" s="2" t="s">
        <v>131</v>
      </c>
      <c r="J1694" s="2" t="s">
        <v>671</v>
      </c>
      <c r="K1694" s="2" t="s">
        <v>412</v>
      </c>
      <c r="L1694" s="2" t="s">
        <v>100</v>
      </c>
      <c r="M1694" s="2" t="s">
        <v>277</v>
      </c>
      <c r="N1694" s="2" t="s">
        <v>253</v>
      </c>
      <c r="O1694" s="2" t="s">
        <v>99</v>
      </c>
      <c r="P1694" s="2" t="s">
        <v>253</v>
      </c>
      <c r="Q1694" s="2"/>
    </row>
    <row r="1695" spans="1:17" x14ac:dyDescent="0.3">
      <c r="A1695" s="2" t="s">
        <v>49</v>
      </c>
      <c r="B1695" s="2" t="s">
        <v>390</v>
      </c>
      <c r="C1695" s="2">
        <v>41</v>
      </c>
      <c r="D1695" s="2" t="s">
        <v>517</v>
      </c>
      <c r="E1695" s="2" t="s">
        <v>117</v>
      </c>
      <c r="F1695" s="2" t="s">
        <v>105</v>
      </c>
      <c r="G1695" s="2" t="s">
        <v>99</v>
      </c>
      <c r="H1695" s="2" t="s">
        <v>525</v>
      </c>
      <c r="I1695" s="2" t="s">
        <v>650</v>
      </c>
      <c r="J1695" s="2" t="s">
        <v>215</v>
      </c>
      <c r="K1695" s="2" t="s">
        <v>99</v>
      </c>
      <c r="L1695" s="2" t="s">
        <v>99</v>
      </c>
      <c r="M1695" s="2" t="s">
        <v>120</v>
      </c>
      <c r="N1695" s="2" t="s">
        <v>99</v>
      </c>
      <c r="O1695" s="2" t="s">
        <v>108</v>
      </c>
      <c r="P1695" s="2" t="s">
        <v>99</v>
      </c>
      <c r="Q1695" s="2"/>
    </row>
    <row r="1696" spans="1:17" x14ac:dyDescent="0.3">
      <c r="A1696" s="2" t="s">
        <v>49</v>
      </c>
      <c r="B1696" s="2" t="s">
        <v>365</v>
      </c>
      <c r="C1696" s="2">
        <v>13</v>
      </c>
      <c r="D1696" s="2" t="s">
        <v>99</v>
      </c>
      <c r="E1696" s="2" t="s">
        <v>99</v>
      </c>
      <c r="F1696" s="2" t="s">
        <v>68</v>
      </c>
      <c r="G1696" s="2" t="s">
        <v>318</v>
      </c>
      <c r="H1696" s="2" t="s">
        <v>702</v>
      </c>
      <c r="I1696" s="2" t="s">
        <v>573</v>
      </c>
      <c r="J1696" s="2" t="s">
        <v>99</v>
      </c>
      <c r="K1696" s="2" t="s">
        <v>99</v>
      </c>
      <c r="L1696" s="2" t="s">
        <v>99</v>
      </c>
      <c r="M1696" s="2" t="s">
        <v>99</v>
      </c>
      <c r="N1696" s="2" t="s">
        <v>99</v>
      </c>
      <c r="O1696" s="2" t="s">
        <v>99</v>
      </c>
      <c r="P1696" s="2" t="s">
        <v>99</v>
      </c>
      <c r="Q1696" s="2"/>
    </row>
    <row r="1697" spans="1:17" x14ac:dyDescent="0.3">
      <c r="A1697" s="2"/>
      <c r="B1697" s="2"/>
      <c r="C1697" s="2"/>
      <c r="D1697" s="2"/>
      <c r="E1697" s="2"/>
      <c r="F1697" s="2"/>
      <c r="G1697" s="2"/>
      <c r="H1697" s="2"/>
      <c r="I1697" s="2"/>
      <c r="J1697" s="2"/>
      <c r="K1697" s="2"/>
      <c r="L1697" s="2"/>
      <c r="M1697" s="2"/>
      <c r="N1697" s="2"/>
      <c r="O1697" s="2"/>
      <c r="P1697" s="2"/>
      <c r="Q1697" s="2"/>
    </row>
    <row r="1698" spans="1:17" x14ac:dyDescent="0.3">
      <c r="A1698" s="2" t="s">
        <v>29</v>
      </c>
      <c r="B1698" s="2"/>
      <c r="C1698" s="2"/>
      <c r="D1698" s="2"/>
      <c r="E1698" s="2"/>
      <c r="F1698" s="2"/>
      <c r="G1698" s="2"/>
      <c r="H1698" s="2"/>
      <c r="I1698" s="2"/>
      <c r="J1698" s="2"/>
      <c r="K1698" s="2"/>
      <c r="L1698" s="2"/>
      <c r="M1698" s="2"/>
      <c r="N1698" s="2"/>
      <c r="O1698" s="2"/>
      <c r="P1698" s="2"/>
      <c r="Q1698" s="2"/>
    </row>
    <row r="1699" spans="1:17" x14ac:dyDescent="0.3">
      <c r="A1699" s="2" t="s">
        <v>44</v>
      </c>
      <c r="B1699" s="2" t="s">
        <v>879</v>
      </c>
      <c r="C1699" s="2" t="s">
        <v>32</v>
      </c>
      <c r="D1699" s="2" t="s">
        <v>1033</v>
      </c>
      <c r="E1699" s="2" t="s">
        <v>1031</v>
      </c>
      <c r="F1699" s="2" t="s">
        <v>1032</v>
      </c>
      <c r="G1699" s="2" t="s">
        <v>1034</v>
      </c>
      <c r="H1699" s="2" t="s">
        <v>1035</v>
      </c>
      <c r="I1699" s="2" t="s">
        <v>1036</v>
      </c>
      <c r="J1699" s="2" t="s">
        <v>1037</v>
      </c>
      <c r="K1699" s="2" t="s">
        <v>1038</v>
      </c>
      <c r="L1699" s="2" t="s">
        <v>83</v>
      </c>
      <c r="M1699" s="2" t="s">
        <v>1039</v>
      </c>
      <c r="N1699" s="2" t="s">
        <v>1040</v>
      </c>
      <c r="O1699" s="2" t="s">
        <v>1041</v>
      </c>
      <c r="P1699" s="2" t="s">
        <v>1042</v>
      </c>
      <c r="Q1699" s="2"/>
    </row>
    <row r="1700" spans="1:17" s="5" customFormat="1" x14ac:dyDescent="0.3">
      <c r="A1700" s="6" t="s">
        <v>35</v>
      </c>
      <c r="B1700" s="6" t="s">
        <v>881</v>
      </c>
      <c r="C1700" s="6">
        <v>6</v>
      </c>
      <c r="D1700" s="6" t="s">
        <v>99</v>
      </c>
      <c r="E1700" s="6" t="s">
        <v>603</v>
      </c>
      <c r="F1700" s="6" t="s">
        <v>99</v>
      </c>
      <c r="G1700" s="6" t="s">
        <v>99</v>
      </c>
      <c r="H1700" s="6" t="s">
        <v>943</v>
      </c>
      <c r="I1700" s="6" t="s">
        <v>99</v>
      </c>
      <c r="J1700" s="6" t="s">
        <v>99</v>
      </c>
      <c r="K1700" s="6" t="s">
        <v>99</v>
      </c>
      <c r="L1700" s="6" t="s">
        <v>99</v>
      </c>
      <c r="M1700" s="6" t="s">
        <v>99</v>
      </c>
      <c r="N1700" s="6" t="s">
        <v>99</v>
      </c>
      <c r="O1700" s="6" t="s">
        <v>99</v>
      </c>
      <c r="P1700" s="6" t="s">
        <v>99</v>
      </c>
      <c r="Q1700" s="6"/>
    </row>
    <row r="1701" spans="1:17" x14ac:dyDescent="0.3">
      <c r="A1701" s="2" t="s">
        <v>35</v>
      </c>
      <c r="B1701" s="2" t="s">
        <v>882</v>
      </c>
      <c r="C1701" s="2">
        <v>33</v>
      </c>
      <c r="D1701" s="2" t="s">
        <v>810</v>
      </c>
      <c r="E1701" s="2" t="s">
        <v>99</v>
      </c>
      <c r="F1701" s="2" t="s">
        <v>99</v>
      </c>
      <c r="G1701" s="2" t="s">
        <v>99</v>
      </c>
      <c r="H1701" s="2" t="s">
        <v>536</v>
      </c>
      <c r="I1701" s="2" t="s">
        <v>231</v>
      </c>
      <c r="J1701" s="2" t="s">
        <v>99</v>
      </c>
      <c r="K1701" s="2" t="s">
        <v>173</v>
      </c>
      <c r="L1701" s="2" t="s">
        <v>155</v>
      </c>
      <c r="M1701" s="2" t="s">
        <v>432</v>
      </c>
      <c r="N1701" s="2" t="s">
        <v>99</v>
      </c>
      <c r="O1701" s="2" t="s">
        <v>99</v>
      </c>
      <c r="P1701" s="2" t="s">
        <v>99</v>
      </c>
      <c r="Q1701" s="2"/>
    </row>
    <row r="1702" spans="1:17" s="5" customFormat="1" x14ac:dyDescent="0.3">
      <c r="A1702" s="6" t="s">
        <v>37</v>
      </c>
      <c r="B1702" s="6" t="s">
        <v>881</v>
      </c>
      <c r="C1702" s="6">
        <v>2</v>
      </c>
      <c r="D1702" s="6" t="s">
        <v>99</v>
      </c>
      <c r="E1702" s="6" t="s">
        <v>99</v>
      </c>
      <c r="F1702" s="6" t="s">
        <v>99</v>
      </c>
      <c r="G1702" s="6" t="s">
        <v>99</v>
      </c>
      <c r="H1702" s="6" t="s">
        <v>211</v>
      </c>
      <c r="I1702" s="6" t="s">
        <v>99</v>
      </c>
      <c r="J1702" s="6" t="s">
        <v>99</v>
      </c>
      <c r="K1702" s="6" t="s">
        <v>99</v>
      </c>
      <c r="L1702" s="6" t="s">
        <v>99</v>
      </c>
      <c r="M1702" s="6" t="s">
        <v>99</v>
      </c>
      <c r="N1702" s="6" t="s">
        <v>99</v>
      </c>
      <c r="O1702" s="6" t="s">
        <v>99</v>
      </c>
      <c r="P1702" s="6" t="s">
        <v>99</v>
      </c>
      <c r="Q1702" s="6"/>
    </row>
    <row r="1703" spans="1:17" s="5" customFormat="1" x14ac:dyDescent="0.3">
      <c r="A1703" s="6" t="s">
        <v>37</v>
      </c>
      <c r="B1703" s="6" t="s">
        <v>882</v>
      </c>
      <c r="C1703" s="6">
        <v>10</v>
      </c>
      <c r="D1703" s="6" t="s">
        <v>823</v>
      </c>
      <c r="E1703" s="6" t="s">
        <v>201</v>
      </c>
      <c r="F1703" s="6" t="s">
        <v>99</v>
      </c>
      <c r="G1703" s="6" t="s">
        <v>99</v>
      </c>
      <c r="H1703" s="6" t="s">
        <v>74</v>
      </c>
      <c r="I1703" s="6" t="s">
        <v>802</v>
      </c>
      <c r="J1703" s="6" t="s">
        <v>204</v>
      </c>
      <c r="K1703" s="6" t="s">
        <v>99</v>
      </c>
      <c r="L1703" s="6" t="s">
        <v>99</v>
      </c>
      <c r="M1703" s="6" t="s">
        <v>99</v>
      </c>
      <c r="N1703" s="6" t="s">
        <v>99</v>
      </c>
      <c r="O1703" s="6" t="s">
        <v>99</v>
      </c>
      <c r="P1703" s="6" t="s">
        <v>150</v>
      </c>
      <c r="Q1703" s="6"/>
    </row>
    <row r="1704" spans="1:17" s="5" customFormat="1" x14ac:dyDescent="0.3">
      <c r="A1704" s="6" t="s">
        <v>36</v>
      </c>
      <c r="B1704" s="6" t="s">
        <v>881</v>
      </c>
      <c r="C1704" s="6">
        <v>13</v>
      </c>
      <c r="D1704" s="6" t="s">
        <v>215</v>
      </c>
      <c r="E1704" s="6" t="s">
        <v>827</v>
      </c>
      <c r="F1704" s="6" t="s">
        <v>99</v>
      </c>
      <c r="G1704" s="6" t="s">
        <v>99</v>
      </c>
      <c r="H1704" s="6" t="s">
        <v>296</v>
      </c>
      <c r="I1704" s="6" t="s">
        <v>599</v>
      </c>
      <c r="J1704" s="6" t="s">
        <v>253</v>
      </c>
      <c r="K1704" s="6" t="s">
        <v>99</v>
      </c>
      <c r="L1704" s="6" t="s">
        <v>99</v>
      </c>
      <c r="M1704" s="6" t="s">
        <v>99</v>
      </c>
      <c r="N1704" s="6" t="s">
        <v>99</v>
      </c>
      <c r="O1704" s="6" t="s">
        <v>99</v>
      </c>
      <c r="P1704" s="6" t="s">
        <v>99</v>
      </c>
      <c r="Q1704" s="6"/>
    </row>
    <row r="1705" spans="1:17" x14ac:dyDescent="0.3">
      <c r="A1705" s="2" t="s">
        <v>36</v>
      </c>
      <c r="B1705" s="2" t="s">
        <v>882</v>
      </c>
      <c r="C1705" s="2">
        <v>44</v>
      </c>
      <c r="D1705" s="2" t="s">
        <v>111</v>
      </c>
      <c r="E1705" s="2" t="s">
        <v>99</v>
      </c>
      <c r="F1705" s="2" t="s">
        <v>99</v>
      </c>
      <c r="G1705" s="2" t="s">
        <v>165</v>
      </c>
      <c r="H1705" s="2" t="s">
        <v>816</v>
      </c>
      <c r="I1705" s="2" t="s">
        <v>496</v>
      </c>
      <c r="J1705" s="2" t="s">
        <v>115</v>
      </c>
      <c r="K1705" s="2" t="s">
        <v>99</v>
      </c>
      <c r="L1705" s="2" t="s">
        <v>99</v>
      </c>
      <c r="M1705" s="2" t="s">
        <v>115</v>
      </c>
      <c r="N1705" s="2" t="s">
        <v>675</v>
      </c>
      <c r="O1705" s="2" t="s">
        <v>117</v>
      </c>
      <c r="P1705" s="2" t="s">
        <v>99</v>
      </c>
      <c r="Q1705" s="2"/>
    </row>
    <row r="1706" spans="1:17" s="5" customFormat="1" x14ac:dyDescent="0.3">
      <c r="A1706" s="6" t="s">
        <v>34</v>
      </c>
      <c r="B1706" s="6" t="s">
        <v>881</v>
      </c>
      <c r="C1706" s="6">
        <v>7</v>
      </c>
      <c r="D1706" s="6" t="s">
        <v>99</v>
      </c>
      <c r="E1706" s="6" t="s">
        <v>99</v>
      </c>
      <c r="F1706" s="6" t="s">
        <v>99</v>
      </c>
      <c r="G1706" s="6" t="s">
        <v>99</v>
      </c>
      <c r="H1706" s="6" t="s">
        <v>1068</v>
      </c>
      <c r="I1706" s="6" t="s">
        <v>1069</v>
      </c>
      <c r="J1706" s="6" t="s">
        <v>99</v>
      </c>
      <c r="K1706" s="6" t="s">
        <v>99</v>
      </c>
      <c r="L1706" s="6" t="s">
        <v>99</v>
      </c>
      <c r="M1706" s="6" t="s">
        <v>99</v>
      </c>
      <c r="N1706" s="6" t="s">
        <v>99</v>
      </c>
      <c r="O1706" s="6" t="s">
        <v>99</v>
      </c>
      <c r="P1706" s="6" t="s">
        <v>99</v>
      </c>
      <c r="Q1706" s="6"/>
    </row>
    <row r="1707" spans="1:17" x14ac:dyDescent="0.3">
      <c r="A1707" s="2" t="s">
        <v>34</v>
      </c>
      <c r="B1707" s="2" t="s">
        <v>882</v>
      </c>
      <c r="C1707" s="2">
        <v>34</v>
      </c>
      <c r="D1707" s="2" t="s">
        <v>113</v>
      </c>
      <c r="E1707" s="2" t="s">
        <v>99</v>
      </c>
      <c r="F1707" s="2" t="s">
        <v>99</v>
      </c>
      <c r="G1707" s="2" t="s">
        <v>99</v>
      </c>
      <c r="H1707" s="2" t="s">
        <v>826</v>
      </c>
      <c r="I1707" s="2" t="s">
        <v>626</v>
      </c>
      <c r="J1707" s="2" t="s">
        <v>687</v>
      </c>
      <c r="K1707" s="2" t="s">
        <v>99</v>
      </c>
      <c r="L1707" s="2" t="s">
        <v>99</v>
      </c>
      <c r="M1707" s="2" t="s">
        <v>99</v>
      </c>
      <c r="N1707" s="2" t="s">
        <v>99</v>
      </c>
      <c r="O1707" s="2" t="s">
        <v>99</v>
      </c>
      <c r="P1707" s="2" t="s">
        <v>99</v>
      </c>
      <c r="Q1707" s="2"/>
    </row>
    <row r="1708" spans="1:17" s="5" customFormat="1" x14ac:dyDescent="0.3">
      <c r="A1708" s="6" t="s">
        <v>33</v>
      </c>
      <c r="B1708" s="6" t="s">
        <v>881</v>
      </c>
      <c r="C1708" s="6">
        <v>1</v>
      </c>
      <c r="D1708" s="6" t="s">
        <v>211</v>
      </c>
      <c r="E1708" s="6" t="s">
        <v>99</v>
      </c>
      <c r="F1708" s="6" t="s">
        <v>99</v>
      </c>
      <c r="G1708" s="6" t="s">
        <v>99</v>
      </c>
      <c r="H1708" s="6" t="s">
        <v>99</v>
      </c>
      <c r="I1708" s="6" t="s">
        <v>99</v>
      </c>
      <c r="J1708" s="6" t="s">
        <v>99</v>
      </c>
      <c r="K1708" s="6" t="s">
        <v>99</v>
      </c>
      <c r="L1708" s="6" t="s">
        <v>99</v>
      </c>
      <c r="M1708" s="6" t="s">
        <v>99</v>
      </c>
      <c r="N1708" s="6" t="s">
        <v>99</v>
      </c>
      <c r="O1708" s="6" t="s">
        <v>99</v>
      </c>
      <c r="P1708" s="6" t="s">
        <v>99</v>
      </c>
      <c r="Q1708" s="6"/>
    </row>
    <row r="1709" spans="1:17" s="5" customFormat="1" x14ac:dyDescent="0.3">
      <c r="A1709" s="6" t="s">
        <v>33</v>
      </c>
      <c r="B1709" s="6" t="s">
        <v>882</v>
      </c>
      <c r="C1709" s="6">
        <v>3</v>
      </c>
      <c r="D1709" s="6" t="s">
        <v>99</v>
      </c>
      <c r="E1709" s="6" t="s">
        <v>349</v>
      </c>
      <c r="F1709" s="6" t="s">
        <v>349</v>
      </c>
      <c r="G1709" s="6" t="s">
        <v>817</v>
      </c>
      <c r="H1709" s="6" t="s">
        <v>99</v>
      </c>
      <c r="I1709" s="6" t="s">
        <v>99</v>
      </c>
      <c r="J1709" s="6" t="s">
        <v>99</v>
      </c>
      <c r="K1709" s="6" t="s">
        <v>99</v>
      </c>
      <c r="L1709" s="6" t="s">
        <v>99</v>
      </c>
      <c r="M1709" s="6" t="s">
        <v>99</v>
      </c>
      <c r="N1709" s="6" t="s">
        <v>99</v>
      </c>
      <c r="O1709" s="6" t="s">
        <v>99</v>
      </c>
      <c r="P1709" s="6" t="s">
        <v>99</v>
      </c>
      <c r="Q1709" s="6"/>
    </row>
    <row r="1710" spans="1:17" s="5" customFormat="1" x14ac:dyDescent="0.3">
      <c r="A1710" s="6" t="s">
        <v>49</v>
      </c>
      <c r="B1710" s="6" t="s">
        <v>881</v>
      </c>
      <c r="C1710" s="6">
        <v>29</v>
      </c>
      <c r="D1710" s="6" t="s">
        <v>155</v>
      </c>
      <c r="E1710" s="6" t="s">
        <v>834</v>
      </c>
      <c r="F1710" s="6" t="s">
        <v>99</v>
      </c>
      <c r="G1710" s="6" t="s">
        <v>99</v>
      </c>
      <c r="H1710" s="6" t="s">
        <v>56</v>
      </c>
      <c r="I1710" s="6" t="s">
        <v>349</v>
      </c>
      <c r="J1710" s="6" t="s">
        <v>104</v>
      </c>
      <c r="K1710" s="6" t="s">
        <v>99</v>
      </c>
      <c r="L1710" s="6" t="s">
        <v>99</v>
      </c>
      <c r="M1710" s="6" t="s">
        <v>99</v>
      </c>
      <c r="N1710" s="6" t="s">
        <v>99</v>
      </c>
      <c r="O1710" s="6" t="s">
        <v>99</v>
      </c>
      <c r="P1710" s="6" t="s">
        <v>99</v>
      </c>
      <c r="Q1710" s="6"/>
    </row>
    <row r="1711" spans="1:17" x14ac:dyDescent="0.3">
      <c r="A1711" s="2" t="s">
        <v>49</v>
      </c>
      <c r="B1711" s="2" t="s">
        <v>882</v>
      </c>
      <c r="C1711" s="2">
        <v>124</v>
      </c>
      <c r="D1711" s="2" t="s">
        <v>676</v>
      </c>
      <c r="E1711" s="2" t="s">
        <v>215</v>
      </c>
      <c r="F1711" s="2" t="s">
        <v>253</v>
      </c>
      <c r="G1711" s="2" t="s">
        <v>127</v>
      </c>
      <c r="H1711" s="2" t="s">
        <v>592</v>
      </c>
      <c r="I1711" s="2" t="s">
        <v>1053</v>
      </c>
      <c r="J1711" s="2" t="s">
        <v>41</v>
      </c>
      <c r="K1711" s="2" t="s">
        <v>149</v>
      </c>
      <c r="L1711" s="2" t="s">
        <v>114</v>
      </c>
      <c r="M1711" s="2" t="s">
        <v>98</v>
      </c>
      <c r="N1711" s="2" t="s">
        <v>253</v>
      </c>
      <c r="O1711" s="2" t="s">
        <v>198</v>
      </c>
      <c r="P1711" s="2" t="s">
        <v>141</v>
      </c>
      <c r="Q1711" s="2"/>
    </row>
    <row r="1712" spans="1:17" x14ac:dyDescent="0.3">
      <c r="A1712" s="2"/>
      <c r="B1712" s="2"/>
      <c r="C1712" s="2"/>
      <c r="D1712" s="2"/>
      <c r="E1712" s="2"/>
      <c r="F1712" s="2"/>
      <c r="G1712" s="2"/>
      <c r="H1712" s="2"/>
      <c r="I1712" s="2"/>
      <c r="J1712" s="2"/>
      <c r="K1712" s="2"/>
      <c r="L1712" s="2"/>
      <c r="M1712" s="2"/>
      <c r="N1712" s="2"/>
      <c r="O1712" s="2"/>
      <c r="P1712" s="2"/>
      <c r="Q1712" s="2"/>
    </row>
    <row r="1713" spans="1:17" x14ac:dyDescent="0.3">
      <c r="A1713" s="2" t="s">
        <v>30</v>
      </c>
      <c r="B1713" s="2"/>
      <c r="C1713" s="2"/>
      <c r="D1713" s="2"/>
      <c r="E1713" s="2"/>
      <c r="F1713" s="2"/>
      <c r="G1713" s="2"/>
      <c r="H1713" s="2"/>
      <c r="I1713" s="2"/>
      <c r="J1713" s="2"/>
      <c r="K1713" s="2"/>
      <c r="L1713" s="2"/>
      <c r="M1713" s="2"/>
      <c r="N1713" s="2"/>
      <c r="O1713" s="2"/>
      <c r="P1713" s="2"/>
      <c r="Q1713" s="2"/>
    </row>
    <row r="1714" spans="1:17" x14ac:dyDescent="0.3">
      <c r="A1714" s="2" t="s">
        <v>44</v>
      </c>
      <c r="B1714" s="2" t="s">
        <v>257</v>
      </c>
      <c r="C1714" s="2" t="s">
        <v>32</v>
      </c>
      <c r="D1714" s="2" t="s">
        <v>1031</v>
      </c>
      <c r="E1714" s="2" t="s">
        <v>1032</v>
      </c>
      <c r="F1714" s="2" t="s">
        <v>1033</v>
      </c>
      <c r="G1714" s="2" t="s">
        <v>1034</v>
      </c>
      <c r="H1714" s="2" t="s">
        <v>1035</v>
      </c>
      <c r="I1714" s="2" t="s">
        <v>1036</v>
      </c>
      <c r="J1714" s="2" t="s">
        <v>1037</v>
      </c>
      <c r="K1714" s="2" t="s">
        <v>1038</v>
      </c>
      <c r="L1714" s="2" t="s">
        <v>83</v>
      </c>
      <c r="M1714" s="2" t="s">
        <v>1039</v>
      </c>
      <c r="N1714" s="2" t="s">
        <v>1040</v>
      </c>
      <c r="O1714" s="2" t="s">
        <v>1041</v>
      </c>
      <c r="P1714" s="2" t="s">
        <v>1042</v>
      </c>
      <c r="Q1714" s="2"/>
    </row>
    <row r="1715" spans="1:17" x14ac:dyDescent="0.3">
      <c r="A1715" s="2" t="s">
        <v>35</v>
      </c>
      <c r="B1715" s="2" t="s">
        <v>258</v>
      </c>
      <c r="C1715" s="2">
        <v>34</v>
      </c>
      <c r="D1715" s="2" t="s">
        <v>814</v>
      </c>
      <c r="E1715" s="2" t="s">
        <v>99</v>
      </c>
      <c r="F1715" s="2" t="s">
        <v>40</v>
      </c>
      <c r="G1715" s="2" t="s">
        <v>99</v>
      </c>
      <c r="H1715" s="2" t="s">
        <v>798</v>
      </c>
      <c r="I1715" s="2" t="s">
        <v>379</v>
      </c>
      <c r="J1715" s="2" t="s">
        <v>99</v>
      </c>
      <c r="K1715" s="2" t="s">
        <v>814</v>
      </c>
      <c r="L1715" s="2" t="s">
        <v>107</v>
      </c>
      <c r="M1715" s="2" t="s">
        <v>536</v>
      </c>
      <c r="N1715" s="2" t="s">
        <v>99</v>
      </c>
      <c r="O1715" s="2" t="s">
        <v>99</v>
      </c>
      <c r="P1715" s="2" t="s">
        <v>99</v>
      </c>
      <c r="Q1715" s="2"/>
    </row>
    <row r="1716" spans="1:17" s="5" customFormat="1" x14ac:dyDescent="0.3">
      <c r="A1716" s="6" t="s">
        <v>35</v>
      </c>
      <c r="B1716" s="6" t="s">
        <v>260</v>
      </c>
      <c r="C1716" s="6">
        <v>5</v>
      </c>
      <c r="D1716" s="6" t="s">
        <v>99</v>
      </c>
      <c r="E1716" s="6" t="s">
        <v>99</v>
      </c>
      <c r="F1716" s="6" t="s">
        <v>99</v>
      </c>
      <c r="G1716" s="6" t="s">
        <v>99</v>
      </c>
      <c r="H1716" s="6" t="s">
        <v>426</v>
      </c>
      <c r="I1716" s="6" t="s">
        <v>197</v>
      </c>
      <c r="J1716" s="6" t="s">
        <v>99</v>
      </c>
      <c r="K1716" s="6" t="s">
        <v>99</v>
      </c>
      <c r="L1716" s="6" t="s">
        <v>99</v>
      </c>
      <c r="M1716" s="6" t="s">
        <v>99</v>
      </c>
      <c r="N1716" s="6" t="s">
        <v>99</v>
      </c>
      <c r="O1716" s="6" t="s">
        <v>99</v>
      </c>
      <c r="P1716" s="6" t="s">
        <v>99</v>
      </c>
      <c r="Q1716" s="6"/>
    </row>
    <row r="1717" spans="1:17" s="5" customFormat="1" x14ac:dyDescent="0.3">
      <c r="A1717" s="6" t="s">
        <v>37</v>
      </c>
      <c r="B1717" s="6" t="s">
        <v>258</v>
      </c>
      <c r="C1717" s="6">
        <v>12</v>
      </c>
      <c r="D1717" s="6" t="s">
        <v>746</v>
      </c>
      <c r="E1717" s="6" t="s">
        <v>99</v>
      </c>
      <c r="F1717" s="6" t="s">
        <v>1043</v>
      </c>
      <c r="G1717" s="6" t="s">
        <v>99</v>
      </c>
      <c r="H1717" s="6" t="s">
        <v>704</v>
      </c>
      <c r="I1717" s="6" t="s">
        <v>1044</v>
      </c>
      <c r="J1717" s="6" t="s">
        <v>98</v>
      </c>
      <c r="K1717" s="6" t="s">
        <v>99</v>
      </c>
      <c r="L1717" s="6" t="s">
        <v>99</v>
      </c>
      <c r="M1717" s="6" t="s">
        <v>99</v>
      </c>
      <c r="N1717" s="6" t="s">
        <v>99</v>
      </c>
      <c r="O1717" s="6" t="s">
        <v>99</v>
      </c>
      <c r="P1717" s="6" t="s">
        <v>145</v>
      </c>
      <c r="Q1717" s="6"/>
    </row>
    <row r="1718" spans="1:17" x14ac:dyDescent="0.3">
      <c r="A1718" s="2" t="s">
        <v>36</v>
      </c>
      <c r="B1718" s="2" t="s">
        <v>258</v>
      </c>
      <c r="C1718" s="2">
        <v>39</v>
      </c>
      <c r="D1718" s="2" t="s">
        <v>175</v>
      </c>
      <c r="E1718" s="2" t="s">
        <v>99</v>
      </c>
      <c r="F1718" s="2" t="s">
        <v>292</v>
      </c>
      <c r="G1718" s="2" t="s">
        <v>184</v>
      </c>
      <c r="H1718" s="2" t="s">
        <v>1045</v>
      </c>
      <c r="I1718" s="2" t="s">
        <v>831</v>
      </c>
      <c r="J1718" s="2" t="s">
        <v>99</v>
      </c>
      <c r="K1718" s="2" t="s">
        <v>99</v>
      </c>
      <c r="L1718" s="2" t="s">
        <v>99</v>
      </c>
      <c r="M1718" s="2" t="s">
        <v>99</v>
      </c>
      <c r="N1718" s="2" t="s">
        <v>474</v>
      </c>
      <c r="O1718" s="2" t="s">
        <v>215</v>
      </c>
      <c r="P1718" s="2" t="s">
        <v>99</v>
      </c>
      <c r="Q1718" s="2"/>
    </row>
    <row r="1719" spans="1:17" s="5" customFormat="1" x14ac:dyDescent="0.3">
      <c r="A1719" s="6" t="s">
        <v>36</v>
      </c>
      <c r="B1719" s="6" t="s">
        <v>260</v>
      </c>
      <c r="C1719" s="6">
        <v>18</v>
      </c>
      <c r="D1719" s="6" t="s">
        <v>99</v>
      </c>
      <c r="E1719" s="6" t="s">
        <v>99</v>
      </c>
      <c r="F1719" s="6" t="s">
        <v>99</v>
      </c>
      <c r="G1719" s="6" t="s">
        <v>99</v>
      </c>
      <c r="H1719" s="6" t="s">
        <v>795</v>
      </c>
      <c r="I1719" s="6" t="s">
        <v>614</v>
      </c>
      <c r="J1719" s="6" t="s">
        <v>700</v>
      </c>
      <c r="K1719" s="6" t="s">
        <v>99</v>
      </c>
      <c r="L1719" s="6" t="s">
        <v>99</v>
      </c>
      <c r="M1719" s="6" t="s">
        <v>163</v>
      </c>
      <c r="N1719" s="6" t="s">
        <v>99</v>
      </c>
      <c r="O1719" s="6" t="s">
        <v>99</v>
      </c>
      <c r="P1719" s="6" t="s">
        <v>99</v>
      </c>
      <c r="Q1719" s="6"/>
    </row>
    <row r="1720" spans="1:17" s="5" customFormat="1" x14ac:dyDescent="0.3">
      <c r="A1720" s="6" t="s">
        <v>34</v>
      </c>
      <c r="B1720" s="6" t="s">
        <v>258</v>
      </c>
      <c r="C1720" s="6">
        <v>2</v>
      </c>
      <c r="D1720" s="6" t="s">
        <v>99</v>
      </c>
      <c r="E1720" s="6" t="s">
        <v>99</v>
      </c>
      <c r="F1720" s="6" t="s">
        <v>99</v>
      </c>
      <c r="G1720" s="6" t="s">
        <v>99</v>
      </c>
      <c r="H1720" s="6" t="s">
        <v>909</v>
      </c>
      <c r="I1720" s="6" t="s">
        <v>909</v>
      </c>
      <c r="J1720" s="6" t="s">
        <v>99</v>
      </c>
      <c r="K1720" s="6" t="s">
        <v>99</v>
      </c>
      <c r="L1720" s="6" t="s">
        <v>99</v>
      </c>
      <c r="M1720" s="6" t="s">
        <v>99</v>
      </c>
      <c r="N1720" s="6" t="s">
        <v>99</v>
      </c>
      <c r="O1720" s="6" t="s">
        <v>99</v>
      </c>
      <c r="P1720" s="6" t="s">
        <v>99</v>
      </c>
      <c r="Q1720" s="6"/>
    </row>
    <row r="1721" spans="1:17" x14ac:dyDescent="0.3">
      <c r="A1721" s="2" t="s">
        <v>34</v>
      </c>
      <c r="B1721" s="2" t="s">
        <v>260</v>
      </c>
      <c r="C1721" s="2">
        <v>39</v>
      </c>
      <c r="D1721" s="2" t="s">
        <v>99</v>
      </c>
      <c r="E1721" s="2" t="s">
        <v>99</v>
      </c>
      <c r="F1721" s="2" t="s">
        <v>184</v>
      </c>
      <c r="G1721" s="2" t="s">
        <v>99</v>
      </c>
      <c r="H1721" s="2" t="s">
        <v>906</v>
      </c>
      <c r="I1721" s="2" t="s">
        <v>214</v>
      </c>
      <c r="J1721" s="2" t="s">
        <v>318</v>
      </c>
      <c r="K1721" s="2" t="s">
        <v>99</v>
      </c>
      <c r="L1721" s="2" t="s">
        <v>99</v>
      </c>
      <c r="M1721" s="2" t="s">
        <v>99</v>
      </c>
      <c r="N1721" s="2" t="s">
        <v>99</v>
      </c>
      <c r="O1721" s="2" t="s">
        <v>99</v>
      </c>
      <c r="P1721" s="2" t="s">
        <v>99</v>
      </c>
      <c r="Q1721" s="2"/>
    </row>
    <row r="1722" spans="1:17" s="5" customFormat="1" x14ac:dyDescent="0.3">
      <c r="A1722" s="6" t="s">
        <v>33</v>
      </c>
      <c r="B1722" s="6" t="s">
        <v>258</v>
      </c>
      <c r="C1722" s="6">
        <v>4</v>
      </c>
      <c r="D1722" s="6" t="s">
        <v>690</v>
      </c>
      <c r="E1722" s="6" t="s">
        <v>690</v>
      </c>
      <c r="F1722" s="6" t="s">
        <v>246</v>
      </c>
      <c r="G1722" s="6" t="s">
        <v>481</v>
      </c>
      <c r="H1722" s="6" t="s">
        <v>99</v>
      </c>
      <c r="I1722" s="6" t="s">
        <v>99</v>
      </c>
      <c r="J1722" s="6" t="s">
        <v>99</v>
      </c>
      <c r="K1722" s="6" t="s">
        <v>99</v>
      </c>
      <c r="L1722" s="6" t="s">
        <v>99</v>
      </c>
      <c r="M1722" s="6" t="s">
        <v>99</v>
      </c>
      <c r="N1722" s="6" t="s">
        <v>99</v>
      </c>
      <c r="O1722" s="6" t="s">
        <v>99</v>
      </c>
      <c r="P1722" s="6" t="s">
        <v>99</v>
      </c>
      <c r="Q1722" s="6"/>
    </row>
    <row r="1723" spans="1:17" x14ac:dyDescent="0.3">
      <c r="A1723" s="2" t="s">
        <v>49</v>
      </c>
      <c r="B1723" s="2" t="s">
        <v>258</v>
      </c>
      <c r="C1723" s="2">
        <v>91</v>
      </c>
      <c r="D1723" s="2" t="s">
        <v>672</v>
      </c>
      <c r="E1723" s="2" t="s">
        <v>114</v>
      </c>
      <c r="F1723" s="2" t="s">
        <v>894</v>
      </c>
      <c r="G1723" s="2" t="s">
        <v>157</v>
      </c>
      <c r="H1723" s="2" t="s">
        <v>440</v>
      </c>
      <c r="I1723" s="2" t="s">
        <v>491</v>
      </c>
      <c r="J1723" s="2" t="s">
        <v>132</v>
      </c>
      <c r="K1723" s="2" t="s">
        <v>353</v>
      </c>
      <c r="L1723" s="2" t="s">
        <v>215</v>
      </c>
      <c r="M1723" s="2" t="s">
        <v>182</v>
      </c>
      <c r="N1723" s="2" t="s">
        <v>114</v>
      </c>
      <c r="O1723" s="2" t="s">
        <v>136</v>
      </c>
      <c r="P1723" s="2" t="s">
        <v>108</v>
      </c>
      <c r="Q1723" s="2"/>
    </row>
    <row r="1724" spans="1:17" x14ac:dyDescent="0.3">
      <c r="A1724" s="2" t="s">
        <v>49</v>
      </c>
      <c r="B1724" s="2" t="s">
        <v>260</v>
      </c>
      <c r="C1724" s="2">
        <v>62</v>
      </c>
      <c r="D1724" s="2" t="s">
        <v>99</v>
      </c>
      <c r="E1724" s="2" t="s">
        <v>99</v>
      </c>
      <c r="F1724" s="2" t="s">
        <v>109</v>
      </c>
      <c r="G1724" s="2" t="s">
        <v>99</v>
      </c>
      <c r="H1724" s="2" t="s">
        <v>943</v>
      </c>
      <c r="I1724" s="2" t="s">
        <v>574</v>
      </c>
      <c r="J1724" s="2" t="s">
        <v>267</v>
      </c>
      <c r="K1724" s="2" t="s">
        <v>99</v>
      </c>
      <c r="L1724" s="2" t="s">
        <v>99</v>
      </c>
      <c r="M1724" s="2" t="s">
        <v>104</v>
      </c>
      <c r="N1724" s="2" t="s">
        <v>99</v>
      </c>
      <c r="O1724" s="2" t="s">
        <v>99</v>
      </c>
      <c r="P1724" s="2" t="s">
        <v>99</v>
      </c>
      <c r="Q1724" s="2"/>
    </row>
    <row r="1725" spans="1:17" x14ac:dyDescent="0.3">
      <c r="A1725" s="2"/>
      <c r="B1725" s="2"/>
      <c r="C1725" s="2"/>
      <c r="D1725" s="2"/>
      <c r="E1725" s="2"/>
      <c r="F1725" s="2"/>
      <c r="G1725" s="2"/>
      <c r="H1725" s="2"/>
      <c r="I1725" s="2"/>
      <c r="J1725" s="2"/>
      <c r="K1725" s="2"/>
      <c r="L1725" s="2"/>
      <c r="M1725" s="2"/>
      <c r="N1725" s="2"/>
      <c r="O1725" s="2"/>
      <c r="P1725" s="2"/>
      <c r="Q1725" s="2"/>
    </row>
    <row r="1726" spans="1:17" x14ac:dyDescent="0.3">
      <c r="A1726" s="2"/>
      <c r="B1726" s="2"/>
      <c r="C1726" s="2"/>
      <c r="D1726" s="2"/>
      <c r="E1726" s="2"/>
      <c r="F1726" s="2"/>
      <c r="G1726" s="2"/>
      <c r="H1726" s="2"/>
      <c r="I1726" s="2"/>
      <c r="J1726" s="2"/>
      <c r="K1726" s="2"/>
      <c r="L1726" s="2"/>
      <c r="M1726" s="2"/>
      <c r="N1726" s="2"/>
      <c r="O1726" s="2"/>
      <c r="P1726" s="2"/>
      <c r="Q1726" s="2"/>
    </row>
    <row r="1727" spans="1:17" x14ac:dyDescent="0.3">
      <c r="A1727" s="2"/>
      <c r="B1727" s="2"/>
      <c r="C1727" s="2"/>
      <c r="D1727" s="2"/>
      <c r="E1727" s="2"/>
      <c r="F1727" s="2"/>
      <c r="G1727" s="2"/>
      <c r="H1727" s="2"/>
      <c r="I1727" s="2"/>
      <c r="J1727" s="2"/>
      <c r="K1727" s="2"/>
      <c r="L1727" s="2"/>
      <c r="M1727" s="2"/>
      <c r="N1727" s="2"/>
      <c r="O1727" s="2"/>
      <c r="P1727" s="2"/>
      <c r="Q1727" s="2"/>
    </row>
    <row r="1728" spans="1:17" x14ac:dyDescent="0.3">
      <c r="A1728" s="2"/>
      <c r="B1728" s="2"/>
      <c r="C1728" s="2"/>
      <c r="D1728" s="2"/>
      <c r="E1728" s="2"/>
      <c r="F1728" s="2"/>
      <c r="G1728" s="2"/>
      <c r="H1728" s="2"/>
      <c r="I1728" s="2"/>
      <c r="J1728" s="2"/>
      <c r="K1728" s="2"/>
      <c r="L1728" s="2"/>
      <c r="M1728" s="2"/>
      <c r="N1728" s="2"/>
      <c r="O1728" s="2"/>
      <c r="P1728" s="2"/>
      <c r="Q1728" s="2"/>
    </row>
    <row r="1729" spans="1:17" x14ac:dyDescent="0.3">
      <c r="A1729" s="2"/>
      <c r="B1729" s="2"/>
      <c r="C1729" s="2"/>
      <c r="D1729" s="2"/>
      <c r="E1729" s="2"/>
      <c r="F1729" s="2"/>
      <c r="G1729" s="2"/>
      <c r="H1729" s="2"/>
      <c r="I1729" s="2"/>
      <c r="J1729" s="2"/>
      <c r="K1729" s="2"/>
      <c r="L1729" s="2"/>
      <c r="M1729" s="2"/>
      <c r="N1729" s="2"/>
      <c r="O1729" s="2"/>
      <c r="P1729" s="2"/>
      <c r="Q1729" s="2"/>
    </row>
    <row r="1731" spans="1:17" x14ac:dyDescent="0.3">
      <c r="A1731" t="s">
        <v>1070</v>
      </c>
    </row>
    <row r="1732" spans="1:17" x14ac:dyDescent="0.3">
      <c r="A1732" t="s">
        <v>44</v>
      </c>
      <c r="B1732" t="s">
        <v>32</v>
      </c>
      <c r="C1732" t="s">
        <v>66</v>
      </c>
      <c r="D1732" t="s">
        <v>67</v>
      </c>
      <c r="E1732" t="s">
        <v>352</v>
      </c>
      <c r="F1732" t="s">
        <v>193</v>
      </c>
    </row>
    <row r="1733" spans="1:17" x14ac:dyDescent="0.3">
      <c r="A1733" t="s">
        <v>35</v>
      </c>
      <c r="B1733">
        <v>860</v>
      </c>
      <c r="C1733" t="s">
        <v>277</v>
      </c>
      <c r="D1733" t="s">
        <v>758</v>
      </c>
      <c r="E1733" t="s">
        <v>136</v>
      </c>
      <c r="F1733" t="s">
        <v>99</v>
      </c>
    </row>
    <row r="1734" spans="1:17" x14ac:dyDescent="0.3">
      <c r="A1734" t="s">
        <v>37</v>
      </c>
      <c r="B1734">
        <v>1407</v>
      </c>
      <c r="C1734" t="s">
        <v>215</v>
      </c>
      <c r="D1734" t="s">
        <v>1026</v>
      </c>
      <c r="E1734" t="s">
        <v>198</v>
      </c>
      <c r="F1734" t="s">
        <v>99</v>
      </c>
    </row>
    <row r="1735" spans="1:17" x14ac:dyDescent="0.3">
      <c r="A1735" t="s">
        <v>36</v>
      </c>
      <c r="B1735">
        <v>544</v>
      </c>
      <c r="C1735" t="s">
        <v>111</v>
      </c>
      <c r="D1735" t="s">
        <v>768</v>
      </c>
      <c r="E1735" t="s">
        <v>198</v>
      </c>
      <c r="F1735" t="s">
        <v>126</v>
      </c>
    </row>
    <row r="1736" spans="1:17" x14ac:dyDescent="0.3">
      <c r="A1736" t="s">
        <v>34</v>
      </c>
      <c r="B1736">
        <v>70</v>
      </c>
      <c r="C1736" t="s">
        <v>542</v>
      </c>
      <c r="D1736" t="s">
        <v>53</v>
      </c>
      <c r="E1736" t="s">
        <v>220</v>
      </c>
      <c r="F1736" t="s">
        <v>99</v>
      </c>
    </row>
    <row r="1737" spans="1:17" x14ac:dyDescent="0.3">
      <c r="A1737" t="s">
        <v>33</v>
      </c>
      <c r="B1737">
        <v>523</v>
      </c>
      <c r="C1737" t="s">
        <v>130</v>
      </c>
      <c r="D1737" t="s">
        <v>237</v>
      </c>
      <c r="E1737" t="s">
        <v>99</v>
      </c>
      <c r="F1737" t="s">
        <v>99</v>
      </c>
    </row>
    <row r="1738" spans="1:17" x14ac:dyDescent="0.3">
      <c r="A1738" t="s">
        <v>49</v>
      </c>
      <c r="B1738">
        <v>3404</v>
      </c>
      <c r="C1738" t="s">
        <v>134</v>
      </c>
      <c r="D1738" t="s">
        <v>1017</v>
      </c>
      <c r="E1738" t="s">
        <v>141</v>
      </c>
      <c r="F1738" t="s">
        <v>104</v>
      </c>
    </row>
    <row r="1740" spans="1:17" x14ac:dyDescent="0.3">
      <c r="A1740" t="s">
        <v>1071</v>
      </c>
    </row>
    <row r="1741" spans="1:17" x14ac:dyDescent="0.3">
      <c r="A1741" t="s">
        <v>44</v>
      </c>
      <c r="B1741" t="s">
        <v>847</v>
      </c>
      <c r="C1741" t="s">
        <v>32</v>
      </c>
      <c r="D1741" t="s">
        <v>67</v>
      </c>
      <c r="E1741" t="s">
        <v>66</v>
      </c>
      <c r="F1741" t="s">
        <v>352</v>
      </c>
      <c r="G1741" t="s">
        <v>193</v>
      </c>
    </row>
    <row r="1742" spans="1:17" s="5" customFormat="1" x14ac:dyDescent="0.3">
      <c r="A1742" s="5" t="s">
        <v>35</v>
      </c>
      <c r="B1742" s="5" t="s">
        <v>848</v>
      </c>
      <c r="C1742" s="5">
        <v>11</v>
      </c>
      <c r="D1742" s="5" t="s">
        <v>249</v>
      </c>
      <c r="E1742" s="5" t="s">
        <v>316</v>
      </c>
      <c r="F1742" s="5" t="s">
        <v>99</v>
      </c>
      <c r="G1742" s="5" t="s">
        <v>99</v>
      </c>
    </row>
    <row r="1743" spans="1:17" s="5" customFormat="1" x14ac:dyDescent="0.3">
      <c r="A1743" s="5" t="s">
        <v>35</v>
      </c>
      <c r="B1743" s="5" t="s">
        <v>849</v>
      </c>
      <c r="C1743" s="5">
        <v>1</v>
      </c>
      <c r="D1743" s="5" t="s">
        <v>211</v>
      </c>
      <c r="E1743" s="5" t="s">
        <v>99</v>
      </c>
      <c r="F1743" s="5" t="s">
        <v>99</v>
      </c>
      <c r="G1743" s="5" t="s">
        <v>99</v>
      </c>
    </row>
    <row r="1744" spans="1:17" s="5" customFormat="1" x14ac:dyDescent="0.3">
      <c r="A1744" s="5" t="s">
        <v>35</v>
      </c>
      <c r="B1744" s="5" t="s">
        <v>850</v>
      </c>
      <c r="C1744" s="5">
        <v>7</v>
      </c>
      <c r="D1744" s="5" t="s">
        <v>211</v>
      </c>
      <c r="E1744" s="5" t="s">
        <v>99</v>
      </c>
      <c r="F1744" s="5" t="s">
        <v>99</v>
      </c>
      <c r="G1744" s="5" t="s">
        <v>99</v>
      </c>
    </row>
    <row r="1745" spans="1:7" s="5" customFormat="1" x14ac:dyDescent="0.3">
      <c r="A1745" s="5" t="s">
        <v>35</v>
      </c>
      <c r="B1745" s="5" t="s">
        <v>852</v>
      </c>
      <c r="C1745" s="5">
        <v>7</v>
      </c>
      <c r="D1745" s="5" t="s">
        <v>211</v>
      </c>
      <c r="E1745" s="5" t="s">
        <v>99</v>
      </c>
      <c r="F1745" s="5" t="s">
        <v>99</v>
      </c>
      <c r="G1745" s="5" t="s">
        <v>99</v>
      </c>
    </row>
    <row r="1746" spans="1:7" s="5" customFormat="1" x14ac:dyDescent="0.3">
      <c r="A1746" s="5" t="s">
        <v>35</v>
      </c>
      <c r="B1746" s="5" t="s">
        <v>853</v>
      </c>
      <c r="C1746" s="5">
        <v>2</v>
      </c>
      <c r="D1746" s="5" t="s">
        <v>211</v>
      </c>
      <c r="E1746" s="5" t="s">
        <v>99</v>
      </c>
      <c r="F1746" s="5" t="s">
        <v>99</v>
      </c>
      <c r="G1746" s="5" t="s">
        <v>99</v>
      </c>
    </row>
    <row r="1747" spans="1:7" x14ac:dyDescent="0.3">
      <c r="A1747" t="s">
        <v>35</v>
      </c>
      <c r="B1747" t="s">
        <v>365</v>
      </c>
      <c r="C1747">
        <v>832</v>
      </c>
      <c r="D1747" t="s">
        <v>327</v>
      </c>
      <c r="E1747" t="s">
        <v>158</v>
      </c>
      <c r="F1747" t="s">
        <v>136</v>
      </c>
      <c r="G1747" t="s">
        <v>99</v>
      </c>
    </row>
    <row r="1748" spans="1:7" s="5" customFormat="1" x14ac:dyDescent="0.3">
      <c r="A1748" s="5" t="s">
        <v>37</v>
      </c>
      <c r="B1748" s="5" t="s">
        <v>848</v>
      </c>
      <c r="C1748" s="5">
        <v>6</v>
      </c>
      <c r="D1748" s="5" t="s">
        <v>211</v>
      </c>
      <c r="E1748" s="5" t="s">
        <v>99</v>
      </c>
      <c r="F1748" s="5" t="s">
        <v>99</v>
      </c>
      <c r="G1748" s="5" t="s">
        <v>99</v>
      </c>
    </row>
    <row r="1749" spans="1:7" s="5" customFormat="1" x14ac:dyDescent="0.3">
      <c r="A1749" s="5" t="s">
        <v>37</v>
      </c>
      <c r="B1749" s="5" t="s">
        <v>850</v>
      </c>
      <c r="C1749" s="5">
        <v>7</v>
      </c>
      <c r="D1749" s="5" t="s">
        <v>211</v>
      </c>
      <c r="E1749" s="5" t="s">
        <v>99</v>
      </c>
      <c r="F1749" s="5" t="s">
        <v>99</v>
      </c>
      <c r="G1749" s="5" t="s">
        <v>99</v>
      </c>
    </row>
    <row r="1750" spans="1:7" s="5" customFormat="1" x14ac:dyDescent="0.3">
      <c r="A1750" s="5" t="s">
        <v>37</v>
      </c>
      <c r="B1750" s="5" t="s">
        <v>852</v>
      </c>
      <c r="C1750" s="5">
        <v>7</v>
      </c>
      <c r="D1750" s="5" t="s">
        <v>57</v>
      </c>
      <c r="E1750" s="5" t="s">
        <v>58</v>
      </c>
      <c r="F1750" s="5" t="s">
        <v>99</v>
      </c>
      <c r="G1750" s="5" t="s">
        <v>99</v>
      </c>
    </row>
    <row r="1751" spans="1:7" s="5" customFormat="1" x14ac:dyDescent="0.3">
      <c r="A1751" s="5" t="s">
        <v>37</v>
      </c>
      <c r="B1751" s="5" t="s">
        <v>853</v>
      </c>
      <c r="C1751" s="5">
        <v>7</v>
      </c>
      <c r="D1751" s="5" t="s">
        <v>211</v>
      </c>
      <c r="E1751" s="5" t="s">
        <v>99</v>
      </c>
      <c r="F1751" s="5" t="s">
        <v>99</v>
      </c>
      <c r="G1751" s="5" t="s">
        <v>99</v>
      </c>
    </row>
    <row r="1752" spans="1:7" x14ac:dyDescent="0.3">
      <c r="A1752" t="s">
        <v>37</v>
      </c>
      <c r="B1752" t="s">
        <v>365</v>
      </c>
      <c r="C1752">
        <v>1380</v>
      </c>
      <c r="D1752" t="s">
        <v>383</v>
      </c>
      <c r="E1752" t="s">
        <v>126</v>
      </c>
      <c r="F1752" t="s">
        <v>198</v>
      </c>
      <c r="G1752" t="s">
        <v>99</v>
      </c>
    </row>
    <row r="1753" spans="1:7" s="5" customFormat="1" x14ac:dyDescent="0.3">
      <c r="A1753" s="5" t="s">
        <v>36</v>
      </c>
      <c r="B1753" s="5" t="s">
        <v>848</v>
      </c>
      <c r="C1753" s="5">
        <v>3</v>
      </c>
      <c r="D1753" s="5" t="s">
        <v>211</v>
      </c>
      <c r="E1753" s="5" t="s">
        <v>99</v>
      </c>
      <c r="F1753" s="5" t="s">
        <v>99</v>
      </c>
      <c r="G1753" s="5" t="s">
        <v>99</v>
      </c>
    </row>
    <row r="1754" spans="1:7" s="5" customFormat="1" x14ac:dyDescent="0.3">
      <c r="A1754" s="5" t="s">
        <v>36</v>
      </c>
      <c r="B1754" s="5" t="s">
        <v>850</v>
      </c>
      <c r="C1754" s="5">
        <v>1</v>
      </c>
      <c r="D1754" s="5" t="s">
        <v>211</v>
      </c>
      <c r="E1754" s="5" t="s">
        <v>99</v>
      </c>
      <c r="F1754" s="5" t="s">
        <v>99</v>
      </c>
      <c r="G1754" s="5" t="s">
        <v>99</v>
      </c>
    </row>
    <row r="1755" spans="1:7" s="5" customFormat="1" x14ac:dyDescent="0.3">
      <c r="A1755" s="5" t="s">
        <v>36</v>
      </c>
      <c r="B1755" s="5" t="s">
        <v>852</v>
      </c>
      <c r="C1755" s="5">
        <v>2</v>
      </c>
      <c r="D1755" s="5" t="s">
        <v>211</v>
      </c>
      <c r="E1755" s="5" t="s">
        <v>99</v>
      </c>
      <c r="F1755" s="5" t="s">
        <v>99</v>
      </c>
      <c r="G1755" s="5" t="s">
        <v>99</v>
      </c>
    </row>
    <row r="1756" spans="1:7" s="5" customFormat="1" x14ac:dyDescent="0.3">
      <c r="A1756" s="5" t="s">
        <v>36</v>
      </c>
      <c r="B1756" s="5" t="s">
        <v>853</v>
      </c>
      <c r="C1756" s="5">
        <v>1</v>
      </c>
      <c r="D1756" s="5" t="s">
        <v>211</v>
      </c>
      <c r="E1756" s="5" t="s">
        <v>99</v>
      </c>
      <c r="F1756" s="5" t="s">
        <v>99</v>
      </c>
      <c r="G1756" s="5" t="s">
        <v>99</v>
      </c>
    </row>
    <row r="1757" spans="1:7" x14ac:dyDescent="0.3">
      <c r="A1757" t="s">
        <v>36</v>
      </c>
      <c r="B1757" t="s">
        <v>365</v>
      </c>
      <c r="C1757">
        <v>537</v>
      </c>
      <c r="D1757" t="s">
        <v>768</v>
      </c>
      <c r="E1757" t="s">
        <v>111</v>
      </c>
      <c r="F1757" t="s">
        <v>198</v>
      </c>
      <c r="G1757" t="s">
        <v>126</v>
      </c>
    </row>
    <row r="1758" spans="1:7" s="5" customFormat="1" x14ac:dyDescent="0.3">
      <c r="A1758" s="5" t="s">
        <v>34</v>
      </c>
      <c r="B1758" s="5" t="s">
        <v>850</v>
      </c>
      <c r="C1758" s="5">
        <v>2</v>
      </c>
      <c r="D1758" s="5" t="s">
        <v>211</v>
      </c>
      <c r="E1758" s="5" t="s">
        <v>99</v>
      </c>
      <c r="F1758" s="5" t="s">
        <v>99</v>
      </c>
      <c r="G1758" s="5" t="s">
        <v>99</v>
      </c>
    </row>
    <row r="1759" spans="1:7" x14ac:dyDescent="0.3">
      <c r="A1759" t="s">
        <v>34</v>
      </c>
      <c r="B1759" t="s">
        <v>365</v>
      </c>
      <c r="C1759">
        <v>68</v>
      </c>
      <c r="D1759" t="s">
        <v>486</v>
      </c>
      <c r="E1759" t="s">
        <v>357</v>
      </c>
      <c r="F1759" t="s">
        <v>470</v>
      </c>
      <c r="G1759" t="s">
        <v>99</v>
      </c>
    </row>
    <row r="1760" spans="1:7" s="5" customFormat="1" x14ac:dyDescent="0.3">
      <c r="A1760" s="5" t="s">
        <v>33</v>
      </c>
      <c r="B1760" s="5" t="s">
        <v>848</v>
      </c>
      <c r="C1760" s="5">
        <v>4</v>
      </c>
      <c r="D1760" s="5" t="s">
        <v>211</v>
      </c>
      <c r="E1760" s="5" t="s">
        <v>99</v>
      </c>
      <c r="F1760" s="5" t="s">
        <v>99</v>
      </c>
      <c r="G1760" s="5" t="s">
        <v>99</v>
      </c>
    </row>
    <row r="1761" spans="1:7" s="5" customFormat="1" x14ac:dyDescent="0.3">
      <c r="A1761" s="5" t="s">
        <v>33</v>
      </c>
      <c r="B1761" s="5" t="s">
        <v>850</v>
      </c>
      <c r="C1761" s="5">
        <v>2</v>
      </c>
      <c r="D1761" s="5" t="s">
        <v>211</v>
      </c>
      <c r="E1761" s="5" t="s">
        <v>99</v>
      </c>
      <c r="F1761" s="5" t="s">
        <v>99</v>
      </c>
      <c r="G1761" s="5" t="s">
        <v>99</v>
      </c>
    </row>
    <row r="1762" spans="1:7" s="5" customFormat="1" x14ac:dyDescent="0.3">
      <c r="A1762" s="5" t="s">
        <v>33</v>
      </c>
      <c r="B1762" s="5" t="s">
        <v>852</v>
      </c>
      <c r="C1762" s="5">
        <v>4</v>
      </c>
      <c r="D1762" s="5" t="s">
        <v>211</v>
      </c>
      <c r="E1762" s="5" t="s">
        <v>99</v>
      </c>
      <c r="F1762" s="5" t="s">
        <v>99</v>
      </c>
      <c r="G1762" s="5" t="s">
        <v>99</v>
      </c>
    </row>
    <row r="1763" spans="1:7" s="5" customFormat="1" x14ac:dyDescent="0.3">
      <c r="A1763" s="5" t="s">
        <v>33</v>
      </c>
      <c r="B1763" s="5" t="s">
        <v>853</v>
      </c>
      <c r="C1763" s="5">
        <v>2</v>
      </c>
      <c r="D1763" s="5" t="s">
        <v>211</v>
      </c>
      <c r="E1763" s="5" t="s">
        <v>99</v>
      </c>
      <c r="F1763" s="5" t="s">
        <v>99</v>
      </c>
      <c r="G1763" s="5" t="s">
        <v>99</v>
      </c>
    </row>
    <row r="1764" spans="1:7" x14ac:dyDescent="0.3">
      <c r="A1764" t="s">
        <v>33</v>
      </c>
      <c r="B1764" t="s">
        <v>365</v>
      </c>
      <c r="C1764">
        <v>511</v>
      </c>
      <c r="D1764" t="s">
        <v>433</v>
      </c>
      <c r="E1764" t="s">
        <v>434</v>
      </c>
      <c r="F1764" t="s">
        <v>99</v>
      </c>
      <c r="G1764" t="s">
        <v>99</v>
      </c>
    </row>
    <row r="1765" spans="1:7" s="5" customFormat="1" x14ac:dyDescent="0.3">
      <c r="A1765" s="5" t="s">
        <v>49</v>
      </c>
      <c r="B1765" s="5" t="s">
        <v>848</v>
      </c>
      <c r="C1765" s="5">
        <v>24</v>
      </c>
      <c r="D1765" s="5" t="s">
        <v>229</v>
      </c>
      <c r="E1765" s="5" t="s">
        <v>126</v>
      </c>
      <c r="F1765" s="5" t="s">
        <v>99</v>
      </c>
      <c r="G1765" s="5" t="s">
        <v>99</v>
      </c>
    </row>
    <row r="1766" spans="1:7" s="5" customFormat="1" x14ac:dyDescent="0.3">
      <c r="A1766" s="5" t="s">
        <v>49</v>
      </c>
      <c r="B1766" s="5" t="s">
        <v>849</v>
      </c>
      <c r="C1766" s="5">
        <v>1</v>
      </c>
      <c r="D1766" s="5" t="s">
        <v>211</v>
      </c>
      <c r="E1766" s="5" t="s">
        <v>99</v>
      </c>
      <c r="F1766" s="5" t="s">
        <v>99</v>
      </c>
      <c r="G1766" s="5" t="s">
        <v>99</v>
      </c>
    </row>
    <row r="1767" spans="1:7" s="5" customFormat="1" x14ac:dyDescent="0.3">
      <c r="A1767" s="5" t="s">
        <v>49</v>
      </c>
      <c r="B1767" s="5" t="s">
        <v>850</v>
      </c>
      <c r="C1767" s="5">
        <v>19</v>
      </c>
      <c r="D1767" s="5" t="s">
        <v>211</v>
      </c>
      <c r="E1767" s="5" t="s">
        <v>99</v>
      </c>
      <c r="F1767" s="5" t="s">
        <v>99</v>
      </c>
      <c r="G1767" s="5" t="s">
        <v>99</v>
      </c>
    </row>
    <row r="1768" spans="1:7" s="5" customFormat="1" x14ac:dyDescent="0.3">
      <c r="A1768" s="5" t="s">
        <v>49</v>
      </c>
      <c r="B1768" s="5" t="s">
        <v>852</v>
      </c>
      <c r="C1768" s="5">
        <v>20</v>
      </c>
      <c r="D1768" s="5" t="s">
        <v>217</v>
      </c>
      <c r="E1768" s="5" t="s">
        <v>218</v>
      </c>
      <c r="F1768" s="5" t="s">
        <v>99</v>
      </c>
      <c r="G1768" s="5" t="s">
        <v>99</v>
      </c>
    </row>
    <row r="1769" spans="1:7" s="5" customFormat="1" x14ac:dyDescent="0.3">
      <c r="A1769" s="5" t="s">
        <v>49</v>
      </c>
      <c r="B1769" s="5" t="s">
        <v>853</v>
      </c>
      <c r="C1769" s="5">
        <v>12</v>
      </c>
      <c r="D1769" s="5" t="s">
        <v>211</v>
      </c>
      <c r="E1769" s="5" t="s">
        <v>99</v>
      </c>
      <c r="F1769" s="5" t="s">
        <v>99</v>
      </c>
      <c r="G1769" s="5" t="s">
        <v>99</v>
      </c>
    </row>
    <row r="1770" spans="1:7" x14ac:dyDescent="0.3">
      <c r="A1770" t="s">
        <v>49</v>
      </c>
      <c r="B1770" t="s">
        <v>365</v>
      </c>
      <c r="C1770">
        <v>3328</v>
      </c>
      <c r="D1770" t="s">
        <v>1017</v>
      </c>
      <c r="E1770" t="s">
        <v>134</v>
      </c>
      <c r="F1770" t="s">
        <v>141</v>
      </c>
      <c r="G1770" t="s">
        <v>104</v>
      </c>
    </row>
    <row r="1772" spans="1:7" x14ac:dyDescent="0.3">
      <c r="A1772" t="s">
        <v>1072</v>
      </c>
    </row>
    <row r="1773" spans="1:7" x14ac:dyDescent="0.3">
      <c r="A1773" t="s">
        <v>44</v>
      </c>
      <c r="B1773" t="s">
        <v>235</v>
      </c>
      <c r="C1773" t="s">
        <v>32</v>
      </c>
      <c r="D1773" t="s">
        <v>66</v>
      </c>
      <c r="E1773" t="s">
        <v>67</v>
      </c>
      <c r="F1773" t="s">
        <v>352</v>
      </c>
      <c r="G1773" t="s">
        <v>193</v>
      </c>
    </row>
    <row r="1774" spans="1:7" x14ac:dyDescent="0.3">
      <c r="A1774" t="s">
        <v>35</v>
      </c>
      <c r="B1774" t="s">
        <v>236</v>
      </c>
      <c r="C1774">
        <v>452</v>
      </c>
      <c r="D1774" t="s">
        <v>242</v>
      </c>
      <c r="E1774" t="s">
        <v>375</v>
      </c>
      <c r="F1774" t="s">
        <v>99</v>
      </c>
      <c r="G1774" t="s">
        <v>99</v>
      </c>
    </row>
    <row r="1775" spans="1:7" x14ac:dyDescent="0.3">
      <c r="A1775" t="s">
        <v>35</v>
      </c>
      <c r="B1775" t="s">
        <v>238</v>
      </c>
      <c r="C1775">
        <v>408</v>
      </c>
      <c r="D1775" t="s">
        <v>158</v>
      </c>
      <c r="E1775" t="s">
        <v>415</v>
      </c>
      <c r="F1775" t="s">
        <v>253</v>
      </c>
      <c r="G1775" t="s">
        <v>99</v>
      </c>
    </row>
    <row r="1776" spans="1:7" x14ac:dyDescent="0.3">
      <c r="A1776" t="s">
        <v>37</v>
      </c>
      <c r="B1776" t="s">
        <v>236</v>
      </c>
      <c r="C1776">
        <v>857</v>
      </c>
      <c r="D1776" t="s">
        <v>108</v>
      </c>
      <c r="E1776" t="s">
        <v>225</v>
      </c>
      <c r="F1776" t="s">
        <v>104</v>
      </c>
      <c r="G1776" t="s">
        <v>99</v>
      </c>
    </row>
    <row r="1777" spans="1:7" x14ac:dyDescent="0.3">
      <c r="A1777" t="s">
        <v>37</v>
      </c>
      <c r="B1777" t="s">
        <v>238</v>
      </c>
      <c r="C1777">
        <v>550</v>
      </c>
      <c r="D1777" t="s">
        <v>120</v>
      </c>
      <c r="E1777" t="s">
        <v>998</v>
      </c>
      <c r="F1777" t="s">
        <v>198</v>
      </c>
      <c r="G1777" t="s">
        <v>99</v>
      </c>
    </row>
    <row r="1778" spans="1:7" x14ac:dyDescent="0.3">
      <c r="A1778" t="s">
        <v>36</v>
      </c>
      <c r="B1778" t="s">
        <v>236</v>
      </c>
      <c r="C1778">
        <v>404</v>
      </c>
      <c r="D1778" t="s">
        <v>105</v>
      </c>
      <c r="E1778" t="s">
        <v>384</v>
      </c>
      <c r="F1778" t="s">
        <v>99</v>
      </c>
      <c r="G1778" t="s">
        <v>99</v>
      </c>
    </row>
    <row r="1779" spans="1:7" x14ac:dyDescent="0.3">
      <c r="A1779" t="s">
        <v>36</v>
      </c>
      <c r="B1779" t="s">
        <v>238</v>
      </c>
      <c r="C1779">
        <v>140</v>
      </c>
      <c r="D1779" t="s">
        <v>108</v>
      </c>
      <c r="E1779" t="s">
        <v>69</v>
      </c>
      <c r="F1779" t="s">
        <v>136</v>
      </c>
      <c r="G1779" t="s">
        <v>332</v>
      </c>
    </row>
    <row r="1780" spans="1:7" s="5" customFormat="1" x14ac:dyDescent="0.3">
      <c r="A1780" s="5" t="s">
        <v>34</v>
      </c>
      <c r="B1780" s="5" t="s">
        <v>236</v>
      </c>
      <c r="C1780" s="5">
        <v>29</v>
      </c>
      <c r="D1780" s="5" t="s">
        <v>470</v>
      </c>
      <c r="E1780" s="5" t="s">
        <v>343</v>
      </c>
      <c r="F1780" s="5" t="s">
        <v>188</v>
      </c>
      <c r="G1780" s="5" t="s">
        <v>99</v>
      </c>
    </row>
    <row r="1781" spans="1:7" x14ac:dyDescent="0.3">
      <c r="A1781" t="s">
        <v>34</v>
      </c>
      <c r="B1781" t="s">
        <v>238</v>
      </c>
      <c r="C1781">
        <v>41</v>
      </c>
      <c r="D1781" t="s">
        <v>281</v>
      </c>
      <c r="E1781" t="s">
        <v>530</v>
      </c>
      <c r="F1781" t="s">
        <v>114</v>
      </c>
      <c r="G1781" t="s">
        <v>99</v>
      </c>
    </row>
    <row r="1782" spans="1:7" x14ac:dyDescent="0.3">
      <c r="A1782" t="s">
        <v>33</v>
      </c>
      <c r="B1782" t="s">
        <v>236</v>
      </c>
      <c r="C1782">
        <v>303</v>
      </c>
      <c r="D1782" t="s">
        <v>468</v>
      </c>
      <c r="E1782" t="s">
        <v>467</v>
      </c>
      <c r="F1782" t="s">
        <v>99</v>
      </c>
      <c r="G1782" t="s">
        <v>99</v>
      </c>
    </row>
    <row r="1783" spans="1:7" x14ac:dyDescent="0.3">
      <c r="A1783" t="s">
        <v>33</v>
      </c>
      <c r="B1783" t="s">
        <v>238</v>
      </c>
      <c r="C1783">
        <v>220</v>
      </c>
      <c r="D1783" t="s">
        <v>117</v>
      </c>
      <c r="E1783" t="s">
        <v>476</v>
      </c>
      <c r="F1783" t="s">
        <v>99</v>
      </c>
      <c r="G1783" t="s">
        <v>99</v>
      </c>
    </row>
    <row r="1784" spans="1:7" x14ac:dyDescent="0.3">
      <c r="A1784" t="s">
        <v>49</v>
      </c>
      <c r="B1784" t="s">
        <v>236</v>
      </c>
      <c r="C1784">
        <v>2045</v>
      </c>
      <c r="D1784" t="s">
        <v>107</v>
      </c>
      <c r="E1784" t="s">
        <v>333</v>
      </c>
      <c r="F1784" t="s">
        <v>115</v>
      </c>
      <c r="G1784" t="s">
        <v>99</v>
      </c>
    </row>
    <row r="1785" spans="1:7" x14ac:dyDescent="0.3">
      <c r="A1785" t="s">
        <v>49</v>
      </c>
      <c r="B1785" t="s">
        <v>238</v>
      </c>
      <c r="C1785">
        <v>1359</v>
      </c>
      <c r="D1785" t="s">
        <v>712</v>
      </c>
      <c r="E1785" t="s">
        <v>375</v>
      </c>
      <c r="F1785" t="s">
        <v>136</v>
      </c>
      <c r="G1785" t="s">
        <v>198</v>
      </c>
    </row>
    <row r="1787" spans="1:7" x14ac:dyDescent="0.3">
      <c r="A1787" t="s">
        <v>1073</v>
      </c>
    </row>
    <row r="1788" spans="1:7" x14ac:dyDescent="0.3">
      <c r="A1788" t="s">
        <v>44</v>
      </c>
      <c r="B1788" t="s">
        <v>972</v>
      </c>
      <c r="C1788" t="s">
        <v>32</v>
      </c>
      <c r="D1788" t="s">
        <v>66</v>
      </c>
      <c r="E1788" t="s">
        <v>67</v>
      </c>
      <c r="F1788" t="s">
        <v>352</v>
      </c>
      <c r="G1788" t="s">
        <v>193</v>
      </c>
    </row>
    <row r="1789" spans="1:7" x14ac:dyDescent="0.3">
      <c r="A1789" t="s">
        <v>35</v>
      </c>
      <c r="B1789" t="s">
        <v>973</v>
      </c>
      <c r="C1789">
        <v>185</v>
      </c>
      <c r="D1789" t="s">
        <v>315</v>
      </c>
      <c r="E1789" t="s">
        <v>966</v>
      </c>
      <c r="F1789" t="s">
        <v>99</v>
      </c>
      <c r="G1789" t="s">
        <v>99</v>
      </c>
    </row>
    <row r="1790" spans="1:7" x14ac:dyDescent="0.3">
      <c r="A1790" t="s">
        <v>35</v>
      </c>
      <c r="B1790" t="s">
        <v>975</v>
      </c>
      <c r="C1790">
        <v>218</v>
      </c>
      <c r="D1790" t="s">
        <v>130</v>
      </c>
      <c r="E1790" t="s">
        <v>331</v>
      </c>
      <c r="F1790" t="s">
        <v>136</v>
      </c>
      <c r="G1790" t="s">
        <v>99</v>
      </c>
    </row>
    <row r="1791" spans="1:7" x14ac:dyDescent="0.3">
      <c r="A1791" t="s">
        <v>35</v>
      </c>
      <c r="B1791" t="s">
        <v>976</v>
      </c>
      <c r="C1791">
        <v>218</v>
      </c>
      <c r="D1791" t="s">
        <v>155</v>
      </c>
      <c r="E1791" t="s">
        <v>433</v>
      </c>
      <c r="F1791" t="s">
        <v>115</v>
      </c>
      <c r="G1791" t="s">
        <v>99</v>
      </c>
    </row>
    <row r="1792" spans="1:7" x14ac:dyDescent="0.3">
      <c r="A1792" t="s">
        <v>35</v>
      </c>
      <c r="B1792" t="s">
        <v>977</v>
      </c>
      <c r="C1792">
        <v>216</v>
      </c>
      <c r="D1792" t="s">
        <v>138</v>
      </c>
      <c r="E1792" t="s">
        <v>333</v>
      </c>
      <c r="F1792" t="s">
        <v>136</v>
      </c>
      <c r="G1792" t="s">
        <v>99</v>
      </c>
    </row>
    <row r="1793" spans="1:7" s="5" customFormat="1" x14ac:dyDescent="0.3">
      <c r="A1793" s="5" t="s">
        <v>35</v>
      </c>
      <c r="B1793" s="5" t="s">
        <v>979</v>
      </c>
      <c r="C1793" s="5">
        <v>23</v>
      </c>
      <c r="D1793" s="5" t="s">
        <v>420</v>
      </c>
      <c r="E1793" s="5" t="s">
        <v>400</v>
      </c>
      <c r="F1793" s="5" t="s">
        <v>99</v>
      </c>
      <c r="G1793" s="5" t="s">
        <v>99</v>
      </c>
    </row>
    <row r="1794" spans="1:7" x14ac:dyDescent="0.3">
      <c r="A1794" t="s">
        <v>37</v>
      </c>
      <c r="B1794" t="s">
        <v>973</v>
      </c>
      <c r="C1794">
        <v>322</v>
      </c>
      <c r="D1794" t="s">
        <v>127</v>
      </c>
      <c r="E1794" t="s">
        <v>986</v>
      </c>
      <c r="F1794" t="s">
        <v>136</v>
      </c>
      <c r="G1794" t="s">
        <v>99</v>
      </c>
    </row>
    <row r="1795" spans="1:7" x14ac:dyDescent="0.3">
      <c r="A1795" t="s">
        <v>37</v>
      </c>
      <c r="B1795" t="s">
        <v>975</v>
      </c>
      <c r="C1795">
        <v>353</v>
      </c>
      <c r="D1795" t="s">
        <v>253</v>
      </c>
      <c r="E1795" t="s">
        <v>980</v>
      </c>
      <c r="F1795" t="s">
        <v>99</v>
      </c>
      <c r="G1795" t="s">
        <v>99</v>
      </c>
    </row>
    <row r="1796" spans="1:7" x14ac:dyDescent="0.3">
      <c r="A1796" t="s">
        <v>37</v>
      </c>
      <c r="B1796" t="s">
        <v>976</v>
      </c>
      <c r="C1796">
        <v>334</v>
      </c>
      <c r="D1796" t="s">
        <v>128</v>
      </c>
      <c r="E1796" t="s">
        <v>998</v>
      </c>
      <c r="F1796" t="s">
        <v>207</v>
      </c>
      <c r="G1796" t="s">
        <v>99</v>
      </c>
    </row>
    <row r="1797" spans="1:7" x14ac:dyDescent="0.3">
      <c r="A1797" t="s">
        <v>37</v>
      </c>
      <c r="B1797" t="s">
        <v>977</v>
      </c>
      <c r="C1797">
        <v>335</v>
      </c>
      <c r="D1797" t="s">
        <v>151</v>
      </c>
      <c r="E1797" t="s">
        <v>766</v>
      </c>
      <c r="F1797" t="s">
        <v>99</v>
      </c>
      <c r="G1797" t="s">
        <v>99</v>
      </c>
    </row>
    <row r="1798" spans="1:7" x14ac:dyDescent="0.3">
      <c r="A1798" t="s">
        <v>37</v>
      </c>
      <c r="B1798" t="s">
        <v>979</v>
      </c>
      <c r="C1798">
        <v>63</v>
      </c>
      <c r="D1798" t="s">
        <v>99</v>
      </c>
      <c r="E1798" t="s">
        <v>211</v>
      </c>
      <c r="F1798" t="s">
        <v>99</v>
      </c>
      <c r="G1798" t="s">
        <v>99</v>
      </c>
    </row>
    <row r="1799" spans="1:7" x14ac:dyDescent="0.3">
      <c r="A1799" t="s">
        <v>36</v>
      </c>
      <c r="B1799" t="s">
        <v>973</v>
      </c>
      <c r="C1799">
        <v>129</v>
      </c>
      <c r="D1799" t="s">
        <v>104</v>
      </c>
      <c r="E1799" t="s">
        <v>996</v>
      </c>
      <c r="F1799" t="s">
        <v>141</v>
      </c>
      <c r="G1799" t="s">
        <v>99</v>
      </c>
    </row>
    <row r="1800" spans="1:7" x14ac:dyDescent="0.3">
      <c r="A1800" t="s">
        <v>36</v>
      </c>
      <c r="B1800" t="s">
        <v>975</v>
      </c>
      <c r="C1800">
        <v>131</v>
      </c>
      <c r="D1800" t="s">
        <v>112</v>
      </c>
      <c r="E1800" t="s">
        <v>232</v>
      </c>
      <c r="F1800" t="s">
        <v>99</v>
      </c>
      <c r="G1800" t="s">
        <v>144</v>
      </c>
    </row>
    <row r="1801" spans="1:7" x14ac:dyDescent="0.3">
      <c r="A1801" t="s">
        <v>36</v>
      </c>
      <c r="B1801" t="s">
        <v>976</v>
      </c>
      <c r="C1801">
        <v>137</v>
      </c>
      <c r="D1801" t="s">
        <v>134</v>
      </c>
      <c r="E1801" t="s">
        <v>333</v>
      </c>
      <c r="F1801" t="s">
        <v>99</v>
      </c>
      <c r="G1801" t="s">
        <v>99</v>
      </c>
    </row>
    <row r="1802" spans="1:7" x14ac:dyDescent="0.3">
      <c r="A1802" t="s">
        <v>36</v>
      </c>
      <c r="B1802" t="s">
        <v>977</v>
      </c>
      <c r="C1802">
        <v>131</v>
      </c>
      <c r="D1802" t="s">
        <v>121</v>
      </c>
      <c r="E1802" t="s">
        <v>385</v>
      </c>
      <c r="F1802" t="s">
        <v>99</v>
      </c>
      <c r="G1802" t="s">
        <v>99</v>
      </c>
    </row>
    <row r="1803" spans="1:7" s="5" customFormat="1" x14ac:dyDescent="0.3">
      <c r="A1803" s="5" t="s">
        <v>36</v>
      </c>
      <c r="B1803" s="5" t="s">
        <v>979</v>
      </c>
      <c r="C1803" s="5">
        <v>16</v>
      </c>
      <c r="D1803" s="5" t="s">
        <v>99</v>
      </c>
      <c r="E1803" s="5" t="s">
        <v>211</v>
      </c>
      <c r="F1803" s="5" t="s">
        <v>99</v>
      </c>
      <c r="G1803" s="5" t="s">
        <v>99</v>
      </c>
    </row>
    <row r="1804" spans="1:7" s="5" customFormat="1" x14ac:dyDescent="0.3">
      <c r="A1804" s="5" t="s">
        <v>34</v>
      </c>
      <c r="B1804" s="5" t="s">
        <v>973</v>
      </c>
      <c r="C1804" s="5">
        <v>16</v>
      </c>
      <c r="D1804" s="5" t="s">
        <v>99</v>
      </c>
      <c r="E1804" s="5" t="s">
        <v>205</v>
      </c>
      <c r="F1804" s="5" t="s">
        <v>244</v>
      </c>
      <c r="G1804" s="5" t="s">
        <v>99</v>
      </c>
    </row>
    <row r="1805" spans="1:7" s="5" customFormat="1" x14ac:dyDescent="0.3">
      <c r="A1805" s="5" t="s">
        <v>34</v>
      </c>
      <c r="B1805" s="5" t="s">
        <v>975</v>
      </c>
      <c r="C1805" s="5">
        <v>18</v>
      </c>
      <c r="D1805" s="5" t="s">
        <v>434</v>
      </c>
      <c r="E1805" s="5" t="s">
        <v>518</v>
      </c>
      <c r="F1805" s="5" t="s">
        <v>309</v>
      </c>
      <c r="G1805" s="5" t="s">
        <v>99</v>
      </c>
    </row>
    <row r="1806" spans="1:7" s="5" customFormat="1" x14ac:dyDescent="0.3">
      <c r="A1806" s="5" t="s">
        <v>34</v>
      </c>
      <c r="B1806" s="5" t="s">
        <v>976</v>
      </c>
      <c r="C1806" s="5">
        <v>13</v>
      </c>
      <c r="D1806" s="5" t="s">
        <v>862</v>
      </c>
      <c r="E1806" s="5" t="s">
        <v>863</v>
      </c>
      <c r="F1806" s="5" t="s">
        <v>99</v>
      </c>
      <c r="G1806" s="5" t="s">
        <v>99</v>
      </c>
    </row>
    <row r="1807" spans="1:7" s="5" customFormat="1" x14ac:dyDescent="0.3">
      <c r="A1807" s="5" t="s">
        <v>34</v>
      </c>
      <c r="B1807" s="5" t="s">
        <v>977</v>
      </c>
      <c r="C1807" s="5">
        <v>13</v>
      </c>
      <c r="D1807" s="5" t="s">
        <v>642</v>
      </c>
      <c r="E1807" s="5" t="s">
        <v>532</v>
      </c>
      <c r="F1807" s="5" t="s">
        <v>177</v>
      </c>
      <c r="G1807" s="5" t="s">
        <v>99</v>
      </c>
    </row>
    <row r="1808" spans="1:7" s="5" customFormat="1" x14ac:dyDescent="0.3">
      <c r="A1808" s="5" t="s">
        <v>34</v>
      </c>
      <c r="B1808" s="5" t="s">
        <v>979</v>
      </c>
      <c r="C1808" s="5">
        <v>10</v>
      </c>
      <c r="D1808" s="5" t="s">
        <v>99</v>
      </c>
      <c r="E1808" s="5" t="s">
        <v>211</v>
      </c>
      <c r="F1808" s="5" t="s">
        <v>99</v>
      </c>
      <c r="G1808" s="5" t="s">
        <v>99</v>
      </c>
    </row>
    <row r="1809" spans="1:7" x14ac:dyDescent="0.3">
      <c r="A1809" t="s">
        <v>33</v>
      </c>
      <c r="B1809" t="s">
        <v>973</v>
      </c>
      <c r="C1809">
        <v>145</v>
      </c>
      <c r="D1809" t="s">
        <v>434</v>
      </c>
      <c r="E1809" t="s">
        <v>433</v>
      </c>
      <c r="F1809" t="s">
        <v>99</v>
      </c>
      <c r="G1809" t="s">
        <v>99</v>
      </c>
    </row>
    <row r="1810" spans="1:7" x14ac:dyDescent="0.3">
      <c r="A1810" t="s">
        <v>33</v>
      </c>
      <c r="B1810" t="s">
        <v>975</v>
      </c>
      <c r="C1810">
        <v>112</v>
      </c>
      <c r="D1810" t="s">
        <v>461</v>
      </c>
      <c r="E1810" t="s">
        <v>403</v>
      </c>
      <c r="F1810" t="s">
        <v>99</v>
      </c>
      <c r="G1810" t="s">
        <v>99</v>
      </c>
    </row>
    <row r="1811" spans="1:7" x14ac:dyDescent="0.3">
      <c r="A1811" t="s">
        <v>33</v>
      </c>
      <c r="B1811" t="s">
        <v>976</v>
      </c>
      <c r="C1811">
        <v>131</v>
      </c>
      <c r="D1811" t="s">
        <v>103</v>
      </c>
      <c r="E1811" t="s">
        <v>851</v>
      </c>
      <c r="F1811" t="s">
        <v>99</v>
      </c>
      <c r="G1811" t="s">
        <v>99</v>
      </c>
    </row>
    <row r="1812" spans="1:7" x14ac:dyDescent="0.3">
      <c r="A1812" t="s">
        <v>33</v>
      </c>
      <c r="B1812" t="s">
        <v>977</v>
      </c>
      <c r="C1812">
        <v>122</v>
      </c>
      <c r="D1812" t="s">
        <v>215</v>
      </c>
      <c r="E1812" t="s">
        <v>383</v>
      </c>
      <c r="F1812" t="s">
        <v>99</v>
      </c>
      <c r="G1812" t="s">
        <v>99</v>
      </c>
    </row>
    <row r="1813" spans="1:7" s="5" customFormat="1" x14ac:dyDescent="0.3">
      <c r="A1813" s="5" t="s">
        <v>33</v>
      </c>
      <c r="B1813" s="5" t="s">
        <v>979</v>
      </c>
      <c r="C1813" s="5">
        <v>13</v>
      </c>
      <c r="D1813" s="5" t="s">
        <v>99</v>
      </c>
      <c r="E1813" s="5" t="s">
        <v>211</v>
      </c>
      <c r="F1813" s="5" t="s">
        <v>99</v>
      </c>
      <c r="G1813" s="5" t="s">
        <v>99</v>
      </c>
    </row>
    <row r="1814" spans="1:7" x14ac:dyDescent="0.3">
      <c r="A1814" t="s">
        <v>49</v>
      </c>
      <c r="B1814" t="s">
        <v>973</v>
      </c>
      <c r="C1814">
        <v>797</v>
      </c>
      <c r="D1814" t="s">
        <v>712</v>
      </c>
      <c r="E1814" t="s">
        <v>778</v>
      </c>
      <c r="F1814" t="s">
        <v>115</v>
      </c>
      <c r="G1814" t="s">
        <v>99</v>
      </c>
    </row>
    <row r="1815" spans="1:7" x14ac:dyDescent="0.3">
      <c r="A1815" t="s">
        <v>49</v>
      </c>
      <c r="B1815" t="s">
        <v>975</v>
      </c>
      <c r="C1815">
        <v>832</v>
      </c>
      <c r="D1815" t="s">
        <v>155</v>
      </c>
      <c r="E1815" t="s">
        <v>337</v>
      </c>
      <c r="F1815" t="s">
        <v>253</v>
      </c>
      <c r="G1815" t="s">
        <v>136</v>
      </c>
    </row>
    <row r="1816" spans="1:7" x14ac:dyDescent="0.3">
      <c r="A1816" t="s">
        <v>49</v>
      </c>
      <c r="B1816" t="s">
        <v>976</v>
      </c>
      <c r="C1816">
        <v>833</v>
      </c>
      <c r="D1816" t="s">
        <v>130</v>
      </c>
      <c r="E1816" t="s">
        <v>337</v>
      </c>
      <c r="F1816" t="s">
        <v>207</v>
      </c>
      <c r="G1816" t="s">
        <v>99</v>
      </c>
    </row>
    <row r="1817" spans="1:7" x14ac:dyDescent="0.3">
      <c r="A1817" t="s">
        <v>49</v>
      </c>
      <c r="B1817" t="s">
        <v>977</v>
      </c>
      <c r="C1817">
        <v>817</v>
      </c>
      <c r="D1817" t="s">
        <v>155</v>
      </c>
      <c r="E1817" t="s">
        <v>782</v>
      </c>
      <c r="F1817" t="s">
        <v>253</v>
      </c>
      <c r="G1817" t="s">
        <v>99</v>
      </c>
    </row>
    <row r="1818" spans="1:7" x14ac:dyDescent="0.3">
      <c r="A1818" t="s">
        <v>49</v>
      </c>
      <c r="B1818" t="s">
        <v>979</v>
      </c>
      <c r="C1818">
        <v>125</v>
      </c>
      <c r="D1818" t="s">
        <v>121</v>
      </c>
      <c r="E1818" t="s">
        <v>385</v>
      </c>
      <c r="F1818" t="s">
        <v>99</v>
      </c>
      <c r="G1818" t="s">
        <v>99</v>
      </c>
    </row>
    <row r="1820" spans="1:7" x14ac:dyDescent="0.3">
      <c r="A1820" t="s">
        <v>1074</v>
      </c>
    </row>
    <row r="1821" spans="1:7" x14ac:dyDescent="0.3">
      <c r="A1821" t="s">
        <v>44</v>
      </c>
      <c r="B1821" t="s">
        <v>209</v>
      </c>
      <c r="C1821" t="s">
        <v>32</v>
      </c>
      <c r="D1821" t="s">
        <v>67</v>
      </c>
      <c r="E1821" t="s">
        <v>66</v>
      </c>
      <c r="F1821" t="s">
        <v>352</v>
      </c>
      <c r="G1821" t="s">
        <v>193</v>
      </c>
    </row>
    <row r="1822" spans="1:7" x14ac:dyDescent="0.3">
      <c r="A1822" t="s">
        <v>35</v>
      </c>
      <c r="B1822" t="s">
        <v>210</v>
      </c>
      <c r="C1822">
        <v>31</v>
      </c>
      <c r="D1822" t="s">
        <v>466</v>
      </c>
      <c r="E1822" t="s">
        <v>120</v>
      </c>
      <c r="F1822" t="s">
        <v>99</v>
      </c>
      <c r="G1822" t="s">
        <v>99</v>
      </c>
    </row>
    <row r="1823" spans="1:7" x14ac:dyDescent="0.3">
      <c r="A1823" t="s">
        <v>35</v>
      </c>
      <c r="B1823" t="s">
        <v>212</v>
      </c>
      <c r="C1823">
        <v>595</v>
      </c>
      <c r="D1823" t="s">
        <v>241</v>
      </c>
      <c r="E1823" t="s">
        <v>74</v>
      </c>
      <c r="F1823" t="s">
        <v>141</v>
      </c>
      <c r="G1823" t="s">
        <v>99</v>
      </c>
    </row>
    <row r="1824" spans="1:7" x14ac:dyDescent="0.3">
      <c r="A1824" t="s">
        <v>35</v>
      </c>
      <c r="B1824" t="s">
        <v>216</v>
      </c>
      <c r="C1824">
        <v>234</v>
      </c>
      <c r="D1824" t="s">
        <v>433</v>
      </c>
      <c r="E1824" t="s">
        <v>118</v>
      </c>
      <c r="F1824" t="s">
        <v>207</v>
      </c>
      <c r="G1824" t="s">
        <v>99</v>
      </c>
    </row>
    <row r="1825" spans="1:7" x14ac:dyDescent="0.3">
      <c r="A1825" t="s">
        <v>37</v>
      </c>
      <c r="B1825" t="s">
        <v>210</v>
      </c>
      <c r="C1825">
        <v>43</v>
      </c>
      <c r="D1825" t="s">
        <v>211</v>
      </c>
      <c r="E1825" t="s">
        <v>99</v>
      </c>
      <c r="F1825" t="s">
        <v>99</v>
      </c>
      <c r="G1825" t="s">
        <v>99</v>
      </c>
    </row>
    <row r="1826" spans="1:7" x14ac:dyDescent="0.3">
      <c r="A1826" t="s">
        <v>37</v>
      </c>
      <c r="B1826" t="s">
        <v>212</v>
      </c>
      <c r="C1826">
        <v>1297</v>
      </c>
      <c r="D1826" t="s">
        <v>229</v>
      </c>
      <c r="E1826" t="s">
        <v>101</v>
      </c>
      <c r="F1826" t="s">
        <v>198</v>
      </c>
      <c r="G1826" t="s">
        <v>99</v>
      </c>
    </row>
    <row r="1827" spans="1:7" x14ac:dyDescent="0.3">
      <c r="A1827" t="s">
        <v>37</v>
      </c>
      <c r="B1827" t="s">
        <v>216</v>
      </c>
      <c r="C1827">
        <v>67</v>
      </c>
      <c r="D1827" t="s">
        <v>961</v>
      </c>
      <c r="E1827" t="s">
        <v>722</v>
      </c>
      <c r="F1827" t="s">
        <v>99</v>
      </c>
      <c r="G1827" t="s">
        <v>99</v>
      </c>
    </row>
    <row r="1828" spans="1:7" s="5" customFormat="1" x14ac:dyDescent="0.3">
      <c r="A1828" s="5" t="s">
        <v>36</v>
      </c>
      <c r="B1828" s="5" t="s">
        <v>210</v>
      </c>
      <c r="C1828" s="5">
        <v>28</v>
      </c>
      <c r="D1828" s="5" t="s">
        <v>1075</v>
      </c>
      <c r="E1828" s="5" t="s">
        <v>299</v>
      </c>
      <c r="F1828" s="5" t="s">
        <v>99</v>
      </c>
      <c r="G1828" s="5" t="s">
        <v>301</v>
      </c>
    </row>
    <row r="1829" spans="1:7" x14ac:dyDescent="0.3">
      <c r="A1829" t="s">
        <v>36</v>
      </c>
      <c r="B1829" t="s">
        <v>212</v>
      </c>
      <c r="C1829">
        <v>482</v>
      </c>
      <c r="D1829" t="s">
        <v>1026</v>
      </c>
      <c r="E1829" t="s">
        <v>127</v>
      </c>
      <c r="F1829" t="s">
        <v>99</v>
      </c>
      <c r="G1829" t="s">
        <v>99</v>
      </c>
    </row>
    <row r="1830" spans="1:7" x14ac:dyDescent="0.3">
      <c r="A1830" t="s">
        <v>36</v>
      </c>
      <c r="B1830" t="s">
        <v>216</v>
      </c>
      <c r="C1830">
        <v>34</v>
      </c>
      <c r="D1830" t="s">
        <v>202</v>
      </c>
      <c r="E1830" t="s">
        <v>101</v>
      </c>
      <c r="F1830" t="s">
        <v>108</v>
      </c>
      <c r="G1830" t="s">
        <v>99</v>
      </c>
    </row>
    <row r="1831" spans="1:7" s="5" customFormat="1" x14ac:dyDescent="0.3">
      <c r="A1831" s="5" t="s">
        <v>34</v>
      </c>
      <c r="B1831" s="5" t="s">
        <v>210</v>
      </c>
      <c r="C1831" s="5">
        <v>5</v>
      </c>
      <c r="D1831" s="5" t="s">
        <v>211</v>
      </c>
      <c r="E1831" s="5" t="s">
        <v>99</v>
      </c>
      <c r="F1831" s="5" t="s">
        <v>99</v>
      </c>
      <c r="G1831" s="5" t="s">
        <v>99</v>
      </c>
    </row>
    <row r="1832" spans="1:7" x14ac:dyDescent="0.3">
      <c r="A1832" t="s">
        <v>34</v>
      </c>
      <c r="B1832" t="s">
        <v>212</v>
      </c>
      <c r="C1832">
        <v>44</v>
      </c>
      <c r="D1832" t="s">
        <v>200</v>
      </c>
      <c r="E1832" t="s">
        <v>201</v>
      </c>
      <c r="F1832" t="s">
        <v>99</v>
      </c>
      <c r="G1832" t="s">
        <v>99</v>
      </c>
    </row>
    <row r="1833" spans="1:7" s="5" customFormat="1" x14ac:dyDescent="0.3">
      <c r="A1833" s="5" t="s">
        <v>34</v>
      </c>
      <c r="B1833" s="5" t="s">
        <v>216</v>
      </c>
      <c r="C1833" s="5">
        <v>21</v>
      </c>
      <c r="D1833" s="5" t="s">
        <v>228</v>
      </c>
      <c r="E1833" s="5" t="s">
        <v>741</v>
      </c>
      <c r="F1833" s="5" t="s">
        <v>307</v>
      </c>
      <c r="G1833" s="5" t="s">
        <v>99</v>
      </c>
    </row>
    <row r="1834" spans="1:7" s="5" customFormat="1" x14ac:dyDescent="0.3">
      <c r="A1834" s="5" t="s">
        <v>33</v>
      </c>
      <c r="B1834" s="5" t="s">
        <v>210</v>
      </c>
      <c r="C1834" s="5">
        <v>12</v>
      </c>
      <c r="D1834" s="5" t="s">
        <v>211</v>
      </c>
      <c r="E1834" s="5" t="s">
        <v>99</v>
      </c>
      <c r="F1834" s="5" t="s">
        <v>99</v>
      </c>
      <c r="G1834" s="5" t="s">
        <v>99</v>
      </c>
    </row>
    <row r="1835" spans="1:7" x14ac:dyDescent="0.3">
      <c r="A1835" t="s">
        <v>33</v>
      </c>
      <c r="B1835" t="s">
        <v>212</v>
      </c>
      <c r="C1835">
        <v>481</v>
      </c>
      <c r="D1835" t="s">
        <v>331</v>
      </c>
      <c r="E1835" t="s">
        <v>112</v>
      </c>
      <c r="F1835" t="s">
        <v>99</v>
      </c>
      <c r="G1835" t="s">
        <v>99</v>
      </c>
    </row>
    <row r="1836" spans="1:7" s="5" customFormat="1" x14ac:dyDescent="0.3">
      <c r="A1836" s="5" t="s">
        <v>33</v>
      </c>
      <c r="B1836" s="5" t="s">
        <v>216</v>
      </c>
      <c r="C1836" s="5">
        <v>30</v>
      </c>
      <c r="D1836" s="5" t="s">
        <v>211</v>
      </c>
      <c r="E1836" s="5" t="s">
        <v>99</v>
      </c>
      <c r="F1836" s="5" t="s">
        <v>99</v>
      </c>
      <c r="G1836" s="5" t="s">
        <v>99</v>
      </c>
    </row>
    <row r="1837" spans="1:7" x14ac:dyDescent="0.3">
      <c r="A1837" t="s">
        <v>49</v>
      </c>
      <c r="B1837" t="s">
        <v>210</v>
      </c>
      <c r="C1837">
        <v>119</v>
      </c>
      <c r="D1837" t="s">
        <v>433</v>
      </c>
      <c r="E1837" t="s">
        <v>151</v>
      </c>
      <c r="F1837" t="s">
        <v>99</v>
      </c>
      <c r="G1837" t="s">
        <v>292</v>
      </c>
    </row>
    <row r="1838" spans="1:7" x14ac:dyDescent="0.3">
      <c r="A1838" t="s">
        <v>49</v>
      </c>
      <c r="B1838" t="s">
        <v>212</v>
      </c>
      <c r="C1838">
        <v>2899</v>
      </c>
      <c r="D1838" t="s">
        <v>759</v>
      </c>
      <c r="E1838" t="s">
        <v>155</v>
      </c>
      <c r="F1838" t="s">
        <v>198</v>
      </c>
      <c r="G1838" t="s">
        <v>99</v>
      </c>
    </row>
    <row r="1839" spans="1:7" x14ac:dyDescent="0.3">
      <c r="A1839" t="s">
        <v>49</v>
      </c>
      <c r="B1839" t="s">
        <v>216</v>
      </c>
      <c r="C1839">
        <v>386</v>
      </c>
      <c r="D1839" t="s">
        <v>247</v>
      </c>
      <c r="E1839" t="s">
        <v>468</v>
      </c>
      <c r="F1839" t="s">
        <v>111</v>
      </c>
      <c r="G1839" t="s">
        <v>99</v>
      </c>
    </row>
    <row r="1841" spans="1:7" x14ac:dyDescent="0.3">
      <c r="A1841" t="s">
        <v>1076</v>
      </c>
    </row>
    <row r="1842" spans="1:7" x14ac:dyDescent="0.3">
      <c r="A1842" t="s">
        <v>44</v>
      </c>
      <c r="B1842" t="s">
        <v>388</v>
      </c>
      <c r="C1842" t="s">
        <v>32</v>
      </c>
      <c r="D1842" t="s">
        <v>66</v>
      </c>
      <c r="E1842" t="s">
        <v>67</v>
      </c>
      <c r="F1842" t="s">
        <v>352</v>
      </c>
      <c r="G1842" t="s">
        <v>193</v>
      </c>
    </row>
    <row r="1843" spans="1:7" x14ac:dyDescent="0.3">
      <c r="A1843" t="s">
        <v>35</v>
      </c>
      <c r="B1843" t="s">
        <v>389</v>
      </c>
      <c r="C1843">
        <v>643</v>
      </c>
      <c r="D1843" t="s">
        <v>242</v>
      </c>
      <c r="E1843" t="s">
        <v>778</v>
      </c>
      <c r="F1843" t="s">
        <v>198</v>
      </c>
      <c r="G1843" t="s">
        <v>99</v>
      </c>
    </row>
    <row r="1844" spans="1:7" x14ac:dyDescent="0.3">
      <c r="A1844" t="s">
        <v>35</v>
      </c>
      <c r="B1844" t="s">
        <v>390</v>
      </c>
      <c r="C1844">
        <v>167</v>
      </c>
      <c r="D1844" t="s">
        <v>299</v>
      </c>
      <c r="E1844" t="s">
        <v>422</v>
      </c>
      <c r="F1844" t="s">
        <v>215</v>
      </c>
      <c r="G1844" t="s">
        <v>99</v>
      </c>
    </row>
    <row r="1845" spans="1:7" x14ac:dyDescent="0.3">
      <c r="A1845" t="s">
        <v>35</v>
      </c>
      <c r="B1845" t="s">
        <v>365</v>
      </c>
      <c r="C1845">
        <v>50</v>
      </c>
      <c r="D1845" t="s">
        <v>319</v>
      </c>
      <c r="E1845" t="s">
        <v>483</v>
      </c>
      <c r="F1845" t="s">
        <v>99</v>
      </c>
      <c r="G1845" t="s">
        <v>99</v>
      </c>
    </row>
    <row r="1846" spans="1:7" x14ac:dyDescent="0.3">
      <c r="A1846" t="s">
        <v>37</v>
      </c>
      <c r="B1846" t="s">
        <v>389</v>
      </c>
      <c r="C1846">
        <v>948</v>
      </c>
      <c r="D1846" t="s">
        <v>121</v>
      </c>
      <c r="E1846" t="s">
        <v>483</v>
      </c>
      <c r="F1846" t="s">
        <v>104</v>
      </c>
      <c r="G1846" t="s">
        <v>99</v>
      </c>
    </row>
    <row r="1847" spans="1:7" x14ac:dyDescent="0.3">
      <c r="A1847" t="s">
        <v>37</v>
      </c>
      <c r="B1847" t="s">
        <v>390</v>
      </c>
      <c r="C1847">
        <v>347</v>
      </c>
      <c r="D1847" t="s">
        <v>127</v>
      </c>
      <c r="E1847" t="s">
        <v>986</v>
      </c>
      <c r="F1847" t="s">
        <v>207</v>
      </c>
      <c r="G1847" t="s">
        <v>99</v>
      </c>
    </row>
    <row r="1848" spans="1:7" x14ac:dyDescent="0.3">
      <c r="A1848" t="s">
        <v>37</v>
      </c>
      <c r="B1848" t="s">
        <v>365</v>
      </c>
      <c r="C1848">
        <v>112</v>
      </c>
      <c r="D1848" t="s">
        <v>68</v>
      </c>
      <c r="E1848" t="s">
        <v>69</v>
      </c>
      <c r="F1848" t="s">
        <v>99</v>
      </c>
      <c r="G1848" t="s">
        <v>99</v>
      </c>
    </row>
    <row r="1849" spans="1:7" x14ac:dyDescent="0.3">
      <c r="A1849" t="s">
        <v>36</v>
      </c>
      <c r="B1849" t="s">
        <v>389</v>
      </c>
      <c r="C1849">
        <v>412</v>
      </c>
      <c r="D1849" t="s">
        <v>120</v>
      </c>
      <c r="E1849" t="s">
        <v>375</v>
      </c>
      <c r="F1849" t="s">
        <v>99</v>
      </c>
      <c r="G1849" t="s">
        <v>292</v>
      </c>
    </row>
    <row r="1850" spans="1:7" x14ac:dyDescent="0.3">
      <c r="A1850" t="s">
        <v>36</v>
      </c>
      <c r="B1850" t="s">
        <v>390</v>
      </c>
      <c r="C1850">
        <v>104</v>
      </c>
      <c r="D1850" t="s">
        <v>253</v>
      </c>
      <c r="E1850" t="s">
        <v>229</v>
      </c>
      <c r="F1850" t="s">
        <v>108</v>
      </c>
      <c r="G1850" t="s">
        <v>99</v>
      </c>
    </row>
    <row r="1851" spans="1:7" x14ac:dyDescent="0.3">
      <c r="A1851" t="s">
        <v>36</v>
      </c>
      <c r="B1851" t="s">
        <v>365</v>
      </c>
      <c r="C1851">
        <v>28</v>
      </c>
      <c r="D1851" t="s">
        <v>121</v>
      </c>
      <c r="E1851" t="s">
        <v>385</v>
      </c>
      <c r="F1851" t="s">
        <v>99</v>
      </c>
      <c r="G1851" t="s">
        <v>99</v>
      </c>
    </row>
    <row r="1852" spans="1:7" x14ac:dyDescent="0.3">
      <c r="A1852" t="s">
        <v>34</v>
      </c>
      <c r="B1852" t="s">
        <v>389</v>
      </c>
      <c r="C1852">
        <v>52</v>
      </c>
      <c r="D1852" t="s">
        <v>465</v>
      </c>
      <c r="E1852" t="s">
        <v>462</v>
      </c>
      <c r="F1852" t="s">
        <v>68</v>
      </c>
      <c r="G1852" t="s">
        <v>99</v>
      </c>
    </row>
    <row r="1853" spans="1:7" s="5" customFormat="1" x14ac:dyDescent="0.3">
      <c r="A1853" s="5" t="s">
        <v>34</v>
      </c>
      <c r="B1853" s="5" t="s">
        <v>390</v>
      </c>
      <c r="C1853" s="5">
        <v>15</v>
      </c>
      <c r="D1853" s="5" t="s">
        <v>697</v>
      </c>
      <c r="E1853" s="5" t="s">
        <v>1077</v>
      </c>
      <c r="F1853" s="5" t="s">
        <v>347</v>
      </c>
      <c r="G1853" s="5" t="s">
        <v>99</v>
      </c>
    </row>
    <row r="1854" spans="1:7" x14ac:dyDescent="0.3">
      <c r="A1854" t="s">
        <v>34</v>
      </c>
      <c r="B1854" t="s">
        <v>365</v>
      </c>
      <c r="C1854">
        <v>3</v>
      </c>
      <c r="D1854" t="s">
        <v>99</v>
      </c>
      <c r="E1854" t="s">
        <v>211</v>
      </c>
      <c r="F1854" t="s">
        <v>99</v>
      </c>
      <c r="G1854" t="s">
        <v>99</v>
      </c>
    </row>
    <row r="1855" spans="1:7" x14ac:dyDescent="0.3">
      <c r="A1855" t="s">
        <v>33</v>
      </c>
      <c r="B1855" t="s">
        <v>389</v>
      </c>
      <c r="C1855">
        <v>323</v>
      </c>
      <c r="D1855" t="s">
        <v>112</v>
      </c>
      <c r="E1855" t="s">
        <v>331</v>
      </c>
      <c r="F1855" t="s">
        <v>99</v>
      </c>
      <c r="G1855" t="s">
        <v>99</v>
      </c>
    </row>
    <row r="1856" spans="1:7" x14ac:dyDescent="0.3">
      <c r="A1856" t="s">
        <v>33</v>
      </c>
      <c r="B1856" t="s">
        <v>390</v>
      </c>
      <c r="C1856">
        <v>151</v>
      </c>
      <c r="D1856" t="s">
        <v>292</v>
      </c>
      <c r="E1856" t="s">
        <v>986</v>
      </c>
      <c r="F1856" t="s">
        <v>99</v>
      </c>
      <c r="G1856" t="s">
        <v>99</v>
      </c>
    </row>
    <row r="1857" spans="1:7" x14ac:dyDescent="0.3">
      <c r="A1857" t="s">
        <v>33</v>
      </c>
      <c r="B1857" t="s">
        <v>365</v>
      </c>
      <c r="C1857">
        <v>49</v>
      </c>
      <c r="D1857" t="s">
        <v>401</v>
      </c>
      <c r="E1857" t="s">
        <v>354</v>
      </c>
      <c r="F1857" t="s">
        <v>99</v>
      </c>
      <c r="G1857" t="s">
        <v>99</v>
      </c>
    </row>
    <row r="1858" spans="1:7" x14ac:dyDescent="0.3">
      <c r="A1858" t="s">
        <v>49</v>
      </c>
      <c r="B1858" t="s">
        <v>389</v>
      </c>
      <c r="C1858">
        <v>2378</v>
      </c>
      <c r="D1858" t="s">
        <v>154</v>
      </c>
      <c r="E1858" t="s">
        <v>782</v>
      </c>
      <c r="F1858" t="s">
        <v>207</v>
      </c>
      <c r="G1858" t="s">
        <v>104</v>
      </c>
    </row>
    <row r="1859" spans="1:7" x14ac:dyDescent="0.3">
      <c r="A1859" t="s">
        <v>49</v>
      </c>
      <c r="B1859" t="s">
        <v>390</v>
      </c>
      <c r="C1859">
        <v>784</v>
      </c>
      <c r="D1859" t="s">
        <v>118</v>
      </c>
      <c r="E1859" t="s">
        <v>335</v>
      </c>
      <c r="F1859" t="s">
        <v>126</v>
      </c>
      <c r="G1859" t="s">
        <v>99</v>
      </c>
    </row>
    <row r="1860" spans="1:7" x14ac:dyDescent="0.3">
      <c r="A1860" t="s">
        <v>49</v>
      </c>
      <c r="B1860" t="s">
        <v>365</v>
      </c>
      <c r="C1860">
        <v>242</v>
      </c>
      <c r="D1860" t="s">
        <v>712</v>
      </c>
      <c r="E1860" t="s">
        <v>1017</v>
      </c>
      <c r="F1860" t="s">
        <v>99</v>
      </c>
      <c r="G1860" t="s">
        <v>99</v>
      </c>
    </row>
    <row r="1862" spans="1:7" x14ac:dyDescent="0.3">
      <c r="A1862" t="s">
        <v>1078</v>
      </c>
    </row>
    <row r="1863" spans="1:7" x14ac:dyDescent="0.3">
      <c r="A1863" t="s">
        <v>44</v>
      </c>
      <c r="B1863" t="s">
        <v>879</v>
      </c>
      <c r="C1863" t="s">
        <v>32</v>
      </c>
      <c r="D1863" t="s">
        <v>67</v>
      </c>
      <c r="E1863" t="s">
        <v>66</v>
      </c>
      <c r="F1863" t="s">
        <v>352</v>
      </c>
      <c r="G1863" t="s">
        <v>193</v>
      </c>
    </row>
    <row r="1864" spans="1:7" s="5" customFormat="1" x14ac:dyDescent="0.3">
      <c r="A1864" s="5" t="s">
        <v>35</v>
      </c>
      <c r="B1864" s="5" t="s">
        <v>880</v>
      </c>
      <c r="C1864" s="5">
        <v>4</v>
      </c>
      <c r="D1864" s="5" t="s">
        <v>211</v>
      </c>
      <c r="E1864" s="5" t="s">
        <v>99</v>
      </c>
      <c r="F1864" s="5" t="s">
        <v>99</v>
      </c>
      <c r="G1864" s="5" t="s">
        <v>99</v>
      </c>
    </row>
    <row r="1865" spans="1:7" x14ac:dyDescent="0.3">
      <c r="A1865" t="s">
        <v>35</v>
      </c>
      <c r="B1865" t="s">
        <v>881</v>
      </c>
      <c r="C1865">
        <v>106</v>
      </c>
      <c r="D1865" t="s">
        <v>359</v>
      </c>
      <c r="E1865" t="s">
        <v>671</v>
      </c>
      <c r="F1865" t="s">
        <v>99</v>
      </c>
      <c r="G1865" t="s">
        <v>99</v>
      </c>
    </row>
    <row r="1866" spans="1:7" x14ac:dyDescent="0.3">
      <c r="A1866" t="s">
        <v>35</v>
      </c>
      <c r="B1866" t="s">
        <v>882</v>
      </c>
      <c r="C1866">
        <v>750</v>
      </c>
      <c r="D1866" t="s">
        <v>778</v>
      </c>
      <c r="E1866" t="s">
        <v>149</v>
      </c>
      <c r="F1866" t="s">
        <v>141</v>
      </c>
      <c r="G1866" t="s">
        <v>99</v>
      </c>
    </row>
    <row r="1867" spans="1:7" s="5" customFormat="1" x14ac:dyDescent="0.3">
      <c r="A1867" s="5" t="s">
        <v>37</v>
      </c>
      <c r="B1867" s="5" t="s">
        <v>880</v>
      </c>
      <c r="C1867" s="5">
        <v>10</v>
      </c>
      <c r="D1867" s="5" t="s">
        <v>211</v>
      </c>
      <c r="E1867" s="5" t="s">
        <v>99</v>
      </c>
      <c r="F1867" s="5" t="s">
        <v>99</v>
      </c>
      <c r="G1867" s="5" t="s">
        <v>99</v>
      </c>
    </row>
    <row r="1868" spans="1:7" x14ac:dyDescent="0.3">
      <c r="A1868" t="s">
        <v>37</v>
      </c>
      <c r="B1868" t="s">
        <v>881</v>
      </c>
      <c r="C1868">
        <v>129</v>
      </c>
      <c r="D1868" t="s">
        <v>438</v>
      </c>
      <c r="E1868" t="s">
        <v>114</v>
      </c>
      <c r="F1868" t="s">
        <v>108</v>
      </c>
      <c r="G1868" t="s">
        <v>99</v>
      </c>
    </row>
    <row r="1869" spans="1:7" x14ac:dyDescent="0.3">
      <c r="A1869" t="s">
        <v>37</v>
      </c>
      <c r="B1869" t="s">
        <v>882</v>
      </c>
      <c r="C1869">
        <v>1268</v>
      </c>
      <c r="D1869" t="s">
        <v>438</v>
      </c>
      <c r="E1869" t="s">
        <v>127</v>
      </c>
      <c r="F1869" t="s">
        <v>104</v>
      </c>
      <c r="G1869" t="s">
        <v>99</v>
      </c>
    </row>
    <row r="1870" spans="1:7" s="5" customFormat="1" x14ac:dyDescent="0.3">
      <c r="A1870" s="5" t="s">
        <v>36</v>
      </c>
      <c r="B1870" s="5" t="s">
        <v>880</v>
      </c>
      <c r="C1870" s="5">
        <v>3</v>
      </c>
      <c r="D1870" s="5" t="s">
        <v>211</v>
      </c>
      <c r="E1870" s="5" t="s">
        <v>99</v>
      </c>
      <c r="F1870" s="5" t="s">
        <v>99</v>
      </c>
      <c r="G1870" s="5" t="s">
        <v>99</v>
      </c>
    </row>
    <row r="1871" spans="1:7" x14ac:dyDescent="0.3">
      <c r="A1871" t="s">
        <v>36</v>
      </c>
      <c r="B1871" t="s">
        <v>881</v>
      </c>
      <c r="C1871">
        <v>91</v>
      </c>
      <c r="D1871" t="s">
        <v>187</v>
      </c>
      <c r="E1871" t="s">
        <v>242</v>
      </c>
      <c r="F1871" t="s">
        <v>99</v>
      </c>
      <c r="G1871" t="s">
        <v>311</v>
      </c>
    </row>
    <row r="1872" spans="1:7" x14ac:dyDescent="0.3">
      <c r="A1872" t="s">
        <v>36</v>
      </c>
      <c r="B1872" t="s">
        <v>882</v>
      </c>
      <c r="C1872">
        <v>450</v>
      </c>
      <c r="D1872" t="s">
        <v>766</v>
      </c>
      <c r="E1872" t="s">
        <v>127</v>
      </c>
      <c r="F1872" t="s">
        <v>198</v>
      </c>
      <c r="G1872" t="s">
        <v>99</v>
      </c>
    </row>
    <row r="1873" spans="1:7" s="5" customFormat="1" x14ac:dyDescent="0.3">
      <c r="A1873" s="5" t="s">
        <v>34</v>
      </c>
      <c r="B1873" s="5" t="s">
        <v>881</v>
      </c>
      <c r="C1873" s="5">
        <v>16</v>
      </c>
      <c r="D1873" s="5" t="s">
        <v>1079</v>
      </c>
      <c r="E1873" s="5" t="s">
        <v>747</v>
      </c>
      <c r="F1873" s="5" t="s">
        <v>99</v>
      </c>
      <c r="G1873" s="5" t="s">
        <v>99</v>
      </c>
    </row>
    <row r="1874" spans="1:7" x14ac:dyDescent="0.3">
      <c r="A1874" t="s">
        <v>34</v>
      </c>
      <c r="B1874" t="s">
        <v>882</v>
      </c>
      <c r="C1874">
        <v>54</v>
      </c>
      <c r="D1874" t="s">
        <v>1080</v>
      </c>
      <c r="E1874" t="s">
        <v>701</v>
      </c>
      <c r="F1874" t="s">
        <v>449</v>
      </c>
      <c r="G1874" t="s">
        <v>99</v>
      </c>
    </row>
    <row r="1875" spans="1:7" s="5" customFormat="1" x14ac:dyDescent="0.3">
      <c r="A1875" s="5" t="s">
        <v>33</v>
      </c>
      <c r="B1875" s="5" t="s">
        <v>880</v>
      </c>
      <c r="C1875" s="5">
        <v>5</v>
      </c>
      <c r="D1875" s="5" t="s">
        <v>211</v>
      </c>
      <c r="E1875" s="5" t="s">
        <v>99</v>
      </c>
      <c r="F1875" s="5" t="s">
        <v>99</v>
      </c>
      <c r="G1875" s="5" t="s">
        <v>99</v>
      </c>
    </row>
    <row r="1876" spans="1:7" x14ac:dyDescent="0.3">
      <c r="A1876" t="s">
        <v>33</v>
      </c>
      <c r="B1876" t="s">
        <v>881</v>
      </c>
      <c r="C1876">
        <v>63</v>
      </c>
      <c r="D1876" t="s">
        <v>961</v>
      </c>
      <c r="E1876" t="s">
        <v>722</v>
      </c>
      <c r="F1876" t="s">
        <v>99</v>
      </c>
      <c r="G1876" t="s">
        <v>99</v>
      </c>
    </row>
    <row r="1877" spans="1:7" x14ac:dyDescent="0.3">
      <c r="A1877" t="s">
        <v>33</v>
      </c>
      <c r="B1877" t="s">
        <v>882</v>
      </c>
      <c r="C1877">
        <v>455</v>
      </c>
      <c r="D1877" t="s">
        <v>776</v>
      </c>
      <c r="E1877" t="s">
        <v>155</v>
      </c>
      <c r="F1877" t="s">
        <v>99</v>
      </c>
      <c r="G1877" t="s">
        <v>99</v>
      </c>
    </row>
    <row r="1878" spans="1:7" s="5" customFormat="1" x14ac:dyDescent="0.3">
      <c r="A1878" s="5" t="s">
        <v>49</v>
      </c>
      <c r="B1878" s="5" t="s">
        <v>880</v>
      </c>
      <c r="C1878" s="5">
        <v>22</v>
      </c>
      <c r="D1878" s="5" t="s">
        <v>211</v>
      </c>
      <c r="E1878" s="5" t="s">
        <v>99</v>
      </c>
      <c r="F1878" s="5" t="s">
        <v>99</v>
      </c>
      <c r="G1878" s="5" t="s">
        <v>99</v>
      </c>
    </row>
    <row r="1879" spans="1:7" x14ac:dyDescent="0.3">
      <c r="A1879" t="s">
        <v>49</v>
      </c>
      <c r="B1879" t="s">
        <v>881</v>
      </c>
      <c r="C1879">
        <v>405</v>
      </c>
      <c r="D1879" t="s">
        <v>354</v>
      </c>
      <c r="E1879" t="s">
        <v>109</v>
      </c>
      <c r="F1879" t="s">
        <v>207</v>
      </c>
      <c r="G1879" t="s">
        <v>108</v>
      </c>
    </row>
    <row r="1880" spans="1:7" x14ac:dyDescent="0.3">
      <c r="A1880" t="s">
        <v>49</v>
      </c>
      <c r="B1880" t="s">
        <v>882</v>
      </c>
      <c r="C1880">
        <v>2977</v>
      </c>
      <c r="D1880" t="s">
        <v>768</v>
      </c>
      <c r="E1880" t="s">
        <v>155</v>
      </c>
      <c r="F1880" t="s">
        <v>253</v>
      </c>
      <c r="G1880" t="s">
        <v>99</v>
      </c>
    </row>
    <row r="1882" spans="1:7" x14ac:dyDescent="0.3">
      <c r="A1882" t="s">
        <v>1081</v>
      </c>
    </row>
    <row r="1883" spans="1:7" x14ac:dyDescent="0.3">
      <c r="A1883" t="s">
        <v>44</v>
      </c>
      <c r="B1883" t="s">
        <v>257</v>
      </c>
      <c r="C1883" t="s">
        <v>32</v>
      </c>
      <c r="D1883" t="s">
        <v>66</v>
      </c>
      <c r="E1883" t="s">
        <v>67</v>
      </c>
      <c r="F1883" t="s">
        <v>352</v>
      </c>
      <c r="G1883" t="s">
        <v>193</v>
      </c>
    </row>
    <row r="1884" spans="1:7" x14ac:dyDescent="0.3">
      <c r="A1884" t="s">
        <v>35</v>
      </c>
      <c r="B1884" t="s">
        <v>258</v>
      </c>
      <c r="C1884">
        <v>784</v>
      </c>
      <c r="D1884" t="s">
        <v>110</v>
      </c>
      <c r="E1884" t="s">
        <v>433</v>
      </c>
      <c r="F1884" t="s">
        <v>207</v>
      </c>
      <c r="G1884" t="s">
        <v>99</v>
      </c>
    </row>
    <row r="1885" spans="1:7" x14ac:dyDescent="0.3">
      <c r="A1885" t="s">
        <v>35</v>
      </c>
      <c r="B1885" t="s">
        <v>260</v>
      </c>
      <c r="C1885">
        <v>76</v>
      </c>
      <c r="D1885" t="s">
        <v>264</v>
      </c>
      <c r="E1885" t="s">
        <v>460</v>
      </c>
      <c r="F1885" t="s">
        <v>319</v>
      </c>
      <c r="G1885" t="s">
        <v>99</v>
      </c>
    </row>
    <row r="1886" spans="1:7" x14ac:dyDescent="0.3">
      <c r="A1886" t="s">
        <v>37</v>
      </c>
      <c r="B1886" t="s">
        <v>258</v>
      </c>
      <c r="C1886">
        <v>1407</v>
      </c>
      <c r="D1886" t="s">
        <v>215</v>
      </c>
      <c r="E1886" t="s">
        <v>1026</v>
      </c>
      <c r="F1886" t="s">
        <v>198</v>
      </c>
      <c r="G1886" t="s">
        <v>99</v>
      </c>
    </row>
    <row r="1887" spans="1:7" x14ac:dyDescent="0.3">
      <c r="A1887" t="s">
        <v>36</v>
      </c>
      <c r="B1887" t="s">
        <v>258</v>
      </c>
      <c r="C1887">
        <v>540</v>
      </c>
      <c r="D1887" t="s">
        <v>111</v>
      </c>
      <c r="E1887" t="s">
        <v>779</v>
      </c>
      <c r="F1887" t="s">
        <v>198</v>
      </c>
      <c r="G1887" t="s">
        <v>126</v>
      </c>
    </row>
    <row r="1888" spans="1:7" s="5" customFormat="1" x14ac:dyDescent="0.3">
      <c r="A1888" s="5" t="s">
        <v>36</v>
      </c>
      <c r="B1888" s="5" t="s">
        <v>260</v>
      </c>
      <c r="C1888" s="5">
        <v>4</v>
      </c>
      <c r="D1888" s="5" t="s">
        <v>909</v>
      </c>
      <c r="E1888" s="5" t="s">
        <v>909</v>
      </c>
      <c r="F1888" s="5" t="s">
        <v>99</v>
      </c>
      <c r="G1888" s="5" t="s">
        <v>99</v>
      </c>
    </row>
    <row r="1889" spans="1:13" s="5" customFormat="1" x14ac:dyDescent="0.3">
      <c r="A1889" s="5" t="s">
        <v>34</v>
      </c>
      <c r="B1889" s="5" t="s">
        <v>258</v>
      </c>
      <c r="C1889" s="5">
        <v>28</v>
      </c>
      <c r="D1889" s="5" t="s">
        <v>132</v>
      </c>
      <c r="E1889" s="5" t="s">
        <v>989</v>
      </c>
      <c r="F1889" s="5" t="s">
        <v>99</v>
      </c>
      <c r="G1889" s="5" t="s">
        <v>99</v>
      </c>
    </row>
    <row r="1890" spans="1:13" x14ac:dyDescent="0.3">
      <c r="A1890" t="s">
        <v>34</v>
      </c>
      <c r="B1890" t="s">
        <v>260</v>
      </c>
      <c r="C1890">
        <v>42</v>
      </c>
      <c r="D1890" t="s">
        <v>720</v>
      </c>
      <c r="E1890" t="s">
        <v>1082</v>
      </c>
      <c r="F1890" t="s">
        <v>179</v>
      </c>
      <c r="G1890" t="s">
        <v>99</v>
      </c>
    </row>
    <row r="1891" spans="1:13" x14ac:dyDescent="0.3">
      <c r="A1891" t="s">
        <v>33</v>
      </c>
      <c r="B1891" t="s">
        <v>258</v>
      </c>
      <c r="C1891">
        <v>523</v>
      </c>
      <c r="D1891" t="s">
        <v>130</v>
      </c>
      <c r="E1891" t="s">
        <v>237</v>
      </c>
      <c r="F1891" t="s">
        <v>99</v>
      </c>
      <c r="G1891" t="s">
        <v>99</v>
      </c>
    </row>
    <row r="1892" spans="1:13" x14ac:dyDescent="0.3">
      <c r="A1892" t="s">
        <v>49</v>
      </c>
      <c r="B1892" t="s">
        <v>258</v>
      </c>
      <c r="C1892">
        <v>3282</v>
      </c>
      <c r="D1892" t="s">
        <v>120</v>
      </c>
      <c r="E1892" t="s">
        <v>404</v>
      </c>
      <c r="F1892" t="s">
        <v>198</v>
      </c>
      <c r="G1892" t="s">
        <v>104</v>
      </c>
    </row>
    <row r="1893" spans="1:13" x14ac:dyDescent="0.3">
      <c r="A1893" t="s">
        <v>49</v>
      </c>
      <c r="B1893" t="s">
        <v>260</v>
      </c>
      <c r="C1893">
        <v>122</v>
      </c>
      <c r="D1893" t="s">
        <v>440</v>
      </c>
      <c r="E1893" t="s">
        <v>1020</v>
      </c>
      <c r="F1893" t="s">
        <v>144</v>
      </c>
      <c r="G1893" t="s">
        <v>99</v>
      </c>
    </row>
    <row r="1895" spans="1:13" x14ac:dyDescent="0.3">
      <c r="A1895" t="s">
        <v>1083</v>
      </c>
    </row>
    <row r="1896" spans="1:13" x14ac:dyDescent="0.3">
      <c r="A1896" t="s">
        <v>44</v>
      </c>
      <c r="B1896" t="s">
        <v>32</v>
      </c>
      <c r="C1896" t="s">
        <v>1084</v>
      </c>
      <c r="D1896" t="s">
        <v>1085</v>
      </c>
      <c r="E1896" t="s">
        <v>1086</v>
      </c>
      <c r="F1896" t="s">
        <v>1087</v>
      </c>
      <c r="G1896" t="s">
        <v>1088</v>
      </c>
      <c r="H1896" t="s">
        <v>1089</v>
      </c>
      <c r="I1896" t="s">
        <v>1090</v>
      </c>
      <c r="J1896" t="s">
        <v>1091</v>
      </c>
      <c r="K1896" t="s">
        <v>1092</v>
      </c>
      <c r="L1896" t="s">
        <v>88</v>
      </c>
      <c r="M1896" t="s">
        <v>1093</v>
      </c>
    </row>
    <row r="1897" spans="1:13" x14ac:dyDescent="0.3">
      <c r="A1897" t="s">
        <v>35</v>
      </c>
      <c r="B1897">
        <v>47</v>
      </c>
      <c r="C1897" t="s">
        <v>673</v>
      </c>
      <c r="D1897" t="s">
        <v>545</v>
      </c>
      <c r="E1897" t="s">
        <v>99</v>
      </c>
      <c r="F1897" t="s">
        <v>268</v>
      </c>
      <c r="G1897" t="s">
        <v>99</v>
      </c>
      <c r="H1897" t="s">
        <v>1094</v>
      </c>
      <c r="I1897" t="s">
        <v>268</v>
      </c>
      <c r="J1897" t="s">
        <v>99</v>
      </c>
      <c r="K1897" t="s">
        <v>99</v>
      </c>
      <c r="L1897" t="s">
        <v>449</v>
      </c>
      <c r="M1897" t="s">
        <v>501</v>
      </c>
    </row>
    <row r="1898" spans="1:13" s="5" customFormat="1" x14ac:dyDescent="0.3">
      <c r="A1898" s="5" t="s">
        <v>37</v>
      </c>
      <c r="B1898" s="5">
        <v>19</v>
      </c>
      <c r="C1898" s="5" t="s">
        <v>224</v>
      </c>
      <c r="D1898" s="5" t="s">
        <v>99</v>
      </c>
      <c r="E1898" s="5" t="s">
        <v>99</v>
      </c>
      <c r="F1898" s="5" t="s">
        <v>184</v>
      </c>
      <c r="G1898" s="5" t="s">
        <v>99</v>
      </c>
      <c r="H1898" s="5" t="s">
        <v>551</v>
      </c>
      <c r="I1898" s="5" t="s">
        <v>99</v>
      </c>
      <c r="J1898" s="5" t="s">
        <v>99</v>
      </c>
      <c r="K1898" s="5" t="s">
        <v>99</v>
      </c>
      <c r="L1898" s="5" t="s">
        <v>105</v>
      </c>
      <c r="M1898" s="5" t="s">
        <v>672</v>
      </c>
    </row>
    <row r="1899" spans="1:13" s="5" customFormat="1" x14ac:dyDescent="0.3">
      <c r="A1899" s="5" t="s">
        <v>36</v>
      </c>
      <c r="B1899" s="5">
        <v>15</v>
      </c>
      <c r="C1899" s="5" t="s">
        <v>650</v>
      </c>
      <c r="D1899" s="5" t="s">
        <v>694</v>
      </c>
      <c r="E1899" s="5" t="s">
        <v>99</v>
      </c>
      <c r="F1899" s="5" t="s">
        <v>99</v>
      </c>
      <c r="G1899" s="5" t="s">
        <v>99</v>
      </c>
      <c r="H1899" s="5" t="s">
        <v>1095</v>
      </c>
      <c r="I1899" s="5" t="s">
        <v>474</v>
      </c>
      <c r="J1899" s="5" t="s">
        <v>99</v>
      </c>
      <c r="K1899" s="5" t="s">
        <v>474</v>
      </c>
      <c r="L1899" s="5" t="s">
        <v>114</v>
      </c>
      <c r="M1899" s="5" t="s">
        <v>99</v>
      </c>
    </row>
    <row r="1900" spans="1:13" s="5" customFormat="1" x14ac:dyDescent="0.3">
      <c r="A1900" s="5" t="s">
        <v>34</v>
      </c>
      <c r="B1900" s="5">
        <v>11</v>
      </c>
      <c r="C1900" s="5" t="s">
        <v>557</v>
      </c>
      <c r="D1900" s="5" t="s">
        <v>588</v>
      </c>
      <c r="E1900" s="5" t="s">
        <v>99</v>
      </c>
      <c r="F1900" s="5" t="s">
        <v>179</v>
      </c>
      <c r="G1900" s="5" t="s">
        <v>99</v>
      </c>
      <c r="H1900" s="5" t="s">
        <v>805</v>
      </c>
      <c r="I1900" s="5" t="s">
        <v>150</v>
      </c>
      <c r="J1900" s="5" t="s">
        <v>99</v>
      </c>
      <c r="K1900" s="5" t="s">
        <v>99</v>
      </c>
      <c r="L1900" s="5" t="s">
        <v>107</v>
      </c>
      <c r="M1900" s="5" t="s">
        <v>99</v>
      </c>
    </row>
    <row r="1901" spans="1:13" s="5" customFormat="1" x14ac:dyDescent="0.3">
      <c r="A1901" s="5" t="s">
        <v>33</v>
      </c>
      <c r="B1901" s="5">
        <v>18</v>
      </c>
      <c r="C1901" s="5" t="s">
        <v>820</v>
      </c>
      <c r="D1901" s="5" t="s">
        <v>680</v>
      </c>
      <c r="E1901" s="5" t="s">
        <v>99</v>
      </c>
      <c r="F1901" s="5" t="s">
        <v>412</v>
      </c>
      <c r="G1901" s="5" t="s">
        <v>412</v>
      </c>
      <c r="H1901" s="5" t="s">
        <v>815</v>
      </c>
      <c r="I1901" s="5" t="s">
        <v>99</v>
      </c>
      <c r="J1901" s="5" t="s">
        <v>99</v>
      </c>
      <c r="K1901" s="5" t="s">
        <v>99</v>
      </c>
      <c r="L1901" s="5" t="s">
        <v>167</v>
      </c>
      <c r="M1901" s="5" t="s">
        <v>99</v>
      </c>
    </row>
    <row r="1902" spans="1:13" x14ac:dyDescent="0.3">
      <c r="A1902" t="s">
        <v>49</v>
      </c>
      <c r="B1902">
        <v>110</v>
      </c>
      <c r="C1902" t="s">
        <v>137</v>
      </c>
      <c r="D1902" t="s">
        <v>702</v>
      </c>
      <c r="E1902" t="s">
        <v>99</v>
      </c>
      <c r="F1902" t="s">
        <v>684</v>
      </c>
      <c r="G1902" t="s">
        <v>108</v>
      </c>
      <c r="H1902" t="s">
        <v>553</v>
      </c>
      <c r="I1902" t="s">
        <v>268</v>
      </c>
      <c r="J1902" t="s">
        <v>99</v>
      </c>
      <c r="K1902" t="s">
        <v>198</v>
      </c>
      <c r="L1902" t="s">
        <v>125</v>
      </c>
      <c r="M1902" t="s">
        <v>287</v>
      </c>
    </row>
    <row r="1904" spans="1:13" x14ac:dyDescent="0.3">
      <c r="A1904" t="s">
        <v>1096</v>
      </c>
    </row>
    <row r="1905" spans="1:14" x14ac:dyDescent="0.3">
      <c r="A1905" t="s">
        <v>44</v>
      </c>
      <c r="B1905" t="s">
        <v>847</v>
      </c>
      <c r="C1905" t="s">
        <v>32</v>
      </c>
      <c r="D1905" t="s">
        <v>1084</v>
      </c>
      <c r="E1905" t="s">
        <v>1085</v>
      </c>
      <c r="F1905" t="s">
        <v>1086</v>
      </c>
      <c r="G1905" t="s">
        <v>1087</v>
      </c>
      <c r="H1905" t="s">
        <v>1088</v>
      </c>
      <c r="I1905" t="s">
        <v>1089</v>
      </c>
      <c r="J1905" t="s">
        <v>1090</v>
      </c>
      <c r="K1905" t="s">
        <v>1091</v>
      </c>
      <c r="L1905" t="s">
        <v>1092</v>
      </c>
      <c r="M1905" t="s">
        <v>88</v>
      </c>
      <c r="N1905" t="s">
        <v>1093</v>
      </c>
    </row>
    <row r="1906" spans="1:14" s="5" customFormat="1" x14ac:dyDescent="0.3">
      <c r="A1906" s="5" t="s">
        <v>35</v>
      </c>
      <c r="B1906" s="5" t="s">
        <v>848</v>
      </c>
      <c r="C1906" s="5">
        <v>1</v>
      </c>
      <c r="D1906" s="5" t="s">
        <v>211</v>
      </c>
      <c r="E1906" s="5" t="s">
        <v>99</v>
      </c>
      <c r="F1906" s="5" t="s">
        <v>99</v>
      </c>
      <c r="G1906" s="5" t="s">
        <v>99</v>
      </c>
      <c r="H1906" s="5" t="s">
        <v>99</v>
      </c>
      <c r="I1906" s="5" t="s">
        <v>211</v>
      </c>
      <c r="J1906" s="5" t="s">
        <v>99</v>
      </c>
      <c r="K1906" s="5" t="s">
        <v>99</v>
      </c>
      <c r="L1906" s="5" t="s">
        <v>99</v>
      </c>
      <c r="M1906" s="5" t="s">
        <v>99</v>
      </c>
      <c r="N1906" s="5" t="s">
        <v>99</v>
      </c>
    </row>
    <row r="1907" spans="1:14" x14ac:dyDescent="0.3">
      <c r="A1907" t="s">
        <v>35</v>
      </c>
      <c r="B1907" t="s">
        <v>365</v>
      </c>
      <c r="C1907">
        <v>46</v>
      </c>
      <c r="D1907" t="s">
        <v>807</v>
      </c>
      <c r="E1907" t="s">
        <v>1094</v>
      </c>
      <c r="F1907" t="s">
        <v>99</v>
      </c>
      <c r="G1907" t="s">
        <v>268</v>
      </c>
      <c r="H1907" t="s">
        <v>99</v>
      </c>
      <c r="I1907" t="s">
        <v>667</v>
      </c>
      <c r="J1907" t="s">
        <v>268</v>
      </c>
      <c r="K1907" t="s">
        <v>99</v>
      </c>
      <c r="L1907" t="s">
        <v>99</v>
      </c>
      <c r="M1907" t="s">
        <v>179</v>
      </c>
      <c r="N1907" t="s">
        <v>673</v>
      </c>
    </row>
    <row r="1908" spans="1:14" s="5" customFormat="1" x14ac:dyDescent="0.3">
      <c r="A1908" s="5" t="s">
        <v>37</v>
      </c>
      <c r="B1908" s="5" t="s">
        <v>852</v>
      </c>
      <c r="C1908" s="5">
        <v>1</v>
      </c>
      <c r="D1908" s="5" t="s">
        <v>211</v>
      </c>
      <c r="E1908" s="5" t="s">
        <v>99</v>
      </c>
      <c r="F1908" s="5" t="s">
        <v>99</v>
      </c>
      <c r="G1908" s="5" t="s">
        <v>99</v>
      </c>
      <c r="H1908" s="5" t="s">
        <v>99</v>
      </c>
      <c r="I1908" s="5" t="s">
        <v>99</v>
      </c>
      <c r="J1908" s="5" t="s">
        <v>99</v>
      </c>
      <c r="K1908" s="5" t="s">
        <v>99</v>
      </c>
      <c r="L1908" s="5" t="s">
        <v>99</v>
      </c>
      <c r="M1908" s="5" t="s">
        <v>99</v>
      </c>
      <c r="N1908" s="5" t="s">
        <v>99</v>
      </c>
    </row>
    <row r="1909" spans="1:14" x14ac:dyDescent="0.3">
      <c r="A1909" t="s">
        <v>37</v>
      </c>
      <c r="B1909" t="s">
        <v>365</v>
      </c>
      <c r="C1909">
        <v>18</v>
      </c>
      <c r="D1909" t="s">
        <v>911</v>
      </c>
      <c r="E1909" t="s">
        <v>99</v>
      </c>
      <c r="F1909" t="s">
        <v>99</v>
      </c>
      <c r="G1909" t="s">
        <v>305</v>
      </c>
      <c r="H1909" t="s">
        <v>99</v>
      </c>
      <c r="I1909" t="s">
        <v>1097</v>
      </c>
      <c r="J1909" t="s">
        <v>99</v>
      </c>
      <c r="K1909" t="s">
        <v>99</v>
      </c>
      <c r="L1909" t="s">
        <v>99</v>
      </c>
      <c r="M1909" t="s">
        <v>154</v>
      </c>
      <c r="N1909" t="s">
        <v>536</v>
      </c>
    </row>
    <row r="1910" spans="1:14" x14ac:dyDescent="0.3">
      <c r="A1910" t="s">
        <v>36</v>
      </c>
      <c r="B1910" t="s">
        <v>365</v>
      </c>
      <c r="C1910">
        <v>15</v>
      </c>
      <c r="D1910" t="s">
        <v>650</v>
      </c>
      <c r="E1910" t="s">
        <v>694</v>
      </c>
      <c r="F1910" t="s">
        <v>99</v>
      </c>
      <c r="G1910" t="s">
        <v>99</v>
      </c>
      <c r="H1910" t="s">
        <v>99</v>
      </c>
      <c r="I1910" t="s">
        <v>1095</v>
      </c>
      <c r="J1910" t="s">
        <v>474</v>
      </c>
      <c r="K1910" t="s">
        <v>99</v>
      </c>
      <c r="L1910" t="s">
        <v>474</v>
      </c>
      <c r="M1910" t="s">
        <v>114</v>
      </c>
      <c r="N1910" t="s">
        <v>99</v>
      </c>
    </row>
    <row r="1911" spans="1:14" x14ac:dyDescent="0.3">
      <c r="A1911" t="s">
        <v>34</v>
      </c>
      <c r="B1911" t="s">
        <v>365</v>
      </c>
      <c r="C1911">
        <v>11</v>
      </c>
      <c r="D1911" t="s">
        <v>557</v>
      </c>
      <c r="E1911" t="s">
        <v>588</v>
      </c>
      <c r="F1911" t="s">
        <v>99</v>
      </c>
      <c r="G1911" t="s">
        <v>179</v>
      </c>
      <c r="H1911" t="s">
        <v>99</v>
      </c>
      <c r="I1911" t="s">
        <v>805</v>
      </c>
      <c r="J1911" t="s">
        <v>150</v>
      </c>
      <c r="K1911" t="s">
        <v>99</v>
      </c>
      <c r="L1911" t="s">
        <v>99</v>
      </c>
      <c r="M1911" t="s">
        <v>107</v>
      </c>
      <c r="N1911" t="s">
        <v>99</v>
      </c>
    </row>
    <row r="1912" spans="1:14" x14ac:dyDescent="0.3">
      <c r="A1912" t="s">
        <v>33</v>
      </c>
      <c r="B1912" t="s">
        <v>365</v>
      </c>
      <c r="C1912">
        <v>18</v>
      </c>
      <c r="D1912" t="s">
        <v>820</v>
      </c>
      <c r="E1912" t="s">
        <v>680</v>
      </c>
      <c r="F1912" t="s">
        <v>99</v>
      </c>
      <c r="G1912" t="s">
        <v>412</v>
      </c>
      <c r="H1912" t="s">
        <v>412</v>
      </c>
      <c r="I1912" t="s">
        <v>815</v>
      </c>
      <c r="J1912" t="s">
        <v>99</v>
      </c>
      <c r="K1912" t="s">
        <v>99</v>
      </c>
      <c r="L1912" t="s">
        <v>99</v>
      </c>
      <c r="M1912" t="s">
        <v>167</v>
      </c>
      <c r="N1912" t="s">
        <v>99</v>
      </c>
    </row>
    <row r="1913" spans="1:14" s="5" customFormat="1" x14ac:dyDescent="0.3">
      <c r="A1913" s="5" t="s">
        <v>49</v>
      </c>
      <c r="B1913" s="5" t="s">
        <v>848</v>
      </c>
      <c r="C1913" s="5">
        <v>1</v>
      </c>
      <c r="D1913" s="5" t="s">
        <v>211</v>
      </c>
      <c r="E1913" s="5" t="s">
        <v>99</v>
      </c>
      <c r="F1913" s="5" t="s">
        <v>99</v>
      </c>
      <c r="G1913" s="5" t="s">
        <v>99</v>
      </c>
      <c r="H1913" s="5" t="s">
        <v>99</v>
      </c>
      <c r="I1913" s="5" t="s">
        <v>211</v>
      </c>
      <c r="J1913" s="5" t="s">
        <v>99</v>
      </c>
      <c r="K1913" s="5" t="s">
        <v>99</v>
      </c>
      <c r="L1913" s="5" t="s">
        <v>99</v>
      </c>
      <c r="M1913" s="5" t="s">
        <v>99</v>
      </c>
      <c r="N1913" s="5" t="s">
        <v>99</v>
      </c>
    </row>
    <row r="1914" spans="1:14" s="5" customFormat="1" x14ac:dyDescent="0.3">
      <c r="A1914" s="5" t="s">
        <v>49</v>
      </c>
      <c r="B1914" s="5" t="s">
        <v>852</v>
      </c>
      <c r="C1914" s="5">
        <v>1</v>
      </c>
      <c r="D1914" s="5" t="s">
        <v>211</v>
      </c>
      <c r="E1914" s="5" t="s">
        <v>99</v>
      </c>
      <c r="F1914" s="5" t="s">
        <v>99</v>
      </c>
      <c r="G1914" s="5" t="s">
        <v>99</v>
      </c>
      <c r="H1914" s="5" t="s">
        <v>99</v>
      </c>
      <c r="I1914" s="5" t="s">
        <v>99</v>
      </c>
      <c r="J1914" s="5" t="s">
        <v>99</v>
      </c>
      <c r="K1914" s="5" t="s">
        <v>99</v>
      </c>
      <c r="L1914" s="5" t="s">
        <v>99</v>
      </c>
      <c r="M1914" s="5" t="s">
        <v>99</v>
      </c>
      <c r="N1914" s="5" t="s">
        <v>99</v>
      </c>
    </row>
    <row r="1915" spans="1:14" x14ac:dyDescent="0.3">
      <c r="A1915" t="s">
        <v>49</v>
      </c>
      <c r="B1915" t="s">
        <v>365</v>
      </c>
      <c r="C1915">
        <v>108</v>
      </c>
      <c r="D1915" t="s">
        <v>529</v>
      </c>
      <c r="E1915" t="s">
        <v>307</v>
      </c>
      <c r="F1915" t="s">
        <v>99</v>
      </c>
      <c r="G1915" t="s">
        <v>98</v>
      </c>
      <c r="H1915" t="s">
        <v>108</v>
      </c>
      <c r="I1915" t="s">
        <v>1098</v>
      </c>
      <c r="J1915" t="s">
        <v>268</v>
      </c>
      <c r="K1915" t="s">
        <v>99</v>
      </c>
      <c r="L1915" t="s">
        <v>198</v>
      </c>
      <c r="M1915" t="s">
        <v>133</v>
      </c>
      <c r="N1915" t="s">
        <v>311</v>
      </c>
    </row>
    <row r="1917" spans="1:14" x14ac:dyDescent="0.3">
      <c r="A1917" t="s">
        <v>1099</v>
      </c>
    </row>
    <row r="1918" spans="1:14" x14ac:dyDescent="0.3">
      <c r="A1918" t="s">
        <v>44</v>
      </c>
      <c r="B1918" t="s">
        <v>972</v>
      </c>
      <c r="C1918" t="s">
        <v>32</v>
      </c>
      <c r="D1918" t="s">
        <v>1084</v>
      </c>
      <c r="E1918" t="s">
        <v>1085</v>
      </c>
      <c r="F1918" t="s">
        <v>1086</v>
      </c>
      <c r="G1918" t="s">
        <v>1087</v>
      </c>
      <c r="H1918" t="s">
        <v>1088</v>
      </c>
      <c r="I1918" t="s">
        <v>1089</v>
      </c>
      <c r="J1918" t="s">
        <v>1090</v>
      </c>
      <c r="K1918" t="s">
        <v>1091</v>
      </c>
      <c r="L1918" t="s">
        <v>1092</v>
      </c>
      <c r="M1918" t="s">
        <v>88</v>
      </c>
      <c r="N1918" t="s">
        <v>1093</v>
      </c>
    </row>
    <row r="1919" spans="1:14" s="5" customFormat="1" x14ac:dyDescent="0.3">
      <c r="A1919" s="5" t="s">
        <v>35</v>
      </c>
      <c r="B1919" s="5" t="s">
        <v>973</v>
      </c>
      <c r="C1919" s="5">
        <v>14</v>
      </c>
      <c r="D1919" s="5" t="s">
        <v>743</v>
      </c>
      <c r="E1919" s="5" t="s">
        <v>793</v>
      </c>
      <c r="F1919" s="5" t="s">
        <v>99</v>
      </c>
      <c r="G1919" s="5" t="s">
        <v>99</v>
      </c>
      <c r="H1919" s="5" t="s">
        <v>99</v>
      </c>
      <c r="I1919" s="5" t="s">
        <v>242</v>
      </c>
      <c r="J1919" s="5" t="s">
        <v>99</v>
      </c>
      <c r="K1919" s="5" t="s">
        <v>99</v>
      </c>
      <c r="L1919" s="5" t="s">
        <v>99</v>
      </c>
      <c r="M1919" s="5" t="s">
        <v>99</v>
      </c>
      <c r="N1919" s="5" t="s">
        <v>1067</v>
      </c>
    </row>
    <row r="1920" spans="1:14" s="5" customFormat="1" x14ac:dyDescent="0.3">
      <c r="A1920" s="5" t="s">
        <v>35</v>
      </c>
      <c r="B1920" s="5" t="s">
        <v>975</v>
      </c>
      <c r="C1920" s="5">
        <v>12</v>
      </c>
      <c r="D1920" s="5" t="s">
        <v>99</v>
      </c>
      <c r="E1920" s="5" t="s">
        <v>536</v>
      </c>
      <c r="F1920" s="5" t="s">
        <v>99</v>
      </c>
      <c r="G1920" s="5" t="s">
        <v>99</v>
      </c>
      <c r="H1920" s="5" t="s">
        <v>99</v>
      </c>
      <c r="I1920" s="5" t="s">
        <v>900</v>
      </c>
      <c r="J1920" s="5" t="s">
        <v>99</v>
      </c>
      <c r="K1920" s="5" t="s">
        <v>99</v>
      </c>
      <c r="L1920" s="5" t="s">
        <v>99</v>
      </c>
      <c r="M1920" s="5" t="s">
        <v>724</v>
      </c>
      <c r="N1920" s="5" t="s">
        <v>248</v>
      </c>
    </row>
    <row r="1921" spans="1:14" s="5" customFormat="1" x14ac:dyDescent="0.3">
      <c r="A1921" s="5" t="s">
        <v>35</v>
      </c>
      <c r="B1921" s="5" t="s">
        <v>976</v>
      </c>
      <c r="C1921" s="5">
        <v>9</v>
      </c>
      <c r="D1921" s="5" t="s">
        <v>609</v>
      </c>
      <c r="E1921" s="5" t="s">
        <v>296</v>
      </c>
      <c r="F1921" s="5" t="s">
        <v>99</v>
      </c>
      <c r="G1921" s="5" t="s">
        <v>231</v>
      </c>
      <c r="H1921" s="5" t="s">
        <v>99</v>
      </c>
      <c r="I1921" s="5" t="s">
        <v>816</v>
      </c>
      <c r="J1921" s="5" t="s">
        <v>231</v>
      </c>
      <c r="K1921" s="5" t="s">
        <v>99</v>
      </c>
      <c r="L1921" s="5" t="s">
        <v>99</v>
      </c>
      <c r="M1921" s="5" t="s">
        <v>231</v>
      </c>
      <c r="N1921" s="5" t="s">
        <v>179</v>
      </c>
    </row>
    <row r="1922" spans="1:14" s="5" customFormat="1" x14ac:dyDescent="0.3">
      <c r="A1922" s="5" t="s">
        <v>35</v>
      </c>
      <c r="B1922" s="5" t="s">
        <v>977</v>
      </c>
      <c r="C1922" s="5">
        <v>11</v>
      </c>
      <c r="D1922" s="5" t="s">
        <v>712</v>
      </c>
      <c r="E1922" s="5" t="s">
        <v>920</v>
      </c>
      <c r="F1922" s="5" t="s">
        <v>99</v>
      </c>
      <c r="G1922" s="5" t="s">
        <v>99</v>
      </c>
      <c r="H1922" s="5" t="s">
        <v>99</v>
      </c>
      <c r="I1922" s="5" t="s">
        <v>1100</v>
      </c>
      <c r="J1922" s="5" t="s">
        <v>99</v>
      </c>
      <c r="K1922" s="5" t="s">
        <v>99</v>
      </c>
      <c r="L1922" s="5" t="s">
        <v>99</v>
      </c>
      <c r="M1922" s="5" t="s">
        <v>807</v>
      </c>
      <c r="N1922" s="5" t="s">
        <v>99</v>
      </c>
    </row>
    <row r="1923" spans="1:14" s="5" customFormat="1" x14ac:dyDescent="0.3">
      <c r="A1923" s="5" t="s">
        <v>35</v>
      </c>
      <c r="B1923" s="5" t="s">
        <v>979</v>
      </c>
      <c r="C1923" s="5">
        <v>1</v>
      </c>
      <c r="D1923" s="5" t="s">
        <v>211</v>
      </c>
      <c r="E1923" s="5" t="s">
        <v>211</v>
      </c>
      <c r="F1923" s="5" t="s">
        <v>99</v>
      </c>
      <c r="G1923" s="5" t="s">
        <v>99</v>
      </c>
      <c r="H1923" s="5" t="s">
        <v>99</v>
      </c>
      <c r="I1923" s="5" t="s">
        <v>99</v>
      </c>
      <c r="J1923" s="5" t="s">
        <v>99</v>
      </c>
      <c r="K1923" s="5" t="s">
        <v>99</v>
      </c>
      <c r="L1923" s="5" t="s">
        <v>99</v>
      </c>
      <c r="M1923" s="5" t="s">
        <v>99</v>
      </c>
      <c r="N1923" s="5" t="s">
        <v>99</v>
      </c>
    </row>
    <row r="1924" spans="1:14" s="5" customFormat="1" x14ac:dyDescent="0.3">
      <c r="A1924" s="5" t="s">
        <v>37</v>
      </c>
      <c r="B1924" s="5" t="s">
        <v>973</v>
      </c>
      <c r="C1924" s="5">
        <v>5</v>
      </c>
      <c r="D1924" s="5" t="s">
        <v>99</v>
      </c>
      <c r="E1924" s="5" t="s">
        <v>99</v>
      </c>
      <c r="F1924" s="5" t="s">
        <v>99</v>
      </c>
      <c r="G1924" s="5" t="s">
        <v>99</v>
      </c>
      <c r="H1924" s="5" t="s">
        <v>99</v>
      </c>
      <c r="I1924" s="5" t="s">
        <v>912</v>
      </c>
      <c r="J1924" s="5" t="s">
        <v>99</v>
      </c>
      <c r="K1924" s="5" t="s">
        <v>99</v>
      </c>
      <c r="L1924" s="5" t="s">
        <v>99</v>
      </c>
      <c r="M1924" s="5" t="s">
        <v>99</v>
      </c>
      <c r="N1924" s="5" t="s">
        <v>911</v>
      </c>
    </row>
    <row r="1925" spans="1:14" s="5" customFormat="1" x14ac:dyDescent="0.3">
      <c r="A1925" s="5" t="s">
        <v>37</v>
      </c>
      <c r="B1925" s="5" t="s">
        <v>975</v>
      </c>
      <c r="C1925" s="5">
        <v>2</v>
      </c>
      <c r="D1925" s="5" t="s">
        <v>99</v>
      </c>
      <c r="E1925" s="5" t="s">
        <v>99</v>
      </c>
      <c r="F1925" s="5" t="s">
        <v>99</v>
      </c>
      <c r="G1925" s="5" t="s">
        <v>99</v>
      </c>
      <c r="H1925" s="5" t="s">
        <v>99</v>
      </c>
      <c r="I1925" s="5" t="s">
        <v>956</v>
      </c>
      <c r="J1925" s="5" t="s">
        <v>99</v>
      </c>
      <c r="K1925" s="5" t="s">
        <v>99</v>
      </c>
      <c r="L1925" s="5" t="s">
        <v>99</v>
      </c>
      <c r="M1925" s="5" t="s">
        <v>99</v>
      </c>
      <c r="N1925" s="5" t="s">
        <v>1100</v>
      </c>
    </row>
    <row r="1926" spans="1:14" s="5" customFormat="1" x14ac:dyDescent="0.3">
      <c r="A1926" s="5" t="s">
        <v>37</v>
      </c>
      <c r="B1926" s="5" t="s">
        <v>976</v>
      </c>
      <c r="C1926" s="5">
        <v>7</v>
      </c>
      <c r="D1926" s="5" t="s">
        <v>944</v>
      </c>
      <c r="E1926" s="5" t="s">
        <v>99</v>
      </c>
      <c r="F1926" s="5" t="s">
        <v>99</v>
      </c>
      <c r="G1926" s="5" t="s">
        <v>478</v>
      </c>
      <c r="H1926" s="5" t="s">
        <v>99</v>
      </c>
      <c r="I1926" s="5" t="s">
        <v>283</v>
      </c>
      <c r="J1926" s="5" t="s">
        <v>99</v>
      </c>
      <c r="K1926" s="5" t="s">
        <v>99</v>
      </c>
      <c r="L1926" s="5" t="s">
        <v>99</v>
      </c>
      <c r="M1926" s="5" t="s">
        <v>99</v>
      </c>
      <c r="N1926" s="5" t="s">
        <v>182</v>
      </c>
    </row>
    <row r="1927" spans="1:14" s="5" customFormat="1" x14ac:dyDescent="0.3">
      <c r="A1927" s="5" t="s">
        <v>37</v>
      </c>
      <c r="B1927" s="5" t="s">
        <v>977</v>
      </c>
      <c r="C1927" s="5">
        <v>5</v>
      </c>
      <c r="D1927" s="5" t="s">
        <v>1101</v>
      </c>
      <c r="E1927" s="5" t="s">
        <v>99</v>
      </c>
      <c r="F1927" s="5" t="s">
        <v>99</v>
      </c>
      <c r="G1927" s="5" t="s">
        <v>99</v>
      </c>
      <c r="H1927" s="5" t="s">
        <v>99</v>
      </c>
      <c r="I1927" s="5" t="s">
        <v>1102</v>
      </c>
      <c r="J1927" s="5" t="s">
        <v>99</v>
      </c>
      <c r="K1927" s="5" t="s">
        <v>99</v>
      </c>
      <c r="L1927" s="5" t="s">
        <v>99</v>
      </c>
      <c r="M1927" s="5" t="s">
        <v>179</v>
      </c>
      <c r="N1927" s="5" t="s">
        <v>99</v>
      </c>
    </row>
    <row r="1928" spans="1:14" s="5" customFormat="1" x14ac:dyDescent="0.3">
      <c r="A1928" s="5" t="s">
        <v>36</v>
      </c>
      <c r="B1928" s="5" t="s">
        <v>973</v>
      </c>
      <c r="C1928" s="5">
        <v>2</v>
      </c>
      <c r="D1928" s="5" t="s">
        <v>909</v>
      </c>
      <c r="E1928" s="5" t="s">
        <v>211</v>
      </c>
      <c r="F1928" s="5" t="s">
        <v>99</v>
      </c>
      <c r="G1928" s="5" t="s">
        <v>99</v>
      </c>
      <c r="H1928" s="5" t="s">
        <v>99</v>
      </c>
      <c r="I1928" s="5" t="s">
        <v>99</v>
      </c>
      <c r="J1928" s="5" t="s">
        <v>99</v>
      </c>
      <c r="K1928" s="5" t="s">
        <v>99</v>
      </c>
      <c r="L1928" s="5" t="s">
        <v>99</v>
      </c>
      <c r="M1928" s="5" t="s">
        <v>909</v>
      </c>
      <c r="N1928" s="5" t="s">
        <v>99</v>
      </c>
    </row>
    <row r="1929" spans="1:14" s="5" customFormat="1" x14ac:dyDescent="0.3">
      <c r="A1929" s="5" t="s">
        <v>36</v>
      </c>
      <c r="B1929" s="5" t="s">
        <v>975</v>
      </c>
      <c r="C1929" s="5">
        <v>7</v>
      </c>
      <c r="D1929" s="5" t="s">
        <v>557</v>
      </c>
      <c r="E1929" s="5" t="s">
        <v>296</v>
      </c>
      <c r="F1929" s="5" t="s">
        <v>99</v>
      </c>
      <c r="G1929" s="5" t="s">
        <v>99</v>
      </c>
      <c r="H1929" s="5" t="s">
        <v>99</v>
      </c>
      <c r="I1929" s="5" t="s">
        <v>595</v>
      </c>
      <c r="J1929" s="5" t="s">
        <v>296</v>
      </c>
      <c r="K1929" s="5" t="s">
        <v>99</v>
      </c>
      <c r="L1929" s="5" t="s">
        <v>99</v>
      </c>
      <c r="M1929" s="5" t="s">
        <v>99</v>
      </c>
      <c r="N1929" s="5" t="s">
        <v>99</v>
      </c>
    </row>
    <row r="1930" spans="1:14" s="5" customFormat="1" x14ac:dyDescent="0.3">
      <c r="A1930" s="5" t="s">
        <v>36</v>
      </c>
      <c r="B1930" s="5" t="s">
        <v>976</v>
      </c>
      <c r="C1930" s="5">
        <v>4</v>
      </c>
      <c r="D1930" s="5" t="s">
        <v>689</v>
      </c>
      <c r="E1930" s="5" t="s">
        <v>416</v>
      </c>
      <c r="F1930" s="5" t="s">
        <v>99</v>
      </c>
      <c r="G1930" s="5" t="s">
        <v>99</v>
      </c>
      <c r="H1930" s="5" t="s">
        <v>99</v>
      </c>
      <c r="I1930" s="5" t="s">
        <v>431</v>
      </c>
      <c r="J1930" s="5" t="s">
        <v>99</v>
      </c>
      <c r="K1930" s="5" t="s">
        <v>99</v>
      </c>
      <c r="L1930" s="5" t="s">
        <v>416</v>
      </c>
      <c r="M1930" s="5" t="s">
        <v>99</v>
      </c>
      <c r="N1930" s="5" t="s">
        <v>99</v>
      </c>
    </row>
    <row r="1931" spans="1:14" s="5" customFormat="1" x14ac:dyDescent="0.3">
      <c r="A1931" s="5" t="s">
        <v>36</v>
      </c>
      <c r="B1931" s="5" t="s">
        <v>977</v>
      </c>
      <c r="C1931" s="5">
        <v>2</v>
      </c>
      <c r="D1931" s="5" t="s">
        <v>651</v>
      </c>
      <c r="E1931" s="5" t="s">
        <v>824</v>
      </c>
      <c r="F1931" s="5" t="s">
        <v>99</v>
      </c>
      <c r="G1931" s="5" t="s">
        <v>99</v>
      </c>
      <c r="H1931" s="5" t="s">
        <v>99</v>
      </c>
      <c r="I1931" s="5" t="s">
        <v>99</v>
      </c>
      <c r="J1931" s="5" t="s">
        <v>99</v>
      </c>
      <c r="K1931" s="5" t="s">
        <v>99</v>
      </c>
      <c r="L1931" s="5" t="s">
        <v>99</v>
      </c>
      <c r="M1931" s="5" t="s">
        <v>99</v>
      </c>
      <c r="N1931" s="5" t="s">
        <v>99</v>
      </c>
    </row>
    <row r="1932" spans="1:14" s="5" customFormat="1" x14ac:dyDescent="0.3">
      <c r="A1932" s="5" t="s">
        <v>34</v>
      </c>
      <c r="B1932" s="5" t="s">
        <v>975</v>
      </c>
      <c r="C1932" s="5">
        <v>2</v>
      </c>
      <c r="D1932" s="5" t="s">
        <v>211</v>
      </c>
      <c r="E1932" s="5" t="s">
        <v>99</v>
      </c>
      <c r="F1932" s="5" t="s">
        <v>99</v>
      </c>
      <c r="G1932" s="5" t="s">
        <v>99</v>
      </c>
      <c r="H1932" s="5" t="s">
        <v>99</v>
      </c>
      <c r="I1932" s="5" t="s">
        <v>99</v>
      </c>
      <c r="J1932" s="5" t="s">
        <v>99</v>
      </c>
      <c r="K1932" s="5" t="s">
        <v>99</v>
      </c>
      <c r="L1932" s="5" t="s">
        <v>99</v>
      </c>
      <c r="M1932" s="5" t="s">
        <v>99</v>
      </c>
      <c r="N1932" s="5" t="s">
        <v>99</v>
      </c>
    </row>
    <row r="1933" spans="1:14" s="5" customFormat="1" x14ac:dyDescent="0.3">
      <c r="A1933" s="5" t="s">
        <v>34</v>
      </c>
      <c r="B1933" s="5" t="s">
        <v>976</v>
      </c>
      <c r="C1933" s="5">
        <v>4</v>
      </c>
      <c r="D1933" s="5" t="s">
        <v>61</v>
      </c>
      <c r="E1933" s="5" t="s">
        <v>62</v>
      </c>
      <c r="F1933" s="5" t="s">
        <v>99</v>
      </c>
      <c r="G1933" s="5" t="s">
        <v>99</v>
      </c>
      <c r="H1933" s="5" t="s">
        <v>99</v>
      </c>
      <c r="I1933" s="5" t="s">
        <v>99</v>
      </c>
      <c r="J1933" s="5" t="s">
        <v>814</v>
      </c>
      <c r="K1933" s="5" t="s">
        <v>99</v>
      </c>
      <c r="L1933" s="5" t="s">
        <v>99</v>
      </c>
      <c r="M1933" s="5" t="s">
        <v>99</v>
      </c>
      <c r="N1933" s="5" t="s">
        <v>99</v>
      </c>
    </row>
    <row r="1934" spans="1:14" s="5" customFormat="1" x14ac:dyDescent="0.3">
      <c r="A1934" s="5" t="s">
        <v>34</v>
      </c>
      <c r="B1934" s="5" t="s">
        <v>977</v>
      </c>
      <c r="C1934" s="5">
        <v>5</v>
      </c>
      <c r="D1934" s="5" t="s">
        <v>701</v>
      </c>
      <c r="E1934" s="5" t="s">
        <v>576</v>
      </c>
      <c r="F1934" s="5" t="s">
        <v>99</v>
      </c>
      <c r="G1934" s="5" t="s">
        <v>137</v>
      </c>
      <c r="H1934" s="5" t="s">
        <v>99</v>
      </c>
      <c r="I1934" s="5" t="s">
        <v>576</v>
      </c>
      <c r="J1934" s="5" t="s">
        <v>99</v>
      </c>
      <c r="K1934" s="5" t="s">
        <v>99</v>
      </c>
      <c r="L1934" s="5" t="s">
        <v>99</v>
      </c>
      <c r="M1934" s="5" t="s">
        <v>675</v>
      </c>
      <c r="N1934" s="5" t="s">
        <v>99</v>
      </c>
    </row>
    <row r="1935" spans="1:14" s="5" customFormat="1" x14ac:dyDescent="0.3">
      <c r="A1935" s="5" t="s">
        <v>33</v>
      </c>
      <c r="B1935" s="5" t="s">
        <v>973</v>
      </c>
      <c r="C1935" s="5">
        <v>6</v>
      </c>
      <c r="D1935" s="5" t="s">
        <v>967</v>
      </c>
      <c r="E1935" s="5" t="s">
        <v>99</v>
      </c>
      <c r="F1935" s="5" t="s">
        <v>99</v>
      </c>
      <c r="G1935" s="5" t="s">
        <v>167</v>
      </c>
      <c r="H1935" s="5" t="s">
        <v>167</v>
      </c>
      <c r="I1935" s="5" t="s">
        <v>1103</v>
      </c>
      <c r="J1935" s="5" t="s">
        <v>99</v>
      </c>
      <c r="K1935" s="5" t="s">
        <v>99</v>
      </c>
      <c r="L1935" s="5" t="s">
        <v>99</v>
      </c>
      <c r="M1935" s="5" t="s">
        <v>99</v>
      </c>
      <c r="N1935" s="5" t="s">
        <v>99</v>
      </c>
    </row>
    <row r="1936" spans="1:14" s="5" customFormat="1" x14ac:dyDescent="0.3">
      <c r="A1936" s="5" t="s">
        <v>33</v>
      </c>
      <c r="B1936" s="5" t="s">
        <v>975</v>
      </c>
      <c r="C1936" s="5">
        <v>7</v>
      </c>
      <c r="D1936" s="5" t="s">
        <v>814</v>
      </c>
      <c r="E1936" s="5" t="s">
        <v>341</v>
      </c>
      <c r="F1936" s="5" t="s">
        <v>99</v>
      </c>
      <c r="G1936" s="5" t="s">
        <v>99</v>
      </c>
      <c r="H1936" s="5" t="s">
        <v>99</v>
      </c>
      <c r="I1936" s="5" t="s">
        <v>1104</v>
      </c>
      <c r="J1936" s="5" t="s">
        <v>99</v>
      </c>
      <c r="K1936" s="5" t="s">
        <v>99</v>
      </c>
      <c r="L1936" s="5" t="s">
        <v>99</v>
      </c>
      <c r="M1936" s="5" t="s">
        <v>1105</v>
      </c>
      <c r="N1936" s="5" t="s">
        <v>99</v>
      </c>
    </row>
    <row r="1937" spans="1:14" s="5" customFormat="1" x14ac:dyDescent="0.3">
      <c r="A1937" s="5" t="s">
        <v>33</v>
      </c>
      <c r="B1937" s="5" t="s">
        <v>976</v>
      </c>
      <c r="C1937" s="5">
        <v>3</v>
      </c>
      <c r="D1937" s="5" t="s">
        <v>60</v>
      </c>
      <c r="E1937" s="5" t="s">
        <v>99</v>
      </c>
      <c r="F1937" s="5" t="s">
        <v>99</v>
      </c>
      <c r="G1937" s="5" t="s">
        <v>99</v>
      </c>
      <c r="H1937" s="5" t="s">
        <v>99</v>
      </c>
      <c r="I1937" s="5" t="s">
        <v>59</v>
      </c>
      <c r="J1937" s="5" t="s">
        <v>99</v>
      </c>
      <c r="K1937" s="5" t="s">
        <v>99</v>
      </c>
      <c r="L1937" s="5" t="s">
        <v>99</v>
      </c>
      <c r="M1937" s="5" t="s">
        <v>99</v>
      </c>
      <c r="N1937" s="5" t="s">
        <v>99</v>
      </c>
    </row>
    <row r="1938" spans="1:14" s="5" customFormat="1" x14ac:dyDescent="0.3">
      <c r="A1938" s="5" t="s">
        <v>33</v>
      </c>
      <c r="B1938" s="5" t="s">
        <v>977</v>
      </c>
      <c r="C1938" s="5">
        <v>2</v>
      </c>
      <c r="D1938" s="5" t="s">
        <v>99</v>
      </c>
      <c r="E1938" s="5" t="s">
        <v>99</v>
      </c>
      <c r="F1938" s="5" t="s">
        <v>99</v>
      </c>
      <c r="G1938" s="5" t="s">
        <v>99</v>
      </c>
      <c r="H1938" s="5" t="s">
        <v>99</v>
      </c>
      <c r="I1938" s="5" t="s">
        <v>1106</v>
      </c>
      <c r="J1938" s="5" t="s">
        <v>99</v>
      </c>
      <c r="K1938" s="5" t="s">
        <v>99</v>
      </c>
      <c r="L1938" s="5" t="s">
        <v>99</v>
      </c>
      <c r="M1938" s="5" t="s">
        <v>570</v>
      </c>
      <c r="N1938" s="5" t="s">
        <v>99</v>
      </c>
    </row>
    <row r="1939" spans="1:14" s="5" customFormat="1" x14ac:dyDescent="0.3">
      <c r="A1939" s="5" t="s">
        <v>49</v>
      </c>
      <c r="B1939" s="5" t="s">
        <v>973</v>
      </c>
      <c r="C1939" s="5">
        <v>27</v>
      </c>
      <c r="D1939" s="5" t="s">
        <v>301</v>
      </c>
      <c r="E1939" s="5" t="s">
        <v>148</v>
      </c>
      <c r="F1939" s="5" t="s">
        <v>99</v>
      </c>
      <c r="G1939" s="5" t="s">
        <v>138</v>
      </c>
      <c r="H1939" s="5" t="s">
        <v>138</v>
      </c>
      <c r="I1939" s="5" t="s">
        <v>1107</v>
      </c>
      <c r="J1939" s="5" t="s">
        <v>99</v>
      </c>
      <c r="K1939" s="5" t="s">
        <v>99</v>
      </c>
      <c r="L1939" s="5" t="s">
        <v>99</v>
      </c>
      <c r="M1939" s="5" t="s">
        <v>104</v>
      </c>
      <c r="N1939" s="5" t="s">
        <v>156</v>
      </c>
    </row>
    <row r="1940" spans="1:14" s="5" customFormat="1" x14ac:dyDescent="0.3">
      <c r="A1940" s="5" t="s">
        <v>49</v>
      </c>
      <c r="B1940" s="5" t="s">
        <v>975</v>
      </c>
      <c r="C1940" s="5">
        <v>30</v>
      </c>
      <c r="D1940" s="5" t="s">
        <v>408</v>
      </c>
      <c r="E1940" s="5" t="s">
        <v>689</v>
      </c>
      <c r="F1940" s="5" t="s">
        <v>99</v>
      </c>
      <c r="G1940" s="5" t="s">
        <v>99</v>
      </c>
      <c r="H1940" s="5" t="s">
        <v>99</v>
      </c>
      <c r="I1940" s="5" t="s">
        <v>498</v>
      </c>
      <c r="J1940" s="5" t="s">
        <v>132</v>
      </c>
      <c r="K1940" s="5" t="s">
        <v>99</v>
      </c>
      <c r="L1940" s="5" t="s">
        <v>99</v>
      </c>
      <c r="M1940" s="5" t="s">
        <v>802</v>
      </c>
      <c r="N1940" s="5" t="s">
        <v>113</v>
      </c>
    </row>
    <row r="1941" spans="1:14" s="5" customFormat="1" x14ac:dyDescent="0.3">
      <c r="A1941" s="5" t="s">
        <v>49</v>
      </c>
      <c r="B1941" s="5" t="s">
        <v>976</v>
      </c>
      <c r="C1941" s="5">
        <v>27</v>
      </c>
      <c r="D1941" s="5" t="s">
        <v>906</v>
      </c>
      <c r="E1941" s="5" t="s">
        <v>355</v>
      </c>
      <c r="F1941" s="5" t="s">
        <v>99</v>
      </c>
      <c r="G1941" s="5" t="s">
        <v>125</v>
      </c>
      <c r="H1941" s="5" t="s">
        <v>99</v>
      </c>
      <c r="I1941" s="5" t="s">
        <v>699</v>
      </c>
      <c r="J1941" s="5" t="s">
        <v>78</v>
      </c>
      <c r="K1941" s="5" t="s">
        <v>99</v>
      </c>
      <c r="L1941" s="5" t="s">
        <v>253</v>
      </c>
      <c r="M1941" s="5" t="s">
        <v>154</v>
      </c>
      <c r="N1941" s="5" t="s">
        <v>124</v>
      </c>
    </row>
    <row r="1942" spans="1:14" s="5" customFormat="1" x14ac:dyDescent="0.3">
      <c r="A1942" s="5" t="s">
        <v>49</v>
      </c>
      <c r="B1942" s="5" t="s">
        <v>977</v>
      </c>
      <c r="C1942" s="5">
        <v>25</v>
      </c>
      <c r="D1942" s="5" t="s">
        <v>499</v>
      </c>
      <c r="E1942" s="5" t="s">
        <v>803</v>
      </c>
      <c r="F1942" s="5" t="s">
        <v>99</v>
      </c>
      <c r="G1942" s="5" t="s">
        <v>113</v>
      </c>
      <c r="H1942" s="5" t="s">
        <v>99</v>
      </c>
      <c r="I1942" s="5" t="s">
        <v>1108</v>
      </c>
      <c r="J1942" s="5" t="s">
        <v>99</v>
      </c>
      <c r="K1942" s="5" t="s">
        <v>99</v>
      </c>
      <c r="L1942" s="5" t="s">
        <v>99</v>
      </c>
      <c r="M1942" s="5" t="s">
        <v>694</v>
      </c>
      <c r="N1942" s="5" t="s">
        <v>99</v>
      </c>
    </row>
    <row r="1943" spans="1:14" s="5" customFormat="1" x14ac:dyDescent="0.3">
      <c r="A1943" s="5" t="s">
        <v>49</v>
      </c>
      <c r="B1943" s="5" t="s">
        <v>979</v>
      </c>
      <c r="C1943" s="5">
        <v>1</v>
      </c>
      <c r="D1943" s="5" t="s">
        <v>211</v>
      </c>
      <c r="E1943" s="5" t="s">
        <v>211</v>
      </c>
      <c r="F1943" s="5" t="s">
        <v>99</v>
      </c>
      <c r="G1943" s="5" t="s">
        <v>99</v>
      </c>
      <c r="H1943" s="5" t="s">
        <v>99</v>
      </c>
      <c r="I1943" s="5" t="s">
        <v>99</v>
      </c>
      <c r="J1943" s="5" t="s">
        <v>99</v>
      </c>
      <c r="K1943" s="5" t="s">
        <v>99</v>
      </c>
      <c r="L1943" s="5" t="s">
        <v>99</v>
      </c>
      <c r="M1943" s="5" t="s">
        <v>99</v>
      </c>
      <c r="N1943" s="5" t="s">
        <v>99</v>
      </c>
    </row>
    <row r="1945" spans="1:14" x14ac:dyDescent="0.3">
      <c r="A1945" t="s">
        <v>1109</v>
      </c>
    </row>
    <row r="1946" spans="1:14" x14ac:dyDescent="0.3">
      <c r="A1946" t="s">
        <v>44</v>
      </c>
      <c r="B1946" t="s">
        <v>235</v>
      </c>
      <c r="C1946" t="s">
        <v>32</v>
      </c>
      <c r="D1946" t="s">
        <v>1084</v>
      </c>
      <c r="E1946" t="s">
        <v>1085</v>
      </c>
      <c r="F1946" t="s">
        <v>1086</v>
      </c>
      <c r="G1946" t="s">
        <v>1087</v>
      </c>
      <c r="H1946" t="s">
        <v>1088</v>
      </c>
      <c r="I1946" t="s">
        <v>1089</v>
      </c>
      <c r="J1946" t="s">
        <v>1090</v>
      </c>
      <c r="K1946" t="s">
        <v>1091</v>
      </c>
      <c r="L1946" t="s">
        <v>1092</v>
      </c>
      <c r="M1946" t="s">
        <v>88</v>
      </c>
      <c r="N1946" t="s">
        <v>1093</v>
      </c>
    </row>
    <row r="1947" spans="1:14" s="5" customFormat="1" x14ac:dyDescent="0.3">
      <c r="A1947" s="5" t="s">
        <v>35</v>
      </c>
      <c r="B1947" s="5" t="s">
        <v>236</v>
      </c>
      <c r="C1947" s="5">
        <v>24</v>
      </c>
      <c r="D1947" s="5" t="s">
        <v>222</v>
      </c>
      <c r="E1947" s="5" t="s">
        <v>862</v>
      </c>
      <c r="F1947" s="5" t="s">
        <v>99</v>
      </c>
      <c r="G1947" s="5" t="s">
        <v>99</v>
      </c>
      <c r="H1947" s="5" t="s">
        <v>99</v>
      </c>
      <c r="I1947" s="5" t="s">
        <v>899</v>
      </c>
      <c r="J1947" s="5" t="s">
        <v>70</v>
      </c>
      <c r="K1947" s="5" t="s">
        <v>99</v>
      </c>
      <c r="L1947" s="5" t="s">
        <v>99</v>
      </c>
      <c r="M1947" s="5" t="s">
        <v>68</v>
      </c>
      <c r="N1947" s="5" t="s">
        <v>710</v>
      </c>
    </row>
    <row r="1948" spans="1:14" s="5" customFormat="1" x14ac:dyDescent="0.3">
      <c r="A1948" s="5" t="s">
        <v>35</v>
      </c>
      <c r="B1948" s="5" t="s">
        <v>238</v>
      </c>
      <c r="C1948" s="5">
        <v>23</v>
      </c>
      <c r="D1948" s="5" t="s">
        <v>1008</v>
      </c>
      <c r="E1948" s="5" t="s">
        <v>429</v>
      </c>
      <c r="F1948" s="5" t="s">
        <v>99</v>
      </c>
      <c r="G1948" s="5" t="s">
        <v>138</v>
      </c>
      <c r="H1948" s="5" t="s">
        <v>99</v>
      </c>
      <c r="I1948" s="5" t="s">
        <v>832</v>
      </c>
      <c r="J1948" s="5" t="s">
        <v>99</v>
      </c>
      <c r="K1948" s="5" t="s">
        <v>99</v>
      </c>
      <c r="L1948" s="5" t="s">
        <v>99</v>
      </c>
      <c r="M1948" s="5" t="s">
        <v>318</v>
      </c>
      <c r="N1948" s="5" t="s">
        <v>749</v>
      </c>
    </row>
    <row r="1949" spans="1:14" s="5" customFormat="1" x14ac:dyDescent="0.3">
      <c r="A1949" s="5" t="s">
        <v>37</v>
      </c>
      <c r="B1949" s="5" t="s">
        <v>236</v>
      </c>
      <c r="C1949" s="5">
        <v>8</v>
      </c>
      <c r="D1949" s="5" t="s">
        <v>408</v>
      </c>
      <c r="E1949" s="5" t="s">
        <v>99</v>
      </c>
      <c r="F1949" s="5" t="s">
        <v>99</v>
      </c>
      <c r="G1949" s="5" t="s">
        <v>702</v>
      </c>
      <c r="H1949" s="5" t="s">
        <v>99</v>
      </c>
      <c r="I1949" s="5" t="s">
        <v>515</v>
      </c>
      <c r="J1949" s="5" t="s">
        <v>99</v>
      </c>
      <c r="K1949" s="5" t="s">
        <v>99</v>
      </c>
      <c r="L1949" s="5" t="s">
        <v>99</v>
      </c>
      <c r="M1949" s="5" t="s">
        <v>251</v>
      </c>
      <c r="N1949" s="5" t="s">
        <v>408</v>
      </c>
    </row>
    <row r="1950" spans="1:14" s="5" customFormat="1" x14ac:dyDescent="0.3">
      <c r="A1950" s="5" t="s">
        <v>37</v>
      </c>
      <c r="B1950" s="5" t="s">
        <v>238</v>
      </c>
      <c r="C1950" s="5">
        <v>11</v>
      </c>
      <c r="D1950" s="5" t="s">
        <v>862</v>
      </c>
      <c r="E1950" s="5" t="s">
        <v>99</v>
      </c>
      <c r="F1950" s="5" t="s">
        <v>99</v>
      </c>
      <c r="G1950" s="5" t="s">
        <v>99</v>
      </c>
      <c r="H1950" s="5" t="s">
        <v>99</v>
      </c>
      <c r="I1950" s="5" t="s">
        <v>565</v>
      </c>
      <c r="J1950" s="5" t="s">
        <v>99</v>
      </c>
      <c r="K1950" s="5" t="s">
        <v>99</v>
      </c>
      <c r="L1950" s="5" t="s">
        <v>99</v>
      </c>
      <c r="M1950" s="5" t="s">
        <v>99</v>
      </c>
      <c r="N1950" s="5" t="s">
        <v>704</v>
      </c>
    </row>
    <row r="1951" spans="1:14" s="5" customFormat="1" x14ac:dyDescent="0.3">
      <c r="A1951" s="5" t="s">
        <v>36</v>
      </c>
      <c r="B1951" s="5" t="s">
        <v>236</v>
      </c>
      <c r="C1951" s="5">
        <v>11</v>
      </c>
      <c r="D1951" s="5" t="s">
        <v>1110</v>
      </c>
      <c r="E1951" s="5" t="s">
        <v>103</v>
      </c>
      <c r="F1951" s="5" t="s">
        <v>99</v>
      </c>
      <c r="G1951" s="5" t="s">
        <v>99</v>
      </c>
      <c r="H1951" s="5" t="s">
        <v>99</v>
      </c>
      <c r="I1951" s="5" t="s">
        <v>1111</v>
      </c>
      <c r="J1951" s="5" t="s">
        <v>99</v>
      </c>
      <c r="K1951" s="5" t="s">
        <v>99</v>
      </c>
      <c r="L1951" s="5" t="s">
        <v>99</v>
      </c>
      <c r="M1951" s="5" t="s">
        <v>101</v>
      </c>
      <c r="N1951" s="5" t="s">
        <v>99</v>
      </c>
    </row>
    <row r="1952" spans="1:14" s="5" customFormat="1" x14ac:dyDescent="0.3">
      <c r="A1952" s="5" t="s">
        <v>36</v>
      </c>
      <c r="B1952" s="5" t="s">
        <v>238</v>
      </c>
      <c r="C1952" s="5">
        <v>4</v>
      </c>
      <c r="D1952" s="5" t="s">
        <v>670</v>
      </c>
      <c r="E1952" s="5" t="s">
        <v>1020</v>
      </c>
      <c r="F1952" s="5" t="s">
        <v>99</v>
      </c>
      <c r="G1952" s="5" t="s">
        <v>99</v>
      </c>
      <c r="H1952" s="5" t="s">
        <v>99</v>
      </c>
      <c r="I1952" s="5" t="s">
        <v>1045</v>
      </c>
      <c r="J1952" s="5" t="s">
        <v>1045</v>
      </c>
      <c r="K1952" s="5" t="s">
        <v>99</v>
      </c>
      <c r="L1952" s="5" t="s">
        <v>1045</v>
      </c>
      <c r="M1952" s="5" t="s">
        <v>99</v>
      </c>
      <c r="N1952" s="5" t="s">
        <v>99</v>
      </c>
    </row>
    <row r="1953" spans="1:14" s="5" customFormat="1" x14ac:dyDescent="0.3">
      <c r="A1953" s="5" t="s">
        <v>34</v>
      </c>
      <c r="B1953" s="5" t="s">
        <v>236</v>
      </c>
      <c r="C1953" s="5">
        <v>2</v>
      </c>
      <c r="D1953" s="5" t="s">
        <v>99</v>
      </c>
      <c r="E1953" s="5" t="s">
        <v>983</v>
      </c>
      <c r="F1953" s="5" t="s">
        <v>99</v>
      </c>
      <c r="G1953" s="5" t="s">
        <v>698</v>
      </c>
      <c r="H1953" s="5" t="s">
        <v>99</v>
      </c>
      <c r="I1953" s="5" t="s">
        <v>698</v>
      </c>
      <c r="J1953" s="5" t="s">
        <v>99</v>
      </c>
      <c r="K1953" s="5" t="s">
        <v>99</v>
      </c>
      <c r="L1953" s="5" t="s">
        <v>99</v>
      </c>
      <c r="M1953" s="5" t="s">
        <v>99</v>
      </c>
      <c r="N1953" s="5" t="s">
        <v>99</v>
      </c>
    </row>
    <row r="1954" spans="1:14" s="5" customFormat="1" x14ac:dyDescent="0.3">
      <c r="A1954" s="5" t="s">
        <v>34</v>
      </c>
      <c r="B1954" s="5" t="s">
        <v>238</v>
      </c>
      <c r="C1954" s="5">
        <v>9</v>
      </c>
      <c r="D1954" s="5" t="s">
        <v>279</v>
      </c>
      <c r="E1954" s="5" t="s">
        <v>713</v>
      </c>
      <c r="F1954" s="5" t="s">
        <v>99</v>
      </c>
      <c r="G1954" s="5" t="s">
        <v>99</v>
      </c>
      <c r="H1954" s="5" t="s">
        <v>99</v>
      </c>
      <c r="I1954" s="5" t="s">
        <v>357</v>
      </c>
      <c r="J1954" s="5" t="s">
        <v>251</v>
      </c>
      <c r="K1954" s="5" t="s">
        <v>99</v>
      </c>
      <c r="L1954" s="5" t="s">
        <v>99</v>
      </c>
      <c r="M1954" s="5" t="s">
        <v>712</v>
      </c>
      <c r="N1954" s="5" t="s">
        <v>99</v>
      </c>
    </row>
    <row r="1955" spans="1:14" s="5" customFormat="1" x14ac:dyDescent="0.3">
      <c r="A1955" s="5" t="s">
        <v>33</v>
      </c>
      <c r="B1955" s="5" t="s">
        <v>236</v>
      </c>
      <c r="C1955" s="5">
        <v>13</v>
      </c>
      <c r="D1955" s="5" t="s">
        <v>736</v>
      </c>
      <c r="E1955" s="5" t="s">
        <v>363</v>
      </c>
      <c r="F1955" s="5" t="s">
        <v>99</v>
      </c>
      <c r="G1955" s="5" t="s">
        <v>122</v>
      </c>
      <c r="H1955" s="5" t="s">
        <v>122</v>
      </c>
      <c r="I1955" s="5" t="s">
        <v>1112</v>
      </c>
      <c r="J1955" s="5" t="s">
        <v>99</v>
      </c>
      <c r="K1955" s="5" t="s">
        <v>99</v>
      </c>
      <c r="L1955" s="5" t="s">
        <v>99</v>
      </c>
      <c r="M1955" s="5" t="s">
        <v>805</v>
      </c>
      <c r="N1955" s="5" t="s">
        <v>99</v>
      </c>
    </row>
    <row r="1956" spans="1:14" s="5" customFormat="1" x14ac:dyDescent="0.3">
      <c r="A1956" s="5" t="s">
        <v>33</v>
      </c>
      <c r="B1956" s="5" t="s">
        <v>238</v>
      </c>
      <c r="C1956" s="5">
        <v>5</v>
      </c>
      <c r="D1956" s="5" t="s">
        <v>99</v>
      </c>
      <c r="E1956" s="5" t="s">
        <v>197</v>
      </c>
      <c r="F1956" s="5" t="s">
        <v>99</v>
      </c>
      <c r="G1956" s="5" t="s">
        <v>99</v>
      </c>
      <c r="H1956" s="5" t="s">
        <v>99</v>
      </c>
      <c r="I1956" s="5" t="s">
        <v>211</v>
      </c>
      <c r="J1956" s="5" t="s">
        <v>99</v>
      </c>
      <c r="K1956" s="5" t="s">
        <v>99</v>
      </c>
      <c r="L1956" s="5" t="s">
        <v>99</v>
      </c>
      <c r="M1956" s="5" t="s">
        <v>99</v>
      </c>
      <c r="N1956" s="5" t="s">
        <v>99</v>
      </c>
    </row>
    <row r="1957" spans="1:14" x14ac:dyDescent="0.3">
      <c r="A1957" t="s">
        <v>49</v>
      </c>
      <c r="B1957" t="s">
        <v>236</v>
      </c>
      <c r="C1957">
        <v>58</v>
      </c>
      <c r="D1957" t="s">
        <v>39</v>
      </c>
      <c r="E1957" t="s">
        <v>457</v>
      </c>
      <c r="F1957" t="s">
        <v>99</v>
      </c>
      <c r="G1957" t="s">
        <v>287</v>
      </c>
      <c r="H1957" t="s">
        <v>268</v>
      </c>
      <c r="I1957" t="s">
        <v>1113</v>
      </c>
      <c r="J1957" t="s">
        <v>103</v>
      </c>
      <c r="K1957" t="s">
        <v>99</v>
      </c>
      <c r="L1957" t="s">
        <v>99</v>
      </c>
      <c r="M1957" t="s">
        <v>287</v>
      </c>
      <c r="N1957" t="s">
        <v>328</v>
      </c>
    </row>
    <row r="1958" spans="1:14" x14ac:dyDescent="0.3">
      <c r="A1958" t="s">
        <v>49</v>
      </c>
      <c r="B1958" t="s">
        <v>238</v>
      </c>
      <c r="C1958">
        <v>52</v>
      </c>
      <c r="D1958" t="s">
        <v>699</v>
      </c>
      <c r="E1958" t="s">
        <v>692</v>
      </c>
      <c r="F1958" t="s">
        <v>99</v>
      </c>
      <c r="G1958" t="s">
        <v>382</v>
      </c>
      <c r="H1958" t="s">
        <v>99</v>
      </c>
      <c r="I1958" t="s">
        <v>102</v>
      </c>
      <c r="J1958" t="s">
        <v>292</v>
      </c>
      <c r="K1958" t="s">
        <v>99</v>
      </c>
      <c r="L1958" t="s">
        <v>207</v>
      </c>
      <c r="M1958" t="s">
        <v>401</v>
      </c>
      <c r="N1958" t="s">
        <v>76</v>
      </c>
    </row>
    <row r="1960" spans="1:14" x14ac:dyDescent="0.3">
      <c r="A1960" t="s">
        <v>1114</v>
      </c>
    </row>
    <row r="1961" spans="1:14" x14ac:dyDescent="0.3">
      <c r="A1961" t="s">
        <v>44</v>
      </c>
      <c r="B1961" t="s">
        <v>209</v>
      </c>
      <c r="C1961" t="s">
        <v>32</v>
      </c>
      <c r="D1961" t="s">
        <v>1084</v>
      </c>
      <c r="E1961" t="s">
        <v>1085</v>
      </c>
      <c r="F1961" t="s">
        <v>1086</v>
      </c>
      <c r="G1961" t="s">
        <v>1087</v>
      </c>
      <c r="H1961" t="s">
        <v>1088</v>
      </c>
      <c r="I1961" t="s">
        <v>1089</v>
      </c>
      <c r="J1961" t="s">
        <v>1090</v>
      </c>
      <c r="K1961" t="s">
        <v>1091</v>
      </c>
      <c r="L1961" t="s">
        <v>1092</v>
      </c>
      <c r="M1961" t="s">
        <v>88</v>
      </c>
      <c r="N1961" t="s">
        <v>1093</v>
      </c>
    </row>
    <row r="1962" spans="1:14" s="5" customFormat="1" x14ac:dyDescent="0.3">
      <c r="A1962" s="5" t="s">
        <v>35</v>
      </c>
      <c r="B1962" s="5" t="s">
        <v>210</v>
      </c>
      <c r="C1962" s="5">
        <v>1</v>
      </c>
      <c r="D1962" s="5" t="s">
        <v>99</v>
      </c>
      <c r="E1962" s="5" t="s">
        <v>99</v>
      </c>
      <c r="F1962" s="5" t="s">
        <v>99</v>
      </c>
      <c r="G1962" s="5" t="s">
        <v>99</v>
      </c>
      <c r="H1962" s="5" t="s">
        <v>99</v>
      </c>
      <c r="I1962" s="5" t="s">
        <v>211</v>
      </c>
      <c r="J1962" s="5" t="s">
        <v>99</v>
      </c>
      <c r="K1962" s="5" t="s">
        <v>99</v>
      </c>
      <c r="L1962" s="5" t="s">
        <v>99</v>
      </c>
      <c r="M1962" s="5" t="s">
        <v>99</v>
      </c>
      <c r="N1962" s="5" t="s">
        <v>99</v>
      </c>
    </row>
    <row r="1963" spans="1:14" s="5" customFormat="1" x14ac:dyDescent="0.3">
      <c r="A1963" s="5" t="s">
        <v>35</v>
      </c>
      <c r="B1963" s="5" t="s">
        <v>212</v>
      </c>
      <c r="C1963" s="5">
        <v>29</v>
      </c>
      <c r="D1963" s="5" t="s">
        <v>218</v>
      </c>
      <c r="E1963" s="5" t="s">
        <v>1062</v>
      </c>
      <c r="F1963" s="5" t="s">
        <v>99</v>
      </c>
      <c r="G1963" s="5" t="s">
        <v>155</v>
      </c>
      <c r="H1963" s="5" t="s">
        <v>99</v>
      </c>
      <c r="I1963" s="5" t="s">
        <v>513</v>
      </c>
      <c r="J1963" s="5" t="s">
        <v>155</v>
      </c>
      <c r="K1963" s="5" t="s">
        <v>99</v>
      </c>
      <c r="L1963" s="5" t="s">
        <v>99</v>
      </c>
      <c r="M1963" s="5" t="s">
        <v>244</v>
      </c>
      <c r="N1963" s="5" t="s">
        <v>1057</v>
      </c>
    </row>
    <row r="1964" spans="1:14" s="5" customFormat="1" x14ac:dyDescent="0.3">
      <c r="A1964" s="5" t="s">
        <v>35</v>
      </c>
      <c r="B1964" s="5" t="s">
        <v>216</v>
      </c>
      <c r="C1964" s="5">
        <v>17</v>
      </c>
      <c r="D1964" s="5" t="s">
        <v>56</v>
      </c>
      <c r="E1964" s="5" t="s">
        <v>1068</v>
      </c>
      <c r="F1964" s="5" t="s">
        <v>99</v>
      </c>
      <c r="G1964" s="5" t="s">
        <v>99</v>
      </c>
      <c r="H1964" s="5" t="s">
        <v>99</v>
      </c>
      <c r="I1964" s="5" t="s">
        <v>1115</v>
      </c>
      <c r="J1964" s="5" t="s">
        <v>99</v>
      </c>
      <c r="K1964" s="5" t="s">
        <v>99</v>
      </c>
      <c r="L1964" s="5" t="s">
        <v>99</v>
      </c>
      <c r="M1964" s="5" t="s">
        <v>113</v>
      </c>
      <c r="N1964" s="5" t="s">
        <v>99</v>
      </c>
    </row>
    <row r="1965" spans="1:14" s="5" customFormat="1" x14ac:dyDescent="0.3">
      <c r="A1965" s="5" t="s">
        <v>37</v>
      </c>
      <c r="B1965" s="5" t="s">
        <v>212</v>
      </c>
      <c r="C1965" s="5">
        <v>16</v>
      </c>
      <c r="D1965" s="5" t="s">
        <v>412</v>
      </c>
      <c r="E1965" s="5" t="s">
        <v>99</v>
      </c>
      <c r="F1965" s="5" t="s">
        <v>99</v>
      </c>
      <c r="G1965" s="5" t="s">
        <v>369</v>
      </c>
      <c r="H1965" s="5" t="s">
        <v>99</v>
      </c>
      <c r="I1965" s="5" t="s">
        <v>819</v>
      </c>
      <c r="J1965" s="5" t="s">
        <v>99</v>
      </c>
      <c r="K1965" s="5" t="s">
        <v>99</v>
      </c>
      <c r="L1965" s="5" t="s">
        <v>99</v>
      </c>
      <c r="M1965" s="5" t="s">
        <v>474</v>
      </c>
      <c r="N1965" s="5" t="s">
        <v>673</v>
      </c>
    </row>
    <row r="1966" spans="1:14" s="5" customFormat="1" x14ac:dyDescent="0.3">
      <c r="A1966" s="5" t="s">
        <v>37</v>
      </c>
      <c r="B1966" s="5" t="s">
        <v>216</v>
      </c>
      <c r="C1966" s="5">
        <v>3</v>
      </c>
      <c r="D1966" s="5" t="s">
        <v>211</v>
      </c>
      <c r="E1966" s="5" t="s">
        <v>99</v>
      </c>
      <c r="F1966" s="5" t="s">
        <v>99</v>
      </c>
      <c r="G1966" s="5" t="s">
        <v>99</v>
      </c>
      <c r="H1966" s="5" t="s">
        <v>99</v>
      </c>
      <c r="I1966" s="5" t="s">
        <v>99</v>
      </c>
      <c r="J1966" s="5" t="s">
        <v>99</v>
      </c>
      <c r="K1966" s="5" t="s">
        <v>99</v>
      </c>
      <c r="L1966" s="5" t="s">
        <v>99</v>
      </c>
      <c r="M1966" s="5" t="s">
        <v>99</v>
      </c>
      <c r="N1966" s="5" t="s">
        <v>99</v>
      </c>
    </row>
    <row r="1967" spans="1:14" s="5" customFormat="1" x14ac:dyDescent="0.3">
      <c r="A1967" s="5" t="s">
        <v>36</v>
      </c>
      <c r="B1967" s="5" t="s">
        <v>210</v>
      </c>
      <c r="C1967" s="5">
        <v>2</v>
      </c>
      <c r="D1967" s="5" t="s">
        <v>246</v>
      </c>
      <c r="E1967" s="5" t="s">
        <v>99</v>
      </c>
      <c r="F1967" s="5" t="s">
        <v>99</v>
      </c>
      <c r="G1967" s="5" t="s">
        <v>99</v>
      </c>
      <c r="H1967" s="5" t="s">
        <v>99</v>
      </c>
      <c r="I1967" s="5" t="s">
        <v>245</v>
      </c>
      <c r="J1967" s="5" t="s">
        <v>99</v>
      </c>
      <c r="K1967" s="5" t="s">
        <v>99</v>
      </c>
      <c r="L1967" s="5" t="s">
        <v>99</v>
      </c>
      <c r="M1967" s="5" t="s">
        <v>99</v>
      </c>
      <c r="N1967" s="5" t="s">
        <v>99</v>
      </c>
    </row>
    <row r="1968" spans="1:14" s="5" customFormat="1" x14ac:dyDescent="0.3">
      <c r="A1968" s="5" t="s">
        <v>36</v>
      </c>
      <c r="B1968" s="5" t="s">
        <v>212</v>
      </c>
      <c r="C1968" s="5">
        <v>9</v>
      </c>
      <c r="D1968" s="5" t="s">
        <v>614</v>
      </c>
      <c r="E1968" s="5" t="s">
        <v>160</v>
      </c>
      <c r="F1968" s="5" t="s">
        <v>99</v>
      </c>
      <c r="G1968" s="5" t="s">
        <v>99</v>
      </c>
      <c r="H1968" s="5" t="s">
        <v>99</v>
      </c>
      <c r="I1968" s="5" t="s">
        <v>887</v>
      </c>
      <c r="J1968" s="5" t="s">
        <v>99</v>
      </c>
      <c r="K1968" s="5" t="s">
        <v>99</v>
      </c>
      <c r="L1968" s="5" t="s">
        <v>99</v>
      </c>
      <c r="M1968" s="5" t="s">
        <v>99</v>
      </c>
      <c r="N1968" s="5" t="s">
        <v>99</v>
      </c>
    </row>
    <row r="1969" spans="1:14" s="5" customFormat="1" x14ac:dyDescent="0.3">
      <c r="A1969" s="5" t="s">
        <v>36</v>
      </c>
      <c r="B1969" s="5" t="s">
        <v>216</v>
      </c>
      <c r="C1969" s="5">
        <v>4</v>
      </c>
      <c r="D1969" s="5" t="s">
        <v>220</v>
      </c>
      <c r="E1969" s="5" t="s">
        <v>211</v>
      </c>
      <c r="F1969" s="5" t="s">
        <v>99</v>
      </c>
      <c r="G1969" s="5" t="s">
        <v>99</v>
      </c>
      <c r="H1969" s="5" t="s">
        <v>99</v>
      </c>
      <c r="I1969" s="5" t="s">
        <v>817</v>
      </c>
      <c r="J1969" s="5" t="s">
        <v>817</v>
      </c>
      <c r="K1969" s="5" t="s">
        <v>99</v>
      </c>
      <c r="L1969" s="5" t="s">
        <v>817</v>
      </c>
      <c r="M1969" s="5" t="s">
        <v>220</v>
      </c>
      <c r="N1969" s="5" t="s">
        <v>99</v>
      </c>
    </row>
    <row r="1970" spans="1:14" s="5" customFormat="1" x14ac:dyDescent="0.3">
      <c r="A1970" s="5" t="s">
        <v>34</v>
      </c>
      <c r="B1970" s="5" t="s">
        <v>212</v>
      </c>
      <c r="C1970" s="5">
        <v>6</v>
      </c>
      <c r="D1970" s="5" t="s">
        <v>577</v>
      </c>
      <c r="E1970" s="5" t="s">
        <v>137</v>
      </c>
      <c r="F1970" s="5" t="s">
        <v>99</v>
      </c>
      <c r="G1970" s="5" t="s">
        <v>137</v>
      </c>
      <c r="H1970" s="5" t="s">
        <v>99</v>
      </c>
      <c r="I1970" s="5" t="s">
        <v>137</v>
      </c>
      <c r="J1970" s="5" t="s">
        <v>701</v>
      </c>
      <c r="K1970" s="5" t="s">
        <v>99</v>
      </c>
      <c r="L1970" s="5" t="s">
        <v>99</v>
      </c>
      <c r="M1970" s="5" t="s">
        <v>99</v>
      </c>
      <c r="N1970" s="5" t="s">
        <v>99</v>
      </c>
    </row>
    <row r="1971" spans="1:14" s="5" customFormat="1" x14ac:dyDescent="0.3">
      <c r="A1971" s="5" t="s">
        <v>34</v>
      </c>
      <c r="B1971" s="5" t="s">
        <v>216</v>
      </c>
      <c r="C1971" s="5">
        <v>5</v>
      </c>
      <c r="D1971" s="5" t="s">
        <v>532</v>
      </c>
      <c r="E1971" s="5" t="s">
        <v>1106</v>
      </c>
      <c r="F1971" s="5" t="s">
        <v>99</v>
      </c>
      <c r="G1971" s="5" t="s">
        <v>99</v>
      </c>
      <c r="H1971" s="5" t="s">
        <v>99</v>
      </c>
      <c r="I1971" s="5" t="s">
        <v>131</v>
      </c>
      <c r="J1971" s="5" t="s">
        <v>99</v>
      </c>
      <c r="K1971" s="5" t="s">
        <v>99</v>
      </c>
      <c r="L1971" s="5" t="s">
        <v>99</v>
      </c>
      <c r="M1971" s="5" t="s">
        <v>98</v>
      </c>
      <c r="N1971" s="5" t="s">
        <v>99</v>
      </c>
    </row>
    <row r="1972" spans="1:14" s="5" customFormat="1" x14ac:dyDescent="0.3">
      <c r="A1972" s="5" t="s">
        <v>33</v>
      </c>
      <c r="B1972" s="5" t="s">
        <v>212</v>
      </c>
      <c r="C1972" s="5">
        <v>18</v>
      </c>
      <c r="D1972" s="5" t="s">
        <v>820</v>
      </c>
      <c r="E1972" s="5" t="s">
        <v>680</v>
      </c>
      <c r="F1972" s="5" t="s">
        <v>99</v>
      </c>
      <c r="G1972" s="5" t="s">
        <v>412</v>
      </c>
      <c r="H1972" s="5" t="s">
        <v>412</v>
      </c>
      <c r="I1972" s="5" t="s">
        <v>815</v>
      </c>
      <c r="J1972" s="5" t="s">
        <v>99</v>
      </c>
      <c r="K1972" s="5" t="s">
        <v>99</v>
      </c>
      <c r="L1972" s="5" t="s">
        <v>99</v>
      </c>
      <c r="M1972" s="5" t="s">
        <v>167</v>
      </c>
      <c r="N1972" s="5" t="s">
        <v>99</v>
      </c>
    </row>
    <row r="1973" spans="1:14" s="5" customFormat="1" x14ac:dyDescent="0.3">
      <c r="A1973" s="5" t="s">
        <v>49</v>
      </c>
      <c r="B1973" s="5" t="s">
        <v>210</v>
      </c>
      <c r="C1973" s="5">
        <v>3</v>
      </c>
      <c r="D1973" s="5" t="s">
        <v>165</v>
      </c>
      <c r="E1973" s="5" t="s">
        <v>99</v>
      </c>
      <c r="F1973" s="5" t="s">
        <v>99</v>
      </c>
      <c r="G1973" s="5" t="s">
        <v>99</v>
      </c>
      <c r="H1973" s="5" t="s">
        <v>99</v>
      </c>
      <c r="I1973" s="5" t="s">
        <v>166</v>
      </c>
      <c r="J1973" s="5" t="s">
        <v>99</v>
      </c>
      <c r="K1973" s="5" t="s">
        <v>99</v>
      </c>
      <c r="L1973" s="5" t="s">
        <v>99</v>
      </c>
      <c r="M1973" s="5" t="s">
        <v>99</v>
      </c>
      <c r="N1973" s="5" t="s">
        <v>99</v>
      </c>
    </row>
    <row r="1974" spans="1:14" x14ac:dyDescent="0.3">
      <c r="A1974" t="s">
        <v>49</v>
      </c>
      <c r="B1974" t="s">
        <v>212</v>
      </c>
      <c r="C1974">
        <v>78</v>
      </c>
      <c r="D1974" t="s">
        <v>990</v>
      </c>
      <c r="E1974" t="s">
        <v>39</v>
      </c>
      <c r="F1974" t="s">
        <v>99</v>
      </c>
      <c r="G1974" t="s">
        <v>122</v>
      </c>
      <c r="H1974" t="s">
        <v>101</v>
      </c>
      <c r="I1974" t="s">
        <v>1113</v>
      </c>
      <c r="J1974" t="s">
        <v>147</v>
      </c>
      <c r="K1974" t="s">
        <v>99</v>
      </c>
      <c r="L1974" t="s">
        <v>99</v>
      </c>
      <c r="M1974" t="s">
        <v>716</v>
      </c>
      <c r="N1974" t="s">
        <v>694</v>
      </c>
    </row>
    <row r="1975" spans="1:14" s="5" customFormat="1" x14ac:dyDescent="0.3">
      <c r="A1975" s="5" t="s">
        <v>49</v>
      </c>
      <c r="B1975" s="5" t="s">
        <v>216</v>
      </c>
      <c r="C1975" s="5">
        <v>29</v>
      </c>
      <c r="D1975" s="5" t="s">
        <v>1116</v>
      </c>
      <c r="E1975" s="5" t="s">
        <v>797</v>
      </c>
      <c r="F1975" s="5" t="s">
        <v>99</v>
      </c>
      <c r="G1975" s="5" t="s">
        <v>99</v>
      </c>
      <c r="H1975" s="5" t="s">
        <v>99</v>
      </c>
      <c r="I1975" s="5" t="s">
        <v>735</v>
      </c>
      <c r="J1975" s="5" t="s">
        <v>115</v>
      </c>
      <c r="K1975" s="5" t="s">
        <v>99</v>
      </c>
      <c r="L1975" s="5" t="s">
        <v>115</v>
      </c>
      <c r="M1975" s="5" t="s">
        <v>328</v>
      </c>
      <c r="N1975" s="5" t="s">
        <v>99</v>
      </c>
    </row>
    <row r="1977" spans="1:14" x14ac:dyDescent="0.3">
      <c r="A1977" t="s">
        <v>1117</v>
      </c>
    </row>
    <row r="1978" spans="1:14" x14ac:dyDescent="0.3">
      <c r="A1978" t="s">
        <v>44</v>
      </c>
      <c r="B1978" t="s">
        <v>388</v>
      </c>
      <c r="C1978" t="s">
        <v>32</v>
      </c>
      <c r="D1978" t="s">
        <v>1084</v>
      </c>
      <c r="E1978" t="s">
        <v>1085</v>
      </c>
      <c r="F1978" t="s">
        <v>1086</v>
      </c>
      <c r="G1978" t="s">
        <v>1087</v>
      </c>
      <c r="H1978" t="s">
        <v>1088</v>
      </c>
      <c r="I1978" t="s">
        <v>1089</v>
      </c>
      <c r="J1978" t="s">
        <v>1090</v>
      </c>
      <c r="K1978" t="s">
        <v>1091</v>
      </c>
      <c r="L1978" t="s">
        <v>1092</v>
      </c>
      <c r="M1978" t="s">
        <v>88</v>
      </c>
      <c r="N1978" t="s">
        <v>1093</v>
      </c>
    </row>
    <row r="1979" spans="1:14" x14ac:dyDescent="0.3">
      <c r="A1979" t="s">
        <v>35</v>
      </c>
      <c r="B1979" t="s">
        <v>389</v>
      </c>
      <c r="C1979">
        <v>33</v>
      </c>
      <c r="D1979" t="s">
        <v>1044</v>
      </c>
      <c r="E1979" t="s">
        <v>902</v>
      </c>
      <c r="F1979" t="s">
        <v>99</v>
      </c>
      <c r="G1979" t="s">
        <v>107</v>
      </c>
      <c r="H1979" t="s">
        <v>99</v>
      </c>
      <c r="I1979" t="s">
        <v>58</v>
      </c>
      <c r="J1979" t="s">
        <v>107</v>
      </c>
      <c r="K1979" t="s">
        <v>99</v>
      </c>
      <c r="L1979" t="s">
        <v>99</v>
      </c>
      <c r="M1979" t="s">
        <v>311</v>
      </c>
      <c r="N1979" t="s">
        <v>842</v>
      </c>
    </row>
    <row r="1980" spans="1:14" s="5" customFormat="1" x14ac:dyDescent="0.3">
      <c r="A1980" s="5" t="s">
        <v>35</v>
      </c>
      <c r="B1980" s="5" t="s">
        <v>390</v>
      </c>
      <c r="C1980" s="5">
        <v>12</v>
      </c>
      <c r="D1980" s="5" t="s">
        <v>410</v>
      </c>
      <c r="E1980" s="5" t="s">
        <v>463</v>
      </c>
      <c r="F1980" s="5" t="s">
        <v>99</v>
      </c>
      <c r="G1980" s="5" t="s">
        <v>99</v>
      </c>
      <c r="H1980" s="5" t="s">
        <v>99</v>
      </c>
      <c r="I1980" s="5" t="s">
        <v>591</v>
      </c>
      <c r="J1980" s="5" t="s">
        <v>99</v>
      </c>
      <c r="K1980" s="5" t="s">
        <v>99</v>
      </c>
      <c r="L1980" s="5" t="s">
        <v>99</v>
      </c>
      <c r="M1980" s="5" t="s">
        <v>694</v>
      </c>
      <c r="N1980" s="5" t="s">
        <v>99</v>
      </c>
    </row>
    <row r="1981" spans="1:14" x14ac:dyDescent="0.3">
      <c r="A1981" t="s">
        <v>35</v>
      </c>
      <c r="B1981" t="s">
        <v>365</v>
      </c>
      <c r="C1981">
        <v>2</v>
      </c>
      <c r="D1981" t="s">
        <v>99</v>
      </c>
      <c r="E1981" t="s">
        <v>211</v>
      </c>
      <c r="F1981" t="s">
        <v>99</v>
      </c>
      <c r="G1981" t="s">
        <v>99</v>
      </c>
      <c r="H1981" t="s">
        <v>99</v>
      </c>
      <c r="I1981" t="s">
        <v>909</v>
      </c>
      <c r="J1981" t="s">
        <v>99</v>
      </c>
      <c r="K1981" t="s">
        <v>99</v>
      </c>
      <c r="L1981" t="s">
        <v>99</v>
      </c>
      <c r="M1981" t="s">
        <v>99</v>
      </c>
      <c r="N1981" t="s">
        <v>99</v>
      </c>
    </row>
    <row r="1982" spans="1:14" s="5" customFormat="1" x14ac:dyDescent="0.3">
      <c r="A1982" s="5" t="s">
        <v>37</v>
      </c>
      <c r="B1982" s="5" t="s">
        <v>389</v>
      </c>
      <c r="C1982" s="5">
        <v>8</v>
      </c>
      <c r="D1982" s="5" t="s">
        <v>1118</v>
      </c>
      <c r="E1982" s="5" t="s">
        <v>99</v>
      </c>
      <c r="F1982" s="5" t="s">
        <v>99</v>
      </c>
      <c r="G1982" s="5" t="s">
        <v>99</v>
      </c>
      <c r="H1982" s="5" t="s">
        <v>99</v>
      </c>
      <c r="I1982" s="5" t="s">
        <v>650</v>
      </c>
      <c r="J1982" s="5" t="s">
        <v>99</v>
      </c>
      <c r="K1982" s="5" t="s">
        <v>99</v>
      </c>
      <c r="L1982" s="5" t="s">
        <v>99</v>
      </c>
      <c r="M1982" s="5" t="s">
        <v>663</v>
      </c>
      <c r="N1982" s="5" t="s">
        <v>716</v>
      </c>
    </row>
    <row r="1983" spans="1:14" s="5" customFormat="1" x14ac:dyDescent="0.3">
      <c r="A1983" s="5" t="s">
        <v>37</v>
      </c>
      <c r="B1983" s="5" t="s">
        <v>390</v>
      </c>
      <c r="C1983" s="5">
        <v>6</v>
      </c>
      <c r="D1983" s="5" t="s">
        <v>677</v>
      </c>
      <c r="E1983" s="5" t="s">
        <v>99</v>
      </c>
      <c r="F1983" s="5" t="s">
        <v>99</v>
      </c>
      <c r="G1983" s="5" t="s">
        <v>1057</v>
      </c>
      <c r="H1983" s="5" t="s">
        <v>99</v>
      </c>
      <c r="I1983" s="5" t="s">
        <v>156</v>
      </c>
      <c r="J1983" s="5" t="s">
        <v>99</v>
      </c>
      <c r="K1983" s="5" t="s">
        <v>99</v>
      </c>
      <c r="L1983" s="5" t="s">
        <v>99</v>
      </c>
      <c r="M1983" s="5" t="s">
        <v>99</v>
      </c>
      <c r="N1983" s="5" t="s">
        <v>810</v>
      </c>
    </row>
    <row r="1984" spans="1:14" x14ac:dyDescent="0.3">
      <c r="A1984" t="s">
        <v>37</v>
      </c>
      <c r="B1984" t="s">
        <v>365</v>
      </c>
      <c r="C1984">
        <v>5</v>
      </c>
      <c r="D1984" t="s">
        <v>694</v>
      </c>
      <c r="E1984" t="s">
        <v>99</v>
      </c>
      <c r="F1984" t="s">
        <v>99</v>
      </c>
      <c r="G1984" t="s">
        <v>99</v>
      </c>
      <c r="H1984" t="s">
        <v>99</v>
      </c>
      <c r="I1984" t="s">
        <v>883</v>
      </c>
      <c r="J1984" t="s">
        <v>99</v>
      </c>
      <c r="K1984" t="s">
        <v>99</v>
      </c>
      <c r="L1984" t="s">
        <v>99</v>
      </c>
      <c r="M1984" t="s">
        <v>99</v>
      </c>
      <c r="N1984" t="s">
        <v>99</v>
      </c>
    </row>
    <row r="1985" spans="1:14" s="5" customFormat="1" x14ac:dyDescent="0.3">
      <c r="A1985" s="5" t="s">
        <v>36</v>
      </c>
      <c r="B1985" s="5" t="s">
        <v>389</v>
      </c>
      <c r="C1985" s="5">
        <v>13</v>
      </c>
      <c r="D1985" s="5" t="s">
        <v>836</v>
      </c>
      <c r="E1985" s="5" t="s">
        <v>206</v>
      </c>
      <c r="F1985" s="5" t="s">
        <v>99</v>
      </c>
      <c r="G1985" s="5" t="s">
        <v>99</v>
      </c>
      <c r="H1985" s="5" t="s">
        <v>99</v>
      </c>
      <c r="I1985" s="5" t="s">
        <v>926</v>
      </c>
      <c r="J1985" s="5" t="s">
        <v>242</v>
      </c>
      <c r="K1985" s="5" t="s">
        <v>99</v>
      </c>
      <c r="L1985" s="5" t="s">
        <v>242</v>
      </c>
      <c r="M1985" s="5" t="s">
        <v>121</v>
      </c>
      <c r="N1985" s="5" t="s">
        <v>99</v>
      </c>
    </row>
    <row r="1986" spans="1:14" s="5" customFormat="1" x14ac:dyDescent="0.3">
      <c r="A1986" s="5" t="s">
        <v>36</v>
      </c>
      <c r="B1986" s="5" t="s">
        <v>390</v>
      </c>
      <c r="C1986" s="5">
        <v>1</v>
      </c>
      <c r="D1986" s="5" t="s">
        <v>99</v>
      </c>
      <c r="E1986" s="5" t="s">
        <v>211</v>
      </c>
      <c r="F1986" s="5" t="s">
        <v>99</v>
      </c>
      <c r="G1986" s="5" t="s">
        <v>99</v>
      </c>
      <c r="H1986" s="5" t="s">
        <v>99</v>
      </c>
      <c r="I1986" s="5" t="s">
        <v>99</v>
      </c>
      <c r="J1986" s="5" t="s">
        <v>99</v>
      </c>
      <c r="K1986" s="5" t="s">
        <v>99</v>
      </c>
      <c r="L1986" s="5" t="s">
        <v>99</v>
      </c>
      <c r="M1986" s="5" t="s">
        <v>99</v>
      </c>
      <c r="N1986" s="5" t="s">
        <v>99</v>
      </c>
    </row>
    <row r="1987" spans="1:14" x14ac:dyDescent="0.3">
      <c r="A1987" t="s">
        <v>36</v>
      </c>
      <c r="B1987" t="s">
        <v>365</v>
      </c>
      <c r="C1987">
        <v>1</v>
      </c>
      <c r="D1987" t="s">
        <v>211</v>
      </c>
      <c r="E1987" t="s">
        <v>99</v>
      </c>
      <c r="F1987" t="s">
        <v>99</v>
      </c>
      <c r="G1987" t="s">
        <v>99</v>
      </c>
      <c r="H1987" t="s">
        <v>99</v>
      </c>
      <c r="I1987" t="s">
        <v>99</v>
      </c>
      <c r="J1987" t="s">
        <v>99</v>
      </c>
      <c r="K1987" t="s">
        <v>99</v>
      </c>
      <c r="L1987" t="s">
        <v>99</v>
      </c>
      <c r="M1987" t="s">
        <v>99</v>
      </c>
      <c r="N1987" t="s">
        <v>99</v>
      </c>
    </row>
    <row r="1988" spans="1:14" s="5" customFormat="1" x14ac:dyDescent="0.3">
      <c r="A1988" s="5" t="s">
        <v>34</v>
      </c>
      <c r="B1988" s="5" t="s">
        <v>389</v>
      </c>
      <c r="C1988" s="5">
        <v>6</v>
      </c>
      <c r="D1988" s="5" t="s">
        <v>119</v>
      </c>
      <c r="E1988" s="5" t="s">
        <v>938</v>
      </c>
      <c r="F1988" s="5" t="s">
        <v>99</v>
      </c>
      <c r="G1988" s="5" t="s">
        <v>807</v>
      </c>
      <c r="H1988" s="5" t="s">
        <v>99</v>
      </c>
      <c r="I1988" s="5" t="s">
        <v>807</v>
      </c>
      <c r="J1988" s="5" t="s">
        <v>99</v>
      </c>
      <c r="K1988" s="5" t="s">
        <v>99</v>
      </c>
      <c r="L1988" s="5" t="s">
        <v>99</v>
      </c>
      <c r="M1988" s="5" t="s">
        <v>139</v>
      </c>
      <c r="N1988" s="5" t="s">
        <v>99</v>
      </c>
    </row>
    <row r="1989" spans="1:14" s="5" customFormat="1" x14ac:dyDescent="0.3">
      <c r="A1989" s="5" t="s">
        <v>34</v>
      </c>
      <c r="B1989" s="5" t="s">
        <v>390</v>
      </c>
      <c r="C1989" s="5">
        <v>5</v>
      </c>
      <c r="D1989" s="5" t="s">
        <v>1119</v>
      </c>
      <c r="E1989" s="5" t="s">
        <v>903</v>
      </c>
      <c r="F1989" s="5" t="s">
        <v>99</v>
      </c>
      <c r="G1989" s="5" t="s">
        <v>99</v>
      </c>
      <c r="H1989" s="5" t="s">
        <v>99</v>
      </c>
      <c r="I1989" s="5" t="s">
        <v>903</v>
      </c>
      <c r="J1989" s="5" t="s">
        <v>740</v>
      </c>
      <c r="K1989" s="5" t="s">
        <v>99</v>
      </c>
      <c r="L1989" s="5" t="s">
        <v>99</v>
      </c>
      <c r="M1989" s="5" t="s">
        <v>99</v>
      </c>
      <c r="N1989" s="5" t="s">
        <v>99</v>
      </c>
    </row>
    <row r="1990" spans="1:14" s="5" customFormat="1" x14ac:dyDescent="0.3">
      <c r="A1990" s="5" t="s">
        <v>33</v>
      </c>
      <c r="B1990" s="5" t="s">
        <v>389</v>
      </c>
      <c r="C1990" s="5">
        <v>12</v>
      </c>
      <c r="D1990" s="5" t="s">
        <v>666</v>
      </c>
      <c r="E1990" s="5" t="s">
        <v>296</v>
      </c>
      <c r="F1990" s="5" t="s">
        <v>99</v>
      </c>
      <c r="G1990" s="5" t="s">
        <v>248</v>
      </c>
      <c r="H1990" s="5" t="s">
        <v>248</v>
      </c>
      <c r="I1990" s="5" t="s">
        <v>1120</v>
      </c>
      <c r="J1990" s="5" t="s">
        <v>99</v>
      </c>
      <c r="K1990" s="5" t="s">
        <v>99</v>
      </c>
      <c r="L1990" s="5" t="s">
        <v>99</v>
      </c>
      <c r="M1990" s="5" t="s">
        <v>860</v>
      </c>
      <c r="N1990" s="5" t="s">
        <v>99</v>
      </c>
    </row>
    <row r="1991" spans="1:14" s="5" customFormat="1" x14ac:dyDescent="0.3">
      <c r="A1991" s="5" t="s">
        <v>33</v>
      </c>
      <c r="B1991" s="5" t="s">
        <v>390</v>
      </c>
      <c r="C1991" s="5">
        <v>3</v>
      </c>
      <c r="D1991" s="5" t="s">
        <v>99</v>
      </c>
      <c r="E1991" s="5" t="s">
        <v>99</v>
      </c>
      <c r="F1991" s="5" t="s">
        <v>99</v>
      </c>
      <c r="G1991" s="5" t="s">
        <v>99</v>
      </c>
      <c r="H1991" s="5" t="s">
        <v>99</v>
      </c>
      <c r="I1991" s="5" t="s">
        <v>211</v>
      </c>
      <c r="J1991" s="5" t="s">
        <v>99</v>
      </c>
      <c r="K1991" s="5" t="s">
        <v>99</v>
      </c>
      <c r="L1991" s="5" t="s">
        <v>99</v>
      </c>
      <c r="M1991" s="5" t="s">
        <v>99</v>
      </c>
      <c r="N1991" s="5" t="s">
        <v>99</v>
      </c>
    </row>
    <row r="1992" spans="1:14" x14ac:dyDescent="0.3">
      <c r="A1992" t="s">
        <v>33</v>
      </c>
      <c r="B1992" t="s">
        <v>365</v>
      </c>
      <c r="C1992">
        <v>3</v>
      </c>
      <c r="D1992" t="s">
        <v>99</v>
      </c>
      <c r="E1992" t="s">
        <v>745</v>
      </c>
      <c r="F1992" t="s">
        <v>99</v>
      </c>
      <c r="G1992" t="s">
        <v>99</v>
      </c>
      <c r="H1992" t="s">
        <v>99</v>
      </c>
      <c r="I1992" t="s">
        <v>211</v>
      </c>
      <c r="J1992" t="s">
        <v>99</v>
      </c>
      <c r="K1992" t="s">
        <v>99</v>
      </c>
      <c r="L1992" t="s">
        <v>99</v>
      </c>
      <c r="M1992" t="s">
        <v>99</v>
      </c>
      <c r="N1992" t="s">
        <v>99</v>
      </c>
    </row>
    <row r="1993" spans="1:14" x14ac:dyDescent="0.3">
      <c r="A1993" t="s">
        <v>49</v>
      </c>
      <c r="B1993" t="s">
        <v>389</v>
      </c>
      <c r="C1993">
        <v>72</v>
      </c>
      <c r="D1993" t="s">
        <v>42</v>
      </c>
      <c r="E1993" t="s">
        <v>488</v>
      </c>
      <c r="F1993" t="s">
        <v>99</v>
      </c>
      <c r="G1993" t="s">
        <v>468</v>
      </c>
      <c r="H1993" t="s">
        <v>101</v>
      </c>
      <c r="I1993" t="s">
        <v>574</v>
      </c>
      <c r="J1993" t="s">
        <v>215</v>
      </c>
      <c r="K1993" t="s">
        <v>99</v>
      </c>
      <c r="L1993" t="s">
        <v>207</v>
      </c>
      <c r="M1993" t="s">
        <v>315</v>
      </c>
      <c r="N1993" t="s">
        <v>368</v>
      </c>
    </row>
    <row r="1994" spans="1:14" s="5" customFormat="1" x14ac:dyDescent="0.3">
      <c r="A1994" s="5" t="s">
        <v>49</v>
      </c>
      <c r="B1994" s="5" t="s">
        <v>390</v>
      </c>
      <c r="C1994" s="5">
        <v>27</v>
      </c>
      <c r="D1994" s="5" t="s">
        <v>711</v>
      </c>
      <c r="E1994" s="5" t="s">
        <v>444</v>
      </c>
      <c r="F1994" s="5" t="s">
        <v>99</v>
      </c>
      <c r="G1994" s="5" t="s">
        <v>145</v>
      </c>
      <c r="H1994" s="5" t="s">
        <v>99</v>
      </c>
      <c r="I1994" s="5" t="s">
        <v>1112</v>
      </c>
      <c r="J1994" s="5" t="s">
        <v>149</v>
      </c>
      <c r="K1994" s="5" t="s">
        <v>99</v>
      </c>
      <c r="L1994" s="5" t="s">
        <v>99</v>
      </c>
      <c r="M1994" s="5" t="s">
        <v>204</v>
      </c>
      <c r="N1994" s="5" t="s">
        <v>679</v>
      </c>
    </row>
    <row r="1995" spans="1:14" x14ac:dyDescent="0.3">
      <c r="A1995" t="s">
        <v>49</v>
      </c>
      <c r="B1995" t="s">
        <v>365</v>
      </c>
      <c r="C1995">
        <v>11</v>
      </c>
      <c r="D1995" t="s">
        <v>311</v>
      </c>
      <c r="E1995" t="s">
        <v>1044</v>
      </c>
      <c r="F1995" t="s">
        <v>99</v>
      </c>
      <c r="G1995" t="s">
        <v>99</v>
      </c>
      <c r="H1995" t="s">
        <v>99</v>
      </c>
      <c r="I1995" t="s">
        <v>266</v>
      </c>
      <c r="J1995" t="s">
        <v>99</v>
      </c>
      <c r="K1995" t="s">
        <v>99</v>
      </c>
      <c r="L1995" t="s">
        <v>99</v>
      </c>
      <c r="M1995" t="s">
        <v>99</v>
      </c>
      <c r="N1995" t="s">
        <v>99</v>
      </c>
    </row>
    <row r="1997" spans="1:14" x14ac:dyDescent="0.3">
      <c r="A1997" t="s">
        <v>1121</v>
      </c>
    </row>
    <row r="1998" spans="1:14" x14ac:dyDescent="0.3">
      <c r="A1998" t="s">
        <v>44</v>
      </c>
      <c r="B1998" t="s">
        <v>879</v>
      </c>
      <c r="C1998" t="s">
        <v>32</v>
      </c>
      <c r="D1998" t="s">
        <v>1084</v>
      </c>
      <c r="E1998" t="s">
        <v>1085</v>
      </c>
      <c r="F1998" t="s">
        <v>1086</v>
      </c>
      <c r="G1998" t="s">
        <v>1087</v>
      </c>
      <c r="H1998" t="s">
        <v>1088</v>
      </c>
      <c r="I1998" t="s">
        <v>1089</v>
      </c>
      <c r="J1998" t="s">
        <v>1090</v>
      </c>
      <c r="K1998" t="s">
        <v>1091</v>
      </c>
      <c r="L1998" t="s">
        <v>1092</v>
      </c>
      <c r="M1998" t="s">
        <v>88</v>
      </c>
      <c r="N1998" t="s">
        <v>1093</v>
      </c>
    </row>
    <row r="1999" spans="1:14" s="5" customFormat="1" x14ac:dyDescent="0.3">
      <c r="A1999" s="5" t="s">
        <v>35</v>
      </c>
      <c r="B1999" s="5" t="s">
        <v>881</v>
      </c>
      <c r="C1999" s="5">
        <v>9</v>
      </c>
      <c r="D1999" s="5" t="s">
        <v>828</v>
      </c>
      <c r="E1999" s="5" t="s">
        <v>676</v>
      </c>
      <c r="F1999" s="5" t="s">
        <v>99</v>
      </c>
      <c r="G1999" s="5" t="s">
        <v>688</v>
      </c>
      <c r="H1999" s="5" t="s">
        <v>99</v>
      </c>
      <c r="I1999" s="5" t="s">
        <v>1122</v>
      </c>
      <c r="J1999" s="5" t="s">
        <v>688</v>
      </c>
      <c r="K1999" s="5" t="s">
        <v>99</v>
      </c>
      <c r="L1999" s="5" t="s">
        <v>99</v>
      </c>
      <c r="M1999" s="5" t="s">
        <v>99</v>
      </c>
      <c r="N1999" s="5" t="s">
        <v>675</v>
      </c>
    </row>
    <row r="2000" spans="1:14" x14ac:dyDescent="0.3">
      <c r="A2000" t="s">
        <v>35</v>
      </c>
      <c r="B2000" t="s">
        <v>882</v>
      </c>
      <c r="C2000">
        <v>38</v>
      </c>
      <c r="D2000" t="s">
        <v>739</v>
      </c>
      <c r="E2000" t="s">
        <v>580</v>
      </c>
      <c r="F2000" t="s">
        <v>99</v>
      </c>
      <c r="G2000" t="s">
        <v>99</v>
      </c>
      <c r="H2000" t="s">
        <v>99</v>
      </c>
      <c r="I2000" t="s">
        <v>451</v>
      </c>
      <c r="J2000" t="s">
        <v>99</v>
      </c>
      <c r="K2000" t="s">
        <v>99</v>
      </c>
      <c r="L2000" t="s">
        <v>99</v>
      </c>
      <c r="M2000" t="s">
        <v>264</v>
      </c>
      <c r="N2000" t="s">
        <v>437</v>
      </c>
    </row>
    <row r="2001" spans="1:14" s="5" customFormat="1" x14ac:dyDescent="0.3">
      <c r="A2001" s="5" t="s">
        <v>37</v>
      </c>
      <c r="B2001" s="5" t="s">
        <v>881</v>
      </c>
      <c r="C2001" s="5">
        <v>1</v>
      </c>
      <c r="D2001" s="5" t="s">
        <v>99</v>
      </c>
      <c r="E2001" s="5" t="s">
        <v>99</v>
      </c>
      <c r="F2001" s="5" t="s">
        <v>99</v>
      </c>
      <c r="G2001" s="5" t="s">
        <v>99</v>
      </c>
      <c r="H2001" s="5" t="s">
        <v>99</v>
      </c>
      <c r="I2001" s="5" t="s">
        <v>211</v>
      </c>
      <c r="J2001" s="5" t="s">
        <v>99</v>
      </c>
      <c r="K2001" s="5" t="s">
        <v>99</v>
      </c>
      <c r="L2001" s="5" t="s">
        <v>99</v>
      </c>
      <c r="M2001" s="5" t="s">
        <v>99</v>
      </c>
      <c r="N2001" s="5" t="s">
        <v>99</v>
      </c>
    </row>
    <row r="2002" spans="1:14" s="5" customFormat="1" x14ac:dyDescent="0.3">
      <c r="A2002" s="5" t="s">
        <v>37</v>
      </c>
      <c r="B2002" s="5" t="s">
        <v>882</v>
      </c>
      <c r="C2002" s="5">
        <v>18</v>
      </c>
      <c r="D2002" s="5" t="s">
        <v>836</v>
      </c>
      <c r="E2002" s="5" t="s">
        <v>99</v>
      </c>
      <c r="F2002" s="5" t="s">
        <v>99</v>
      </c>
      <c r="G2002" s="5" t="s">
        <v>248</v>
      </c>
      <c r="H2002" s="5" t="s">
        <v>99</v>
      </c>
      <c r="I2002" s="5" t="s">
        <v>588</v>
      </c>
      <c r="J2002" s="5" t="s">
        <v>99</v>
      </c>
      <c r="K2002" s="5" t="s">
        <v>99</v>
      </c>
      <c r="L2002" s="5" t="s">
        <v>99</v>
      </c>
      <c r="M2002" s="5" t="s">
        <v>155</v>
      </c>
      <c r="N2002" s="5" t="s">
        <v>318</v>
      </c>
    </row>
    <row r="2003" spans="1:14" s="5" customFormat="1" x14ac:dyDescent="0.3">
      <c r="A2003" s="5" t="s">
        <v>36</v>
      </c>
      <c r="B2003" s="5" t="s">
        <v>881</v>
      </c>
      <c r="C2003" s="5">
        <v>3</v>
      </c>
      <c r="D2003" s="5" t="s">
        <v>99</v>
      </c>
      <c r="E2003" s="5" t="s">
        <v>99</v>
      </c>
      <c r="F2003" s="5" t="s">
        <v>99</v>
      </c>
      <c r="G2003" s="5" t="s">
        <v>99</v>
      </c>
      <c r="H2003" s="5" t="s">
        <v>99</v>
      </c>
      <c r="I2003" s="5" t="s">
        <v>211</v>
      </c>
      <c r="J2003" s="5" t="s">
        <v>99</v>
      </c>
      <c r="K2003" s="5" t="s">
        <v>99</v>
      </c>
      <c r="L2003" s="5" t="s">
        <v>99</v>
      </c>
      <c r="M2003" s="5" t="s">
        <v>99</v>
      </c>
      <c r="N2003" s="5" t="s">
        <v>99</v>
      </c>
    </row>
    <row r="2004" spans="1:14" s="5" customFormat="1" x14ac:dyDescent="0.3">
      <c r="A2004" s="5" t="s">
        <v>36</v>
      </c>
      <c r="B2004" s="5" t="s">
        <v>882</v>
      </c>
      <c r="C2004" s="5">
        <v>12</v>
      </c>
      <c r="D2004" s="5" t="s">
        <v>1123</v>
      </c>
      <c r="E2004" s="5" t="s">
        <v>437</v>
      </c>
      <c r="F2004" s="5" t="s">
        <v>99</v>
      </c>
      <c r="G2004" s="5" t="s">
        <v>99</v>
      </c>
      <c r="H2004" s="5" t="s">
        <v>99</v>
      </c>
      <c r="I2004" s="5" t="s">
        <v>829</v>
      </c>
      <c r="J2004" s="5" t="s">
        <v>74</v>
      </c>
      <c r="K2004" s="5" t="s">
        <v>99</v>
      </c>
      <c r="L2004" s="5" t="s">
        <v>74</v>
      </c>
      <c r="M2004" s="5" t="s">
        <v>126</v>
      </c>
      <c r="N2004" s="5" t="s">
        <v>99</v>
      </c>
    </row>
    <row r="2005" spans="1:14" s="5" customFormat="1" x14ac:dyDescent="0.3">
      <c r="A2005" s="5" t="s">
        <v>34</v>
      </c>
      <c r="B2005" s="5" t="s">
        <v>881</v>
      </c>
      <c r="C2005" s="5">
        <v>2</v>
      </c>
      <c r="D2005" s="5" t="s">
        <v>99</v>
      </c>
      <c r="E2005" s="5" t="s">
        <v>909</v>
      </c>
      <c r="F2005" s="5" t="s">
        <v>99</v>
      </c>
      <c r="G2005" s="5" t="s">
        <v>909</v>
      </c>
      <c r="H2005" s="5" t="s">
        <v>99</v>
      </c>
      <c r="I2005" s="5" t="s">
        <v>211</v>
      </c>
      <c r="J2005" s="5" t="s">
        <v>99</v>
      </c>
      <c r="K2005" s="5" t="s">
        <v>99</v>
      </c>
      <c r="L2005" s="5" t="s">
        <v>99</v>
      </c>
      <c r="M2005" s="5" t="s">
        <v>99</v>
      </c>
      <c r="N2005" s="5" t="s">
        <v>99</v>
      </c>
    </row>
    <row r="2006" spans="1:14" s="5" customFormat="1" x14ac:dyDescent="0.3">
      <c r="A2006" s="5" t="s">
        <v>34</v>
      </c>
      <c r="B2006" s="5" t="s">
        <v>882</v>
      </c>
      <c r="C2006" s="5">
        <v>9</v>
      </c>
      <c r="D2006" s="5" t="s">
        <v>567</v>
      </c>
      <c r="E2006" s="5" t="s">
        <v>923</v>
      </c>
      <c r="F2006" s="5" t="s">
        <v>99</v>
      </c>
      <c r="G2006" s="5" t="s">
        <v>99</v>
      </c>
      <c r="H2006" s="5" t="s">
        <v>99</v>
      </c>
      <c r="I2006" s="5" t="s">
        <v>99</v>
      </c>
      <c r="J2006" s="5" t="s">
        <v>182</v>
      </c>
      <c r="K2006" s="5" t="s">
        <v>99</v>
      </c>
      <c r="L2006" s="5" t="s">
        <v>99</v>
      </c>
      <c r="M2006" s="5" t="s">
        <v>110</v>
      </c>
      <c r="N2006" s="5" t="s">
        <v>99</v>
      </c>
    </row>
    <row r="2007" spans="1:14" s="5" customFormat="1" x14ac:dyDescent="0.3">
      <c r="A2007" s="5" t="s">
        <v>33</v>
      </c>
      <c r="B2007" s="5" t="s">
        <v>881</v>
      </c>
      <c r="C2007" s="5">
        <v>4</v>
      </c>
      <c r="D2007" s="5" t="s">
        <v>594</v>
      </c>
      <c r="E2007" s="5" t="s">
        <v>99</v>
      </c>
      <c r="F2007" s="5" t="s">
        <v>99</v>
      </c>
      <c r="G2007" s="5" t="s">
        <v>99</v>
      </c>
      <c r="H2007" s="5" t="s">
        <v>99</v>
      </c>
      <c r="I2007" s="5" t="s">
        <v>1059</v>
      </c>
      <c r="J2007" s="5" t="s">
        <v>99</v>
      </c>
      <c r="K2007" s="5" t="s">
        <v>99</v>
      </c>
      <c r="L2007" s="5" t="s">
        <v>99</v>
      </c>
      <c r="M2007" s="5" t="s">
        <v>1059</v>
      </c>
      <c r="N2007" s="5" t="s">
        <v>99</v>
      </c>
    </row>
    <row r="2008" spans="1:14" s="5" customFormat="1" x14ac:dyDescent="0.3">
      <c r="A2008" s="5" t="s">
        <v>33</v>
      </c>
      <c r="B2008" s="5" t="s">
        <v>882</v>
      </c>
      <c r="C2008" s="5">
        <v>14</v>
      </c>
      <c r="D2008" s="5" t="s">
        <v>688</v>
      </c>
      <c r="E2008" s="5" t="s">
        <v>694</v>
      </c>
      <c r="F2008" s="5" t="s">
        <v>99</v>
      </c>
      <c r="G2008" s="5" t="s">
        <v>254</v>
      </c>
      <c r="H2008" s="5" t="s">
        <v>254</v>
      </c>
      <c r="I2008" s="5" t="s">
        <v>1124</v>
      </c>
      <c r="J2008" s="5" t="s">
        <v>99</v>
      </c>
      <c r="K2008" s="5" t="s">
        <v>99</v>
      </c>
      <c r="L2008" s="5" t="s">
        <v>99</v>
      </c>
      <c r="M2008" s="5" t="s">
        <v>465</v>
      </c>
      <c r="N2008" s="5" t="s">
        <v>99</v>
      </c>
    </row>
    <row r="2009" spans="1:14" s="5" customFormat="1" x14ac:dyDescent="0.3">
      <c r="A2009" s="5" t="s">
        <v>49</v>
      </c>
      <c r="B2009" s="5" t="s">
        <v>881</v>
      </c>
      <c r="C2009" s="5">
        <v>19</v>
      </c>
      <c r="D2009" s="5" t="s">
        <v>106</v>
      </c>
      <c r="E2009" s="5" t="s">
        <v>807</v>
      </c>
      <c r="F2009" s="5" t="s">
        <v>99</v>
      </c>
      <c r="G2009" s="5" t="s">
        <v>167</v>
      </c>
      <c r="H2009" s="5" t="s">
        <v>99</v>
      </c>
      <c r="I2009" s="5" t="s">
        <v>1125</v>
      </c>
      <c r="J2009" s="5" t="s">
        <v>468</v>
      </c>
      <c r="K2009" s="5" t="s">
        <v>99</v>
      </c>
      <c r="L2009" s="5" t="s">
        <v>99</v>
      </c>
      <c r="M2009" s="5" t="s">
        <v>277</v>
      </c>
      <c r="N2009" s="5" t="s">
        <v>147</v>
      </c>
    </row>
    <row r="2010" spans="1:14" x14ac:dyDescent="0.3">
      <c r="A2010" t="s">
        <v>49</v>
      </c>
      <c r="B2010" t="s">
        <v>882</v>
      </c>
      <c r="C2010">
        <v>91</v>
      </c>
      <c r="D2010" t="s">
        <v>540</v>
      </c>
      <c r="E2010" t="s">
        <v>894</v>
      </c>
      <c r="F2010" t="s">
        <v>99</v>
      </c>
      <c r="G2010" t="s">
        <v>147</v>
      </c>
      <c r="H2010" t="s">
        <v>100</v>
      </c>
      <c r="I2010" t="s">
        <v>662</v>
      </c>
      <c r="J2010" t="s">
        <v>126</v>
      </c>
      <c r="K2010" t="s">
        <v>99</v>
      </c>
      <c r="L2010" t="s">
        <v>198</v>
      </c>
      <c r="M2010" t="s">
        <v>470</v>
      </c>
      <c r="N2010" t="s">
        <v>737</v>
      </c>
    </row>
    <row r="2012" spans="1:14" x14ac:dyDescent="0.3">
      <c r="A2012" t="s">
        <v>1126</v>
      </c>
    </row>
    <row r="2013" spans="1:14" x14ac:dyDescent="0.3">
      <c r="A2013" t="s">
        <v>44</v>
      </c>
      <c r="B2013" t="s">
        <v>257</v>
      </c>
      <c r="C2013" t="s">
        <v>32</v>
      </c>
      <c r="D2013" t="s">
        <v>1084</v>
      </c>
      <c r="E2013" t="s">
        <v>1085</v>
      </c>
      <c r="F2013" t="s">
        <v>1086</v>
      </c>
      <c r="G2013" t="s">
        <v>1087</v>
      </c>
      <c r="H2013" t="s">
        <v>1088</v>
      </c>
      <c r="I2013" t="s">
        <v>1089</v>
      </c>
      <c r="J2013" t="s">
        <v>1090</v>
      </c>
      <c r="K2013" t="s">
        <v>1091</v>
      </c>
      <c r="L2013" t="s">
        <v>1092</v>
      </c>
      <c r="M2013" t="s">
        <v>88</v>
      </c>
      <c r="N2013" t="s">
        <v>1093</v>
      </c>
    </row>
    <row r="2014" spans="1:14" x14ac:dyDescent="0.3">
      <c r="A2014" t="s">
        <v>35</v>
      </c>
      <c r="B2014" t="s">
        <v>258</v>
      </c>
      <c r="C2014">
        <v>36</v>
      </c>
      <c r="D2014" t="s">
        <v>704</v>
      </c>
      <c r="E2014" t="s">
        <v>956</v>
      </c>
      <c r="F2014" t="s">
        <v>99</v>
      </c>
      <c r="G2014" t="s">
        <v>332</v>
      </c>
      <c r="H2014" t="s">
        <v>99</v>
      </c>
      <c r="I2014" t="s">
        <v>395</v>
      </c>
      <c r="J2014" t="s">
        <v>99</v>
      </c>
      <c r="K2014" t="s">
        <v>99</v>
      </c>
      <c r="L2014" t="s">
        <v>99</v>
      </c>
      <c r="M2014" t="s">
        <v>222</v>
      </c>
      <c r="N2014" t="s">
        <v>342</v>
      </c>
    </row>
    <row r="2015" spans="1:14" s="5" customFormat="1" x14ac:dyDescent="0.3">
      <c r="A2015" s="5" t="s">
        <v>35</v>
      </c>
      <c r="B2015" s="5" t="s">
        <v>260</v>
      </c>
      <c r="C2015" s="5">
        <v>11</v>
      </c>
      <c r="D2015" s="5" t="s">
        <v>803</v>
      </c>
      <c r="E2015" s="5" t="s">
        <v>425</v>
      </c>
      <c r="F2015" s="5" t="s">
        <v>99</v>
      </c>
      <c r="G2015" s="5" t="s">
        <v>99</v>
      </c>
      <c r="H2015" s="5" t="s">
        <v>99</v>
      </c>
      <c r="I2015" s="5" t="s">
        <v>1127</v>
      </c>
      <c r="J2015" s="5" t="s">
        <v>160</v>
      </c>
      <c r="K2015" s="5" t="s">
        <v>99</v>
      </c>
      <c r="L2015" s="5" t="s">
        <v>99</v>
      </c>
      <c r="M2015" s="5" t="s">
        <v>405</v>
      </c>
      <c r="N2015" s="5" t="s">
        <v>99</v>
      </c>
    </row>
    <row r="2016" spans="1:14" s="5" customFormat="1" x14ac:dyDescent="0.3">
      <c r="A2016" s="5" t="s">
        <v>37</v>
      </c>
      <c r="B2016" s="5" t="s">
        <v>258</v>
      </c>
      <c r="C2016" s="5">
        <v>19</v>
      </c>
      <c r="D2016" s="5" t="s">
        <v>224</v>
      </c>
      <c r="E2016" s="5" t="s">
        <v>99</v>
      </c>
      <c r="F2016" s="5" t="s">
        <v>99</v>
      </c>
      <c r="G2016" s="5" t="s">
        <v>184</v>
      </c>
      <c r="H2016" s="5" t="s">
        <v>99</v>
      </c>
      <c r="I2016" s="5" t="s">
        <v>551</v>
      </c>
      <c r="J2016" s="5" t="s">
        <v>99</v>
      </c>
      <c r="K2016" s="5" t="s">
        <v>99</v>
      </c>
      <c r="L2016" s="5" t="s">
        <v>99</v>
      </c>
      <c r="M2016" s="5" t="s">
        <v>105</v>
      </c>
      <c r="N2016" s="5" t="s">
        <v>672</v>
      </c>
    </row>
    <row r="2017" spans="1:14" s="5" customFormat="1" x14ac:dyDescent="0.3">
      <c r="A2017" s="5" t="s">
        <v>36</v>
      </c>
      <c r="B2017" s="5" t="s">
        <v>258</v>
      </c>
      <c r="C2017" s="5">
        <v>13</v>
      </c>
      <c r="D2017" s="5" t="s">
        <v>821</v>
      </c>
      <c r="E2017" s="5" t="s">
        <v>368</v>
      </c>
      <c r="F2017" s="5" t="s">
        <v>99</v>
      </c>
      <c r="G2017" s="5" t="s">
        <v>99</v>
      </c>
      <c r="H2017" s="5" t="s">
        <v>99</v>
      </c>
      <c r="I2017" s="5" t="s">
        <v>583</v>
      </c>
      <c r="J2017" s="5" t="s">
        <v>474</v>
      </c>
      <c r="K2017" s="5" t="s">
        <v>99</v>
      </c>
      <c r="L2017" s="5" t="s">
        <v>474</v>
      </c>
      <c r="M2017" s="5" t="s">
        <v>99</v>
      </c>
      <c r="N2017" s="5" t="s">
        <v>99</v>
      </c>
    </row>
    <row r="2018" spans="1:14" s="5" customFormat="1" x14ac:dyDescent="0.3">
      <c r="A2018" s="5" t="s">
        <v>36</v>
      </c>
      <c r="B2018" s="5" t="s">
        <v>260</v>
      </c>
      <c r="C2018" s="5">
        <v>2</v>
      </c>
      <c r="D2018" s="5" t="s">
        <v>909</v>
      </c>
      <c r="E2018" s="5" t="s">
        <v>211</v>
      </c>
      <c r="F2018" s="5" t="s">
        <v>99</v>
      </c>
      <c r="G2018" s="5" t="s">
        <v>99</v>
      </c>
      <c r="H2018" s="5" t="s">
        <v>99</v>
      </c>
      <c r="I2018" s="5" t="s">
        <v>99</v>
      </c>
      <c r="J2018" s="5" t="s">
        <v>99</v>
      </c>
      <c r="K2018" s="5" t="s">
        <v>99</v>
      </c>
      <c r="L2018" s="5" t="s">
        <v>99</v>
      </c>
      <c r="M2018" s="5" t="s">
        <v>909</v>
      </c>
      <c r="N2018" s="5" t="s">
        <v>99</v>
      </c>
    </row>
    <row r="2019" spans="1:14" s="5" customFormat="1" x14ac:dyDescent="0.3">
      <c r="A2019" s="5" t="s">
        <v>34</v>
      </c>
      <c r="B2019" s="5" t="s">
        <v>258</v>
      </c>
      <c r="C2019" s="5">
        <v>1</v>
      </c>
      <c r="D2019" s="5" t="s">
        <v>211</v>
      </c>
      <c r="E2019" s="5" t="s">
        <v>99</v>
      </c>
      <c r="F2019" s="5" t="s">
        <v>99</v>
      </c>
      <c r="G2019" s="5" t="s">
        <v>99</v>
      </c>
      <c r="H2019" s="5" t="s">
        <v>99</v>
      </c>
      <c r="I2019" s="5" t="s">
        <v>99</v>
      </c>
      <c r="J2019" s="5" t="s">
        <v>99</v>
      </c>
      <c r="K2019" s="5" t="s">
        <v>99</v>
      </c>
      <c r="L2019" s="5" t="s">
        <v>99</v>
      </c>
      <c r="M2019" s="5" t="s">
        <v>99</v>
      </c>
      <c r="N2019" s="5" t="s">
        <v>99</v>
      </c>
    </row>
    <row r="2020" spans="1:14" s="5" customFormat="1" x14ac:dyDescent="0.3">
      <c r="A2020" s="5" t="s">
        <v>34</v>
      </c>
      <c r="B2020" s="5" t="s">
        <v>260</v>
      </c>
      <c r="C2020" s="5">
        <v>10</v>
      </c>
      <c r="D2020" s="5" t="s">
        <v>965</v>
      </c>
      <c r="E2020" s="5" t="s">
        <v>653</v>
      </c>
      <c r="F2020" s="5" t="s">
        <v>99</v>
      </c>
      <c r="G2020" s="5" t="s">
        <v>680</v>
      </c>
      <c r="H2020" s="5" t="s">
        <v>99</v>
      </c>
      <c r="I2020" s="5" t="s">
        <v>833</v>
      </c>
      <c r="J2020" s="5" t="s">
        <v>150</v>
      </c>
      <c r="K2020" s="5" t="s">
        <v>99</v>
      </c>
      <c r="L2020" s="5" t="s">
        <v>99</v>
      </c>
      <c r="M2020" s="5" t="s">
        <v>107</v>
      </c>
      <c r="N2020" s="5" t="s">
        <v>99</v>
      </c>
    </row>
    <row r="2021" spans="1:14" s="5" customFormat="1" x14ac:dyDescent="0.3">
      <c r="A2021" s="5" t="s">
        <v>33</v>
      </c>
      <c r="B2021" s="5" t="s">
        <v>258</v>
      </c>
      <c r="C2021" s="5">
        <v>18</v>
      </c>
      <c r="D2021" s="5" t="s">
        <v>820</v>
      </c>
      <c r="E2021" s="5" t="s">
        <v>680</v>
      </c>
      <c r="F2021" s="5" t="s">
        <v>99</v>
      </c>
      <c r="G2021" s="5" t="s">
        <v>412</v>
      </c>
      <c r="H2021" s="5" t="s">
        <v>412</v>
      </c>
      <c r="I2021" s="5" t="s">
        <v>815</v>
      </c>
      <c r="J2021" s="5" t="s">
        <v>99</v>
      </c>
      <c r="K2021" s="5" t="s">
        <v>99</v>
      </c>
      <c r="L2021" s="5" t="s">
        <v>99</v>
      </c>
      <c r="M2021" s="5" t="s">
        <v>167</v>
      </c>
      <c r="N2021" s="5" t="s">
        <v>99</v>
      </c>
    </row>
    <row r="2022" spans="1:14" x14ac:dyDescent="0.3">
      <c r="A2022" t="s">
        <v>49</v>
      </c>
      <c r="B2022" t="s">
        <v>258</v>
      </c>
      <c r="C2022">
        <v>87</v>
      </c>
      <c r="D2022" t="s">
        <v>747</v>
      </c>
      <c r="E2022" t="s">
        <v>491</v>
      </c>
      <c r="F2022" t="s">
        <v>99</v>
      </c>
      <c r="G2022" t="s">
        <v>68</v>
      </c>
      <c r="H2022" t="s">
        <v>101</v>
      </c>
      <c r="I2022" t="s">
        <v>930</v>
      </c>
      <c r="J2022" t="s">
        <v>198</v>
      </c>
      <c r="K2022" t="s">
        <v>99</v>
      </c>
      <c r="L2022" t="s">
        <v>198</v>
      </c>
      <c r="M2022" t="s">
        <v>379</v>
      </c>
      <c r="N2022" t="s">
        <v>701</v>
      </c>
    </row>
    <row r="2023" spans="1:14" s="5" customFormat="1" x14ac:dyDescent="0.3">
      <c r="A2023" s="5" t="s">
        <v>49</v>
      </c>
      <c r="B2023" s="5" t="s">
        <v>260</v>
      </c>
      <c r="C2023" s="5">
        <v>23</v>
      </c>
      <c r="D2023" s="5" t="s">
        <v>650</v>
      </c>
      <c r="E2023" s="5" t="s">
        <v>667</v>
      </c>
      <c r="F2023" s="5" t="s">
        <v>99</v>
      </c>
      <c r="G2023" s="5" t="s">
        <v>145</v>
      </c>
      <c r="H2023" s="5" t="s">
        <v>99</v>
      </c>
      <c r="I2023" s="5" t="s">
        <v>653</v>
      </c>
      <c r="J2023" s="5" t="s">
        <v>150</v>
      </c>
      <c r="K2023" s="5" t="s">
        <v>99</v>
      </c>
      <c r="L2023" s="5" t="s">
        <v>99</v>
      </c>
      <c r="M2023" s="5" t="s">
        <v>145</v>
      </c>
      <c r="N2023" s="5" t="s">
        <v>99</v>
      </c>
    </row>
    <row r="2025" spans="1:14" x14ac:dyDescent="0.3">
      <c r="A2025" t="s">
        <v>1128</v>
      </c>
    </row>
    <row r="2026" spans="1:14" x14ac:dyDescent="0.3">
      <c r="A2026" t="s">
        <v>44</v>
      </c>
      <c r="B2026" t="s">
        <v>32</v>
      </c>
      <c r="C2026" t="s">
        <v>66</v>
      </c>
      <c r="D2026" t="s">
        <v>67</v>
      </c>
      <c r="E2026" t="s">
        <v>352</v>
      </c>
      <c r="F2026" t="s">
        <v>193</v>
      </c>
    </row>
    <row r="2027" spans="1:14" x14ac:dyDescent="0.3">
      <c r="A2027" t="s">
        <v>35</v>
      </c>
      <c r="B2027">
        <v>408</v>
      </c>
      <c r="C2027" t="s">
        <v>332</v>
      </c>
      <c r="D2027" t="s">
        <v>1017</v>
      </c>
      <c r="E2027" t="s">
        <v>115</v>
      </c>
      <c r="F2027" t="s">
        <v>198</v>
      </c>
    </row>
    <row r="2028" spans="1:14" x14ac:dyDescent="0.3">
      <c r="A2028" t="s">
        <v>37</v>
      </c>
      <c r="B2028">
        <v>758</v>
      </c>
      <c r="C2028" t="s">
        <v>132</v>
      </c>
      <c r="D2028" t="s">
        <v>225</v>
      </c>
      <c r="E2028" t="s">
        <v>198</v>
      </c>
      <c r="F2028" t="s">
        <v>99</v>
      </c>
    </row>
    <row r="2029" spans="1:14" x14ac:dyDescent="0.3">
      <c r="A2029" t="s">
        <v>36</v>
      </c>
      <c r="B2029">
        <v>544</v>
      </c>
      <c r="C2029" t="s">
        <v>405</v>
      </c>
      <c r="D2029" t="s">
        <v>392</v>
      </c>
      <c r="E2029" t="s">
        <v>207</v>
      </c>
      <c r="F2029" t="s">
        <v>99</v>
      </c>
    </row>
    <row r="2030" spans="1:14" x14ac:dyDescent="0.3">
      <c r="A2030" t="s">
        <v>34</v>
      </c>
      <c r="B2030">
        <v>611</v>
      </c>
      <c r="C2030" t="s">
        <v>677</v>
      </c>
      <c r="D2030" t="s">
        <v>612</v>
      </c>
      <c r="E2030" t="s">
        <v>292</v>
      </c>
      <c r="F2030" t="s">
        <v>136</v>
      </c>
    </row>
    <row r="2031" spans="1:14" x14ac:dyDescent="0.3">
      <c r="A2031" t="s">
        <v>33</v>
      </c>
      <c r="B2031">
        <v>229</v>
      </c>
      <c r="C2031" t="s">
        <v>141</v>
      </c>
      <c r="D2031" t="s">
        <v>970</v>
      </c>
      <c r="E2031" t="s">
        <v>99</v>
      </c>
      <c r="F2031" t="s">
        <v>99</v>
      </c>
    </row>
    <row r="2032" spans="1:14" x14ac:dyDescent="0.3">
      <c r="A2032" t="s">
        <v>49</v>
      </c>
      <c r="B2032">
        <v>2550</v>
      </c>
      <c r="C2032" t="s">
        <v>325</v>
      </c>
      <c r="D2032" t="s">
        <v>326</v>
      </c>
      <c r="E2032" t="s">
        <v>132</v>
      </c>
      <c r="F2032" t="s">
        <v>198</v>
      </c>
    </row>
    <row r="2034" spans="1:7" x14ac:dyDescent="0.3">
      <c r="A2034" t="s">
        <v>1129</v>
      </c>
    </row>
    <row r="2035" spans="1:7" x14ac:dyDescent="0.3">
      <c r="A2035" t="s">
        <v>44</v>
      </c>
      <c r="B2035" t="s">
        <v>847</v>
      </c>
      <c r="C2035" t="s">
        <v>32</v>
      </c>
      <c r="D2035" t="s">
        <v>67</v>
      </c>
      <c r="E2035" t="s">
        <v>66</v>
      </c>
      <c r="F2035" t="s">
        <v>352</v>
      </c>
      <c r="G2035" t="s">
        <v>193</v>
      </c>
    </row>
    <row r="2036" spans="1:7" s="5" customFormat="1" x14ac:dyDescent="0.3">
      <c r="A2036" s="5" t="s">
        <v>35</v>
      </c>
      <c r="B2036" s="5" t="s">
        <v>848</v>
      </c>
      <c r="C2036" s="5">
        <v>7</v>
      </c>
      <c r="D2036" s="5" t="s">
        <v>211</v>
      </c>
      <c r="E2036" s="5" t="s">
        <v>99</v>
      </c>
      <c r="F2036" s="5" t="s">
        <v>99</v>
      </c>
      <c r="G2036" s="5" t="s">
        <v>99</v>
      </c>
    </row>
    <row r="2037" spans="1:7" s="5" customFormat="1" x14ac:dyDescent="0.3">
      <c r="A2037" s="5" t="s">
        <v>35</v>
      </c>
      <c r="B2037" s="5" t="s">
        <v>849</v>
      </c>
      <c r="C2037" s="5">
        <v>1</v>
      </c>
      <c r="D2037" s="5" t="s">
        <v>211</v>
      </c>
      <c r="E2037" s="5" t="s">
        <v>99</v>
      </c>
      <c r="F2037" s="5" t="s">
        <v>99</v>
      </c>
      <c r="G2037" s="5" t="s">
        <v>99</v>
      </c>
    </row>
    <row r="2038" spans="1:7" s="5" customFormat="1" x14ac:dyDescent="0.3">
      <c r="A2038" s="5" t="s">
        <v>35</v>
      </c>
      <c r="B2038" s="5" t="s">
        <v>850</v>
      </c>
      <c r="C2038" s="5">
        <v>4</v>
      </c>
      <c r="D2038" s="5" t="s">
        <v>211</v>
      </c>
      <c r="E2038" s="5" t="s">
        <v>99</v>
      </c>
      <c r="F2038" s="5" t="s">
        <v>99</v>
      </c>
      <c r="G2038" s="5" t="s">
        <v>99</v>
      </c>
    </row>
    <row r="2039" spans="1:7" s="5" customFormat="1" x14ac:dyDescent="0.3">
      <c r="A2039" s="5" t="s">
        <v>35</v>
      </c>
      <c r="B2039" s="5" t="s">
        <v>852</v>
      </c>
      <c r="C2039" s="5">
        <v>2</v>
      </c>
      <c r="D2039" s="5" t="s">
        <v>211</v>
      </c>
      <c r="E2039" s="5" t="s">
        <v>99</v>
      </c>
      <c r="F2039" s="5" t="s">
        <v>99</v>
      </c>
      <c r="G2039" s="5" t="s">
        <v>99</v>
      </c>
    </row>
    <row r="2040" spans="1:7" x14ac:dyDescent="0.3">
      <c r="A2040" t="s">
        <v>35</v>
      </c>
      <c r="B2040" t="s">
        <v>365</v>
      </c>
      <c r="C2040">
        <v>394</v>
      </c>
      <c r="D2040" t="s">
        <v>367</v>
      </c>
      <c r="E2040" t="s">
        <v>134</v>
      </c>
      <c r="F2040" t="s">
        <v>115</v>
      </c>
      <c r="G2040" t="s">
        <v>198</v>
      </c>
    </row>
    <row r="2041" spans="1:7" s="5" customFormat="1" x14ac:dyDescent="0.3">
      <c r="A2041" s="5" t="s">
        <v>37</v>
      </c>
      <c r="B2041" s="5" t="s">
        <v>848</v>
      </c>
      <c r="C2041" s="5">
        <v>4</v>
      </c>
      <c r="D2041" s="5" t="s">
        <v>211</v>
      </c>
      <c r="E2041" s="5" t="s">
        <v>99</v>
      </c>
      <c r="F2041" s="5" t="s">
        <v>99</v>
      </c>
      <c r="G2041" s="5" t="s">
        <v>99</v>
      </c>
    </row>
    <row r="2042" spans="1:7" s="5" customFormat="1" x14ac:dyDescent="0.3">
      <c r="A2042" s="5" t="s">
        <v>37</v>
      </c>
      <c r="B2042" s="5" t="s">
        <v>850</v>
      </c>
      <c r="C2042" s="5">
        <v>6</v>
      </c>
      <c r="D2042" s="5" t="s">
        <v>211</v>
      </c>
      <c r="E2042" s="5" t="s">
        <v>99</v>
      </c>
      <c r="F2042" s="5" t="s">
        <v>99</v>
      </c>
      <c r="G2042" s="5" t="s">
        <v>99</v>
      </c>
    </row>
    <row r="2043" spans="1:7" s="5" customFormat="1" x14ac:dyDescent="0.3">
      <c r="A2043" s="5" t="s">
        <v>37</v>
      </c>
      <c r="B2043" s="5" t="s">
        <v>852</v>
      </c>
      <c r="C2043" s="5">
        <v>6</v>
      </c>
      <c r="D2043" s="5" t="s">
        <v>464</v>
      </c>
      <c r="E2043" s="5" t="s">
        <v>482</v>
      </c>
      <c r="F2043" s="5" t="s">
        <v>99</v>
      </c>
      <c r="G2043" s="5" t="s">
        <v>99</v>
      </c>
    </row>
    <row r="2044" spans="1:7" s="5" customFormat="1" x14ac:dyDescent="0.3">
      <c r="A2044" s="5" t="s">
        <v>37</v>
      </c>
      <c r="B2044" s="5" t="s">
        <v>853</v>
      </c>
      <c r="C2044" s="5">
        <v>3</v>
      </c>
      <c r="D2044" s="5" t="s">
        <v>211</v>
      </c>
      <c r="E2044" s="5" t="s">
        <v>99</v>
      </c>
      <c r="F2044" s="5" t="s">
        <v>99</v>
      </c>
      <c r="G2044" s="5" t="s">
        <v>99</v>
      </c>
    </row>
    <row r="2045" spans="1:7" x14ac:dyDescent="0.3">
      <c r="A2045" t="s">
        <v>37</v>
      </c>
      <c r="B2045" t="s">
        <v>365</v>
      </c>
      <c r="C2045">
        <v>739</v>
      </c>
      <c r="D2045" t="s">
        <v>1022</v>
      </c>
      <c r="E2045" t="s">
        <v>115</v>
      </c>
      <c r="F2045" t="s">
        <v>198</v>
      </c>
      <c r="G2045" t="s">
        <v>99</v>
      </c>
    </row>
    <row r="2046" spans="1:7" s="5" customFormat="1" x14ac:dyDescent="0.3">
      <c r="A2046" s="5" t="s">
        <v>36</v>
      </c>
      <c r="B2046" s="5" t="s">
        <v>848</v>
      </c>
      <c r="C2046" s="5">
        <v>7</v>
      </c>
      <c r="D2046" s="5" t="s">
        <v>994</v>
      </c>
      <c r="E2046" s="5" t="s">
        <v>940</v>
      </c>
      <c r="F2046" s="5" t="s">
        <v>99</v>
      </c>
      <c r="G2046" s="5" t="s">
        <v>99</v>
      </c>
    </row>
    <row r="2047" spans="1:7" s="5" customFormat="1" x14ac:dyDescent="0.3">
      <c r="A2047" s="5" t="s">
        <v>36</v>
      </c>
      <c r="B2047" s="5" t="s">
        <v>850</v>
      </c>
      <c r="C2047" s="5">
        <v>1</v>
      </c>
      <c r="D2047" s="5" t="s">
        <v>211</v>
      </c>
      <c r="E2047" s="5" t="s">
        <v>99</v>
      </c>
      <c r="F2047" s="5" t="s">
        <v>99</v>
      </c>
      <c r="G2047" s="5" t="s">
        <v>99</v>
      </c>
    </row>
    <row r="2048" spans="1:7" s="5" customFormat="1" x14ac:dyDescent="0.3">
      <c r="A2048" s="5" t="s">
        <v>36</v>
      </c>
      <c r="B2048" s="5" t="s">
        <v>852</v>
      </c>
      <c r="C2048" s="5">
        <v>5</v>
      </c>
      <c r="D2048" s="5" t="s">
        <v>579</v>
      </c>
      <c r="E2048" s="5" t="s">
        <v>578</v>
      </c>
      <c r="F2048" s="5" t="s">
        <v>99</v>
      </c>
      <c r="G2048" s="5" t="s">
        <v>99</v>
      </c>
    </row>
    <row r="2049" spans="1:7" x14ac:dyDescent="0.3">
      <c r="A2049" t="s">
        <v>36</v>
      </c>
      <c r="B2049" t="s">
        <v>365</v>
      </c>
      <c r="C2049">
        <v>531</v>
      </c>
      <c r="D2049" t="s">
        <v>377</v>
      </c>
      <c r="E2049" t="s">
        <v>133</v>
      </c>
      <c r="F2049" t="s">
        <v>207</v>
      </c>
      <c r="G2049" t="s">
        <v>99</v>
      </c>
    </row>
    <row r="2050" spans="1:7" s="5" customFormat="1" x14ac:dyDescent="0.3">
      <c r="A2050" s="5" t="s">
        <v>34</v>
      </c>
      <c r="B2050" s="5" t="s">
        <v>848</v>
      </c>
      <c r="C2050" s="5">
        <v>3</v>
      </c>
      <c r="D2050" s="5" t="s">
        <v>211</v>
      </c>
      <c r="E2050" s="5" t="s">
        <v>99</v>
      </c>
      <c r="F2050" s="5" t="s">
        <v>99</v>
      </c>
      <c r="G2050" s="5" t="s">
        <v>99</v>
      </c>
    </row>
    <row r="2051" spans="1:7" s="5" customFormat="1" x14ac:dyDescent="0.3">
      <c r="A2051" s="5" t="s">
        <v>34</v>
      </c>
      <c r="B2051" s="5" t="s">
        <v>850</v>
      </c>
      <c r="C2051" s="5">
        <v>7</v>
      </c>
      <c r="D2051" s="5" t="s">
        <v>211</v>
      </c>
      <c r="E2051" s="5" t="s">
        <v>99</v>
      </c>
      <c r="F2051" s="5" t="s">
        <v>99</v>
      </c>
      <c r="G2051" s="5" t="s">
        <v>99</v>
      </c>
    </row>
    <row r="2052" spans="1:7" s="5" customFormat="1" x14ac:dyDescent="0.3">
      <c r="A2052" s="5" t="s">
        <v>34</v>
      </c>
      <c r="B2052" s="5" t="s">
        <v>852</v>
      </c>
      <c r="C2052" s="5">
        <v>3</v>
      </c>
      <c r="D2052" s="5" t="s">
        <v>211</v>
      </c>
      <c r="E2052" s="5" t="s">
        <v>99</v>
      </c>
      <c r="F2052" s="5" t="s">
        <v>99</v>
      </c>
      <c r="G2052" s="5" t="s">
        <v>99</v>
      </c>
    </row>
    <row r="2053" spans="1:7" s="5" customFormat="1" x14ac:dyDescent="0.3">
      <c r="A2053" s="5" t="s">
        <v>34</v>
      </c>
      <c r="B2053" s="5" t="s">
        <v>853</v>
      </c>
      <c r="C2053" s="5">
        <v>2</v>
      </c>
      <c r="D2053" s="5" t="s">
        <v>211</v>
      </c>
      <c r="E2053" s="5" t="s">
        <v>99</v>
      </c>
      <c r="F2053" s="5" t="s">
        <v>99</v>
      </c>
      <c r="G2053" s="5" t="s">
        <v>99</v>
      </c>
    </row>
    <row r="2054" spans="1:7" x14ac:dyDescent="0.3">
      <c r="A2054" t="s">
        <v>34</v>
      </c>
      <c r="B2054" t="s">
        <v>365</v>
      </c>
      <c r="C2054">
        <v>596</v>
      </c>
      <c r="D2054" t="s">
        <v>187</v>
      </c>
      <c r="E2054" t="s">
        <v>368</v>
      </c>
      <c r="F2054" t="s">
        <v>292</v>
      </c>
      <c r="G2054" t="s">
        <v>136</v>
      </c>
    </row>
    <row r="2055" spans="1:7" s="5" customFormat="1" x14ac:dyDescent="0.3">
      <c r="A2055" s="5" t="s">
        <v>33</v>
      </c>
      <c r="B2055" s="5" t="s">
        <v>848</v>
      </c>
      <c r="C2055" s="5">
        <v>3</v>
      </c>
      <c r="D2055" s="5" t="s">
        <v>211</v>
      </c>
      <c r="E2055" s="5" t="s">
        <v>99</v>
      </c>
      <c r="F2055" s="5" t="s">
        <v>99</v>
      </c>
      <c r="G2055" s="5" t="s">
        <v>99</v>
      </c>
    </row>
    <row r="2056" spans="1:7" s="5" customFormat="1" x14ac:dyDescent="0.3">
      <c r="A2056" s="5" t="s">
        <v>33</v>
      </c>
      <c r="B2056" s="5" t="s">
        <v>850</v>
      </c>
      <c r="C2056" s="5">
        <v>2</v>
      </c>
      <c r="D2056" s="5" t="s">
        <v>211</v>
      </c>
      <c r="E2056" s="5" t="s">
        <v>99</v>
      </c>
      <c r="F2056" s="5" t="s">
        <v>99</v>
      </c>
      <c r="G2056" s="5" t="s">
        <v>99</v>
      </c>
    </row>
    <row r="2057" spans="1:7" s="5" customFormat="1" x14ac:dyDescent="0.3">
      <c r="A2057" s="5" t="s">
        <v>33</v>
      </c>
      <c r="B2057" s="5" t="s">
        <v>852</v>
      </c>
      <c r="C2057" s="5">
        <v>1</v>
      </c>
      <c r="D2057" s="5" t="s">
        <v>211</v>
      </c>
      <c r="E2057" s="5" t="s">
        <v>99</v>
      </c>
      <c r="F2057" s="5" t="s">
        <v>99</v>
      </c>
      <c r="G2057" s="5" t="s">
        <v>99</v>
      </c>
    </row>
    <row r="2058" spans="1:7" s="5" customFormat="1" x14ac:dyDescent="0.3">
      <c r="A2058" s="5" t="s">
        <v>33</v>
      </c>
      <c r="B2058" s="5" t="s">
        <v>853</v>
      </c>
      <c r="C2058" s="5">
        <v>1</v>
      </c>
      <c r="D2058" s="5" t="s">
        <v>211</v>
      </c>
      <c r="E2058" s="5" t="s">
        <v>99</v>
      </c>
      <c r="F2058" s="5" t="s">
        <v>99</v>
      </c>
      <c r="G2058" s="5" t="s">
        <v>99</v>
      </c>
    </row>
    <row r="2059" spans="1:7" x14ac:dyDescent="0.3">
      <c r="A2059" t="s">
        <v>33</v>
      </c>
      <c r="B2059" t="s">
        <v>365</v>
      </c>
      <c r="C2059">
        <v>222</v>
      </c>
      <c r="D2059" t="s">
        <v>970</v>
      </c>
      <c r="E2059" t="s">
        <v>141</v>
      </c>
      <c r="F2059" t="s">
        <v>99</v>
      </c>
      <c r="G2059" t="s">
        <v>99</v>
      </c>
    </row>
    <row r="2060" spans="1:7" s="5" customFormat="1" x14ac:dyDescent="0.3">
      <c r="A2060" s="5" t="s">
        <v>49</v>
      </c>
      <c r="B2060" s="5" t="s">
        <v>848</v>
      </c>
      <c r="C2060" s="5">
        <v>24</v>
      </c>
      <c r="D2060" s="5" t="s">
        <v>782</v>
      </c>
      <c r="E2060" s="5" t="s">
        <v>129</v>
      </c>
      <c r="F2060" s="5" t="s">
        <v>99</v>
      </c>
      <c r="G2060" s="5" t="s">
        <v>99</v>
      </c>
    </row>
    <row r="2061" spans="1:7" s="5" customFormat="1" x14ac:dyDescent="0.3">
      <c r="A2061" s="5" t="s">
        <v>49</v>
      </c>
      <c r="B2061" s="5" t="s">
        <v>849</v>
      </c>
      <c r="C2061" s="5">
        <v>1</v>
      </c>
      <c r="D2061" s="5" t="s">
        <v>211</v>
      </c>
      <c r="E2061" s="5" t="s">
        <v>99</v>
      </c>
      <c r="F2061" s="5" t="s">
        <v>99</v>
      </c>
      <c r="G2061" s="5" t="s">
        <v>99</v>
      </c>
    </row>
    <row r="2062" spans="1:7" s="5" customFormat="1" x14ac:dyDescent="0.3">
      <c r="A2062" s="5" t="s">
        <v>49</v>
      </c>
      <c r="B2062" s="5" t="s">
        <v>850</v>
      </c>
      <c r="C2062" s="5">
        <v>20</v>
      </c>
      <c r="D2062" s="5" t="s">
        <v>211</v>
      </c>
      <c r="E2062" s="5" t="s">
        <v>99</v>
      </c>
      <c r="F2062" s="5" t="s">
        <v>99</v>
      </c>
      <c r="G2062" s="5" t="s">
        <v>99</v>
      </c>
    </row>
    <row r="2063" spans="1:7" s="5" customFormat="1" x14ac:dyDescent="0.3">
      <c r="A2063" s="5" t="s">
        <v>49</v>
      </c>
      <c r="B2063" s="5" t="s">
        <v>852</v>
      </c>
      <c r="C2063" s="5">
        <v>17</v>
      </c>
      <c r="D2063" s="5" t="s">
        <v>180</v>
      </c>
      <c r="E2063" s="5" t="s">
        <v>179</v>
      </c>
      <c r="F2063" s="5" t="s">
        <v>99</v>
      </c>
      <c r="G2063" s="5" t="s">
        <v>99</v>
      </c>
    </row>
    <row r="2064" spans="1:7" s="5" customFormat="1" x14ac:dyDescent="0.3">
      <c r="A2064" s="5" t="s">
        <v>49</v>
      </c>
      <c r="B2064" s="5" t="s">
        <v>853</v>
      </c>
      <c r="C2064" s="5">
        <v>6</v>
      </c>
      <c r="D2064" s="5" t="s">
        <v>211</v>
      </c>
      <c r="E2064" s="5" t="s">
        <v>99</v>
      </c>
      <c r="F2064" s="5" t="s">
        <v>99</v>
      </c>
      <c r="G2064" s="5" t="s">
        <v>99</v>
      </c>
    </row>
    <row r="2065" spans="1:7" x14ac:dyDescent="0.3">
      <c r="A2065" t="s">
        <v>49</v>
      </c>
      <c r="B2065" t="s">
        <v>365</v>
      </c>
      <c r="C2065">
        <v>2482</v>
      </c>
      <c r="D2065" t="s">
        <v>978</v>
      </c>
      <c r="E2065" t="s">
        <v>204</v>
      </c>
      <c r="F2065" t="s">
        <v>108</v>
      </c>
      <c r="G2065" t="s">
        <v>198</v>
      </c>
    </row>
    <row r="2067" spans="1:7" x14ac:dyDescent="0.3">
      <c r="A2067" t="s">
        <v>1130</v>
      </c>
    </row>
    <row r="2068" spans="1:7" x14ac:dyDescent="0.3">
      <c r="A2068" t="s">
        <v>44</v>
      </c>
      <c r="B2068" t="s">
        <v>235</v>
      </c>
      <c r="C2068" t="s">
        <v>32</v>
      </c>
      <c r="D2068" t="s">
        <v>66</v>
      </c>
      <c r="E2068" t="s">
        <v>67</v>
      </c>
      <c r="F2068" t="s">
        <v>352</v>
      </c>
      <c r="G2068" t="s">
        <v>193</v>
      </c>
    </row>
    <row r="2069" spans="1:7" x14ac:dyDescent="0.3">
      <c r="A2069" t="s">
        <v>35</v>
      </c>
      <c r="B2069" t="s">
        <v>236</v>
      </c>
      <c r="C2069">
        <v>193</v>
      </c>
      <c r="D2069" t="s">
        <v>328</v>
      </c>
      <c r="E2069" t="s">
        <v>326</v>
      </c>
      <c r="F2069" t="s">
        <v>207</v>
      </c>
      <c r="G2069" t="s">
        <v>132</v>
      </c>
    </row>
    <row r="2070" spans="1:7" x14ac:dyDescent="0.3">
      <c r="A2070" t="s">
        <v>35</v>
      </c>
      <c r="B2070" t="s">
        <v>238</v>
      </c>
      <c r="C2070">
        <v>215</v>
      </c>
      <c r="D2070" t="s">
        <v>147</v>
      </c>
      <c r="E2070" t="s">
        <v>333</v>
      </c>
      <c r="F2070" t="s">
        <v>132</v>
      </c>
      <c r="G2070" t="s">
        <v>99</v>
      </c>
    </row>
    <row r="2071" spans="1:7" x14ac:dyDescent="0.3">
      <c r="A2071" t="s">
        <v>37</v>
      </c>
      <c r="B2071" t="s">
        <v>236</v>
      </c>
      <c r="C2071">
        <v>449</v>
      </c>
      <c r="D2071" t="s">
        <v>101</v>
      </c>
      <c r="E2071" t="s">
        <v>229</v>
      </c>
      <c r="F2071" t="s">
        <v>198</v>
      </c>
      <c r="G2071" t="s">
        <v>99</v>
      </c>
    </row>
    <row r="2072" spans="1:7" x14ac:dyDescent="0.3">
      <c r="A2072" t="s">
        <v>37</v>
      </c>
      <c r="B2072" t="s">
        <v>238</v>
      </c>
      <c r="C2072">
        <v>309</v>
      </c>
      <c r="D2072" t="s">
        <v>198</v>
      </c>
      <c r="E2072" t="s">
        <v>511</v>
      </c>
      <c r="F2072" t="s">
        <v>198</v>
      </c>
      <c r="G2072" t="s">
        <v>99</v>
      </c>
    </row>
    <row r="2073" spans="1:7" x14ac:dyDescent="0.3">
      <c r="A2073" t="s">
        <v>36</v>
      </c>
      <c r="B2073" t="s">
        <v>236</v>
      </c>
      <c r="C2073">
        <v>386</v>
      </c>
      <c r="D2073" t="s">
        <v>305</v>
      </c>
      <c r="E2073" t="s">
        <v>203</v>
      </c>
      <c r="F2073" t="s">
        <v>99</v>
      </c>
      <c r="G2073" t="s">
        <v>99</v>
      </c>
    </row>
    <row r="2074" spans="1:7" x14ac:dyDescent="0.3">
      <c r="A2074" t="s">
        <v>36</v>
      </c>
      <c r="B2074" t="s">
        <v>238</v>
      </c>
      <c r="C2074">
        <v>158</v>
      </c>
      <c r="D2074" t="s">
        <v>165</v>
      </c>
      <c r="E2074" t="s">
        <v>219</v>
      </c>
      <c r="F2074" t="s">
        <v>253</v>
      </c>
      <c r="G2074" t="s">
        <v>99</v>
      </c>
    </row>
    <row r="2075" spans="1:7" x14ac:dyDescent="0.3">
      <c r="A2075" t="s">
        <v>34</v>
      </c>
      <c r="B2075" t="s">
        <v>236</v>
      </c>
      <c r="C2075">
        <v>223</v>
      </c>
      <c r="D2075" t="s">
        <v>708</v>
      </c>
      <c r="E2075" t="s">
        <v>439</v>
      </c>
      <c r="F2075" t="s">
        <v>157</v>
      </c>
      <c r="G2075" t="s">
        <v>101</v>
      </c>
    </row>
    <row r="2076" spans="1:7" x14ac:dyDescent="0.3">
      <c r="A2076" t="s">
        <v>34</v>
      </c>
      <c r="B2076" t="s">
        <v>238</v>
      </c>
      <c r="C2076">
        <v>388</v>
      </c>
      <c r="D2076" t="s">
        <v>746</v>
      </c>
      <c r="E2076" t="s">
        <v>885</v>
      </c>
      <c r="F2076" t="s">
        <v>382</v>
      </c>
      <c r="G2076" t="s">
        <v>99</v>
      </c>
    </row>
    <row r="2077" spans="1:7" x14ac:dyDescent="0.3">
      <c r="A2077" t="s">
        <v>33</v>
      </c>
      <c r="B2077" t="s">
        <v>236</v>
      </c>
      <c r="C2077">
        <v>141</v>
      </c>
      <c r="D2077" t="s">
        <v>132</v>
      </c>
      <c r="E2077" t="s">
        <v>989</v>
      </c>
      <c r="F2077" t="s">
        <v>99</v>
      </c>
      <c r="G2077" t="s">
        <v>99</v>
      </c>
    </row>
    <row r="2078" spans="1:7" x14ac:dyDescent="0.3">
      <c r="A2078" t="s">
        <v>33</v>
      </c>
      <c r="B2078" t="s">
        <v>238</v>
      </c>
      <c r="C2078">
        <v>88</v>
      </c>
      <c r="D2078" t="s">
        <v>99</v>
      </c>
      <c r="E2078" t="s">
        <v>211</v>
      </c>
      <c r="F2078" t="s">
        <v>99</v>
      </c>
      <c r="G2078" t="s">
        <v>99</v>
      </c>
    </row>
    <row r="2079" spans="1:7" x14ac:dyDescent="0.3">
      <c r="A2079" t="s">
        <v>49</v>
      </c>
      <c r="B2079" t="s">
        <v>236</v>
      </c>
      <c r="C2079">
        <v>1392</v>
      </c>
      <c r="D2079" t="s">
        <v>684</v>
      </c>
      <c r="E2079" t="s">
        <v>414</v>
      </c>
      <c r="F2079" t="s">
        <v>132</v>
      </c>
      <c r="G2079" t="s">
        <v>136</v>
      </c>
    </row>
    <row r="2080" spans="1:7" x14ac:dyDescent="0.3">
      <c r="A2080" t="s">
        <v>49</v>
      </c>
      <c r="B2080" t="s">
        <v>238</v>
      </c>
      <c r="C2080">
        <v>1158</v>
      </c>
      <c r="D2080" t="s">
        <v>145</v>
      </c>
      <c r="E2080" t="s">
        <v>362</v>
      </c>
      <c r="F2080" t="s">
        <v>108</v>
      </c>
      <c r="G2080" t="s">
        <v>99</v>
      </c>
    </row>
    <row r="2082" spans="1:7" x14ac:dyDescent="0.3">
      <c r="A2082" t="s">
        <v>1131</v>
      </c>
    </row>
    <row r="2083" spans="1:7" x14ac:dyDescent="0.3">
      <c r="A2083" t="s">
        <v>44</v>
      </c>
      <c r="B2083" t="s">
        <v>209</v>
      </c>
      <c r="C2083" t="s">
        <v>32</v>
      </c>
      <c r="D2083" t="s">
        <v>67</v>
      </c>
      <c r="E2083" t="s">
        <v>66</v>
      </c>
      <c r="F2083" t="s">
        <v>193</v>
      </c>
      <c r="G2083" t="s">
        <v>352</v>
      </c>
    </row>
    <row r="2084" spans="1:7" s="5" customFormat="1" x14ac:dyDescent="0.3">
      <c r="A2084" s="5" t="s">
        <v>35</v>
      </c>
      <c r="B2084" s="5" t="s">
        <v>210</v>
      </c>
      <c r="C2084" s="5">
        <v>30</v>
      </c>
      <c r="D2084" s="5" t="s">
        <v>786</v>
      </c>
      <c r="E2084" s="5" t="s">
        <v>149</v>
      </c>
      <c r="F2084" s="5" t="s">
        <v>99</v>
      </c>
      <c r="G2084" s="5" t="s">
        <v>99</v>
      </c>
    </row>
    <row r="2085" spans="1:7" x14ac:dyDescent="0.3">
      <c r="A2085" t="s">
        <v>35</v>
      </c>
      <c r="B2085" t="s">
        <v>212</v>
      </c>
      <c r="C2085">
        <v>230</v>
      </c>
      <c r="D2085" t="s">
        <v>336</v>
      </c>
      <c r="E2085" t="s">
        <v>123</v>
      </c>
      <c r="F2085" t="s">
        <v>136</v>
      </c>
      <c r="G2085" t="s">
        <v>108</v>
      </c>
    </row>
    <row r="2086" spans="1:7" x14ac:dyDescent="0.3">
      <c r="A2086" t="s">
        <v>35</v>
      </c>
      <c r="B2086" t="s">
        <v>216</v>
      </c>
      <c r="C2086">
        <v>148</v>
      </c>
      <c r="D2086" t="s">
        <v>505</v>
      </c>
      <c r="E2086" t="s">
        <v>242</v>
      </c>
      <c r="F2086" t="s">
        <v>99</v>
      </c>
      <c r="G2086" t="s">
        <v>253</v>
      </c>
    </row>
    <row r="2087" spans="1:7" x14ac:dyDescent="0.3">
      <c r="A2087" t="s">
        <v>37</v>
      </c>
      <c r="B2087" t="s">
        <v>210</v>
      </c>
      <c r="C2087">
        <v>39</v>
      </c>
      <c r="D2087" t="s">
        <v>229</v>
      </c>
      <c r="E2087" t="s">
        <v>99</v>
      </c>
      <c r="F2087" t="s">
        <v>99</v>
      </c>
      <c r="G2087" t="s">
        <v>126</v>
      </c>
    </row>
    <row r="2088" spans="1:7" x14ac:dyDescent="0.3">
      <c r="A2088" t="s">
        <v>37</v>
      </c>
      <c r="B2088" t="s">
        <v>212</v>
      </c>
      <c r="C2088">
        <v>683</v>
      </c>
      <c r="D2088" t="s">
        <v>225</v>
      </c>
      <c r="E2088" t="s">
        <v>132</v>
      </c>
      <c r="F2088" t="s">
        <v>99</v>
      </c>
      <c r="G2088" t="s">
        <v>104</v>
      </c>
    </row>
    <row r="2089" spans="1:7" x14ac:dyDescent="0.3">
      <c r="A2089" t="s">
        <v>37</v>
      </c>
      <c r="B2089" t="s">
        <v>216</v>
      </c>
      <c r="C2089">
        <v>36</v>
      </c>
      <c r="D2089" t="s">
        <v>383</v>
      </c>
      <c r="E2089" t="s">
        <v>215</v>
      </c>
      <c r="F2089" t="s">
        <v>99</v>
      </c>
      <c r="G2089" t="s">
        <v>99</v>
      </c>
    </row>
    <row r="2090" spans="1:7" x14ac:dyDescent="0.3">
      <c r="A2090" t="s">
        <v>36</v>
      </c>
      <c r="B2090" t="s">
        <v>210</v>
      </c>
      <c r="C2090">
        <v>67</v>
      </c>
      <c r="D2090" t="s">
        <v>196</v>
      </c>
      <c r="E2090" t="s">
        <v>425</v>
      </c>
      <c r="F2090" t="s">
        <v>99</v>
      </c>
      <c r="G2090" t="s">
        <v>292</v>
      </c>
    </row>
    <row r="2091" spans="1:7" x14ac:dyDescent="0.3">
      <c r="A2091" t="s">
        <v>36</v>
      </c>
      <c r="B2091" t="s">
        <v>212</v>
      </c>
      <c r="C2091">
        <v>347</v>
      </c>
      <c r="D2091" t="s">
        <v>252</v>
      </c>
      <c r="E2091" t="s">
        <v>299</v>
      </c>
      <c r="F2091" t="s">
        <v>99</v>
      </c>
      <c r="G2091" t="s">
        <v>99</v>
      </c>
    </row>
    <row r="2092" spans="1:7" x14ac:dyDescent="0.3">
      <c r="A2092" t="s">
        <v>36</v>
      </c>
      <c r="B2092" t="s">
        <v>216</v>
      </c>
      <c r="C2092">
        <v>130</v>
      </c>
      <c r="D2092" t="s">
        <v>79</v>
      </c>
      <c r="E2092" t="s">
        <v>78</v>
      </c>
      <c r="F2092" t="s">
        <v>99</v>
      </c>
      <c r="G2092" t="s">
        <v>99</v>
      </c>
    </row>
    <row r="2093" spans="1:7" x14ac:dyDescent="0.3">
      <c r="A2093" t="s">
        <v>34</v>
      </c>
      <c r="B2093" t="s">
        <v>210</v>
      </c>
      <c r="C2093">
        <v>108</v>
      </c>
      <c r="D2093" t="s">
        <v>312</v>
      </c>
      <c r="E2093" t="s">
        <v>233</v>
      </c>
      <c r="F2093" t="s">
        <v>123</v>
      </c>
      <c r="G2093" t="s">
        <v>99</v>
      </c>
    </row>
    <row r="2094" spans="1:7" x14ac:dyDescent="0.3">
      <c r="A2094" t="s">
        <v>34</v>
      </c>
      <c r="B2094" t="s">
        <v>212</v>
      </c>
      <c r="C2094">
        <v>406</v>
      </c>
      <c r="D2094" t="s">
        <v>314</v>
      </c>
      <c r="E2094" t="s">
        <v>165</v>
      </c>
      <c r="F2094" t="s">
        <v>99</v>
      </c>
      <c r="G2094" t="s">
        <v>157</v>
      </c>
    </row>
    <row r="2095" spans="1:7" x14ac:dyDescent="0.3">
      <c r="A2095" t="s">
        <v>34</v>
      </c>
      <c r="B2095" t="s">
        <v>216</v>
      </c>
      <c r="C2095">
        <v>97</v>
      </c>
      <c r="D2095" t="s">
        <v>1132</v>
      </c>
      <c r="E2095" t="s">
        <v>802</v>
      </c>
      <c r="F2095" t="s">
        <v>99</v>
      </c>
      <c r="G2095" t="s">
        <v>382</v>
      </c>
    </row>
    <row r="2096" spans="1:7" s="5" customFormat="1" x14ac:dyDescent="0.3">
      <c r="A2096" s="5" t="s">
        <v>33</v>
      </c>
      <c r="B2096" s="5" t="s">
        <v>210</v>
      </c>
      <c r="C2096" s="5">
        <v>13</v>
      </c>
      <c r="D2096" s="5" t="s">
        <v>211</v>
      </c>
      <c r="E2096" s="5" t="s">
        <v>99</v>
      </c>
      <c r="F2096" s="5" t="s">
        <v>99</v>
      </c>
      <c r="G2096" s="5" t="s">
        <v>99</v>
      </c>
    </row>
    <row r="2097" spans="1:7" x14ac:dyDescent="0.3">
      <c r="A2097" t="s">
        <v>33</v>
      </c>
      <c r="B2097" t="s">
        <v>212</v>
      </c>
      <c r="C2097">
        <v>198</v>
      </c>
      <c r="D2097" t="s">
        <v>970</v>
      </c>
      <c r="E2097" t="s">
        <v>141</v>
      </c>
      <c r="F2097" t="s">
        <v>99</v>
      </c>
      <c r="G2097" t="s">
        <v>99</v>
      </c>
    </row>
    <row r="2098" spans="1:7" s="5" customFormat="1" x14ac:dyDescent="0.3">
      <c r="A2098" s="5" t="s">
        <v>33</v>
      </c>
      <c r="B2098" s="5" t="s">
        <v>216</v>
      </c>
      <c r="C2098" s="5">
        <v>18</v>
      </c>
      <c r="D2098" s="5" t="s">
        <v>211</v>
      </c>
      <c r="E2098" s="5" t="s">
        <v>99</v>
      </c>
      <c r="F2098" s="5" t="s">
        <v>99</v>
      </c>
      <c r="G2098" s="5" t="s">
        <v>99</v>
      </c>
    </row>
    <row r="2099" spans="1:7" x14ac:dyDescent="0.3">
      <c r="A2099" t="s">
        <v>49</v>
      </c>
      <c r="B2099" t="s">
        <v>210</v>
      </c>
      <c r="C2099">
        <v>257</v>
      </c>
      <c r="D2099" t="s">
        <v>172</v>
      </c>
      <c r="E2099" t="s">
        <v>125</v>
      </c>
      <c r="F2099" t="s">
        <v>114</v>
      </c>
      <c r="G2099" t="s">
        <v>141</v>
      </c>
    </row>
    <row r="2100" spans="1:7" x14ac:dyDescent="0.3">
      <c r="A2100" t="s">
        <v>49</v>
      </c>
      <c r="B2100" t="s">
        <v>212</v>
      </c>
      <c r="C2100">
        <v>1864</v>
      </c>
      <c r="D2100" t="s">
        <v>778</v>
      </c>
      <c r="E2100" t="s">
        <v>130</v>
      </c>
      <c r="F2100" t="s">
        <v>104</v>
      </c>
      <c r="G2100" t="s">
        <v>108</v>
      </c>
    </row>
    <row r="2101" spans="1:7" x14ac:dyDescent="0.3">
      <c r="A2101" t="s">
        <v>49</v>
      </c>
      <c r="B2101" t="s">
        <v>216</v>
      </c>
      <c r="C2101">
        <v>429</v>
      </c>
      <c r="D2101" t="s">
        <v>889</v>
      </c>
      <c r="E2101" t="s">
        <v>220</v>
      </c>
      <c r="F2101" t="s">
        <v>99</v>
      </c>
      <c r="G2101" t="s">
        <v>115</v>
      </c>
    </row>
    <row r="2103" spans="1:7" x14ac:dyDescent="0.3">
      <c r="A2103" t="s">
        <v>1133</v>
      </c>
    </row>
    <row r="2104" spans="1:7" x14ac:dyDescent="0.3">
      <c r="A2104" t="s">
        <v>44</v>
      </c>
      <c r="B2104" t="s">
        <v>388</v>
      </c>
      <c r="C2104" t="s">
        <v>32</v>
      </c>
      <c r="D2104" t="s">
        <v>66</v>
      </c>
      <c r="E2104" t="s">
        <v>67</v>
      </c>
      <c r="F2104" t="s">
        <v>352</v>
      </c>
      <c r="G2104" t="s">
        <v>193</v>
      </c>
    </row>
    <row r="2105" spans="1:7" x14ac:dyDescent="0.3">
      <c r="A2105" t="s">
        <v>35</v>
      </c>
      <c r="B2105" t="s">
        <v>389</v>
      </c>
      <c r="C2105">
        <v>302</v>
      </c>
      <c r="D2105" t="s">
        <v>120</v>
      </c>
      <c r="E2105" t="s">
        <v>759</v>
      </c>
      <c r="F2105" t="s">
        <v>253</v>
      </c>
      <c r="G2105" t="s">
        <v>198</v>
      </c>
    </row>
    <row r="2106" spans="1:7" x14ac:dyDescent="0.3">
      <c r="A2106" t="s">
        <v>35</v>
      </c>
      <c r="B2106" t="s">
        <v>390</v>
      </c>
      <c r="C2106">
        <v>89</v>
      </c>
      <c r="D2106" t="s">
        <v>150</v>
      </c>
      <c r="E2106" t="s">
        <v>400</v>
      </c>
      <c r="F2106" t="s">
        <v>126</v>
      </c>
      <c r="G2106" t="s">
        <v>99</v>
      </c>
    </row>
    <row r="2107" spans="1:7" x14ac:dyDescent="0.3">
      <c r="A2107" t="s">
        <v>35</v>
      </c>
      <c r="B2107" t="s">
        <v>365</v>
      </c>
      <c r="C2107">
        <v>17</v>
      </c>
      <c r="D2107" t="s">
        <v>126</v>
      </c>
      <c r="E2107" t="s">
        <v>229</v>
      </c>
      <c r="F2107" t="s">
        <v>99</v>
      </c>
      <c r="G2107" t="s">
        <v>99</v>
      </c>
    </row>
    <row r="2108" spans="1:7" x14ac:dyDescent="0.3">
      <c r="A2108" t="s">
        <v>37</v>
      </c>
      <c r="B2108" t="s">
        <v>389</v>
      </c>
      <c r="C2108">
        <v>504</v>
      </c>
      <c r="D2108" t="s">
        <v>108</v>
      </c>
      <c r="E2108" t="s">
        <v>982</v>
      </c>
      <c r="F2108" t="s">
        <v>198</v>
      </c>
      <c r="G2108" t="s">
        <v>99</v>
      </c>
    </row>
    <row r="2109" spans="1:7" x14ac:dyDescent="0.3">
      <c r="A2109" t="s">
        <v>37</v>
      </c>
      <c r="B2109" t="s">
        <v>390</v>
      </c>
      <c r="C2109">
        <v>185</v>
      </c>
      <c r="D2109" t="s">
        <v>108</v>
      </c>
      <c r="E2109" t="s">
        <v>385</v>
      </c>
      <c r="F2109" t="s">
        <v>207</v>
      </c>
      <c r="G2109" t="s">
        <v>99</v>
      </c>
    </row>
    <row r="2110" spans="1:7" x14ac:dyDescent="0.3">
      <c r="A2110" t="s">
        <v>37</v>
      </c>
      <c r="B2110" t="s">
        <v>365</v>
      </c>
      <c r="C2110">
        <v>69</v>
      </c>
      <c r="D2110" t="s">
        <v>99</v>
      </c>
      <c r="E2110" t="s">
        <v>211</v>
      </c>
      <c r="F2110" t="s">
        <v>99</v>
      </c>
      <c r="G2110" t="s">
        <v>99</v>
      </c>
    </row>
    <row r="2111" spans="1:7" x14ac:dyDescent="0.3">
      <c r="A2111" t="s">
        <v>36</v>
      </c>
      <c r="B2111" t="s">
        <v>389</v>
      </c>
      <c r="C2111">
        <v>411</v>
      </c>
      <c r="D2111" t="s">
        <v>125</v>
      </c>
      <c r="E2111" t="s">
        <v>378</v>
      </c>
      <c r="F2111" t="s">
        <v>99</v>
      </c>
      <c r="G2111" t="s">
        <v>99</v>
      </c>
    </row>
    <row r="2112" spans="1:7" x14ac:dyDescent="0.3">
      <c r="A2112" t="s">
        <v>36</v>
      </c>
      <c r="B2112" t="s">
        <v>390</v>
      </c>
      <c r="C2112">
        <v>102</v>
      </c>
      <c r="D2112" t="s">
        <v>357</v>
      </c>
      <c r="E2112" t="s">
        <v>547</v>
      </c>
      <c r="F2112" t="s">
        <v>126</v>
      </c>
      <c r="G2112" t="s">
        <v>99</v>
      </c>
    </row>
    <row r="2113" spans="1:7" x14ac:dyDescent="0.3">
      <c r="A2113" t="s">
        <v>36</v>
      </c>
      <c r="B2113" t="s">
        <v>365</v>
      </c>
      <c r="C2113">
        <v>31</v>
      </c>
      <c r="D2113" t="s">
        <v>126</v>
      </c>
      <c r="E2113" t="s">
        <v>229</v>
      </c>
      <c r="F2113" t="s">
        <v>99</v>
      </c>
      <c r="G2113" t="s">
        <v>99</v>
      </c>
    </row>
    <row r="2114" spans="1:7" x14ac:dyDescent="0.3">
      <c r="A2114" t="s">
        <v>34</v>
      </c>
      <c r="B2114" t="s">
        <v>389</v>
      </c>
      <c r="C2114">
        <v>461</v>
      </c>
      <c r="D2114" t="s">
        <v>688</v>
      </c>
      <c r="E2114" t="s">
        <v>883</v>
      </c>
      <c r="F2114" t="s">
        <v>123</v>
      </c>
      <c r="G2114" t="s">
        <v>253</v>
      </c>
    </row>
    <row r="2115" spans="1:7" x14ac:dyDescent="0.3">
      <c r="A2115" t="s">
        <v>34</v>
      </c>
      <c r="B2115" t="s">
        <v>390</v>
      </c>
      <c r="C2115">
        <v>123</v>
      </c>
      <c r="D2115" t="s">
        <v>482</v>
      </c>
      <c r="E2115" t="s">
        <v>524</v>
      </c>
      <c r="F2115" t="s">
        <v>107</v>
      </c>
      <c r="G2115" t="s">
        <v>99</v>
      </c>
    </row>
    <row r="2116" spans="1:7" x14ac:dyDescent="0.3">
      <c r="A2116" t="s">
        <v>34</v>
      </c>
      <c r="B2116" t="s">
        <v>365</v>
      </c>
      <c r="C2116">
        <v>27</v>
      </c>
      <c r="D2116" t="s">
        <v>99</v>
      </c>
      <c r="E2116" t="s">
        <v>211</v>
      </c>
      <c r="F2116" t="s">
        <v>99</v>
      </c>
      <c r="G2116" t="s">
        <v>99</v>
      </c>
    </row>
    <row r="2117" spans="1:7" x14ac:dyDescent="0.3">
      <c r="A2117" t="s">
        <v>33</v>
      </c>
      <c r="B2117" t="s">
        <v>389</v>
      </c>
      <c r="C2117">
        <v>155</v>
      </c>
      <c r="D2117" t="s">
        <v>115</v>
      </c>
      <c r="E2117" t="s">
        <v>996</v>
      </c>
      <c r="F2117" t="s">
        <v>99</v>
      </c>
      <c r="G2117" t="s">
        <v>99</v>
      </c>
    </row>
    <row r="2118" spans="1:7" x14ac:dyDescent="0.3">
      <c r="A2118" t="s">
        <v>33</v>
      </c>
      <c r="B2118" t="s">
        <v>390</v>
      </c>
      <c r="C2118">
        <v>64</v>
      </c>
      <c r="D2118" t="s">
        <v>99</v>
      </c>
      <c r="E2118" t="s">
        <v>211</v>
      </c>
      <c r="F2118" t="s">
        <v>99</v>
      </c>
      <c r="G2118" t="s">
        <v>99</v>
      </c>
    </row>
    <row r="2119" spans="1:7" x14ac:dyDescent="0.3">
      <c r="A2119" t="s">
        <v>33</v>
      </c>
      <c r="B2119" t="s">
        <v>365</v>
      </c>
      <c r="C2119">
        <v>10</v>
      </c>
      <c r="D2119" t="s">
        <v>99</v>
      </c>
      <c r="E2119" t="s">
        <v>211</v>
      </c>
      <c r="F2119" t="s">
        <v>99</v>
      </c>
      <c r="G2119" t="s">
        <v>99</v>
      </c>
    </row>
    <row r="2120" spans="1:7" x14ac:dyDescent="0.3">
      <c r="A2120" t="s">
        <v>49</v>
      </c>
      <c r="B2120" t="s">
        <v>389</v>
      </c>
      <c r="C2120">
        <v>1833</v>
      </c>
      <c r="D2120" t="s">
        <v>328</v>
      </c>
      <c r="E2120" t="s">
        <v>241</v>
      </c>
      <c r="F2120" t="s">
        <v>115</v>
      </c>
      <c r="G2120" t="s">
        <v>198</v>
      </c>
    </row>
    <row r="2121" spans="1:7" x14ac:dyDescent="0.3">
      <c r="A2121" t="s">
        <v>49</v>
      </c>
      <c r="B2121" t="s">
        <v>390</v>
      </c>
      <c r="C2121">
        <v>563</v>
      </c>
      <c r="D2121" t="s">
        <v>248</v>
      </c>
      <c r="E2121" t="s">
        <v>183</v>
      </c>
      <c r="F2121" t="s">
        <v>319</v>
      </c>
      <c r="G2121" t="s">
        <v>99</v>
      </c>
    </row>
    <row r="2122" spans="1:7" x14ac:dyDescent="0.3">
      <c r="A2122" t="s">
        <v>49</v>
      </c>
      <c r="B2122" t="s">
        <v>365</v>
      </c>
      <c r="C2122">
        <v>154</v>
      </c>
      <c r="D2122" t="s">
        <v>141</v>
      </c>
      <c r="E2122" t="s">
        <v>970</v>
      </c>
      <c r="F2122" t="s">
        <v>99</v>
      </c>
      <c r="G2122" t="s">
        <v>99</v>
      </c>
    </row>
    <row r="2124" spans="1:7" x14ac:dyDescent="0.3">
      <c r="A2124" t="s">
        <v>1134</v>
      </c>
    </row>
    <row r="2125" spans="1:7" x14ac:dyDescent="0.3">
      <c r="A2125" t="s">
        <v>44</v>
      </c>
      <c r="B2125" t="s">
        <v>879</v>
      </c>
      <c r="C2125" t="s">
        <v>32</v>
      </c>
      <c r="D2125" t="s">
        <v>67</v>
      </c>
      <c r="E2125" t="s">
        <v>66</v>
      </c>
      <c r="F2125" t="s">
        <v>352</v>
      </c>
      <c r="G2125" t="s">
        <v>193</v>
      </c>
    </row>
    <row r="2126" spans="1:7" s="5" customFormat="1" x14ac:dyDescent="0.3">
      <c r="A2126" s="5" t="s">
        <v>35</v>
      </c>
      <c r="B2126" s="5" t="s">
        <v>880</v>
      </c>
      <c r="C2126" s="5">
        <v>1</v>
      </c>
      <c r="D2126" s="5" t="s">
        <v>211</v>
      </c>
      <c r="E2126" s="5" t="s">
        <v>99</v>
      </c>
      <c r="F2126" s="5" t="s">
        <v>99</v>
      </c>
      <c r="G2126" s="5" t="s">
        <v>99</v>
      </c>
    </row>
    <row r="2127" spans="1:7" x14ac:dyDescent="0.3">
      <c r="A2127" t="s">
        <v>35</v>
      </c>
      <c r="B2127" t="s">
        <v>881</v>
      </c>
      <c r="C2127">
        <v>59</v>
      </c>
      <c r="D2127" t="s">
        <v>1135</v>
      </c>
      <c r="E2127" t="s">
        <v>318</v>
      </c>
      <c r="F2127" t="s">
        <v>99</v>
      </c>
      <c r="G2127" t="s">
        <v>99</v>
      </c>
    </row>
    <row r="2128" spans="1:7" x14ac:dyDescent="0.3">
      <c r="A2128" t="s">
        <v>35</v>
      </c>
      <c r="B2128" t="s">
        <v>882</v>
      </c>
      <c r="C2128">
        <v>348</v>
      </c>
      <c r="D2128" t="s">
        <v>998</v>
      </c>
      <c r="E2128" t="s">
        <v>151</v>
      </c>
      <c r="F2128" t="s">
        <v>132</v>
      </c>
      <c r="G2128" t="s">
        <v>198</v>
      </c>
    </row>
    <row r="2129" spans="1:7" s="5" customFormat="1" x14ac:dyDescent="0.3">
      <c r="A2129" s="5" t="s">
        <v>37</v>
      </c>
      <c r="B2129" s="5" t="s">
        <v>880</v>
      </c>
      <c r="C2129" s="5">
        <v>4</v>
      </c>
      <c r="D2129" s="5" t="s">
        <v>211</v>
      </c>
      <c r="E2129" s="5" t="s">
        <v>99</v>
      </c>
      <c r="F2129" s="5" t="s">
        <v>99</v>
      </c>
      <c r="G2129" s="5" t="s">
        <v>99</v>
      </c>
    </row>
    <row r="2130" spans="1:7" x14ac:dyDescent="0.3">
      <c r="A2130" t="s">
        <v>37</v>
      </c>
      <c r="B2130" t="s">
        <v>881</v>
      </c>
      <c r="C2130">
        <v>92</v>
      </c>
      <c r="D2130" t="s">
        <v>383</v>
      </c>
      <c r="E2130" t="s">
        <v>215</v>
      </c>
      <c r="F2130" t="s">
        <v>99</v>
      </c>
      <c r="G2130" t="s">
        <v>99</v>
      </c>
    </row>
    <row r="2131" spans="1:7" x14ac:dyDescent="0.3">
      <c r="A2131" t="s">
        <v>37</v>
      </c>
      <c r="B2131" t="s">
        <v>882</v>
      </c>
      <c r="C2131">
        <v>662</v>
      </c>
      <c r="D2131" t="s">
        <v>1022</v>
      </c>
      <c r="E2131" t="s">
        <v>115</v>
      </c>
      <c r="F2131" t="s">
        <v>198</v>
      </c>
      <c r="G2131" t="s">
        <v>99</v>
      </c>
    </row>
    <row r="2132" spans="1:7" s="5" customFormat="1" x14ac:dyDescent="0.3">
      <c r="A2132" s="5" t="s">
        <v>36</v>
      </c>
      <c r="B2132" s="5" t="s">
        <v>880</v>
      </c>
      <c r="C2132" s="5">
        <v>2</v>
      </c>
      <c r="D2132" s="5" t="s">
        <v>211</v>
      </c>
      <c r="E2132" s="5" t="s">
        <v>99</v>
      </c>
      <c r="F2132" s="5" t="s">
        <v>99</v>
      </c>
      <c r="G2132" s="5" t="s">
        <v>99</v>
      </c>
    </row>
    <row r="2133" spans="1:7" x14ac:dyDescent="0.3">
      <c r="A2133" t="s">
        <v>36</v>
      </c>
      <c r="B2133" t="s">
        <v>881</v>
      </c>
      <c r="C2133">
        <v>104</v>
      </c>
      <c r="D2133" t="s">
        <v>250</v>
      </c>
      <c r="E2133" t="s">
        <v>251</v>
      </c>
      <c r="F2133" t="s">
        <v>99</v>
      </c>
      <c r="G2133" t="s">
        <v>99</v>
      </c>
    </row>
    <row r="2134" spans="1:7" x14ac:dyDescent="0.3">
      <c r="A2134" t="s">
        <v>36</v>
      </c>
      <c r="B2134" t="s">
        <v>882</v>
      </c>
      <c r="C2134">
        <v>438</v>
      </c>
      <c r="D2134" t="s">
        <v>392</v>
      </c>
      <c r="E2134" t="s">
        <v>804</v>
      </c>
      <c r="F2134" t="s">
        <v>136</v>
      </c>
      <c r="G2134" t="s">
        <v>99</v>
      </c>
    </row>
    <row r="2135" spans="1:7" x14ac:dyDescent="0.3">
      <c r="A2135" t="s">
        <v>34</v>
      </c>
      <c r="B2135" t="s">
        <v>881</v>
      </c>
      <c r="C2135">
        <v>128</v>
      </c>
      <c r="D2135" t="s">
        <v>785</v>
      </c>
      <c r="E2135" t="s">
        <v>694</v>
      </c>
      <c r="F2135" t="s">
        <v>123</v>
      </c>
      <c r="G2135" t="s">
        <v>99</v>
      </c>
    </row>
    <row r="2136" spans="1:7" x14ac:dyDescent="0.3">
      <c r="A2136" t="s">
        <v>34</v>
      </c>
      <c r="B2136" t="s">
        <v>882</v>
      </c>
      <c r="C2136">
        <v>483</v>
      </c>
      <c r="D2136" t="s">
        <v>769</v>
      </c>
      <c r="E2136" t="s">
        <v>714</v>
      </c>
      <c r="F2136" t="s">
        <v>292</v>
      </c>
      <c r="G2136" t="s">
        <v>253</v>
      </c>
    </row>
    <row r="2137" spans="1:7" s="5" customFormat="1" x14ac:dyDescent="0.3">
      <c r="A2137" s="5" t="s">
        <v>33</v>
      </c>
      <c r="B2137" s="5" t="s">
        <v>880</v>
      </c>
      <c r="C2137" s="5">
        <v>1</v>
      </c>
      <c r="D2137" s="5" t="s">
        <v>211</v>
      </c>
      <c r="E2137" s="5" t="s">
        <v>99</v>
      </c>
      <c r="F2137" s="5" t="s">
        <v>99</v>
      </c>
      <c r="G2137" s="5" t="s">
        <v>99</v>
      </c>
    </row>
    <row r="2138" spans="1:7" x14ac:dyDescent="0.3">
      <c r="A2138" t="s">
        <v>33</v>
      </c>
      <c r="B2138" t="s">
        <v>881</v>
      </c>
      <c r="C2138">
        <v>38</v>
      </c>
      <c r="D2138" t="s">
        <v>780</v>
      </c>
      <c r="E2138" t="s">
        <v>128</v>
      </c>
      <c r="F2138" t="s">
        <v>99</v>
      </c>
      <c r="G2138" t="s">
        <v>99</v>
      </c>
    </row>
    <row r="2139" spans="1:7" x14ac:dyDescent="0.3">
      <c r="A2139" t="s">
        <v>33</v>
      </c>
      <c r="B2139" t="s">
        <v>882</v>
      </c>
      <c r="C2139">
        <v>190</v>
      </c>
      <c r="D2139" t="s">
        <v>211</v>
      </c>
      <c r="E2139" t="s">
        <v>99</v>
      </c>
      <c r="F2139" t="s">
        <v>99</v>
      </c>
      <c r="G2139" t="s">
        <v>99</v>
      </c>
    </row>
    <row r="2140" spans="1:7" s="5" customFormat="1" x14ac:dyDescent="0.3">
      <c r="A2140" s="5" t="s">
        <v>49</v>
      </c>
      <c r="B2140" s="5" t="s">
        <v>880</v>
      </c>
      <c r="C2140" s="5">
        <v>8</v>
      </c>
      <c r="D2140" s="5" t="s">
        <v>211</v>
      </c>
      <c r="E2140" s="5" t="s">
        <v>99</v>
      </c>
      <c r="F2140" s="5" t="s">
        <v>99</v>
      </c>
      <c r="G2140" s="5" t="s">
        <v>99</v>
      </c>
    </row>
    <row r="2141" spans="1:7" x14ac:dyDescent="0.3">
      <c r="A2141" t="s">
        <v>49</v>
      </c>
      <c r="B2141" t="s">
        <v>881</v>
      </c>
      <c r="C2141">
        <v>421</v>
      </c>
      <c r="D2141" t="s">
        <v>966</v>
      </c>
      <c r="E2141" t="s">
        <v>233</v>
      </c>
      <c r="F2141" t="s">
        <v>132</v>
      </c>
      <c r="G2141" t="s">
        <v>99</v>
      </c>
    </row>
    <row r="2142" spans="1:7" x14ac:dyDescent="0.3">
      <c r="A2142" t="s">
        <v>49</v>
      </c>
      <c r="B2142" t="s">
        <v>882</v>
      </c>
      <c r="C2142">
        <v>2121</v>
      </c>
      <c r="D2142" t="s">
        <v>376</v>
      </c>
      <c r="E2142" t="s">
        <v>412</v>
      </c>
      <c r="F2142" t="s">
        <v>108</v>
      </c>
      <c r="G2142" t="s">
        <v>198</v>
      </c>
    </row>
    <row r="2144" spans="1:7" x14ac:dyDescent="0.3">
      <c r="A2144" t="s">
        <v>1136</v>
      </c>
    </row>
    <row r="2145" spans="1:8" x14ac:dyDescent="0.3">
      <c r="A2145" t="s">
        <v>44</v>
      </c>
      <c r="B2145" t="s">
        <v>257</v>
      </c>
      <c r="C2145" t="s">
        <v>32</v>
      </c>
      <c r="D2145" t="s">
        <v>66</v>
      </c>
      <c r="E2145" t="s">
        <v>67</v>
      </c>
      <c r="F2145" t="s">
        <v>352</v>
      </c>
      <c r="G2145" t="s">
        <v>193</v>
      </c>
    </row>
    <row r="2146" spans="1:8" x14ac:dyDescent="0.3">
      <c r="A2146" t="s">
        <v>35</v>
      </c>
      <c r="B2146" t="s">
        <v>258</v>
      </c>
      <c r="C2146">
        <v>325</v>
      </c>
      <c r="D2146" t="s">
        <v>316</v>
      </c>
      <c r="E2146" t="s">
        <v>404</v>
      </c>
      <c r="F2146" t="s">
        <v>141</v>
      </c>
      <c r="G2146" t="s">
        <v>99</v>
      </c>
    </row>
    <row r="2147" spans="1:8" x14ac:dyDescent="0.3">
      <c r="A2147" t="s">
        <v>35</v>
      </c>
      <c r="B2147" t="s">
        <v>260</v>
      </c>
      <c r="C2147">
        <v>83</v>
      </c>
      <c r="D2147" t="s">
        <v>160</v>
      </c>
      <c r="E2147" t="s">
        <v>857</v>
      </c>
      <c r="F2147" t="s">
        <v>101</v>
      </c>
      <c r="G2147" t="s">
        <v>108</v>
      </c>
    </row>
    <row r="2148" spans="1:8" x14ac:dyDescent="0.3">
      <c r="A2148" t="s">
        <v>37</v>
      </c>
      <c r="B2148" t="s">
        <v>258</v>
      </c>
      <c r="C2148">
        <v>758</v>
      </c>
      <c r="D2148" t="s">
        <v>132</v>
      </c>
      <c r="E2148" t="s">
        <v>225</v>
      </c>
      <c r="F2148" t="s">
        <v>198</v>
      </c>
      <c r="G2148" t="s">
        <v>99</v>
      </c>
    </row>
    <row r="2149" spans="1:8" x14ac:dyDescent="0.3">
      <c r="A2149" t="s">
        <v>36</v>
      </c>
      <c r="B2149" t="s">
        <v>258</v>
      </c>
      <c r="C2149">
        <v>446</v>
      </c>
      <c r="D2149" t="s">
        <v>220</v>
      </c>
      <c r="E2149" t="s">
        <v>293</v>
      </c>
      <c r="F2149" t="s">
        <v>207</v>
      </c>
      <c r="G2149" t="s">
        <v>99</v>
      </c>
    </row>
    <row r="2150" spans="1:8" x14ac:dyDescent="0.3">
      <c r="A2150" t="s">
        <v>36</v>
      </c>
      <c r="B2150" t="s">
        <v>260</v>
      </c>
      <c r="C2150">
        <v>98</v>
      </c>
      <c r="D2150" t="s">
        <v>807</v>
      </c>
      <c r="E2150" t="s">
        <v>477</v>
      </c>
      <c r="F2150" t="s">
        <v>99</v>
      </c>
      <c r="G2150" t="s">
        <v>99</v>
      </c>
    </row>
    <row r="2151" spans="1:8" x14ac:dyDescent="0.3">
      <c r="A2151" t="s">
        <v>34</v>
      </c>
      <c r="B2151" t="s">
        <v>258</v>
      </c>
      <c r="C2151">
        <v>295</v>
      </c>
      <c r="D2151" t="s">
        <v>111</v>
      </c>
      <c r="E2151" t="s">
        <v>851</v>
      </c>
      <c r="F2151" t="s">
        <v>207</v>
      </c>
      <c r="G2151" t="s">
        <v>99</v>
      </c>
    </row>
    <row r="2152" spans="1:8" x14ac:dyDescent="0.3">
      <c r="A2152" t="s">
        <v>34</v>
      </c>
      <c r="B2152" t="s">
        <v>260</v>
      </c>
      <c r="C2152">
        <v>316</v>
      </c>
      <c r="D2152" t="s">
        <v>38</v>
      </c>
      <c r="E2152" t="s">
        <v>502</v>
      </c>
      <c r="F2152" t="s">
        <v>103</v>
      </c>
      <c r="G2152" t="s">
        <v>141</v>
      </c>
    </row>
    <row r="2153" spans="1:8" x14ac:dyDescent="0.3">
      <c r="A2153" t="s">
        <v>33</v>
      </c>
      <c r="B2153" t="s">
        <v>258</v>
      </c>
      <c r="C2153">
        <v>229</v>
      </c>
      <c r="D2153" t="s">
        <v>141</v>
      </c>
      <c r="E2153" t="s">
        <v>970</v>
      </c>
      <c r="F2153" t="s">
        <v>99</v>
      </c>
      <c r="G2153" t="s">
        <v>99</v>
      </c>
    </row>
    <row r="2154" spans="1:8" x14ac:dyDescent="0.3">
      <c r="A2154" t="s">
        <v>49</v>
      </c>
      <c r="B2154" t="s">
        <v>258</v>
      </c>
      <c r="C2154">
        <v>2053</v>
      </c>
      <c r="D2154" t="s">
        <v>316</v>
      </c>
      <c r="E2154" t="s">
        <v>398</v>
      </c>
      <c r="F2154" t="s">
        <v>207</v>
      </c>
      <c r="G2154" t="s">
        <v>99</v>
      </c>
    </row>
    <row r="2155" spans="1:8" x14ac:dyDescent="0.3">
      <c r="A2155" t="s">
        <v>49</v>
      </c>
      <c r="B2155" t="s">
        <v>260</v>
      </c>
      <c r="C2155">
        <v>497</v>
      </c>
      <c r="D2155" t="s">
        <v>264</v>
      </c>
      <c r="E2155" t="s">
        <v>1137</v>
      </c>
      <c r="F2155" t="s">
        <v>268</v>
      </c>
      <c r="G2155" t="s">
        <v>253</v>
      </c>
    </row>
    <row r="2157" spans="1:8" x14ac:dyDescent="0.3">
      <c r="A2157" t="s">
        <v>1138</v>
      </c>
    </row>
    <row r="2158" spans="1:8" x14ac:dyDescent="0.3">
      <c r="A2158" t="s">
        <v>44</v>
      </c>
      <c r="B2158" t="s">
        <v>32</v>
      </c>
      <c r="C2158" t="s">
        <v>1139</v>
      </c>
      <c r="D2158" t="s">
        <v>1140</v>
      </c>
      <c r="E2158" t="s">
        <v>1141</v>
      </c>
      <c r="F2158" t="s">
        <v>1142</v>
      </c>
      <c r="G2158" t="s">
        <v>88</v>
      </c>
      <c r="H2158" t="s">
        <v>1093</v>
      </c>
    </row>
    <row r="2159" spans="1:8" s="5" customFormat="1" x14ac:dyDescent="0.3">
      <c r="A2159" s="5" t="s">
        <v>35</v>
      </c>
      <c r="B2159" s="5">
        <v>21</v>
      </c>
      <c r="C2159" s="5" t="s">
        <v>38</v>
      </c>
      <c r="D2159" s="5" t="s">
        <v>282</v>
      </c>
      <c r="E2159" s="5" t="s">
        <v>224</v>
      </c>
      <c r="F2159" s="5" t="s">
        <v>155</v>
      </c>
      <c r="G2159" s="5" t="s">
        <v>580</v>
      </c>
      <c r="H2159" s="5" t="s">
        <v>99</v>
      </c>
    </row>
    <row r="2160" spans="1:8" s="5" customFormat="1" x14ac:dyDescent="0.3">
      <c r="A2160" s="5" t="s">
        <v>37</v>
      </c>
      <c r="B2160" s="5">
        <v>6</v>
      </c>
      <c r="C2160" s="5" t="s">
        <v>99</v>
      </c>
      <c r="D2160" s="5" t="s">
        <v>933</v>
      </c>
      <c r="E2160" s="5" t="s">
        <v>99</v>
      </c>
      <c r="F2160" s="5" t="s">
        <v>540</v>
      </c>
      <c r="G2160" s="5" t="s">
        <v>1143</v>
      </c>
      <c r="H2160" s="5" t="s">
        <v>99</v>
      </c>
    </row>
    <row r="2161" spans="1:9" x14ac:dyDescent="0.3">
      <c r="A2161" t="s">
        <v>36</v>
      </c>
      <c r="B2161">
        <v>65</v>
      </c>
      <c r="C2161" t="s">
        <v>534</v>
      </c>
      <c r="D2161" t="s">
        <v>213</v>
      </c>
      <c r="E2161" t="s">
        <v>534</v>
      </c>
      <c r="F2161" t="s">
        <v>112</v>
      </c>
      <c r="G2161" t="s">
        <v>1045</v>
      </c>
      <c r="H2161" t="s">
        <v>253</v>
      </c>
    </row>
    <row r="2162" spans="1:9" x14ac:dyDescent="0.3">
      <c r="A2162" t="s">
        <v>34</v>
      </c>
      <c r="B2162">
        <v>65</v>
      </c>
      <c r="C2162" t="s">
        <v>405</v>
      </c>
      <c r="D2162" t="s">
        <v>985</v>
      </c>
      <c r="E2162" t="s">
        <v>1059</v>
      </c>
      <c r="F2162" t="s">
        <v>204</v>
      </c>
      <c r="G2162" t="s">
        <v>440</v>
      </c>
      <c r="H2162" t="s">
        <v>103</v>
      </c>
    </row>
    <row r="2163" spans="1:9" s="5" customFormat="1" x14ac:dyDescent="0.3">
      <c r="A2163" s="5" t="s">
        <v>33</v>
      </c>
      <c r="B2163" s="5">
        <v>1</v>
      </c>
      <c r="C2163" s="5" t="s">
        <v>99</v>
      </c>
      <c r="D2163" s="5" t="s">
        <v>99</v>
      </c>
      <c r="E2163" s="5" t="s">
        <v>99</v>
      </c>
      <c r="F2163" s="5" t="s">
        <v>99</v>
      </c>
      <c r="G2163" s="5" t="s">
        <v>211</v>
      </c>
      <c r="H2163" s="5" t="s">
        <v>99</v>
      </c>
    </row>
    <row r="2164" spans="1:9" x14ac:dyDescent="0.3">
      <c r="A2164" t="s">
        <v>49</v>
      </c>
      <c r="B2164">
        <v>158</v>
      </c>
      <c r="C2164" t="s">
        <v>218</v>
      </c>
      <c r="D2164" t="s">
        <v>1144</v>
      </c>
      <c r="E2164" t="s">
        <v>473</v>
      </c>
      <c r="F2164" t="s">
        <v>143</v>
      </c>
      <c r="G2164" t="s">
        <v>702</v>
      </c>
      <c r="H2164" t="s">
        <v>215</v>
      </c>
    </row>
    <row r="2166" spans="1:9" x14ac:dyDescent="0.3">
      <c r="A2166" t="s">
        <v>1145</v>
      </c>
    </row>
    <row r="2167" spans="1:9" x14ac:dyDescent="0.3">
      <c r="A2167" t="s">
        <v>44</v>
      </c>
      <c r="B2167" t="s">
        <v>847</v>
      </c>
      <c r="C2167" t="s">
        <v>32</v>
      </c>
      <c r="D2167" t="s">
        <v>1139</v>
      </c>
      <c r="E2167" t="s">
        <v>1140</v>
      </c>
      <c r="F2167" t="s">
        <v>1141</v>
      </c>
      <c r="G2167" t="s">
        <v>1142</v>
      </c>
      <c r="H2167" t="s">
        <v>88</v>
      </c>
      <c r="I2167" t="s">
        <v>1093</v>
      </c>
    </row>
    <row r="2168" spans="1:9" x14ac:dyDescent="0.3">
      <c r="A2168" t="s">
        <v>35</v>
      </c>
      <c r="B2168" t="s">
        <v>365</v>
      </c>
      <c r="C2168">
        <v>21</v>
      </c>
      <c r="D2168" t="s">
        <v>38</v>
      </c>
      <c r="E2168" t="s">
        <v>282</v>
      </c>
      <c r="F2168" t="s">
        <v>224</v>
      </c>
      <c r="G2168" t="s">
        <v>155</v>
      </c>
      <c r="H2168" t="s">
        <v>580</v>
      </c>
      <c r="I2168" t="s">
        <v>99</v>
      </c>
    </row>
    <row r="2169" spans="1:9" s="5" customFormat="1" x14ac:dyDescent="0.3">
      <c r="A2169" s="5" t="s">
        <v>37</v>
      </c>
      <c r="B2169" s="5" t="s">
        <v>852</v>
      </c>
      <c r="C2169" s="5">
        <v>1</v>
      </c>
      <c r="D2169" s="5" t="s">
        <v>99</v>
      </c>
      <c r="E2169" s="5" t="s">
        <v>99</v>
      </c>
      <c r="F2169" s="5" t="s">
        <v>99</v>
      </c>
      <c r="G2169" s="5" t="s">
        <v>99</v>
      </c>
      <c r="H2169" s="5" t="s">
        <v>211</v>
      </c>
      <c r="I2169" s="5" t="s">
        <v>99</v>
      </c>
    </row>
    <row r="2170" spans="1:9" x14ac:dyDescent="0.3">
      <c r="A2170" t="s">
        <v>37</v>
      </c>
      <c r="B2170" t="s">
        <v>365</v>
      </c>
      <c r="C2170">
        <v>5</v>
      </c>
      <c r="D2170" t="s">
        <v>99</v>
      </c>
      <c r="E2170" t="s">
        <v>711</v>
      </c>
      <c r="F2170" t="s">
        <v>99</v>
      </c>
      <c r="G2170" t="s">
        <v>667</v>
      </c>
      <c r="H2170" t="s">
        <v>636</v>
      </c>
      <c r="I2170" t="s">
        <v>99</v>
      </c>
    </row>
    <row r="2171" spans="1:9" s="5" customFormat="1" x14ac:dyDescent="0.3">
      <c r="A2171" s="5" t="s">
        <v>36</v>
      </c>
      <c r="B2171" s="5" t="s">
        <v>848</v>
      </c>
      <c r="C2171" s="5">
        <v>2</v>
      </c>
      <c r="D2171" s="5" t="s">
        <v>99</v>
      </c>
      <c r="E2171" s="5" t="s">
        <v>68</v>
      </c>
      <c r="F2171" s="5" t="s">
        <v>69</v>
      </c>
      <c r="G2171" s="5" t="s">
        <v>99</v>
      </c>
      <c r="H2171" s="5" t="s">
        <v>99</v>
      </c>
      <c r="I2171" s="5" t="s">
        <v>99</v>
      </c>
    </row>
    <row r="2172" spans="1:9" s="5" customFormat="1" x14ac:dyDescent="0.3">
      <c r="A2172" s="5" t="s">
        <v>36</v>
      </c>
      <c r="B2172" s="5" t="s">
        <v>852</v>
      </c>
      <c r="C2172" s="5">
        <v>1</v>
      </c>
      <c r="D2172" s="5" t="s">
        <v>99</v>
      </c>
      <c r="E2172" s="5" t="s">
        <v>211</v>
      </c>
      <c r="F2172" s="5" t="s">
        <v>99</v>
      </c>
      <c r="G2172" s="5" t="s">
        <v>99</v>
      </c>
      <c r="H2172" s="5" t="s">
        <v>211</v>
      </c>
      <c r="I2172" s="5" t="s">
        <v>99</v>
      </c>
    </row>
    <row r="2173" spans="1:9" x14ac:dyDescent="0.3">
      <c r="A2173" t="s">
        <v>36</v>
      </c>
      <c r="B2173" t="s">
        <v>365</v>
      </c>
      <c r="C2173">
        <v>62</v>
      </c>
      <c r="D2173" t="s">
        <v>488</v>
      </c>
      <c r="E2173" t="s">
        <v>1146</v>
      </c>
      <c r="F2173" t="s">
        <v>747</v>
      </c>
      <c r="G2173" t="s">
        <v>68</v>
      </c>
      <c r="H2173" t="s">
        <v>534</v>
      </c>
      <c r="I2173" t="s">
        <v>253</v>
      </c>
    </row>
    <row r="2174" spans="1:9" x14ac:dyDescent="0.3">
      <c r="A2174" t="s">
        <v>34</v>
      </c>
      <c r="B2174" t="s">
        <v>365</v>
      </c>
      <c r="C2174">
        <v>65</v>
      </c>
      <c r="D2174" t="s">
        <v>405</v>
      </c>
      <c r="E2174" t="s">
        <v>985</v>
      </c>
      <c r="F2174" t="s">
        <v>1059</v>
      </c>
      <c r="G2174" t="s">
        <v>204</v>
      </c>
      <c r="H2174" t="s">
        <v>440</v>
      </c>
      <c r="I2174" t="s">
        <v>103</v>
      </c>
    </row>
    <row r="2175" spans="1:9" x14ac:dyDescent="0.3">
      <c r="A2175" t="s">
        <v>33</v>
      </c>
      <c r="B2175" t="s">
        <v>365</v>
      </c>
      <c r="C2175">
        <v>1</v>
      </c>
      <c r="D2175" t="s">
        <v>99</v>
      </c>
      <c r="E2175" t="s">
        <v>99</v>
      </c>
      <c r="F2175" t="s">
        <v>99</v>
      </c>
      <c r="G2175" t="s">
        <v>99</v>
      </c>
      <c r="H2175" t="s">
        <v>211</v>
      </c>
      <c r="I2175" t="s">
        <v>99</v>
      </c>
    </row>
    <row r="2176" spans="1:9" s="5" customFormat="1" x14ac:dyDescent="0.3">
      <c r="A2176" s="5" t="s">
        <v>49</v>
      </c>
      <c r="B2176" s="5" t="s">
        <v>848</v>
      </c>
      <c r="C2176" s="5">
        <v>2</v>
      </c>
      <c r="D2176" s="5" t="s">
        <v>99</v>
      </c>
      <c r="E2176" s="5" t="s">
        <v>68</v>
      </c>
      <c r="F2176" s="5" t="s">
        <v>69</v>
      </c>
      <c r="G2176" s="5" t="s">
        <v>99</v>
      </c>
      <c r="H2176" s="5" t="s">
        <v>99</v>
      </c>
      <c r="I2176" s="5" t="s">
        <v>99</v>
      </c>
    </row>
    <row r="2177" spans="1:9" s="5" customFormat="1" x14ac:dyDescent="0.3">
      <c r="A2177" s="5" t="s">
        <v>49</v>
      </c>
      <c r="B2177" s="5" t="s">
        <v>852</v>
      </c>
      <c r="C2177" s="5">
        <v>2</v>
      </c>
      <c r="D2177" s="5" t="s">
        <v>99</v>
      </c>
      <c r="E2177" s="5" t="s">
        <v>1077</v>
      </c>
      <c r="F2177" s="5" t="s">
        <v>99</v>
      </c>
      <c r="G2177" s="5" t="s">
        <v>99</v>
      </c>
      <c r="H2177" s="5" t="s">
        <v>211</v>
      </c>
      <c r="I2177" s="5" t="s">
        <v>99</v>
      </c>
    </row>
    <row r="2178" spans="1:9" x14ac:dyDescent="0.3">
      <c r="A2178" t="s">
        <v>49</v>
      </c>
      <c r="B2178" t="s">
        <v>365</v>
      </c>
      <c r="C2178">
        <v>154</v>
      </c>
      <c r="D2178" t="s">
        <v>721</v>
      </c>
      <c r="E2178" t="s">
        <v>1082</v>
      </c>
      <c r="F2178" t="s">
        <v>281</v>
      </c>
      <c r="G2178" t="s">
        <v>74</v>
      </c>
      <c r="H2178" t="s">
        <v>933</v>
      </c>
      <c r="I2178" t="s">
        <v>215</v>
      </c>
    </row>
    <row r="2180" spans="1:9" x14ac:dyDescent="0.3">
      <c r="A2180" t="s">
        <v>1147</v>
      </c>
    </row>
    <row r="2181" spans="1:9" x14ac:dyDescent="0.3">
      <c r="A2181" t="s">
        <v>44</v>
      </c>
      <c r="B2181" t="s">
        <v>235</v>
      </c>
      <c r="C2181" t="s">
        <v>32</v>
      </c>
      <c r="D2181" t="s">
        <v>1139</v>
      </c>
      <c r="E2181" t="s">
        <v>1140</v>
      </c>
      <c r="F2181" t="s">
        <v>1141</v>
      </c>
      <c r="G2181" t="s">
        <v>1142</v>
      </c>
      <c r="H2181" t="s">
        <v>88</v>
      </c>
      <c r="I2181" t="s">
        <v>1093</v>
      </c>
    </row>
    <row r="2182" spans="1:9" s="5" customFormat="1" x14ac:dyDescent="0.3">
      <c r="A2182" s="5" t="s">
        <v>35</v>
      </c>
      <c r="B2182" s="5" t="s">
        <v>236</v>
      </c>
      <c r="C2182" s="5">
        <v>9</v>
      </c>
      <c r="D2182" s="5" t="s">
        <v>68</v>
      </c>
      <c r="E2182" s="5" t="s">
        <v>69</v>
      </c>
      <c r="F2182" s="5" t="s">
        <v>306</v>
      </c>
      <c r="G2182" s="5" t="s">
        <v>220</v>
      </c>
      <c r="H2182" s="5" t="s">
        <v>255</v>
      </c>
      <c r="I2182" s="5" t="s">
        <v>99</v>
      </c>
    </row>
    <row r="2183" spans="1:9" s="5" customFormat="1" x14ac:dyDescent="0.3">
      <c r="A2183" s="5" t="s">
        <v>35</v>
      </c>
      <c r="B2183" s="5" t="s">
        <v>238</v>
      </c>
      <c r="C2183" s="5">
        <v>12</v>
      </c>
      <c r="D2183" s="5" t="s">
        <v>131</v>
      </c>
      <c r="E2183" s="5" t="s">
        <v>1148</v>
      </c>
      <c r="F2183" s="5" t="s">
        <v>405</v>
      </c>
      <c r="G2183" s="5" t="s">
        <v>99</v>
      </c>
      <c r="H2183" s="5" t="s">
        <v>1149</v>
      </c>
      <c r="I2183" s="5" t="s">
        <v>99</v>
      </c>
    </row>
    <row r="2184" spans="1:9" s="5" customFormat="1" x14ac:dyDescent="0.3">
      <c r="A2184" s="5" t="s">
        <v>37</v>
      </c>
      <c r="B2184" s="5" t="s">
        <v>236</v>
      </c>
      <c r="C2184" s="5">
        <v>5</v>
      </c>
      <c r="D2184" s="5" t="s">
        <v>99</v>
      </c>
      <c r="E2184" s="5" t="s">
        <v>201</v>
      </c>
      <c r="F2184" s="5" t="s">
        <v>99</v>
      </c>
      <c r="G2184" s="5" t="s">
        <v>429</v>
      </c>
      <c r="H2184" s="5" t="s">
        <v>567</v>
      </c>
      <c r="I2184" s="5" t="s">
        <v>99</v>
      </c>
    </row>
    <row r="2185" spans="1:9" s="5" customFormat="1" x14ac:dyDescent="0.3">
      <c r="A2185" s="5" t="s">
        <v>37</v>
      </c>
      <c r="B2185" s="5" t="s">
        <v>238</v>
      </c>
      <c r="C2185" s="5">
        <v>1</v>
      </c>
      <c r="D2185" s="5" t="s">
        <v>99</v>
      </c>
      <c r="E2185" s="5" t="s">
        <v>211</v>
      </c>
      <c r="F2185" s="5" t="s">
        <v>99</v>
      </c>
      <c r="G2185" s="5" t="s">
        <v>99</v>
      </c>
      <c r="H2185" s="5" t="s">
        <v>99</v>
      </c>
      <c r="I2185" s="5" t="s">
        <v>99</v>
      </c>
    </row>
    <row r="2186" spans="1:9" x14ac:dyDescent="0.3">
      <c r="A2186" t="s">
        <v>36</v>
      </c>
      <c r="B2186" t="s">
        <v>236</v>
      </c>
      <c r="C2186">
        <v>47</v>
      </c>
      <c r="D2186" t="s">
        <v>1105</v>
      </c>
      <c r="E2186" t="s">
        <v>187</v>
      </c>
      <c r="F2186" t="s">
        <v>902</v>
      </c>
      <c r="G2186" t="s">
        <v>105</v>
      </c>
      <c r="H2186" t="s">
        <v>139</v>
      </c>
      <c r="I2186" t="s">
        <v>126</v>
      </c>
    </row>
    <row r="2187" spans="1:9" s="5" customFormat="1" x14ac:dyDescent="0.3">
      <c r="A2187" s="5" t="s">
        <v>36</v>
      </c>
      <c r="B2187" s="5" t="s">
        <v>238</v>
      </c>
      <c r="C2187" s="5">
        <v>18</v>
      </c>
      <c r="D2187" s="5" t="s">
        <v>749</v>
      </c>
      <c r="E2187" s="5" t="s">
        <v>1108</v>
      </c>
      <c r="F2187" s="5" t="s">
        <v>395</v>
      </c>
      <c r="G2187" s="5" t="s">
        <v>98</v>
      </c>
      <c r="H2187" s="5" t="s">
        <v>923</v>
      </c>
      <c r="I2187" s="5" t="s">
        <v>99</v>
      </c>
    </row>
    <row r="2188" spans="1:9" s="5" customFormat="1" x14ac:dyDescent="0.3">
      <c r="A2188" s="5" t="s">
        <v>34</v>
      </c>
      <c r="B2188" s="5" t="s">
        <v>236</v>
      </c>
      <c r="C2188" s="5">
        <v>14</v>
      </c>
      <c r="D2188" s="5" t="s">
        <v>108</v>
      </c>
      <c r="E2188" s="5" t="s">
        <v>337</v>
      </c>
      <c r="F2188" s="5" t="s">
        <v>1053</v>
      </c>
      <c r="G2188" s="5" t="s">
        <v>99</v>
      </c>
      <c r="H2188" s="5" t="s">
        <v>716</v>
      </c>
      <c r="I2188" s="5" t="s">
        <v>99</v>
      </c>
    </row>
    <row r="2189" spans="1:9" x14ac:dyDescent="0.3">
      <c r="A2189" t="s">
        <v>34</v>
      </c>
      <c r="B2189" t="s">
        <v>238</v>
      </c>
      <c r="C2189">
        <v>51</v>
      </c>
      <c r="D2189" t="s">
        <v>685</v>
      </c>
      <c r="E2189" t="s">
        <v>1150</v>
      </c>
      <c r="F2189" t="s">
        <v>457</v>
      </c>
      <c r="G2189" t="s">
        <v>72</v>
      </c>
      <c r="H2189" t="s">
        <v>425</v>
      </c>
      <c r="I2189" t="s">
        <v>134</v>
      </c>
    </row>
    <row r="2190" spans="1:9" s="5" customFormat="1" x14ac:dyDescent="0.3">
      <c r="A2190" s="5" t="s">
        <v>33</v>
      </c>
      <c r="B2190" s="5" t="s">
        <v>236</v>
      </c>
      <c r="C2190" s="5">
        <v>1</v>
      </c>
      <c r="D2190" s="5" t="s">
        <v>99</v>
      </c>
      <c r="E2190" s="5" t="s">
        <v>99</v>
      </c>
      <c r="F2190" s="5" t="s">
        <v>99</v>
      </c>
      <c r="G2190" s="5" t="s">
        <v>99</v>
      </c>
      <c r="H2190" s="5" t="s">
        <v>211</v>
      </c>
      <c r="I2190" s="5" t="s">
        <v>99</v>
      </c>
    </row>
    <row r="2191" spans="1:9" x14ac:dyDescent="0.3">
      <c r="A2191" t="s">
        <v>49</v>
      </c>
      <c r="B2191" t="s">
        <v>236</v>
      </c>
      <c r="C2191">
        <v>76</v>
      </c>
      <c r="D2191" t="s">
        <v>135</v>
      </c>
      <c r="E2191" t="s">
        <v>439</v>
      </c>
      <c r="F2191" t="s">
        <v>148</v>
      </c>
      <c r="G2191" t="s">
        <v>68</v>
      </c>
      <c r="H2191" t="s">
        <v>687</v>
      </c>
      <c r="I2191" t="s">
        <v>207</v>
      </c>
    </row>
    <row r="2192" spans="1:9" x14ac:dyDescent="0.3">
      <c r="A2192" t="s">
        <v>49</v>
      </c>
      <c r="B2192" t="s">
        <v>238</v>
      </c>
      <c r="C2192">
        <v>82</v>
      </c>
      <c r="D2192" t="s">
        <v>167</v>
      </c>
      <c r="E2192" t="s">
        <v>1151</v>
      </c>
      <c r="F2192" t="s">
        <v>298</v>
      </c>
      <c r="G2192" t="s">
        <v>109</v>
      </c>
      <c r="H2192" t="s">
        <v>803</v>
      </c>
      <c r="I2192" t="s">
        <v>103</v>
      </c>
    </row>
    <row r="2194" spans="1:9" x14ac:dyDescent="0.3">
      <c r="A2194" t="s">
        <v>1152</v>
      </c>
    </row>
    <row r="2195" spans="1:9" x14ac:dyDescent="0.3">
      <c r="A2195" t="s">
        <v>44</v>
      </c>
      <c r="B2195" t="s">
        <v>972</v>
      </c>
      <c r="C2195" t="s">
        <v>32</v>
      </c>
      <c r="D2195" t="s">
        <v>1139</v>
      </c>
      <c r="E2195" t="s">
        <v>1140</v>
      </c>
      <c r="F2195" t="s">
        <v>1141</v>
      </c>
      <c r="G2195" t="s">
        <v>1142</v>
      </c>
      <c r="H2195" t="s">
        <v>88</v>
      </c>
      <c r="I2195" t="s">
        <v>1093</v>
      </c>
    </row>
    <row r="2196" spans="1:9" s="5" customFormat="1" x14ac:dyDescent="0.3">
      <c r="A2196" s="5" t="s">
        <v>35</v>
      </c>
      <c r="B2196" s="5" t="s">
        <v>973</v>
      </c>
      <c r="C2196" s="5">
        <v>4</v>
      </c>
      <c r="D2196" s="5" t="s">
        <v>99</v>
      </c>
      <c r="E2196" s="5" t="s">
        <v>409</v>
      </c>
      <c r="F2196" s="5" t="s">
        <v>408</v>
      </c>
      <c r="G2196" s="5" t="s">
        <v>408</v>
      </c>
      <c r="H2196" s="5" t="s">
        <v>42</v>
      </c>
      <c r="I2196" s="5" t="s">
        <v>99</v>
      </c>
    </row>
    <row r="2197" spans="1:9" s="5" customFormat="1" x14ac:dyDescent="0.3">
      <c r="A2197" s="5" t="s">
        <v>35</v>
      </c>
      <c r="B2197" s="5" t="s">
        <v>975</v>
      </c>
      <c r="C2197" s="5">
        <v>5</v>
      </c>
      <c r="D2197" s="5" t="s">
        <v>416</v>
      </c>
      <c r="E2197" s="5" t="s">
        <v>516</v>
      </c>
      <c r="F2197" s="5" t="s">
        <v>1144</v>
      </c>
      <c r="G2197" s="5" t="s">
        <v>99</v>
      </c>
      <c r="H2197" s="5" t="s">
        <v>214</v>
      </c>
      <c r="I2197" s="5" t="s">
        <v>99</v>
      </c>
    </row>
    <row r="2198" spans="1:9" s="5" customFormat="1" x14ac:dyDescent="0.3">
      <c r="A2198" s="5" t="s">
        <v>35</v>
      </c>
      <c r="B2198" s="5" t="s">
        <v>976</v>
      </c>
      <c r="C2198" s="5">
        <v>6</v>
      </c>
      <c r="D2198" s="5" t="s">
        <v>131</v>
      </c>
      <c r="E2198" s="5" t="s">
        <v>515</v>
      </c>
      <c r="F2198" s="5" t="s">
        <v>672</v>
      </c>
      <c r="G2198" s="5" t="s">
        <v>99</v>
      </c>
      <c r="H2198" s="5" t="s">
        <v>1153</v>
      </c>
      <c r="I2198" s="5" t="s">
        <v>99</v>
      </c>
    </row>
    <row r="2199" spans="1:9" s="5" customFormat="1" x14ac:dyDescent="0.3">
      <c r="A2199" s="5" t="s">
        <v>35</v>
      </c>
      <c r="B2199" s="5" t="s">
        <v>977</v>
      </c>
      <c r="C2199" s="5">
        <v>3</v>
      </c>
      <c r="D2199" s="5" t="s">
        <v>1068</v>
      </c>
      <c r="E2199" s="5" t="s">
        <v>54</v>
      </c>
      <c r="F2199" s="5" t="s">
        <v>54</v>
      </c>
      <c r="G2199" s="5" t="s">
        <v>99</v>
      </c>
      <c r="H2199" s="5" t="s">
        <v>56</v>
      </c>
      <c r="I2199" s="5" t="s">
        <v>99</v>
      </c>
    </row>
    <row r="2200" spans="1:9" s="5" customFormat="1" x14ac:dyDescent="0.3">
      <c r="A2200" s="5" t="s">
        <v>35</v>
      </c>
      <c r="B2200" s="5" t="s">
        <v>979</v>
      </c>
      <c r="C2200" s="5">
        <v>3</v>
      </c>
      <c r="D2200" s="5" t="s">
        <v>99</v>
      </c>
      <c r="E2200" s="5" t="s">
        <v>211</v>
      </c>
      <c r="F2200" s="5" t="s">
        <v>680</v>
      </c>
      <c r="G2200" s="5" t="s">
        <v>680</v>
      </c>
      <c r="H2200" s="5" t="s">
        <v>99</v>
      </c>
      <c r="I2200" s="5" t="s">
        <v>99</v>
      </c>
    </row>
    <row r="2201" spans="1:9" s="5" customFormat="1" x14ac:dyDescent="0.3">
      <c r="A2201" s="5" t="s">
        <v>37</v>
      </c>
      <c r="B2201" s="5" t="s">
        <v>973</v>
      </c>
      <c r="C2201" s="5">
        <v>2</v>
      </c>
      <c r="D2201" s="5" t="s">
        <v>99</v>
      </c>
      <c r="E2201" s="5" t="s">
        <v>549</v>
      </c>
      <c r="F2201" s="5" t="s">
        <v>99</v>
      </c>
      <c r="G2201" s="5" t="s">
        <v>99</v>
      </c>
      <c r="H2201" s="5" t="s">
        <v>550</v>
      </c>
      <c r="I2201" s="5" t="s">
        <v>99</v>
      </c>
    </row>
    <row r="2202" spans="1:9" s="5" customFormat="1" x14ac:dyDescent="0.3">
      <c r="A2202" s="5" t="s">
        <v>37</v>
      </c>
      <c r="B2202" s="5" t="s">
        <v>975</v>
      </c>
      <c r="C2202" s="5">
        <v>2</v>
      </c>
      <c r="D2202" s="5" t="s">
        <v>99</v>
      </c>
      <c r="E2202" s="5" t="s">
        <v>929</v>
      </c>
      <c r="F2202" s="5" t="s">
        <v>99</v>
      </c>
      <c r="G2202" s="5" t="s">
        <v>99</v>
      </c>
      <c r="H2202" s="5" t="s">
        <v>949</v>
      </c>
      <c r="I2202" s="5" t="s">
        <v>99</v>
      </c>
    </row>
    <row r="2203" spans="1:9" s="5" customFormat="1" x14ac:dyDescent="0.3">
      <c r="A2203" s="5" t="s">
        <v>37</v>
      </c>
      <c r="B2203" s="5" t="s">
        <v>976</v>
      </c>
      <c r="C2203" s="5">
        <v>2</v>
      </c>
      <c r="D2203" s="5" t="s">
        <v>99</v>
      </c>
      <c r="E2203" s="5" t="s">
        <v>99</v>
      </c>
      <c r="F2203" s="5" t="s">
        <v>99</v>
      </c>
      <c r="G2203" s="5" t="s">
        <v>917</v>
      </c>
      <c r="H2203" s="5" t="s">
        <v>1154</v>
      </c>
      <c r="I2203" s="5" t="s">
        <v>99</v>
      </c>
    </row>
    <row r="2204" spans="1:9" s="5" customFormat="1" x14ac:dyDescent="0.3">
      <c r="A2204" s="5" t="s">
        <v>36</v>
      </c>
      <c r="B2204" s="5" t="s">
        <v>973</v>
      </c>
      <c r="C2204" s="5">
        <v>20</v>
      </c>
      <c r="D2204" s="5" t="s">
        <v>529</v>
      </c>
      <c r="E2204" s="5" t="s">
        <v>838</v>
      </c>
      <c r="F2204" s="5" t="s">
        <v>795</v>
      </c>
      <c r="G2204" s="5" t="s">
        <v>151</v>
      </c>
      <c r="H2204" s="5" t="s">
        <v>647</v>
      </c>
      <c r="I2204" s="5" t="s">
        <v>99</v>
      </c>
    </row>
    <row r="2205" spans="1:9" s="5" customFormat="1" x14ac:dyDescent="0.3">
      <c r="A2205" s="5" t="s">
        <v>36</v>
      </c>
      <c r="B2205" s="5" t="s">
        <v>975</v>
      </c>
      <c r="C2205" s="5">
        <v>8</v>
      </c>
      <c r="D2205" s="5" t="s">
        <v>711</v>
      </c>
      <c r="E2205" s="5" t="s">
        <v>999</v>
      </c>
      <c r="F2205" s="5" t="s">
        <v>146</v>
      </c>
      <c r="G2205" s="5" t="s">
        <v>99</v>
      </c>
      <c r="H2205" s="5" t="s">
        <v>101</v>
      </c>
      <c r="I2205" s="5" t="s">
        <v>99</v>
      </c>
    </row>
    <row r="2206" spans="1:9" s="5" customFormat="1" x14ac:dyDescent="0.3">
      <c r="A2206" s="5" t="s">
        <v>36</v>
      </c>
      <c r="B2206" s="5" t="s">
        <v>976</v>
      </c>
      <c r="C2206" s="5">
        <v>17</v>
      </c>
      <c r="D2206" s="5" t="s">
        <v>694</v>
      </c>
      <c r="E2206" s="5" t="s">
        <v>1063</v>
      </c>
      <c r="F2206" s="5" t="s">
        <v>231</v>
      </c>
      <c r="G2206" s="5" t="s">
        <v>179</v>
      </c>
      <c r="H2206" s="5" t="s">
        <v>638</v>
      </c>
      <c r="I2206" s="5" t="s">
        <v>123</v>
      </c>
    </row>
    <row r="2207" spans="1:9" s="5" customFormat="1" x14ac:dyDescent="0.3">
      <c r="A2207" s="5" t="s">
        <v>36</v>
      </c>
      <c r="B2207" s="5" t="s">
        <v>977</v>
      </c>
      <c r="C2207" s="5">
        <v>19</v>
      </c>
      <c r="D2207" s="5" t="s">
        <v>600</v>
      </c>
      <c r="E2207" s="5" t="s">
        <v>226</v>
      </c>
      <c r="F2207" s="5" t="s">
        <v>503</v>
      </c>
      <c r="G2207" s="5" t="s">
        <v>99</v>
      </c>
      <c r="H2207" s="5" t="s">
        <v>115</v>
      </c>
      <c r="I2207" s="5" t="s">
        <v>99</v>
      </c>
    </row>
    <row r="2208" spans="1:9" s="5" customFormat="1" x14ac:dyDescent="0.3">
      <c r="A2208" s="5" t="s">
        <v>36</v>
      </c>
      <c r="B2208" s="5" t="s">
        <v>979</v>
      </c>
      <c r="C2208" s="5">
        <v>1</v>
      </c>
      <c r="D2208" s="5" t="s">
        <v>99</v>
      </c>
      <c r="E2208" s="5" t="s">
        <v>211</v>
      </c>
      <c r="F2208" s="5" t="s">
        <v>99</v>
      </c>
      <c r="G2208" s="5" t="s">
        <v>99</v>
      </c>
      <c r="H2208" s="5" t="s">
        <v>99</v>
      </c>
      <c r="I2208" s="5" t="s">
        <v>99</v>
      </c>
    </row>
    <row r="2209" spans="1:9" s="5" customFormat="1" x14ac:dyDescent="0.3">
      <c r="A2209" s="5" t="s">
        <v>34</v>
      </c>
      <c r="B2209" s="5" t="s">
        <v>973</v>
      </c>
      <c r="C2209" s="5">
        <v>23</v>
      </c>
      <c r="D2209" s="5" t="s">
        <v>675</v>
      </c>
      <c r="E2209" s="5" t="s">
        <v>1010</v>
      </c>
      <c r="F2209" s="5" t="s">
        <v>670</v>
      </c>
      <c r="G2209" s="5" t="s">
        <v>157</v>
      </c>
      <c r="H2209" s="5" t="s">
        <v>299</v>
      </c>
      <c r="I2209" s="5" t="s">
        <v>99</v>
      </c>
    </row>
    <row r="2210" spans="1:9" s="5" customFormat="1" x14ac:dyDescent="0.3">
      <c r="A2210" s="5" t="s">
        <v>34</v>
      </c>
      <c r="B2210" s="5" t="s">
        <v>975</v>
      </c>
      <c r="C2210" s="5">
        <v>14</v>
      </c>
      <c r="D2210" s="5" t="s">
        <v>746</v>
      </c>
      <c r="E2210" s="5" t="s">
        <v>1155</v>
      </c>
      <c r="F2210" s="5" t="s">
        <v>798</v>
      </c>
      <c r="G2210" s="5" t="s">
        <v>124</v>
      </c>
      <c r="H2210" s="5" t="s">
        <v>798</v>
      </c>
      <c r="I2210" s="5" t="s">
        <v>124</v>
      </c>
    </row>
    <row r="2211" spans="1:9" s="5" customFormat="1" x14ac:dyDescent="0.3">
      <c r="A2211" s="5" t="s">
        <v>34</v>
      </c>
      <c r="B2211" s="5" t="s">
        <v>976</v>
      </c>
      <c r="C2211" s="5">
        <v>11</v>
      </c>
      <c r="D2211" s="5" t="s">
        <v>262</v>
      </c>
      <c r="E2211" s="5" t="s">
        <v>507</v>
      </c>
      <c r="F2211" s="5" t="s">
        <v>967</v>
      </c>
      <c r="G2211" s="5" t="s">
        <v>99</v>
      </c>
      <c r="H2211" s="5" t="s">
        <v>473</v>
      </c>
      <c r="I2211" s="5" t="s">
        <v>99</v>
      </c>
    </row>
    <row r="2212" spans="1:9" s="5" customFormat="1" x14ac:dyDescent="0.3">
      <c r="A2212" s="5" t="s">
        <v>34</v>
      </c>
      <c r="B2212" s="5" t="s">
        <v>977</v>
      </c>
      <c r="C2212" s="5">
        <v>15</v>
      </c>
      <c r="D2212" s="5" t="s">
        <v>38</v>
      </c>
      <c r="E2212" s="5" t="s">
        <v>1119</v>
      </c>
      <c r="F2212" s="5" t="s">
        <v>719</v>
      </c>
      <c r="G2212" s="5" t="s">
        <v>99</v>
      </c>
      <c r="H2212" s="5" t="s">
        <v>683</v>
      </c>
      <c r="I2212" s="5" t="s">
        <v>99</v>
      </c>
    </row>
    <row r="2213" spans="1:9" s="5" customFormat="1" x14ac:dyDescent="0.3">
      <c r="A2213" s="5" t="s">
        <v>34</v>
      </c>
      <c r="B2213" s="5" t="s">
        <v>979</v>
      </c>
      <c r="C2213" s="5">
        <v>2</v>
      </c>
      <c r="D2213" s="5" t="s">
        <v>99</v>
      </c>
      <c r="E2213" s="5" t="s">
        <v>1050</v>
      </c>
      <c r="F2213" s="5" t="s">
        <v>99</v>
      </c>
      <c r="G2213" s="5" t="s">
        <v>1050</v>
      </c>
      <c r="H2213" s="5" t="s">
        <v>1050</v>
      </c>
      <c r="I2213" s="5" t="s">
        <v>1105</v>
      </c>
    </row>
    <row r="2214" spans="1:9" s="5" customFormat="1" x14ac:dyDescent="0.3">
      <c r="A2214" s="5" t="s">
        <v>33</v>
      </c>
      <c r="B2214" s="5" t="s">
        <v>977</v>
      </c>
      <c r="C2214" s="5">
        <v>1</v>
      </c>
      <c r="D2214" s="5" t="s">
        <v>99</v>
      </c>
      <c r="E2214" s="5" t="s">
        <v>99</v>
      </c>
      <c r="F2214" s="5" t="s">
        <v>99</v>
      </c>
      <c r="G2214" s="5" t="s">
        <v>99</v>
      </c>
      <c r="H2214" s="5" t="s">
        <v>211</v>
      </c>
      <c r="I2214" s="5" t="s">
        <v>99</v>
      </c>
    </row>
    <row r="2215" spans="1:9" x14ac:dyDescent="0.3">
      <c r="A2215" t="s">
        <v>49</v>
      </c>
      <c r="B2215" t="s">
        <v>973</v>
      </c>
      <c r="C2215">
        <v>49</v>
      </c>
      <c r="D2215" t="s">
        <v>125</v>
      </c>
      <c r="E2215" t="s">
        <v>245</v>
      </c>
      <c r="F2215" t="s">
        <v>747</v>
      </c>
      <c r="G2215" t="s">
        <v>105</v>
      </c>
      <c r="H2215" t="s">
        <v>482</v>
      </c>
      <c r="I2215" t="s">
        <v>99</v>
      </c>
    </row>
    <row r="2216" spans="1:9" s="5" customFormat="1" x14ac:dyDescent="0.3">
      <c r="A2216" s="5" t="s">
        <v>49</v>
      </c>
      <c r="B2216" s="5" t="s">
        <v>975</v>
      </c>
      <c r="C2216" s="5">
        <v>29</v>
      </c>
      <c r="D2216" s="5" t="s">
        <v>244</v>
      </c>
      <c r="E2216" s="5" t="s">
        <v>345</v>
      </c>
      <c r="F2216" s="5" t="s">
        <v>959</v>
      </c>
      <c r="G2216" s="5" t="s">
        <v>134</v>
      </c>
      <c r="H2216" s="5" t="s">
        <v>673</v>
      </c>
      <c r="I2216" s="5" t="s">
        <v>134</v>
      </c>
    </row>
    <row r="2217" spans="1:9" x14ac:dyDescent="0.3">
      <c r="A2217" t="s">
        <v>49</v>
      </c>
      <c r="B2217" t="s">
        <v>976</v>
      </c>
      <c r="C2217">
        <v>36</v>
      </c>
      <c r="D2217" t="s">
        <v>708</v>
      </c>
      <c r="E2217" t="s">
        <v>616</v>
      </c>
      <c r="F2217" t="s">
        <v>690</v>
      </c>
      <c r="G2217" t="s">
        <v>125</v>
      </c>
      <c r="H2217" t="s">
        <v>1156</v>
      </c>
      <c r="I2217" t="s">
        <v>253</v>
      </c>
    </row>
    <row r="2218" spans="1:9" x14ac:dyDescent="0.3">
      <c r="A2218" t="s">
        <v>49</v>
      </c>
      <c r="B2218" t="s">
        <v>977</v>
      </c>
      <c r="C2218">
        <v>38</v>
      </c>
      <c r="D2218" t="s">
        <v>670</v>
      </c>
      <c r="E2218" t="s">
        <v>61</v>
      </c>
      <c r="F2218" t="s">
        <v>1157</v>
      </c>
      <c r="G2218" t="s">
        <v>99</v>
      </c>
      <c r="H2218" t="s">
        <v>749</v>
      </c>
      <c r="I2218" t="s">
        <v>99</v>
      </c>
    </row>
    <row r="2219" spans="1:9" s="5" customFormat="1" x14ac:dyDescent="0.3">
      <c r="A2219" s="5" t="s">
        <v>49</v>
      </c>
      <c r="B2219" s="5" t="s">
        <v>979</v>
      </c>
      <c r="C2219" s="5">
        <v>6</v>
      </c>
      <c r="D2219" s="5" t="s">
        <v>99</v>
      </c>
      <c r="E2219" s="5" t="s">
        <v>469</v>
      </c>
      <c r="F2219" s="5" t="s">
        <v>149</v>
      </c>
      <c r="G2219" s="5" t="s">
        <v>577</v>
      </c>
      <c r="H2219" s="5" t="s">
        <v>856</v>
      </c>
      <c r="I2219" s="5" t="s">
        <v>687</v>
      </c>
    </row>
    <row r="2221" spans="1:9" x14ac:dyDescent="0.3">
      <c r="A2221" t="s">
        <v>1158</v>
      </c>
    </row>
    <row r="2222" spans="1:9" x14ac:dyDescent="0.3">
      <c r="A2222" t="s">
        <v>44</v>
      </c>
      <c r="B2222" t="s">
        <v>209</v>
      </c>
      <c r="C2222" t="s">
        <v>32</v>
      </c>
      <c r="D2222" t="s">
        <v>1139</v>
      </c>
      <c r="E2222" t="s">
        <v>1140</v>
      </c>
      <c r="F2222" t="s">
        <v>1141</v>
      </c>
      <c r="G2222" t="s">
        <v>1142</v>
      </c>
      <c r="H2222" t="s">
        <v>88</v>
      </c>
      <c r="I2222" t="s">
        <v>1093</v>
      </c>
    </row>
    <row r="2223" spans="1:9" s="5" customFormat="1" x14ac:dyDescent="0.3">
      <c r="A2223" s="5" t="s">
        <v>35</v>
      </c>
      <c r="B2223" s="5" t="s">
        <v>210</v>
      </c>
      <c r="C2223" s="5">
        <v>3</v>
      </c>
      <c r="D2223" s="5" t="s">
        <v>99</v>
      </c>
      <c r="E2223" s="5" t="s">
        <v>211</v>
      </c>
      <c r="F2223" s="5" t="s">
        <v>557</v>
      </c>
      <c r="G2223" s="5" t="s">
        <v>99</v>
      </c>
      <c r="H2223" s="5" t="s">
        <v>662</v>
      </c>
      <c r="I2223" s="5" t="s">
        <v>99</v>
      </c>
    </row>
    <row r="2224" spans="1:9" s="5" customFormat="1" x14ac:dyDescent="0.3">
      <c r="A2224" s="5" t="s">
        <v>35</v>
      </c>
      <c r="B2224" s="5" t="s">
        <v>212</v>
      </c>
      <c r="C2224" s="5">
        <v>6</v>
      </c>
      <c r="D2224" s="5" t="s">
        <v>534</v>
      </c>
      <c r="E2224" s="5" t="s">
        <v>950</v>
      </c>
      <c r="F2224" s="5" t="s">
        <v>812</v>
      </c>
      <c r="G2224" s="5" t="s">
        <v>99</v>
      </c>
      <c r="H2224" s="5" t="s">
        <v>442</v>
      </c>
      <c r="I2224" s="5" t="s">
        <v>99</v>
      </c>
    </row>
    <row r="2225" spans="1:9" s="5" customFormat="1" x14ac:dyDescent="0.3">
      <c r="A2225" s="5" t="s">
        <v>35</v>
      </c>
      <c r="B2225" s="5" t="s">
        <v>216</v>
      </c>
      <c r="C2225" s="5">
        <v>12</v>
      </c>
      <c r="D2225" s="5" t="s">
        <v>701</v>
      </c>
      <c r="E2225" s="5" t="s">
        <v>1143</v>
      </c>
      <c r="F2225" s="5" t="s">
        <v>795</v>
      </c>
      <c r="G2225" s="5" t="s">
        <v>468</v>
      </c>
      <c r="H2225" s="5" t="s">
        <v>527</v>
      </c>
      <c r="I2225" s="5" t="s">
        <v>99</v>
      </c>
    </row>
    <row r="2226" spans="1:9" s="5" customFormat="1" x14ac:dyDescent="0.3">
      <c r="A2226" s="5" t="s">
        <v>37</v>
      </c>
      <c r="B2226" s="5" t="s">
        <v>212</v>
      </c>
      <c r="C2226" s="5">
        <v>5</v>
      </c>
      <c r="D2226" s="5" t="s">
        <v>99</v>
      </c>
      <c r="E2226" s="5" t="s">
        <v>201</v>
      </c>
      <c r="F2226" s="5" t="s">
        <v>99</v>
      </c>
      <c r="G2226" s="5" t="s">
        <v>429</v>
      </c>
      <c r="H2226" s="5" t="s">
        <v>567</v>
      </c>
      <c r="I2226" s="5" t="s">
        <v>99</v>
      </c>
    </row>
    <row r="2227" spans="1:9" s="5" customFormat="1" x14ac:dyDescent="0.3">
      <c r="A2227" s="5" t="s">
        <v>37</v>
      </c>
      <c r="B2227" s="5" t="s">
        <v>216</v>
      </c>
      <c r="C2227" s="5">
        <v>1</v>
      </c>
      <c r="D2227" s="5" t="s">
        <v>99</v>
      </c>
      <c r="E2227" s="5" t="s">
        <v>211</v>
      </c>
      <c r="F2227" s="5" t="s">
        <v>99</v>
      </c>
      <c r="G2227" s="5" t="s">
        <v>99</v>
      </c>
      <c r="H2227" s="5" t="s">
        <v>99</v>
      </c>
      <c r="I2227" s="5" t="s">
        <v>99</v>
      </c>
    </row>
    <row r="2228" spans="1:9" s="5" customFormat="1" x14ac:dyDescent="0.3">
      <c r="A2228" s="5" t="s">
        <v>36</v>
      </c>
      <c r="B2228" s="5" t="s">
        <v>210</v>
      </c>
      <c r="C2228" s="5">
        <v>15</v>
      </c>
      <c r="D2228" s="5" t="s">
        <v>616</v>
      </c>
      <c r="E2228" s="5" t="s">
        <v>912</v>
      </c>
      <c r="F2228" s="5" t="s">
        <v>529</v>
      </c>
      <c r="G2228" s="5" t="s">
        <v>99</v>
      </c>
      <c r="H2228" s="5" t="s">
        <v>99</v>
      </c>
      <c r="I2228" s="5" t="s">
        <v>99</v>
      </c>
    </row>
    <row r="2229" spans="1:9" x14ac:dyDescent="0.3">
      <c r="A2229" t="s">
        <v>36</v>
      </c>
      <c r="B2229" t="s">
        <v>212</v>
      </c>
      <c r="C2229">
        <v>35</v>
      </c>
      <c r="D2229" t="s">
        <v>701</v>
      </c>
      <c r="E2229" t="s">
        <v>588</v>
      </c>
      <c r="F2229" t="s">
        <v>534</v>
      </c>
      <c r="G2229" t="s">
        <v>461</v>
      </c>
      <c r="H2229" t="s">
        <v>642</v>
      </c>
      <c r="I2229" t="s">
        <v>121</v>
      </c>
    </row>
    <row r="2230" spans="1:9" s="5" customFormat="1" x14ac:dyDescent="0.3">
      <c r="A2230" s="5" t="s">
        <v>36</v>
      </c>
      <c r="B2230" s="5" t="s">
        <v>216</v>
      </c>
      <c r="C2230" s="5">
        <v>15</v>
      </c>
      <c r="D2230" s="5" t="s">
        <v>99</v>
      </c>
      <c r="E2230" s="5" t="s">
        <v>211</v>
      </c>
      <c r="F2230" s="5" t="s">
        <v>307</v>
      </c>
      <c r="G2230" s="5" t="s">
        <v>99</v>
      </c>
      <c r="H2230" s="5" t="s">
        <v>691</v>
      </c>
      <c r="I2230" s="5" t="s">
        <v>99</v>
      </c>
    </row>
    <row r="2231" spans="1:9" s="5" customFormat="1" x14ac:dyDescent="0.3">
      <c r="A2231" s="5" t="s">
        <v>34</v>
      </c>
      <c r="B2231" s="5" t="s">
        <v>210</v>
      </c>
      <c r="C2231" s="5">
        <v>13</v>
      </c>
      <c r="D2231" s="5" t="s">
        <v>188</v>
      </c>
      <c r="E2231" s="5" t="s">
        <v>1146</v>
      </c>
      <c r="F2231" s="5" t="s">
        <v>1159</v>
      </c>
      <c r="G2231" s="5" t="s">
        <v>811</v>
      </c>
      <c r="H2231" s="5" t="s">
        <v>540</v>
      </c>
      <c r="I2231" s="5" t="s">
        <v>135</v>
      </c>
    </row>
    <row r="2232" spans="1:9" x14ac:dyDescent="0.3">
      <c r="A2232" t="s">
        <v>34</v>
      </c>
      <c r="B2232" t="s">
        <v>212</v>
      </c>
      <c r="C2232">
        <v>36</v>
      </c>
      <c r="D2232" t="s">
        <v>98</v>
      </c>
      <c r="E2232" t="s">
        <v>230</v>
      </c>
      <c r="F2232" t="s">
        <v>736</v>
      </c>
      <c r="G2232" t="s">
        <v>99</v>
      </c>
      <c r="H2232" t="s">
        <v>714</v>
      </c>
      <c r="I2232" t="s">
        <v>99</v>
      </c>
    </row>
    <row r="2233" spans="1:9" s="5" customFormat="1" x14ac:dyDescent="0.3">
      <c r="A2233" s="5" t="s">
        <v>34</v>
      </c>
      <c r="B2233" s="5" t="s">
        <v>216</v>
      </c>
      <c r="C2233" s="5">
        <v>16</v>
      </c>
      <c r="D2233" s="5" t="s">
        <v>408</v>
      </c>
      <c r="E2233" s="5" t="s">
        <v>1155</v>
      </c>
      <c r="F2233" s="5" t="s">
        <v>99</v>
      </c>
      <c r="G2233" s="5" t="s">
        <v>70</v>
      </c>
      <c r="H2233" s="5" t="s">
        <v>691</v>
      </c>
      <c r="I2233" s="5" t="s">
        <v>118</v>
      </c>
    </row>
    <row r="2234" spans="1:9" s="5" customFormat="1" x14ac:dyDescent="0.3">
      <c r="A2234" s="5" t="s">
        <v>33</v>
      </c>
      <c r="B2234" s="5" t="s">
        <v>212</v>
      </c>
      <c r="C2234" s="5">
        <v>1</v>
      </c>
      <c r="D2234" s="5" t="s">
        <v>99</v>
      </c>
      <c r="E2234" s="5" t="s">
        <v>99</v>
      </c>
      <c r="F2234" s="5" t="s">
        <v>99</v>
      </c>
      <c r="G2234" s="5" t="s">
        <v>99</v>
      </c>
      <c r="H2234" s="5" t="s">
        <v>211</v>
      </c>
      <c r="I2234" s="5" t="s">
        <v>99</v>
      </c>
    </row>
    <row r="2235" spans="1:9" x14ac:dyDescent="0.3">
      <c r="A2235" t="s">
        <v>49</v>
      </c>
      <c r="B2235" t="s">
        <v>210</v>
      </c>
      <c r="C2235">
        <v>31</v>
      </c>
      <c r="D2235" t="s">
        <v>803</v>
      </c>
      <c r="E2235" t="s">
        <v>302</v>
      </c>
      <c r="F2235" t="s">
        <v>1154</v>
      </c>
      <c r="G2235" t="s">
        <v>311</v>
      </c>
      <c r="H2235" t="s">
        <v>1044</v>
      </c>
      <c r="I2235" t="s">
        <v>434</v>
      </c>
    </row>
    <row r="2236" spans="1:9" x14ac:dyDescent="0.3">
      <c r="A2236" t="s">
        <v>49</v>
      </c>
      <c r="B2236" t="s">
        <v>212</v>
      </c>
      <c r="C2236">
        <v>83</v>
      </c>
      <c r="D2236" t="s">
        <v>363</v>
      </c>
      <c r="E2236" t="s">
        <v>1160</v>
      </c>
      <c r="F2236" t="s">
        <v>140</v>
      </c>
      <c r="G2236" t="s">
        <v>129</v>
      </c>
      <c r="H2236" t="s">
        <v>517</v>
      </c>
      <c r="I2236" t="s">
        <v>198</v>
      </c>
    </row>
    <row r="2237" spans="1:9" x14ac:dyDescent="0.3">
      <c r="A2237" t="s">
        <v>49</v>
      </c>
      <c r="B2237" t="s">
        <v>216</v>
      </c>
      <c r="C2237">
        <v>44</v>
      </c>
      <c r="D2237" t="s">
        <v>163</v>
      </c>
      <c r="E2237" t="s">
        <v>345</v>
      </c>
      <c r="F2237" t="s">
        <v>133</v>
      </c>
      <c r="G2237" t="s">
        <v>145</v>
      </c>
      <c r="H2237" t="s">
        <v>833</v>
      </c>
      <c r="I2237" t="s">
        <v>117</v>
      </c>
    </row>
    <row r="2239" spans="1:9" x14ac:dyDescent="0.3">
      <c r="A2239" t="s">
        <v>1161</v>
      </c>
    </row>
    <row r="2240" spans="1:9" x14ac:dyDescent="0.3">
      <c r="A2240" t="s">
        <v>44</v>
      </c>
      <c r="B2240" t="s">
        <v>388</v>
      </c>
      <c r="C2240" t="s">
        <v>32</v>
      </c>
      <c r="D2240" t="s">
        <v>1139</v>
      </c>
      <c r="E2240" t="s">
        <v>1140</v>
      </c>
      <c r="F2240" t="s">
        <v>1141</v>
      </c>
      <c r="G2240" t="s">
        <v>1142</v>
      </c>
      <c r="H2240" t="s">
        <v>88</v>
      </c>
      <c r="I2240" t="s">
        <v>1093</v>
      </c>
    </row>
    <row r="2241" spans="1:9" s="5" customFormat="1" x14ac:dyDescent="0.3">
      <c r="A2241" s="5" t="s">
        <v>35</v>
      </c>
      <c r="B2241" s="5" t="s">
        <v>389</v>
      </c>
      <c r="C2241" s="5">
        <v>14</v>
      </c>
      <c r="D2241" s="5" t="s">
        <v>529</v>
      </c>
      <c r="E2241" s="5" t="s">
        <v>518</v>
      </c>
      <c r="F2241" s="5" t="s">
        <v>955</v>
      </c>
      <c r="G2241" s="5" t="s">
        <v>128</v>
      </c>
      <c r="H2241" s="5" t="s">
        <v>147</v>
      </c>
      <c r="I2241" s="5" t="s">
        <v>99</v>
      </c>
    </row>
    <row r="2242" spans="1:9" s="5" customFormat="1" x14ac:dyDescent="0.3">
      <c r="A2242" s="5" t="s">
        <v>35</v>
      </c>
      <c r="B2242" s="5" t="s">
        <v>390</v>
      </c>
      <c r="C2242" s="5">
        <v>6</v>
      </c>
      <c r="D2242" s="5" t="s">
        <v>99</v>
      </c>
      <c r="E2242" s="5" t="s">
        <v>341</v>
      </c>
      <c r="F2242" s="5" t="s">
        <v>99</v>
      </c>
      <c r="G2242" s="5" t="s">
        <v>99</v>
      </c>
      <c r="H2242" s="5" t="s">
        <v>211</v>
      </c>
      <c r="I2242" s="5" t="s">
        <v>99</v>
      </c>
    </row>
    <row r="2243" spans="1:9" x14ac:dyDescent="0.3">
      <c r="A2243" t="s">
        <v>35</v>
      </c>
      <c r="B2243" t="s">
        <v>365</v>
      </c>
      <c r="C2243">
        <v>1</v>
      </c>
      <c r="D2243" t="s">
        <v>99</v>
      </c>
      <c r="E2243" t="s">
        <v>99</v>
      </c>
      <c r="F2243" t="s">
        <v>99</v>
      </c>
      <c r="G2243" t="s">
        <v>211</v>
      </c>
      <c r="H2243" t="s">
        <v>99</v>
      </c>
      <c r="I2243" t="s">
        <v>99</v>
      </c>
    </row>
    <row r="2244" spans="1:9" s="5" customFormat="1" x14ac:dyDescent="0.3">
      <c r="A2244" s="5" t="s">
        <v>37</v>
      </c>
      <c r="B2244" s="5" t="s">
        <v>389</v>
      </c>
      <c r="C2244" s="5">
        <v>5</v>
      </c>
      <c r="D2244" s="5" t="s">
        <v>99</v>
      </c>
      <c r="E2244" s="5" t="s">
        <v>1107</v>
      </c>
      <c r="F2244" s="5" t="s">
        <v>99</v>
      </c>
      <c r="G2244" s="5" t="s">
        <v>99</v>
      </c>
      <c r="H2244" s="5" t="s">
        <v>1162</v>
      </c>
      <c r="I2244" s="5" t="s">
        <v>99</v>
      </c>
    </row>
    <row r="2245" spans="1:9" s="5" customFormat="1" x14ac:dyDescent="0.3">
      <c r="A2245" s="5" t="s">
        <v>37</v>
      </c>
      <c r="B2245" s="5" t="s">
        <v>390</v>
      </c>
      <c r="C2245" s="5">
        <v>1</v>
      </c>
      <c r="D2245" s="5" t="s">
        <v>99</v>
      </c>
      <c r="E2245" s="5" t="s">
        <v>99</v>
      </c>
      <c r="F2245" s="5" t="s">
        <v>99</v>
      </c>
      <c r="G2245" s="5" t="s">
        <v>211</v>
      </c>
      <c r="H2245" s="5" t="s">
        <v>99</v>
      </c>
      <c r="I2245" s="5" t="s">
        <v>99</v>
      </c>
    </row>
    <row r="2246" spans="1:9" x14ac:dyDescent="0.3">
      <c r="A2246" t="s">
        <v>36</v>
      </c>
      <c r="B2246" t="s">
        <v>389</v>
      </c>
      <c r="C2246">
        <v>50</v>
      </c>
      <c r="D2246" t="s">
        <v>425</v>
      </c>
      <c r="E2246" t="s">
        <v>974</v>
      </c>
      <c r="F2246" t="s">
        <v>794</v>
      </c>
      <c r="G2246" t="s">
        <v>151</v>
      </c>
      <c r="H2246" t="s">
        <v>70</v>
      </c>
      <c r="I2246" t="s">
        <v>114</v>
      </c>
    </row>
    <row r="2247" spans="1:9" s="5" customFormat="1" x14ac:dyDescent="0.3">
      <c r="A2247" s="5" t="s">
        <v>36</v>
      </c>
      <c r="B2247" s="5" t="s">
        <v>390</v>
      </c>
      <c r="C2247" s="5">
        <v>12</v>
      </c>
      <c r="D2247" s="5" t="s">
        <v>119</v>
      </c>
      <c r="E2247" s="5" t="s">
        <v>1156</v>
      </c>
      <c r="F2247" s="5" t="s">
        <v>268</v>
      </c>
      <c r="G2247" s="5" t="s">
        <v>125</v>
      </c>
      <c r="H2247" s="5" t="s">
        <v>1163</v>
      </c>
      <c r="I2247" s="5" t="s">
        <v>99</v>
      </c>
    </row>
    <row r="2248" spans="1:9" x14ac:dyDescent="0.3">
      <c r="A2248" t="s">
        <v>36</v>
      </c>
      <c r="B2248" t="s">
        <v>365</v>
      </c>
      <c r="C2248">
        <v>3</v>
      </c>
      <c r="D2248" t="s">
        <v>528</v>
      </c>
      <c r="E2248" t="s">
        <v>211</v>
      </c>
      <c r="F2248" t="s">
        <v>99</v>
      </c>
      <c r="G2248" t="s">
        <v>99</v>
      </c>
      <c r="H2248" t="s">
        <v>99</v>
      </c>
      <c r="I2248" t="s">
        <v>99</v>
      </c>
    </row>
    <row r="2249" spans="1:9" x14ac:dyDescent="0.3">
      <c r="A2249" t="s">
        <v>34</v>
      </c>
      <c r="B2249" t="s">
        <v>389</v>
      </c>
      <c r="C2249">
        <v>50</v>
      </c>
      <c r="D2249" t="s">
        <v>291</v>
      </c>
      <c r="E2249" t="s">
        <v>239</v>
      </c>
      <c r="F2249" t="s">
        <v>699</v>
      </c>
      <c r="G2249" t="s">
        <v>332</v>
      </c>
      <c r="H2249" t="s">
        <v>78</v>
      </c>
      <c r="I2249" t="s">
        <v>127</v>
      </c>
    </row>
    <row r="2250" spans="1:9" s="5" customFormat="1" x14ac:dyDescent="0.3">
      <c r="A2250" s="5" t="s">
        <v>34</v>
      </c>
      <c r="B2250" s="5" t="s">
        <v>390</v>
      </c>
      <c r="C2250" s="5">
        <v>15</v>
      </c>
      <c r="D2250" s="5" t="s">
        <v>145</v>
      </c>
      <c r="E2250" s="5" t="s">
        <v>939</v>
      </c>
      <c r="F2250" s="5" t="s">
        <v>474</v>
      </c>
      <c r="G2250" s="5" t="s">
        <v>449</v>
      </c>
      <c r="H2250" s="5" t="s">
        <v>837</v>
      </c>
      <c r="I2250" s="5" t="s">
        <v>474</v>
      </c>
    </row>
    <row r="2251" spans="1:9" s="5" customFormat="1" x14ac:dyDescent="0.3">
      <c r="A2251" s="5" t="s">
        <v>33</v>
      </c>
      <c r="B2251" s="5" t="s">
        <v>389</v>
      </c>
      <c r="C2251" s="5">
        <v>1</v>
      </c>
      <c r="D2251" s="5" t="s">
        <v>99</v>
      </c>
      <c r="E2251" s="5" t="s">
        <v>99</v>
      </c>
      <c r="F2251" s="5" t="s">
        <v>99</v>
      </c>
      <c r="G2251" s="5" t="s">
        <v>99</v>
      </c>
      <c r="H2251" s="5" t="s">
        <v>211</v>
      </c>
      <c r="I2251" s="5" t="s">
        <v>99</v>
      </c>
    </row>
    <row r="2252" spans="1:9" x14ac:dyDescent="0.3">
      <c r="A2252" t="s">
        <v>49</v>
      </c>
      <c r="B2252" t="s">
        <v>389</v>
      </c>
      <c r="C2252">
        <v>120</v>
      </c>
      <c r="D2252" t="s">
        <v>244</v>
      </c>
      <c r="E2252" t="s">
        <v>343</v>
      </c>
      <c r="F2252" t="s">
        <v>1094</v>
      </c>
      <c r="G2252" t="s">
        <v>107</v>
      </c>
      <c r="H2252" t="s">
        <v>313</v>
      </c>
      <c r="I2252" t="s">
        <v>101</v>
      </c>
    </row>
    <row r="2253" spans="1:9" x14ac:dyDescent="0.3">
      <c r="A2253" t="s">
        <v>49</v>
      </c>
      <c r="B2253" t="s">
        <v>390</v>
      </c>
      <c r="C2253">
        <v>34</v>
      </c>
      <c r="D2253" t="s">
        <v>262</v>
      </c>
      <c r="E2253" t="s">
        <v>618</v>
      </c>
      <c r="F2253" t="s">
        <v>157</v>
      </c>
      <c r="G2253" t="s">
        <v>708</v>
      </c>
      <c r="H2253" t="s">
        <v>941</v>
      </c>
      <c r="I2253" t="s">
        <v>316</v>
      </c>
    </row>
    <row r="2254" spans="1:9" x14ac:dyDescent="0.3">
      <c r="A2254" t="s">
        <v>49</v>
      </c>
      <c r="B2254" t="s">
        <v>365</v>
      </c>
      <c r="C2254">
        <v>4</v>
      </c>
      <c r="D2254" t="s">
        <v>902</v>
      </c>
      <c r="E2254" t="s">
        <v>554</v>
      </c>
      <c r="F2254" t="s">
        <v>99</v>
      </c>
      <c r="G2254" t="s">
        <v>1098</v>
      </c>
      <c r="H2254" t="s">
        <v>99</v>
      </c>
      <c r="I2254" t="s">
        <v>99</v>
      </c>
    </row>
    <row r="2256" spans="1:9" x14ac:dyDescent="0.3">
      <c r="A2256" t="s">
        <v>1164</v>
      </c>
    </row>
    <row r="2257" spans="1:9" x14ac:dyDescent="0.3">
      <c r="A2257" t="s">
        <v>44</v>
      </c>
      <c r="B2257" t="s">
        <v>879</v>
      </c>
      <c r="C2257" t="s">
        <v>32</v>
      </c>
      <c r="D2257" t="s">
        <v>1139</v>
      </c>
      <c r="E2257" t="s">
        <v>1140</v>
      </c>
      <c r="F2257" t="s">
        <v>1141</v>
      </c>
      <c r="G2257" t="s">
        <v>1142</v>
      </c>
      <c r="H2257" t="s">
        <v>88</v>
      </c>
      <c r="I2257" t="s">
        <v>1093</v>
      </c>
    </row>
    <row r="2258" spans="1:9" s="5" customFormat="1" x14ac:dyDescent="0.3">
      <c r="A2258" s="5" t="s">
        <v>35</v>
      </c>
      <c r="B2258" s="5" t="s">
        <v>881</v>
      </c>
      <c r="C2258" s="5">
        <v>7</v>
      </c>
      <c r="D2258" s="5" t="s">
        <v>173</v>
      </c>
      <c r="E2258" s="5" t="s">
        <v>1165</v>
      </c>
      <c r="F2258" s="5" t="s">
        <v>173</v>
      </c>
      <c r="G2258" s="5" t="s">
        <v>99</v>
      </c>
      <c r="H2258" s="5" t="s">
        <v>930</v>
      </c>
      <c r="I2258" s="5" t="s">
        <v>99</v>
      </c>
    </row>
    <row r="2259" spans="1:9" s="5" customFormat="1" x14ac:dyDescent="0.3">
      <c r="A2259" s="5" t="s">
        <v>35</v>
      </c>
      <c r="B2259" s="5" t="s">
        <v>882</v>
      </c>
      <c r="C2259" s="5">
        <v>14</v>
      </c>
      <c r="D2259" s="5" t="s">
        <v>536</v>
      </c>
      <c r="E2259" s="5" t="s">
        <v>922</v>
      </c>
      <c r="F2259" s="5" t="s">
        <v>629</v>
      </c>
      <c r="G2259" s="5" t="s">
        <v>109</v>
      </c>
      <c r="H2259" s="5" t="s">
        <v>592</v>
      </c>
      <c r="I2259" s="5" t="s">
        <v>99</v>
      </c>
    </row>
    <row r="2260" spans="1:9" s="5" customFormat="1" x14ac:dyDescent="0.3">
      <c r="A2260" s="5" t="s">
        <v>37</v>
      </c>
      <c r="B2260" s="5" t="s">
        <v>881</v>
      </c>
      <c r="C2260" s="5">
        <v>2</v>
      </c>
      <c r="D2260" s="5" t="s">
        <v>99</v>
      </c>
      <c r="E2260" s="5" t="s">
        <v>211</v>
      </c>
      <c r="F2260" s="5" t="s">
        <v>99</v>
      </c>
      <c r="G2260" s="5" t="s">
        <v>99</v>
      </c>
      <c r="H2260" s="5" t="s">
        <v>99</v>
      </c>
      <c r="I2260" s="5" t="s">
        <v>99</v>
      </c>
    </row>
    <row r="2261" spans="1:9" s="5" customFormat="1" x14ac:dyDescent="0.3">
      <c r="A2261" s="5" t="s">
        <v>37</v>
      </c>
      <c r="B2261" s="5" t="s">
        <v>882</v>
      </c>
      <c r="C2261" s="5">
        <v>4</v>
      </c>
      <c r="D2261" s="5" t="s">
        <v>99</v>
      </c>
      <c r="E2261" s="5" t="s">
        <v>99</v>
      </c>
      <c r="F2261" s="5" t="s">
        <v>99</v>
      </c>
      <c r="G2261" s="5" t="s">
        <v>729</v>
      </c>
      <c r="H2261" s="5" t="s">
        <v>1160</v>
      </c>
      <c r="I2261" s="5" t="s">
        <v>99</v>
      </c>
    </row>
    <row r="2262" spans="1:9" s="5" customFormat="1" x14ac:dyDescent="0.3">
      <c r="A2262" s="5" t="s">
        <v>36</v>
      </c>
      <c r="B2262" s="5" t="s">
        <v>881</v>
      </c>
      <c r="C2262" s="5">
        <v>17</v>
      </c>
      <c r="D2262" s="5" t="s">
        <v>373</v>
      </c>
      <c r="E2262" s="5" t="s">
        <v>1104</v>
      </c>
      <c r="F2262" s="5" t="s">
        <v>515</v>
      </c>
      <c r="G2262" s="5" t="s">
        <v>154</v>
      </c>
      <c r="H2262" s="5" t="s">
        <v>105</v>
      </c>
      <c r="I2262" s="5" t="s">
        <v>105</v>
      </c>
    </row>
    <row r="2263" spans="1:9" x14ac:dyDescent="0.3">
      <c r="A2263" t="s">
        <v>36</v>
      </c>
      <c r="B2263" t="s">
        <v>882</v>
      </c>
      <c r="C2263">
        <v>48</v>
      </c>
      <c r="D2263" t="s">
        <v>868</v>
      </c>
      <c r="E2263" t="s">
        <v>581</v>
      </c>
      <c r="F2263" t="s">
        <v>740</v>
      </c>
      <c r="G2263" t="s">
        <v>149</v>
      </c>
      <c r="H2263" t="s">
        <v>916</v>
      </c>
      <c r="I2263" t="s">
        <v>99</v>
      </c>
    </row>
    <row r="2264" spans="1:9" s="5" customFormat="1" x14ac:dyDescent="0.3">
      <c r="A2264" s="5" t="s">
        <v>34</v>
      </c>
      <c r="B2264" s="5" t="s">
        <v>881</v>
      </c>
      <c r="C2264" s="5">
        <v>14</v>
      </c>
      <c r="D2264" s="5" t="s">
        <v>99</v>
      </c>
      <c r="E2264" s="5" t="s">
        <v>857</v>
      </c>
      <c r="F2264" s="5" t="s">
        <v>142</v>
      </c>
      <c r="G2264" s="5" t="s">
        <v>99</v>
      </c>
      <c r="H2264" s="5" t="s">
        <v>99</v>
      </c>
      <c r="I2264" s="5" t="s">
        <v>99</v>
      </c>
    </row>
    <row r="2265" spans="1:9" x14ac:dyDescent="0.3">
      <c r="A2265" t="s">
        <v>34</v>
      </c>
      <c r="B2265" t="s">
        <v>882</v>
      </c>
      <c r="C2265">
        <v>51</v>
      </c>
      <c r="D2265" t="s">
        <v>355</v>
      </c>
      <c r="E2265" t="s">
        <v>1082</v>
      </c>
      <c r="F2265" t="s">
        <v>832</v>
      </c>
      <c r="G2265" t="s">
        <v>401</v>
      </c>
      <c r="H2265" t="s">
        <v>702</v>
      </c>
      <c r="I2265" t="s">
        <v>332</v>
      </c>
    </row>
    <row r="2266" spans="1:9" s="5" customFormat="1" x14ac:dyDescent="0.3">
      <c r="A2266" s="5" t="s">
        <v>33</v>
      </c>
      <c r="B2266" s="5" t="s">
        <v>881</v>
      </c>
      <c r="C2266" s="5">
        <v>1</v>
      </c>
      <c r="D2266" s="5" t="s">
        <v>99</v>
      </c>
      <c r="E2266" s="5" t="s">
        <v>99</v>
      </c>
      <c r="F2266" s="5" t="s">
        <v>99</v>
      </c>
      <c r="G2266" s="5" t="s">
        <v>99</v>
      </c>
      <c r="H2266" s="5" t="s">
        <v>211</v>
      </c>
      <c r="I2266" s="5" t="s">
        <v>99</v>
      </c>
    </row>
    <row r="2267" spans="1:9" x14ac:dyDescent="0.3">
      <c r="A2267" t="s">
        <v>49</v>
      </c>
      <c r="B2267" t="s">
        <v>881</v>
      </c>
      <c r="C2267">
        <v>41</v>
      </c>
      <c r="D2267" t="s">
        <v>328</v>
      </c>
      <c r="E2267" t="s">
        <v>1166</v>
      </c>
      <c r="F2267" t="s">
        <v>201</v>
      </c>
      <c r="G2267" t="s">
        <v>136</v>
      </c>
      <c r="H2267" t="s">
        <v>680</v>
      </c>
      <c r="I2267" t="s">
        <v>136</v>
      </c>
    </row>
    <row r="2268" spans="1:9" x14ac:dyDescent="0.3">
      <c r="A2268" t="s">
        <v>49</v>
      </c>
      <c r="B2268" t="s">
        <v>882</v>
      </c>
      <c r="C2268">
        <v>117</v>
      </c>
      <c r="D2268" t="s">
        <v>482</v>
      </c>
      <c r="E2268" t="s">
        <v>61</v>
      </c>
      <c r="F2268" t="s">
        <v>1167</v>
      </c>
      <c r="G2268" t="s">
        <v>113</v>
      </c>
      <c r="H2268" t="s">
        <v>1057</v>
      </c>
      <c r="I2268" t="s">
        <v>111</v>
      </c>
    </row>
    <row r="2270" spans="1:9" x14ac:dyDescent="0.3">
      <c r="A2270" t="s">
        <v>1168</v>
      </c>
    </row>
    <row r="2271" spans="1:9" x14ac:dyDescent="0.3">
      <c r="A2271" t="s">
        <v>44</v>
      </c>
      <c r="B2271" t="s">
        <v>257</v>
      </c>
      <c r="C2271" t="s">
        <v>32</v>
      </c>
      <c r="D2271" t="s">
        <v>1139</v>
      </c>
      <c r="E2271" t="s">
        <v>1140</v>
      </c>
      <c r="F2271" t="s">
        <v>1141</v>
      </c>
      <c r="G2271" t="s">
        <v>1142</v>
      </c>
      <c r="H2271" t="s">
        <v>88</v>
      </c>
      <c r="I2271" t="s">
        <v>1093</v>
      </c>
    </row>
    <row r="2272" spans="1:9" s="5" customFormat="1" x14ac:dyDescent="0.3">
      <c r="A2272" s="5" t="s">
        <v>35</v>
      </c>
      <c r="B2272" s="5" t="s">
        <v>258</v>
      </c>
      <c r="C2272" s="5">
        <v>15</v>
      </c>
      <c r="D2272" s="5" t="s">
        <v>540</v>
      </c>
      <c r="E2272" s="5" t="s">
        <v>498</v>
      </c>
      <c r="F2272" s="5" t="s">
        <v>588</v>
      </c>
      <c r="G2272" s="5" t="s">
        <v>325</v>
      </c>
      <c r="H2272" s="5" t="s">
        <v>715</v>
      </c>
      <c r="I2272" s="5" t="s">
        <v>99</v>
      </c>
    </row>
    <row r="2273" spans="1:9" s="5" customFormat="1" x14ac:dyDescent="0.3">
      <c r="A2273" s="5" t="s">
        <v>35</v>
      </c>
      <c r="B2273" s="5" t="s">
        <v>260</v>
      </c>
      <c r="C2273" s="5">
        <v>6</v>
      </c>
      <c r="D2273" s="5" t="s">
        <v>99</v>
      </c>
      <c r="E2273" s="5" t="s">
        <v>1122</v>
      </c>
      <c r="F2273" s="5" t="s">
        <v>731</v>
      </c>
      <c r="G2273" s="5" t="s">
        <v>99</v>
      </c>
      <c r="H2273" s="5" t="s">
        <v>909</v>
      </c>
      <c r="I2273" s="5" t="s">
        <v>99</v>
      </c>
    </row>
    <row r="2274" spans="1:9" s="5" customFormat="1" x14ac:dyDescent="0.3">
      <c r="A2274" s="5" t="s">
        <v>37</v>
      </c>
      <c r="B2274" s="5" t="s">
        <v>258</v>
      </c>
      <c r="C2274" s="5">
        <v>6</v>
      </c>
      <c r="D2274" s="5" t="s">
        <v>99</v>
      </c>
      <c r="E2274" s="5" t="s">
        <v>933</v>
      </c>
      <c r="F2274" s="5" t="s">
        <v>99</v>
      </c>
      <c r="G2274" s="5" t="s">
        <v>540</v>
      </c>
      <c r="H2274" s="5" t="s">
        <v>1143</v>
      </c>
      <c r="I2274" s="5" t="s">
        <v>99</v>
      </c>
    </row>
    <row r="2275" spans="1:9" x14ac:dyDescent="0.3">
      <c r="A2275" t="s">
        <v>36</v>
      </c>
      <c r="B2275" t="s">
        <v>258</v>
      </c>
      <c r="C2275">
        <v>47</v>
      </c>
      <c r="D2275" t="s">
        <v>1053</v>
      </c>
      <c r="E2275" t="s">
        <v>1169</v>
      </c>
      <c r="F2275" t="s">
        <v>1059</v>
      </c>
      <c r="G2275" t="s">
        <v>139</v>
      </c>
      <c r="H2275" t="s">
        <v>137</v>
      </c>
      <c r="I2275" t="s">
        <v>253</v>
      </c>
    </row>
    <row r="2276" spans="1:9" s="5" customFormat="1" x14ac:dyDescent="0.3">
      <c r="A2276" s="5" t="s">
        <v>36</v>
      </c>
      <c r="B2276" s="5" t="s">
        <v>260</v>
      </c>
      <c r="C2276" s="5">
        <v>18</v>
      </c>
      <c r="D2276" s="5" t="s">
        <v>99</v>
      </c>
      <c r="E2276" s="5" t="s">
        <v>164</v>
      </c>
      <c r="F2276" s="5" t="s">
        <v>614</v>
      </c>
      <c r="G2276" s="5" t="s">
        <v>99</v>
      </c>
      <c r="H2276" s="5" t="s">
        <v>163</v>
      </c>
      <c r="I2276" s="5" t="s">
        <v>99</v>
      </c>
    </row>
    <row r="2277" spans="1:9" s="5" customFormat="1" x14ac:dyDescent="0.3">
      <c r="A2277" s="5" t="s">
        <v>34</v>
      </c>
      <c r="B2277" s="5" t="s">
        <v>258</v>
      </c>
      <c r="C2277" s="5">
        <v>12</v>
      </c>
      <c r="D2277" s="5" t="s">
        <v>651</v>
      </c>
      <c r="E2277" s="5" t="s">
        <v>99</v>
      </c>
      <c r="F2277" s="5" t="s">
        <v>1062</v>
      </c>
      <c r="G2277" s="5" t="s">
        <v>99</v>
      </c>
      <c r="H2277" s="5" t="s">
        <v>233</v>
      </c>
      <c r="I2277" s="5" t="s">
        <v>99</v>
      </c>
    </row>
    <row r="2278" spans="1:9" x14ac:dyDescent="0.3">
      <c r="A2278" t="s">
        <v>34</v>
      </c>
      <c r="B2278" t="s">
        <v>260</v>
      </c>
      <c r="C2278">
        <v>53</v>
      </c>
      <c r="D2278" t="s">
        <v>401</v>
      </c>
      <c r="E2278" t="s">
        <v>1170</v>
      </c>
      <c r="F2278" t="s">
        <v>281</v>
      </c>
      <c r="G2278" t="s">
        <v>143</v>
      </c>
      <c r="H2278" t="s">
        <v>705</v>
      </c>
      <c r="I2278" t="s">
        <v>316</v>
      </c>
    </row>
    <row r="2279" spans="1:9" s="5" customFormat="1" x14ac:dyDescent="0.3">
      <c r="A2279" s="5" t="s">
        <v>33</v>
      </c>
      <c r="B2279" s="5" t="s">
        <v>258</v>
      </c>
      <c r="C2279" s="5">
        <v>1</v>
      </c>
      <c r="D2279" s="5" t="s">
        <v>99</v>
      </c>
      <c r="E2279" s="5" t="s">
        <v>99</v>
      </c>
      <c r="F2279" s="5" t="s">
        <v>99</v>
      </c>
      <c r="G2279" s="5" t="s">
        <v>99</v>
      </c>
      <c r="H2279" s="5" t="s">
        <v>211</v>
      </c>
      <c r="I2279" s="5" t="s">
        <v>99</v>
      </c>
    </row>
    <row r="2280" spans="1:9" x14ac:dyDescent="0.3">
      <c r="A2280" t="s">
        <v>49</v>
      </c>
      <c r="B2280" t="s">
        <v>258</v>
      </c>
      <c r="C2280">
        <v>81</v>
      </c>
      <c r="D2280" t="s">
        <v>517</v>
      </c>
      <c r="E2280" t="s">
        <v>632</v>
      </c>
      <c r="F2280" t="s">
        <v>106</v>
      </c>
      <c r="G2280" t="s">
        <v>664</v>
      </c>
      <c r="H2280" t="s">
        <v>485</v>
      </c>
      <c r="I2280" t="s">
        <v>207</v>
      </c>
    </row>
    <row r="2281" spans="1:9" x14ac:dyDescent="0.3">
      <c r="A2281" t="s">
        <v>49</v>
      </c>
      <c r="B2281" t="s">
        <v>260</v>
      </c>
      <c r="C2281">
        <v>77</v>
      </c>
      <c r="D2281" t="s">
        <v>122</v>
      </c>
      <c r="E2281" t="s">
        <v>1171</v>
      </c>
      <c r="F2281" t="s">
        <v>690</v>
      </c>
      <c r="G2281" t="s">
        <v>124</v>
      </c>
      <c r="H2281" t="s">
        <v>425</v>
      </c>
      <c r="I2281" t="s">
        <v>117</v>
      </c>
    </row>
    <row r="2283" spans="1:9" x14ac:dyDescent="0.3">
      <c r="A2283" t="s">
        <v>1172</v>
      </c>
    </row>
    <row r="2284" spans="1:9" x14ac:dyDescent="0.3">
      <c r="A2284" t="s">
        <v>44</v>
      </c>
      <c r="B2284" t="s">
        <v>32</v>
      </c>
      <c r="C2284" t="s">
        <v>66</v>
      </c>
      <c r="D2284" t="s">
        <v>67</v>
      </c>
      <c r="E2284" t="s">
        <v>193</v>
      </c>
    </row>
    <row r="2285" spans="1:9" x14ac:dyDescent="0.3">
      <c r="A2285" t="s">
        <v>35</v>
      </c>
      <c r="B2285">
        <v>303</v>
      </c>
      <c r="C2285" t="s">
        <v>1173</v>
      </c>
      <c r="D2285" t="s">
        <v>918</v>
      </c>
      <c r="E2285" t="s">
        <v>99</v>
      </c>
    </row>
    <row r="2286" spans="1:9" x14ac:dyDescent="0.3">
      <c r="A2286" t="s">
        <v>37</v>
      </c>
      <c r="B2286">
        <v>432</v>
      </c>
      <c r="C2286" t="s">
        <v>1123</v>
      </c>
      <c r="D2286" t="s">
        <v>1116</v>
      </c>
      <c r="E2286" t="s">
        <v>99</v>
      </c>
    </row>
    <row r="2287" spans="1:9" x14ac:dyDescent="0.3">
      <c r="A2287" t="s">
        <v>36</v>
      </c>
      <c r="B2287">
        <v>286</v>
      </c>
      <c r="C2287" t="s">
        <v>1174</v>
      </c>
      <c r="D2287" t="s">
        <v>451</v>
      </c>
      <c r="E2287" t="s">
        <v>104</v>
      </c>
    </row>
    <row r="2288" spans="1:9" x14ac:dyDescent="0.3">
      <c r="A2288" t="s">
        <v>34</v>
      </c>
      <c r="B2288">
        <v>173</v>
      </c>
      <c r="C2288" t="s">
        <v>1080</v>
      </c>
      <c r="D2288" t="s">
        <v>732</v>
      </c>
      <c r="E2288" t="s">
        <v>99</v>
      </c>
    </row>
    <row r="2289" spans="1:6" x14ac:dyDescent="0.3">
      <c r="A2289" t="s">
        <v>33</v>
      </c>
      <c r="B2289">
        <v>186</v>
      </c>
      <c r="C2289" t="s">
        <v>603</v>
      </c>
      <c r="D2289" t="s">
        <v>943</v>
      </c>
      <c r="E2289" t="s">
        <v>99</v>
      </c>
    </row>
    <row r="2290" spans="1:6" x14ac:dyDescent="0.3">
      <c r="A2290" t="s">
        <v>49</v>
      </c>
      <c r="B2290">
        <v>1380</v>
      </c>
      <c r="C2290" t="s">
        <v>559</v>
      </c>
      <c r="D2290" t="s">
        <v>566</v>
      </c>
      <c r="E2290" t="s">
        <v>99</v>
      </c>
    </row>
    <row r="2292" spans="1:6" x14ac:dyDescent="0.3">
      <c r="A2292" t="s">
        <v>1175</v>
      </c>
    </row>
    <row r="2293" spans="1:6" x14ac:dyDescent="0.3">
      <c r="A2293" t="s">
        <v>44</v>
      </c>
      <c r="B2293" t="s">
        <v>847</v>
      </c>
      <c r="C2293" t="s">
        <v>32</v>
      </c>
      <c r="D2293" t="s">
        <v>66</v>
      </c>
      <c r="E2293" t="s">
        <v>67</v>
      </c>
      <c r="F2293" t="s">
        <v>193</v>
      </c>
    </row>
    <row r="2294" spans="1:6" s="5" customFormat="1" x14ac:dyDescent="0.3">
      <c r="A2294" s="5" t="s">
        <v>35</v>
      </c>
      <c r="B2294" s="5" t="s">
        <v>849</v>
      </c>
      <c r="C2294" s="5">
        <v>1</v>
      </c>
      <c r="D2294" s="5" t="s">
        <v>99</v>
      </c>
      <c r="E2294" s="5" t="s">
        <v>211</v>
      </c>
      <c r="F2294" s="5" t="s">
        <v>99</v>
      </c>
    </row>
    <row r="2295" spans="1:6" x14ac:dyDescent="0.3">
      <c r="A2295" t="s">
        <v>35</v>
      </c>
      <c r="B2295" t="s">
        <v>365</v>
      </c>
      <c r="C2295">
        <v>302</v>
      </c>
      <c r="D2295" t="s">
        <v>576</v>
      </c>
      <c r="E2295" t="s">
        <v>577</v>
      </c>
      <c r="F2295" t="s">
        <v>99</v>
      </c>
    </row>
    <row r="2296" spans="1:6" x14ac:dyDescent="0.3">
      <c r="A2296" t="s">
        <v>37</v>
      </c>
      <c r="B2296" t="s">
        <v>365</v>
      </c>
      <c r="C2296">
        <v>432</v>
      </c>
      <c r="D2296" t="s">
        <v>1123</v>
      </c>
      <c r="E2296" t="s">
        <v>1116</v>
      </c>
      <c r="F2296" t="s">
        <v>99</v>
      </c>
    </row>
    <row r="2297" spans="1:6" x14ac:dyDescent="0.3">
      <c r="A2297" t="s">
        <v>36</v>
      </c>
      <c r="B2297" t="s">
        <v>365</v>
      </c>
      <c r="C2297">
        <v>286</v>
      </c>
      <c r="D2297" t="s">
        <v>1174</v>
      </c>
      <c r="E2297" t="s">
        <v>451</v>
      </c>
      <c r="F2297" t="s">
        <v>104</v>
      </c>
    </row>
    <row r="2298" spans="1:6" x14ac:dyDescent="0.3">
      <c r="A2298" t="s">
        <v>34</v>
      </c>
      <c r="B2298" t="s">
        <v>365</v>
      </c>
      <c r="C2298">
        <v>173</v>
      </c>
      <c r="D2298" t="s">
        <v>1080</v>
      </c>
      <c r="E2298" t="s">
        <v>732</v>
      </c>
      <c r="F2298" t="s">
        <v>99</v>
      </c>
    </row>
    <row r="2299" spans="1:6" s="5" customFormat="1" x14ac:dyDescent="0.3">
      <c r="A2299" s="5" t="s">
        <v>33</v>
      </c>
      <c r="B2299" s="5" t="s">
        <v>867</v>
      </c>
      <c r="C2299" s="5">
        <v>1</v>
      </c>
      <c r="D2299" s="5" t="s">
        <v>211</v>
      </c>
      <c r="E2299" s="5" t="s">
        <v>99</v>
      </c>
      <c r="F2299" s="5" t="s">
        <v>99</v>
      </c>
    </row>
    <row r="2300" spans="1:6" x14ac:dyDescent="0.3">
      <c r="A2300" t="s">
        <v>33</v>
      </c>
      <c r="B2300" t="s">
        <v>365</v>
      </c>
      <c r="C2300">
        <v>185</v>
      </c>
      <c r="D2300" t="s">
        <v>572</v>
      </c>
      <c r="E2300" t="s">
        <v>571</v>
      </c>
      <c r="F2300" t="s">
        <v>99</v>
      </c>
    </row>
    <row r="2301" spans="1:6" s="5" customFormat="1" x14ac:dyDescent="0.3">
      <c r="A2301" s="5" t="s">
        <v>49</v>
      </c>
      <c r="B2301" s="5" t="s">
        <v>849</v>
      </c>
      <c r="C2301" s="5">
        <v>1</v>
      </c>
      <c r="D2301" s="5" t="s">
        <v>99</v>
      </c>
      <c r="E2301" s="5" t="s">
        <v>211</v>
      </c>
      <c r="F2301" s="5" t="s">
        <v>99</v>
      </c>
    </row>
    <row r="2302" spans="1:6" s="5" customFormat="1" x14ac:dyDescent="0.3">
      <c r="A2302" s="5" t="s">
        <v>49</v>
      </c>
      <c r="B2302" s="5" t="s">
        <v>867</v>
      </c>
      <c r="C2302" s="5">
        <v>1</v>
      </c>
      <c r="D2302" s="5" t="s">
        <v>211</v>
      </c>
      <c r="E2302" s="5" t="s">
        <v>99</v>
      </c>
      <c r="F2302" s="5" t="s">
        <v>99</v>
      </c>
    </row>
    <row r="2303" spans="1:6" x14ac:dyDescent="0.3">
      <c r="A2303" t="s">
        <v>49</v>
      </c>
      <c r="B2303" t="s">
        <v>365</v>
      </c>
      <c r="C2303">
        <v>1378</v>
      </c>
      <c r="D2303" t="s">
        <v>1176</v>
      </c>
      <c r="E2303" t="s">
        <v>642</v>
      </c>
      <c r="F2303" t="s">
        <v>99</v>
      </c>
    </row>
    <row r="2305" spans="1:6" x14ac:dyDescent="0.3">
      <c r="A2305" t="s">
        <v>1177</v>
      </c>
    </row>
    <row r="2306" spans="1:6" x14ac:dyDescent="0.3">
      <c r="A2306" t="s">
        <v>44</v>
      </c>
      <c r="B2306" t="s">
        <v>235</v>
      </c>
      <c r="C2306" t="s">
        <v>32</v>
      </c>
      <c r="D2306" t="s">
        <v>66</v>
      </c>
      <c r="E2306" t="s">
        <v>67</v>
      </c>
      <c r="F2306" t="s">
        <v>193</v>
      </c>
    </row>
    <row r="2307" spans="1:6" x14ac:dyDescent="0.3">
      <c r="A2307" t="s">
        <v>35</v>
      </c>
      <c r="B2307" t="s">
        <v>236</v>
      </c>
      <c r="C2307">
        <v>136</v>
      </c>
      <c r="D2307" t="s">
        <v>507</v>
      </c>
      <c r="E2307" t="s">
        <v>506</v>
      </c>
      <c r="F2307" t="s">
        <v>99</v>
      </c>
    </row>
    <row r="2308" spans="1:6" x14ac:dyDescent="0.3">
      <c r="A2308" t="s">
        <v>35</v>
      </c>
      <c r="B2308" t="s">
        <v>238</v>
      </c>
      <c r="C2308">
        <v>167</v>
      </c>
      <c r="D2308" t="s">
        <v>1178</v>
      </c>
      <c r="E2308" t="s">
        <v>895</v>
      </c>
      <c r="F2308" t="s">
        <v>99</v>
      </c>
    </row>
    <row r="2309" spans="1:6" x14ac:dyDescent="0.3">
      <c r="A2309" t="s">
        <v>37</v>
      </c>
      <c r="B2309" t="s">
        <v>236</v>
      </c>
      <c r="C2309">
        <v>243</v>
      </c>
      <c r="D2309" t="s">
        <v>1163</v>
      </c>
      <c r="E2309" t="s">
        <v>1179</v>
      </c>
      <c r="F2309" t="s">
        <v>99</v>
      </c>
    </row>
    <row r="2310" spans="1:6" x14ac:dyDescent="0.3">
      <c r="A2310" t="s">
        <v>37</v>
      </c>
      <c r="B2310" t="s">
        <v>238</v>
      </c>
      <c r="C2310">
        <v>189</v>
      </c>
      <c r="D2310" t="s">
        <v>698</v>
      </c>
      <c r="E2310" t="s">
        <v>983</v>
      </c>
      <c r="F2310" t="s">
        <v>99</v>
      </c>
    </row>
    <row r="2311" spans="1:6" x14ac:dyDescent="0.3">
      <c r="A2311" t="s">
        <v>36</v>
      </c>
      <c r="B2311" t="s">
        <v>236</v>
      </c>
      <c r="C2311">
        <v>193</v>
      </c>
      <c r="D2311" t="s">
        <v>1054</v>
      </c>
      <c r="E2311" t="s">
        <v>715</v>
      </c>
      <c r="F2311" t="s">
        <v>198</v>
      </c>
    </row>
    <row r="2312" spans="1:6" x14ac:dyDescent="0.3">
      <c r="A2312" t="s">
        <v>36</v>
      </c>
      <c r="B2312" t="s">
        <v>238</v>
      </c>
      <c r="C2312">
        <v>93</v>
      </c>
      <c r="D2312" t="s">
        <v>1174</v>
      </c>
      <c r="E2312" t="s">
        <v>451</v>
      </c>
      <c r="F2312" t="s">
        <v>99</v>
      </c>
    </row>
    <row r="2313" spans="1:6" x14ac:dyDescent="0.3">
      <c r="A2313" t="s">
        <v>34</v>
      </c>
      <c r="B2313" t="s">
        <v>236</v>
      </c>
      <c r="C2313">
        <v>44</v>
      </c>
      <c r="D2313" t="s">
        <v>1180</v>
      </c>
      <c r="E2313" t="s">
        <v>919</v>
      </c>
      <c r="F2313" t="s">
        <v>99</v>
      </c>
    </row>
    <row r="2314" spans="1:6" x14ac:dyDescent="0.3">
      <c r="A2314" t="s">
        <v>34</v>
      </c>
      <c r="B2314" t="s">
        <v>238</v>
      </c>
      <c r="C2314">
        <v>129</v>
      </c>
      <c r="D2314" t="s">
        <v>530</v>
      </c>
      <c r="E2314" t="s">
        <v>529</v>
      </c>
      <c r="F2314" t="s">
        <v>99</v>
      </c>
    </row>
    <row r="2315" spans="1:6" x14ac:dyDescent="0.3">
      <c r="A2315" t="s">
        <v>33</v>
      </c>
      <c r="B2315" t="s">
        <v>236</v>
      </c>
      <c r="C2315">
        <v>108</v>
      </c>
      <c r="D2315" t="s">
        <v>630</v>
      </c>
      <c r="E2315" t="s">
        <v>629</v>
      </c>
      <c r="F2315" t="s">
        <v>99</v>
      </c>
    </row>
    <row r="2316" spans="1:6" x14ac:dyDescent="0.3">
      <c r="A2316" t="s">
        <v>33</v>
      </c>
      <c r="B2316" t="s">
        <v>238</v>
      </c>
      <c r="C2316">
        <v>78</v>
      </c>
      <c r="D2316" t="s">
        <v>937</v>
      </c>
      <c r="E2316" t="s">
        <v>1097</v>
      </c>
      <c r="F2316" t="s">
        <v>99</v>
      </c>
    </row>
    <row r="2317" spans="1:6" x14ac:dyDescent="0.3">
      <c r="A2317" t="s">
        <v>49</v>
      </c>
      <c r="B2317" t="s">
        <v>236</v>
      </c>
      <c r="C2317">
        <v>724</v>
      </c>
      <c r="D2317" t="s">
        <v>951</v>
      </c>
      <c r="E2317" t="s">
        <v>817</v>
      </c>
      <c r="F2317" t="s">
        <v>99</v>
      </c>
    </row>
    <row r="2318" spans="1:6" x14ac:dyDescent="0.3">
      <c r="A2318" t="s">
        <v>49</v>
      </c>
      <c r="B2318" t="s">
        <v>238</v>
      </c>
      <c r="C2318">
        <v>656</v>
      </c>
      <c r="D2318" t="s">
        <v>564</v>
      </c>
      <c r="E2318" t="s">
        <v>565</v>
      </c>
      <c r="F2318" t="s">
        <v>99</v>
      </c>
    </row>
    <row r="2320" spans="1:6" x14ac:dyDescent="0.3">
      <c r="A2320" t="s">
        <v>1181</v>
      </c>
    </row>
    <row r="2321" spans="1:6" x14ac:dyDescent="0.3">
      <c r="A2321" t="s">
        <v>44</v>
      </c>
      <c r="B2321" t="s">
        <v>209</v>
      </c>
      <c r="C2321" t="s">
        <v>32</v>
      </c>
      <c r="D2321" t="s">
        <v>66</v>
      </c>
      <c r="E2321" t="s">
        <v>67</v>
      </c>
      <c r="F2321" t="s">
        <v>193</v>
      </c>
    </row>
    <row r="2322" spans="1:6" s="5" customFormat="1" x14ac:dyDescent="0.3">
      <c r="A2322" s="5" t="s">
        <v>35</v>
      </c>
      <c r="B2322" s="5" t="s">
        <v>210</v>
      </c>
      <c r="C2322" s="5">
        <v>28</v>
      </c>
      <c r="D2322" s="5" t="s">
        <v>886</v>
      </c>
      <c r="E2322" s="5" t="s">
        <v>887</v>
      </c>
      <c r="F2322" s="5" t="s">
        <v>99</v>
      </c>
    </row>
    <row r="2323" spans="1:6" x14ac:dyDescent="0.3">
      <c r="A2323" t="s">
        <v>35</v>
      </c>
      <c r="B2323" t="s">
        <v>212</v>
      </c>
      <c r="C2323">
        <v>177</v>
      </c>
      <c r="D2323" t="s">
        <v>1182</v>
      </c>
      <c r="E2323" t="s">
        <v>1183</v>
      </c>
      <c r="F2323" t="s">
        <v>99</v>
      </c>
    </row>
    <row r="2324" spans="1:6" x14ac:dyDescent="0.3">
      <c r="A2324" t="s">
        <v>35</v>
      </c>
      <c r="B2324" t="s">
        <v>216</v>
      </c>
      <c r="C2324">
        <v>98</v>
      </c>
      <c r="D2324" t="s">
        <v>1055</v>
      </c>
      <c r="E2324" t="s">
        <v>1184</v>
      </c>
      <c r="F2324" t="s">
        <v>99</v>
      </c>
    </row>
    <row r="2325" spans="1:6" s="5" customFormat="1" x14ac:dyDescent="0.3">
      <c r="A2325" s="5" t="s">
        <v>37</v>
      </c>
      <c r="B2325" s="5" t="s">
        <v>210</v>
      </c>
      <c r="C2325" s="5">
        <v>25</v>
      </c>
      <c r="D2325" s="5" t="s">
        <v>926</v>
      </c>
      <c r="E2325" s="5" t="s">
        <v>1185</v>
      </c>
      <c r="F2325" s="5" t="s">
        <v>99</v>
      </c>
    </row>
    <row r="2326" spans="1:6" x14ac:dyDescent="0.3">
      <c r="A2326" t="s">
        <v>37</v>
      </c>
      <c r="B2326" t="s">
        <v>212</v>
      </c>
      <c r="C2326">
        <v>380</v>
      </c>
      <c r="D2326" t="s">
        <v>1143</v>
      </c>
      <c r="E2326" t="s">
        <v>1051</v>
      </c>
      <c r="F2326" t="s">
        <v>99</v>
      </c>
    </row>
    <row r="2327" spans="1:6" s="5" customFormat="1" x14ac:dyDescent="0.3">
      <c r="A2327" s="5" t="s">
        <v>37</v>
      </c>
      <c r="B2327" s="5" t="s">
        <v>216</v>
      </c>
      <c r="C2327" s="5">
        <v>27</v>
      </c>
      <c r="D2327" s="5" t="s">
        <v>423</v>
      </c>
      <c r="E2327" s="5" t="s">
        <v>1186</v>
      </c>
      <c r="F2327" s="5" t="s">
        <v>99</v>
      </c>
    </row>
    <row r="2328" spans="1:6" x14ac:dyDescent="0.3">
      <c r="A2328" t="s">
        <v>36</v>
      </c>
      <c r="B2328" t="s">
        <v>210</v>
      </c>
      <c r="C2328">
        <v>41</v>
      </c>
      <c r="D2328" t="s">
        <v>221</v>
      </c>
      <c r="E2328" t="s">
        <v>222</v>
      </c>
      <c r="F2328" t="s">
        <v>99</v>
      </c>
    </row>
    <row r="2329" spans="1:6" x14ac:dyDescent="0.3">
      <c r="A2329" t="s">
        <v>36</v>
      </c>
      <c r="B2329" t="s">
        <v>212</v>
      </c>
      <c r="C2329">
        <v>195</v>
      </c>
      <c r="D2329" t="s">
        <v>1056</v>
      </c>
      <c r="E2329" t="s">
        <v>682</v>
      </c>
      <c r="F2329" t="s">
        <v>104</v>
      </c>
    </row>
    <row r="2330" spans="1:6" x14ac:dyDescent="0.3">
      <c r="A2330" t="s">
        <v>36</v>
      </c>
      <c r="B2330" t="s">
        <v>216</v>
      </c>
      <c r="C2330">
        <v>50</v>
      </c>
      <c r="D2330" t="s">
        <v>480</v>
      </c>
      <c r="E2330" t="s">
        <v>481</v>
      </c>
      <c r="F2330" t="s">
        <v>99</v>
      </c>
    </row>
    <row r="2331" spans="1:6" x14ac:dyDescent="0.3">
      <c r="A2331" t="s">
        <v>34</v>
      </c>
      <c r="B2331" t="s">
        <v>210</v>
      </c>
      <c r="C2331">
        <v>38</v>
      </c>
      <c r="D2331" t="s">
        <v>430</v>
      </c>
      <c r="E2331" t="s">
        <v>321</v>
      </c>
      <c r="F2331" t="s">
        <v>99</v>
      </c>
    </row>
    <row r="2332" spans="1:6" x14ac:dyDescent="0.3">
      <c r="A2332" t="s">
        <v>34</v>
      </c>
      <c r="B2332" t="s">
        <v>212</v>
      </c>
      <c r="C2332">
        <v>108</v>
      </c>
      <c r="D2332" t="s">
        <v>445</v>
      </c>
      <c r="E2332" t="s">
        <v>667</v>
      </c>
      <c r="F2332" t="s">
        <v>99</v>
      </c>
    </row>
    <row r="2333" spans="1:6" s="5" customFormat="1" x14ac:dyDescent="0.3">
      <c r="A2333" s="5" t="s">
        <v>34</v>
      </c>
      <c r="B2333" s="5" t="s">
        <v>216</v>
      </c>
      <c r="C2333" s="5">
        <v>27</v>
      </c>
      <c r="D2333" s="5" t="s">
        <v>1155</v>
      </c>
      <c r="E2333" s="5" t="s">
        <v>719</v>
      </c>
      <c r="F2333" s="5" t="s">
        <v>99</v>
      </c>
    </row>
    <row r="2334" spans="1:6" s="5" customFormat="1" x14ac:dyDescent="0.3">
      <c r="A2334" s="5" t="s">
        <v>33</v>
      </c>
      <c r="B2334" s="5" t="s">
        <v>210</v>
      </c>
      <c r="C2334" s="5">
        <v>14</v>
      </c>
      <c r="D2334" s="5" t="s">
        <v>637</v>
      </c>
      <c r="E2334" s="5" t="s">
        <v>636</v>
      </c>
      <c r="F2334" s="5" t="s">
        <v>99</v>
      </c>
    </row>
    <row r="2335" spans="1:6" x14ac:dyDescent="0.3">
      <c r="A2335" t="s">
        <v>33</v>
      </c>
      <c r="B2335" t="s">
        <v>212</v>
      </c>
      <c r="C2335">
        <v>158</v>
      </c>
      <c r="D2335" t="s">
        <v>942</v>
      </c>
      <c r="E2335" t="s">
        <v>602</v>
      </c>
      <c r="F2335" t="s">
        <v>99</v>
      </c>
    </row>
    <row r="2336" spans="1:6" s="5" customFormat="1" x14ac:dyDescent="0.3">
      <c r="A2336" s="5" t="s">
        <v>33</v>
      </c>
      <c r="B2336" s="5" t="s">
        <v>216</v>
      </c>
      <c r="C2336" s="5">
        <v>14</v>
      </c>
      <c r="D2336" s="5" t="s">
        <v>582</v>
      </c>
      <c r="E2336" s="5" t="s">
        <v>559</v>
      </c>
      <c r="F2336" s="5" t="s">
        <v>99</v>
      </c>
    </row>
    <row r="2337" spans="1:6" x14ac:dyDescent="0.3">
      <c r="A2337" t="s">
        <v>49</v>
      </c>
      <c r="B2337" t="s">
        <v>210</v>
      </c>
      <c r="C2337">
        <v>146</v>
      </c>
      <c r="D2337" t="s">
        <v>1187</v>
      </c>
      <c r="E2337" t="s">
        <v>681</v>
      </c>
      <c r="F2337" t="s">
        <v>99</v>
      </c>
    </row>
    <row r="2338" spans="1:6" x14ac:dyDescent="0.3">
      <c r="A2338" t="s">
        <v>49</v>
      </c>
      <c r="B2338" t="s">
        <v>212</v>
      </c>
      <c r="C2338">
        <v>1018</v>
      </c>
      <c r="D2338" t="s">
        <v>583</v>
      </c>
      <c r="E2338" t="s">
        <v>652</v>
      </c>
      <c r="F2338" t="s">
        <v>99</v>
      </c>
    </row>
    <row r="2339" spans="1:6" x14ac:dyDescent="0.3">
      <c r="A2339" t="s">
        <v>49</v>
      </c>
      <c r="B2339" t="s">
        <v>216</v>
      </c>
      <c r="C2339">
        <v>216</v>
      </c>
      <c r="D2339" t="s">
        <v>1188</v>
      </c>
      <c r="E2339" t="s">
        <v>1108</v>
      </c>
      <c r="F2339" t="s">
        <v>99</v>
      </c>
    </row>
    <row r="2341" spans="1:6" x14ac:dyDescent="0.3">
      <c r="A2341" t="s">
        <v>1189</v>
      </c>
    </row>
    <row r="2342" spans="1:6" x14ac:dyDescent="0.3">
      <c r="A2342" t="s">
        <v>44</v>
      </c>
      <c r="B2342" t="s">
        <v>388</v>
      </c>
      <c r="C2342" t="s">
        <v>32</v>
      </c>
      <c r="D2342" t="s">
        <v>66</v>
      </c>
      <c r="E2342" t="s">
        <v>67</v>
      </c>
      <c r="F2342" t="s">
        <v>193</v>
      </c>
    </row>
    <row r="2343" spans="1:6" x14ac:dyDescent="0.3">
      <c r="A2343" t="s">
        <v>35</v>
      </c>
      <c r="B2343" t="s">
        <v>389</v>
      </c>
      <c r="C2343">
        <v>228</v>
      </c>
      <c r="D2343" t="s">
        <v>1002</v>
      </c>
      <c r="E2343" t="s">
        <v>957</v>
      </c>
      <c r="F2343" t="s">
        <v>99</v>
      </c>
    </row>
    <row r="2344" spans="1:6" x14ac:dyDescent="0.3">
      <c r="A2344" t="s">
        <v>35</v>
      </c>
      <c r="B2344" t="s">
        <v>390</v>
      </c>
      <c r="C2344">
        <v>51</v>
      </c>
      <c r="D2344" t="s">
        <v>801</v>
      </c>
      <c r="E2344" t="s">
        <v>1127</v>
      </c>
      <c r="F2344" t="s">
        <v>99</v>
      </c>
    </row>
    <row r="2345" spans="1:6" x14ac:dyDescent="0.3">
      <c r="A2345" t="s">
        <v>35</v>
      </c>
      <c r="B2345" t="s">
        <v>365</v>
      </c>
      <c r="C2345">
        <v>24</v>
      </c>
      <c r="D2345" t="s">
        <v>941</v>
      </c>
      <c r="E2345" t="s">
        <v>987</v>
      </c>
      <c r="F2345" t="s">
        <v>99</v>
      </c>
    </row>
    <row r="2346" spans="1:6" x14ac:dyDescent="0.3">
      <c r="A2346" t="s">
        <v>37</v>
      </c>
      <c r="B2346" t="s">
        <v>389</v>
      </c>
      <c r="C2346">
        <v>276</v>
      </c>
      <c r="D2346" t="s">
        <v>808</v>
      </c>
      <c r="E2346" t="s">
        <v>1190</v>
      </c>
      <c r="F2346" t="s">
        <v>99</v>
      </c>
    </row>
    <row r="2347" spans="1:6" x14ac:dyDescent="0.3">
      <c r="A2347" t="s">
        <v>37</v>
      </c>
      <c r="B2347" t="s">
        <v>390</v>
      </c>
      <c r="C2347">
        <v>107</v>
      </c>
      <c r="D2347" t="s">
        <v>958</v>
      </c>
      <c r="E2347" t="s">
        <v>624</v>
      </c>
      <c r="F2347" t="s">
        <v>99</v>
      </c>
    </row>
    <row r="2348" spans="1:6" x14ac:dyDescent="0.3">
      <c r="A2348" t="s">
        <v>37</v>
      </c>
      <c r="B2348" t="s">
        <v>365</v>
      </c>
      <c r="C2348">
        <v>49</v>
      </c>
      <c r="D2348" t="s">
        <v>599</v>
      </c>
      <c r="E2348" t="s">
        <v>598</v>
      </c>
      <c r="F2348" t="s">
        <v>99</v>
      </c>
    </row>
    <row r="2349" spans="1:6" x14ac:dyDescent="0.3">
      <c r="A2349" t="s">
        <v>36</v>
      </c>
      <c r="B2349" t="s">
        <v>389</v>
      </c>
      <c r="C2349">
        <v>216</v>
      </c>
      <c r="D2349" t="s">
        <v>480</v>
      </c>
      <c r="E2349" t="s">
        <v>224</v>
      </c>
      <c r="F2349" t="s">
        <v>104</v>
      </c>
    </row>
    <row r="2350" spans="1:6" x14ac:dyDescent="0.3">
      <c r="A2350" t="s">
        <v>36</v>
      </c>
      <c r="B2350" t="s">
        <v>390</v>
      </c>
      <c r="C2350">
        <v>55</v>
      </c>
      <c r="D2350" t="s">
        <v>612</v>
      </c>
      <c r="E2350" t="s">
        <v>372</v>
      </c>
      <c r="F2350" t="s">
        <v>99</v>
      </c>
    </row>
    <row r="2351" spans="1:6" x14ac:dyDescent="0.3">
      <c r="A2351" t="s">
        <v>36</v>
      </c>
      <c r="B2351" t="s">
        <v>365</v>
      </c>
      <c r="C2351">
        <v>15</v>
      </c>
      <c r="D2351" t="s">
        <v>162</v>
      </c>
      <c r="E2351" t="s">
        <v>143</v>
      </c>
      <c r="F2351" t="s">
        <v>99</v>
      </c>
    </row>
    <row r="2352" spans="1:6" x14ac:dyDescent="0.3">
      <c r="A2352" t="s">
        <v>34</v>
      </c>
      <c r="B2352" t="s">
        <v>389</v>
      </c>
      <c r="C2352">
        <v>129</v>
      </c>
      <c r="D2352" t="s">
        <v>915</v>
      </c>
      <c r="E2352" t="s">
        <v>916</v>
      </c>
      <c r="F2352" t="s">
        <v>99</v>
      </c>
    </row>
    <row r="2353" spans="1:6" x14ac:dyDescent="0.3">
      <c r="A2353" t="s">
        <v>34</v>
      </c>
      <c r="B2353" t="s">
        <v>390</v>
      </c>
      <c r="C2353">
        <v>36</v>
      </c>
      <c r="D2353" t="s">
        <v>396</v>
      </c>
      <c r="E2353" t="s">
        <v>395</v>
      </c>
      <c r="F2353" t="s">
        <v>99</v>
      </c>
    </row>
    <row r="2354" spans="1:6" x14ac:dyDescent="0.3">
      <c r="A2354" t="s">
        <v>34</v>
      </c>
      <c r="B2354" t="s">
        <v>365</v>
      </c>
      <c r="C2354">
        <v>8</v>
      </c>
      <c r="D2354" t="s">
        <v>261</v>
      </c>
      <c r="E2354" t="s">
        <v>683</v>
      </c>
      <c r="F2354" t="s">
        <v>99</v>
      </c>
    </row>
    <row r="2355" spans="1:6" x14ac:dyDescent="0.3">
      <c r="A2355" t="s">
        <v>33</v>
      </c>
      <c r="B2355" t="s">
        <v>389</v>
      </c>
      <c r="C2355">
        <v>121</v>
      </c>
      <c r="D2355" t="s">
        <v>637</v>
      </c>
      <c r="E2355" t="s">
        <v>636</v>
      </c>
      <c r="F2355" t="s">
        <v>99</v>
      </c>
    </row>
    <row r="2356" spans="1:6" x14ac:dyDescent="0.3">
      <c r="A2356" t="s">
        <v>33</v>
      </c>
      <c r="B2356" t="s">
        <v>390</v>
      </c>
      <c r="C2356">
        <v>46</v>
      </c>
      <c r="D2356" t="s">
        <v>645</v>
      </c>
      <c r="E2356" t="s">
        <v>1052</v>
      </c>
      <c r="F2356" t="s">
        <v>99</v>
      </c>
    </row>
    <row r="2357" spans="1:6" x14ac:dyDescent="0.3">
      <c r="A2357" t="s">
        <v>33</v>
      </c>
      <c r="B2357" t="s">
        <v>365</v>
      </c>
      <c r="C2357">
        <v>19</v>
      </c>
      <c r="D2357" t="s">
        <v>1154</v>
      </c>
      <c r="E2357" t="s">
        <v>917</v>
      </c>
      <c r="F2357" t="s">
        <v>99</v>
      </c>
    </row>
    <row r="2358" spans="1:6" x14ac:dyDescent="0.3">
      <c r="A2358" t="s">
        <v>49</v>
      </c>
      <c r="B2358" t="s">
        <v>389</v>
      </c>
      <c r="C2358">
        <v>970</v>
      </c>
      <c r="D2358" t="s">
        <v>559</v>
      </c>
      <c r="E2358" t="s">
        <v>582</v>
      </c>
      <c r="F2358" t="s">
        <v>99</v>
      </c>
    </row>
    <row r="2359" spans="1:6" x14ac:dyDescent="0.3">
      <c r="A2359" t="s">
        <v>49</v>
      </c>
      <c r="B2359" t="s">
        <v>390</v>
      </c>
      <c r="C2359">
        <v>295</v>
      </c>
      <c r="D2359" t="s">
        <v>558</v>
      </c>
      <c r="E2359" t="s">
        <v>557</v>
      </c>
      <c r="F2359" t="s">
        <v>99</v>
      </c>
    </row>
    <row r="2360" spans="1:6" x14ac:dyDescent="0.3">
      <c r="A2360" t="s">
        <v>49</v>
      </c>
      <c r="B2360" t="s">
        <v>365</v>
      </c>
      <c r="C2360">
        <v>115</v>
      </c>
      <c r="D2360" t="s">
        <v>583</v>
      </c>
      <c r="E2360" t="s">
        <v>652</v>
      </c>
      <c r="F2360" t="s">
        <v>99</v>
      </c>
    </row>
    <row r="2362" spans="1:6" x14ac:dyDescent="0.3">
      <c r="A2362" t="s">
        <v>1191</v>
      </c>
    </row>
    <row r="2363" spans="1:6" x14ac:dyDescent="0.3">
      <c r="A2363" t="s">
        <v>44</v>
      </c>
      <c r="B2363" t="s">
        <v>879</v>
      </c>
      <c r="C2363" t="s">
        <v>32</v>
      </c>
      <c r="D2363" t="s">
        <v>66</v>
      </c>
      <c r="E2363" t="s">
        <v>67</v>
      </c>
      <c r="F2363" t="s">
        <v>193</v>
      </c>
    </row>
    <row r="2364" spans="1:6" x14ac:dyDescent="0.3">
      <c r="A2364" t="s">
        <v>35</v>
      </c>
      <c r="B2364" t="s">
        <v>881</v>
      </c>
      <c r="C2364">
        <v>32</v>
      </c>
      <c r="D2364" t="s">
        <v>819</v>
      </c>
      <c r="E2364" t="s">
        <v>914</v>
      </c>
      <c r="F2364" t="s">
        <v>99</v>
      </c>
    </row>
    <row r="2365" spans="1:6" x14ac:dyDescent="0.3">
      <c r="A2365" t="s">
        <v>35</v>
      </c>
      <c r="B2365" t="s">
        <v>882</v>
      </c>
      <c r="C2365">
        <v>271</v>
      </c>
      <c r="D2365" t="s">
        <v>611</v>
      </c>
      <c r="E2365" t="s">
        <v>610</v>
      </c>
      <c r="F2365" t="s">
        <v>99</v>
      </c>
    </row>
    <row r="2366" spans="1:6" x14ac:dyDescent="0.3">
      <c r="A2366" t="s">
        <v>37</v>
      </c>
      <c r="B2366" t="s">
        <v>881</v>
      </c>
      <c r="C2366">
        <v>61</v>
      </c>
      <c r="D2366" t="s">
        <v>1192</v>
      </c>
      <c r="E2366" t="s">
        <v>816</v>
      </c>
      <c r="F2366" t="s">
        <v>99</v>
      </c>
    </row>
    <row r="2367" spans="1:6" x14ac:dyDescent="0.3">
      <c r="A2367" t="s">
        <v>37</v>
      </c>
      <c r="B2367" t="s">
        <v>882</v>
      </c>
      <c r="C2367">
        <v>371</v>
      </c>
      <c r="D2367" t="s">
        <v>571</v>
      </c>
      <c r="E2367" t="s">
        <v>572</v>
      </c>
      <c r="F2367" t="s">
        <v>99</v>
      </c>
    </row>
    <row r="2368" spans="1:6" x14ac:dyDescent="0.3">
      <c r="A2368" t="s">
        <v>36</v>
      </c>
      <c r="B2368" t="s">
        <v>881</v>
      </c>
      <c r="C2368">
        <v>86</v>
      </c>
      <c r="D2368" t="s">
        <v>785</v>
      </c>
      <c r="E2368" t="s">
        <v>357</v>
      </c>
      <c r="F2368" t="s">
        <v>99</v>
      </c>
    </row>
    <row r="2369" spans="1:6" x14ac:dyDescent="0.3">
      <c r="A2369" t="s">
        <v>36</v>
      </c>
      <c r="B2369" t="s">
        <v>882</v>
      </c>
      <c r="C2369">
        <v>200</v>
      </c>
      <c r="D2369" t="s">
        <v>57</v>
      </c>
      <c r="E2369" t="s">
        <v>42</v>
      </c>
      <c r="F2369" t="s">
        <v>104</v>
      </c>
    </row>
    <row r="2370" spans="1:6" x14ac:dyDescent="0.3">
      <c r="A2370" t="s">
        <v>34</v>
      </c>
      <c r="B2370" t="s">
        <v>881</v>
      </c>
      <c r="C2370">
        <v>64</v>
      </c>
      <c r="D2370" t="s">
        <v>174</v>
      </c>
      <c r="E2370" t="s">
        <v>173</v>
      </c>
      <c r="F2370" t="s">
        <v>99</v>
      </c>
    </row>
    <row r="2371" spans="1:6" x14ac:dyDescent="0.3">
      <c r="A2371" t="s">
        <v>34</v>
      </c>
      <c r="B2371" t="s">
        <v>882</v>
      </c>
      <c r="C2371">
        <v>109</v>
      </c>
      <c r="D2371" t="s">
        <v>1193</v>
      </c>
      <c r="E2371" t="s">
        <v>662</v>
      </c>
      <c r="F2371" t="s">
        <v>99</v>
      </c>
    </row>
    <row r="2372" spans="1:6" x14ac:dyDescent="0.3">
      <c r="A2372" t="s">
        <v>33</v>
      </c>
      <c r="B2372" t="s">
        <v>881</v>
      </c>
      <c r="C2372">
        <v>39</v>
      </c>
      <c r="D2372" t="s">
        <v>1194</v>
      </c>
      <c r="E2372" t="s">
        <v>1115</v>
      </c>
      <c r="F2372" t="s">
        <v>99</v>
      </c>
    </row>
    <row r="2373" spans="1:6" x14ac:dyDescent="0.3">
      <c r="A2373" t="s">
        <v>33</v>
      </c>
      <c r="B2373" t="s">
        <v>882</v>
      </c>
      <c r="C2373">
        <v>147</v>
      </c>
      <c r="D2373" t="s">
        <v>1051</v>
      </c>
      <c r="E2373" t="s">
        <v>1143</v>
      </c>
      <c r="F2373" t="s">
        <v>99</v>
      </c>
    </row>
    <row r="2374" spans="1:6" x14ac:dyDescent="0.3">
      <c r="A2374" t="s">
        <v>49</v>
      </c>
      <c r="B2374" t="s">
        <v>881</v>
      </c>
      <c r="C2374">
        <v>282</v>
      </c>
      <c r="D2374" t="s">
        <v>608</v>
      </c>
      <c r="E2374" t="s">
        <v>140</v>
      </c>
      <c r="F2374" t="s">
        <v>99</v>
      </c>
    </row>
    <row r="2375" spans="1:6" x14ac:dyDescent="0.3">
      <c r="A2375" t="s">
        <v>49</v>
      </c>
      <c r="B2375" t="s">
        <v>882</v>
      </c>
      <c r="C2375">
        <v>1098</v>
      </c>
      <c r="D2375" t="s">
        <v>594</v>
      </c>
      <c r="E2375" t="s">
        <v>955</v>
      </c>
      <c r="F2375" t="s">
        <v>99</v>
      </c>
    </row>
    <row r="2377" spans="1:6" x14ac:dyDescent="0.3">
      <c r="A2377" t="s">
        <v>1195</v>
      </c>
    </row>
    <row r="2378" spans="1:6" x14ac:dyDescent="0.3">
      <c r="A2378" t="s">
        <v>44</v>
      </c>
      <c r="B2378" t="s">
        <v>257</v>
      </c>
      <c r="C2378" t="s">
        <v>32</v>
      </c>
      <c r="D2378" t="s">
        <v>66</v>
      </c>
      <c r="E2378" t="s">
        <v>67</v>
      </c>
      <c r="F2378" t="s">
        <v>193</v>
      </c>
    </row>
    <row r="2379" spans="1:6" x14ac:dyDescent="0.3">
      <c r="A2379" t="s">
        <v>35</v>
      </c>
      <c r="B2379" t="s">
        <v>258</v>
      </c>
      <c r="C2379">
        <v>281</v>
      </c>
      <c r="D2379" t="s">
        <v>818</v>
      </c>
      <c r="E2379" t="s">
        <v>884</v>
      </c>
      <c r="F2379" t="s">
        <v>99</v>
      </c>
    </row>
    <row r="2380" spans="1:6" s="5" customFormat="1" x14ac:dyDescent="0.3">
      <c r="A2380" s="5" t="s">
        <v>35</v>
      </c>
      <c r="B2380" s="5" t="s">
        <v>260</v>
      </c>
      <c r="C2380" s="5">
        <v>22</v>
      </c>
      <c r="D2380" s="5" t="s">
        <v>904</v>
      </c>
      <c r="E2380" s="5" t="s">
        <v>905</v>
      </c>
      <c r="F2380" s="5" t="s">
        <v>99</v>
      </c>
    </row>
    <row r="2381" spans="1:6" x14ac:dyDescent="0.3">
      <c r="A2381" t="s">
        <v>37</v>
      </c>
      <c r="B2381" t="s">
        <v>258</v>
      </c>
      <c r="C2381">
        <v>432</v>
      </c>
      <c r="D2381" t="s">
        <v>1123</v>
      </c>
      <c r="E2381" t="s">
        <v>1116</v>
      </c>
      <c r="F2381" t="s">
        <v>99</v>
      </c>
    </row>
    <row r="2382" spans="1:6" x14ac:dyDescent="0.3">
      <c r="A2382" t="s">
        <v>36</v>
      </c>
      <c r="B2382" t="s">
        <v>258</v>
      </c>
      <c r="C2382">
        <v>254</v>
      </c>
      <c r="D2382" t="s">
        <v>869</v>
      </c>
      <c r="E2382" t="s">
        <v>451</v>
      </c>
      <c r="F2382" t="s">
        <v>104</v>
      </c>
    </row>
    <row r="2383" spans="1:6" x14ac:dyDescent="0.3">
      <c r="A2383" t="s">
        <v>36</v>
      </c>
      <c r="B2383" t="s">
        <v>260</v>
      </c>
      <c r="C2383">
        <v>32</v>
      </c>
      <c r="D2383" t="s">
        <v>502</v>
      </c>
      <c r="E2383" t="s">
        <v>501</v>
      </c>
      <c r="F2383" t="s">
        <v>99</v>
      </c>
    </row>
    <row r="2384" spans="1:6" x14ac:dyDescent="0.3">
      <c r="A2384" t="s">
        <v>34</v>
      </c>
      <c r="B2384" t="s">
        <v>258</v>
      </c>
      <c r="C2384">
        <v>102</v>
      </c>
      <c r="D2384" t="s">
        <v>1047</v>
      </c>
      <c r="E2384" t="s">
        <v>446</v>
      </c>
      <c r="F2384" t="s">
        <v>99</v>
      </c>
    </row>
    <row r="2385" spans="1:13" x14ac:dyDescent="0.3">
      <c r="A2385" t="s">
        <v>34</v>
      </c>
      <c r="B2385" t="s">
        <v>260</v>
      </c>
      <c r="C2385">
        <v>71</v>
      </c>
      <c r="D2385" t="s">
        <v>608</v>
      </c>
      <c r="E2385" t="s">
        <v>140</v>
      </c>
      <c r="F2385" t="s">
        <v>99</v>
      </c>
    </row>
    <row r="2386" spans="1:13" x14ac:dyDescent="0.3">
      <c r="A2386" t="s">
        <v>33</v>
      </c>
      <c r="B2386" t="s">
        <v>258</v>
      </c>
      <c r="C2386">
        <v>186</v>
      </c>
      <c r="D2386" t="s">
        <v>603</v>
      </c>
      <c r="E2386" t="s">
        <v>943</v>
      </c>
      <c r="F2386" t="s">
        <v>99</v>
      </c>
    </row>
    <row r="2387" spans="1:13" x14ac:dyDescent="0.3">
      <c r="A2387" t="s">
        <v>49</v>
      </c>
      <c r="B2387" t="s">
        <v>258</v>
      </c>
      <c r="C2387">
        <v>1255</v>
      </c>
      <c r="D2387" t="s">
        <v>640</v>
      </c>
      <c r="E2387" t="s">
        <v>906</v>
      </c>
      <c r="F2387" t="s">
        <v>99</v>
      </c>
    </row>
    <row r="2388" spans="1:13" x14ac:dyDescent="0.3">
      <c r="A2388" t="s">
        <v>49</v>
      </c>
      <c r="B2388" t="s">
        <v>260</v>
      </c>
      <c r="C2388">
        <v>125</v>
      </c>
      <c r="D2388" t="s">
        <v>1196</v>
      </c>
      <c r="E2388" t="s">
        <v>736</v>
      </c>
      <c r="F2388" t="s">
        <v>99</v>
      </c>
    </row>
    <row r="2390" spans="1:13" x14ac:dyDescent="0.3">
      <c r="A2390" t="s">
        <v>1197</v>
      </c>
    </row>
    <row r="2391" spans="1:13" x14ac:dyDescent="0.3">
      <c r="A2391" t="s">
        <v>44</v>
      </c>
      <c r="B2391" t="s">
        <v>32</v>
      </c>
      <c r="C2391" t="s">
        <v>1198</v>
      </c>
      <c r="D2391" t="s">
        <v>1199</v>
      </c>
      <c r="E2391" t="s">
        <v>1200</v>
      </c>
      <c r="F2391" t="s">
        <v>1201</v>
      </c>
      <c r="G2391" t="s">
        <v>1202</v>
      </c>
      <c r="H2391" t="s">
        <v>1031</v>
      </c>
      <c r="I2391" t="s">
        <v>1203</v>
      </c>
      <c r="J2391" t="s">
        <v>1204</v>
      </c>
      <c r="K2391" t="s">
        <v>979</v>
      </c>
      <c r="L2391" t="s">
        <v>1205</v>
      </c>
    </row>
    <row r="2392" spans="1:13" x14ac:dyDescent="0.3">
      <c r="A2392" t="s">
        <v>35</v>
      </c>
      <c r="B2392">
        <v>153</v>
      </c>
      <c r="C2392" t="s">
        <v>158</v>
      </c>
      <c r="D2392" t="s">
        <v>708</v>
      </c>
      <c r="E2392" t="s">
        <v>99</v>
      </c>
      <c r="F2392" t="s">
        <v>474</v>
      </c>
      <c r="G2392" t="s">
        <v>100</v>
      </c>
      <c r="H2392" t="s">
        <v>108</v>
      </c>
      <c r="I2392" t="s">
        <v>1206</v>
      </c>
      <c r="J2392" t="s">
        <v>127</v>
      </c>
      <c r="K2392" t="s">
        <v>456</v>
      </c>
      <c r="L2392" t="s">
        <v>315</v>
      </c>
    </row>
    <row r="2393" spans="1:13" x14ac:dyDescent="0.3">
      <c r="A2393" t="s">
        <v>37</v>
      </c>
      <c r="B2393">
        <v>218</v>
      </c>
      <c r="C2393" t="s">
        <v>665</v>
      </c>
      <c r="D2393" t="s">
        <v>128</v>
      </c>
      <c r="E2393" t="s">
        <v>132</v>
      </c>
      <c r="F2393" t="s">
        <v>134</v>
      </c>
      <c r="G2393" t="s">
        <v>215</v>
      </c>
      <c r="H2393" t="s">
        <v>136</v>
      </c>
      <c r="I2393" t="s">
        <v>940</v>
      </c>
      <c r="J2393" t="s">
        <v>138</v>
      </c>
      <c r="K2393" t="s">
        <v>920</v>
      </c>
      <c r="L2393" t="s">
        <v>157</v>
      </c>
    </row>
    <row r="2394" spans="1:13" x14ac:dyDescent="0.3">
      <c r="A2394" t="s">
        <v>36</v>
      </c>
      <c r="B2394">
        <v>190</v>
      </c>
      <c r="C2394" t="s">
        <v>357</v>
      </c>
      <c r="D2394" t="s">
        <v>1059</v>
      </c>
      <c r="E2394" t="s">
        <v>99</v>
      </c>
      <c r="F2394" t="s">
        <v>332</v>
      </c>
      <c r="G2394" t="s">
        <v>104</v>
      </c>
      <c r="H2394" t="s">
        <v>207</v>
      </c>
      <c r="I2394" t="s">
        <v>197</v>
      </c>
      <c r="J2394" t="s">
        <v>150</v>
      </c>
      <c r="K2394" t="s">
        <v>707</v>
      </c>
      <c r="L2394" t="s">
        <v>123</v>
      </c>
    </row>
    <row r="2395" spans="1:13" x14ac:dyDescent="0.3">
      <c r="A2395" t="s">
        <v>34</v>
      </c>
      <c r="B2395">
        <v>128</v>
      </c>
      <c r="C2395" t="s">
        <v>64</v>
      </c>
      <c r="D2395" t="s">
        <v>913</v>
      </c>
      <c r="E2395" t="s">
        <v>382</v>
      </c>
      <c r="F2395" t="s">
        <v>105</v>
      </c>
      <c r="G2395" t="s">
        <v>292</v>
      </c>
      <c r="H2395" t="s">
        <v>382</v>
      </c>
      <c r="I2395" t="s">
        <v>130</v>
      </c>
      <c r="J2395" t="s">
        <v>679</v>
      </c>
      <c r="K2395" t="s">
        <v>734</v>
      </c>
      <c r="L2395" t="s">
        <v>127</v>
      </c>
    </row>
    <row r="2396" spans="1:13" x14ac:dyDescent="0.3">
      <c r="A2396" t="s">
        <v>33</v>
      </c>
      <c r="B2396">
        <v>97</v>
      </c>
      <c r="C2396" t="s">
        <v>289</v>
      </c>
      <c r="D2396" t="s">
        <v>184</v>
      </c>
      <c r="E2396" t="s">
        <v>99</v>
      </c>
      <c r="F2396" t="s">
        <v>41</v>
      </c>
      <c r="G2396" t="s">
        <v>468</v>
      </c>
      <c r="H2396" t="s">
        <v>127</v>
      </c>
      <c r="I2396" t="s">
        <v>442</v>
      </c>
      <c r="J2396" t="s">
        <v>131</v>
      </c>
      <c r="K2396" t="s">
        <v>811</v>
      </c>
      <c r="L2396" t="s">
        <v>299</v>
      </c>
    </row>
    <row r="2397" spans="1:13" x14ac:dyDescent="0.3">
      <c r="A2397" t="s">
        <v>49</v>
      </c>
      <c r="B2397">
        <v>786</v>
      </c>
      <c r="C2397" t="s">
        <v>678</v>
      </c>
      <c r="D2397" t="s">
        <v>701</v>
      </c>
      <c r="E2397" t="s">
        <v>141</v>
      </c>
      <c r="F2397" t="s">
        <v>112</v>
      </c>
      <c r="G2397" t="s">
        <v>123</v>
      </c>
      <c r="H2397" t="s">
        <v>108</v>
      </c>
      <c r="I2397" t="s">
        <v>959</v>
      </c>
      <c r="J2397" t="s">
        <v>135</v>
      </c>
      <c r="K2397" t="s">
        <v>1057</v>
      </c>
      <c r="L2397" t="s">
        <v>328</v>
      </c>
    </row>
    <row r="2399" spans="1:13" x14ac:dyDescent="0.3">
      <c r="A2399" t="s">
        <v>1207</v>
      </c>
    </row>
    <row r="2400" spans="1:13" x14ac:dyDescent="0.3">
      <c r="A2400" t="s">
        <v>44</v>
      </c>
      <c r="B2400" t="s">
        <v>847</v>
      </c>
      <c r="C2400" t="s">
        <v>32</v>
      </c>
      <c r="D2400" t="s">
        <v>1198</v>
      </c>
      <c r="E2400" t="s">
        <v>1199</v>
      </c>
      <c r="F2400" t="s">
        <v>1200</v>
      </c>
      <c r="G2400" t="s">
        <v>1201</v>
      </c>
      <c r="H2400" t="s">
        <v>1202</v>
      </c>
      <c r="I2400" t="s">
        <v>1031</v>
      </c>
      <c r="J2400" t="s">
        <v>1203</v>
      </c>
      <c r="K2400" t="s">
        <v>1204</v>
      </c>
      <c r="L2400" t="s">
        <v>979</v>
      </c>
      <c r="M2400" t="s">
        <v>1205</v>
      </c>
    </row>
    <row r="2401" spans="1:13" x14ac:dyDescent="0.3">
      <c r="A2401" t="s">
        <v>35</v>
      </c>
      <c r="B2401" t="s">
        <v>365</v>
      </c>
      <c r="C2401">
        <v>153</v>
      </c>
      <c r="D2401" t="s">
        <v>158</v>
      </c>
      <c r="E2401" t="s">
        <v>708</v>
      </c>
      <c r="F2401" t="s">
        <v>99</v>
      </c>
      <c r="G2401" t="s">
        <v>474</v>
      </c>
      <c r="H2401" t="s">
        <v>100</v>
      </c>
      <c r="I2401" t="s">
        <v>108</v>
      </c>
      <c r="J2401" t="s">
        <v>1206</v>
      </c>
      <c r="K2401" t="s">
        <v>127</v>
      </c>
      <c r="L2401" t="s">
        <v>456</v>
      </c>
      <c r="M2401" t="s">
        <v>315</v>
      </c>
    </row>
    <row r="2402" spans="1:13" x14ac:dyDescent="0.3">
      <c r="A2402" t="s">
        <v>37</v>
      </c>
      <c r="B2402" t="s">
        <v>365</v>
      </c>
      <c r="C2402">
        <v>218</v>
      </c>
      <c r="D2402" t="s">
        <v>665</v>
      </c>
      <c r="E2402" t="s">
        <v>128</v>
      </c>
      <c r="F2402" t="s">
        <v>132</v>
      </c>
      <c r="G2402" t="s">
        <v>134</v>
      </c>
      <c r="H2402" t="s">
        <v>215</v>
      </c>
      <c r="I2402" t="s">
        <v>136</v>
      </c>
      <c r="J2402" t="s">
        <v>940</v>
      </c>
      <c r="K2402" t="s">
        <v>138</v>
      </c>
      <c r="L2402" t="s">
        <v>920</v>
      </c>
      <c r="M2402" t="s">
        <v>157</v>
      </c>
    </row>
    <row r="2403" spans="1:13" x14ac:dyDescent="0.3">
      <c r="A2403" t="s">
        <v>36</v>
      </c>
      <c r="B2403" t="s">
        <v>365</v>
      </c>
      <c r="C2403">
        <v>190</v>
      </c>
      <c r="D2403" t="s">
        <v>357</v>
      </c>
      <c r="E2403" t="s">
        <v>1059</v>
      </c>
      <c r="F2403" t="s">
        <v>99</v>
      </c>
      <c r="G2403" t="s">
        <v>332</v>
      </c>
      <c r="H2403" t="s">
        <v>104</v>
      </c>
      <c r="I2403" t="s">
        <v>207</v>
      </c>
      <c r="J2403" t="s">
        <v>197</v>
      </c>
      <c r="K2403" t="s">
        <v>150</v>
      </c>
      <c r="L2403" t="s">
        <v>707</v>
      </c>
      <c r="M2403" t="s">
        <v>123</v>
      </c>
    </row>
    <row r="2404" spans="1:13" x14ac:dyDescent="0.3">
      <c r="A2404" t="s">
        <v>34</v>
      </c>
      <c r="B2404" t="s">
        <v>365</v>
      </c>
      <c r="C2404">
        <v>128</v>
      </c>
      <c r="D2404" t="s">
        <v>64</v>
      </c>
      <c r="E2404" t="s">
        <v>913</v>
      </c>
      <c r="F2404" t="s">
        <v>382</v>
      </c>
      <c r="G2404" t="s">
        <v>105</v>
      </c>
      <c r="H2404" t="s">
        <v>292</v>
      </c>
      <c r="I2404" t="s">
        <v>382</v>
      </c>
      <c r="J2404" t="s">
        <v>130</v>
      </c>
      <c r="K2404" t="s">
        <v>679</v>
      </c>
      <c r="L2404" t="s">
        <v>734</v>
      </c>
      <c r="M2404" t="s">
        <v>127</v>
      </c>
    </row>
    <row r="2405" spans="1:13" s="5" customFormat="1" x14ac:dyDescent="0.3">
      <c r="A2405" s="5" t="s">
        <v>33</v>
      </c>
      <c r="B2405" s="5" t="s">
        <v>867</v>
      </c>
      <c r="C2405" s="5">
        <v>1</v>
      </c>
      <c r="D2405" s="5" t="s">
        <v>99</v>
      </c>
      <c r="E2405" s="5" t="s">
        <v>99</v>
      </c>
      <c r="F2405" s="5" t="s">
        <v>99</v>
      </c>
      <c r="G2405" s="5" t="s">
        <v>99</v>
      </c>
      <c r="H2405" s="5" t="s">
        <v>99</v>
      </c>
      <c r="I2405" s="5" t="s">
        <v>211</v>
      </c>
      <c r="J2405" s="5" t="s">
        <v>99</v>
      </c>
      <c r="K2405" s="5" t="s">
        <v>99</v>
      </c>
      <c r="L2405" s="5" t="s">
        <v>99</v>
      </c>
      <c r="M2405" s="5" t="s">
        <v>99</v>
      </c>
    </row>
    <row r="2406" spans="1:13" x14ac:dyDescent="0.3">
      <c r="A2406" t="s">
        <v>33</v>
      </c>
      <c r="B2406" t="s">
        <v>365</v>
      </c>
      <c r="C2406">
        <v>96</v>
      </c>
      <c r="D2406" t="s">
        <v>449</v>
      </c>
      <c r="E2406" t="s">
        <v>679</v>
      </c>
      <c r="F2406" t="s">
        <v>99</v>
      </c>
      <c r="G2406" t="s">
        <v>125</v>
      </c>
      <c r="H2406" t="s">
        <v>468</v>
      </c>
      <c r="I2406" t="s">
        <v>121</v>
      </c>
      <c r="J2406" t="s">
        <v>683</v>
      </c>
      <c r="K2406" t="s">
        <v>749</v>
      </c>
      <c r="L2406" t="s">
        <v>432</v>
      </c>
      <c r="M2406" t="s">
        <v>299</v>
      </c>
    </row>
    <row r="2407" spans="1:13" s="5" customFormat="1" x14ac:dyDescent="0.3">
      <c r="A2407" s="5" t="s">
        <v>49</v>
      </c>
      <c r="B2407" s="5" t="s">
        <v>867</v>
      </c>
      <c r="C2407" s="5">
        <v>1</v>
      </c>
      <c r="D2407" s="5" t="s">
        <v>99</v>
      </c>
      <c r="E2407" s="5" t="s">
        <v>99</v>
      </c>
      <c r="F2407" s="5" t="s">
        <v>99</v>
      </c>
      <c r="G2407" s="5" t="s">
        <v>99</v>
      </c>
      <c r="H2407" s="5" t="s">
        <v>99</v>
      </c>
      <c r="I2407" s="5" t="s">
        <v>211</v>
      </c>
      <c r="J2407" s="5" t="s">
        <v>99</v>
      </c>
      <c r="K2407" s="5" t="s">
        <v>99</v>
      </c>
      <c r="L2407" s="5" t="s">
        <v>99</v>
      </c>
      <c r="M2407" s="5" t="s">
        <v>99</v>
      </c>
    </row>
    <row r="2408" spans="1:13" x14ac:dyDescent="0.3">
      <c r="A2408" t="s">
        <v>49</v>
      </c>
      <c r="B2408" t="s">
        <v>365</v>
      </c>
      <c r="C2408">
        <v>785</v>
      </c>
      <c r="D2408" t="s">
        <v>678</v>
      </c>
      <c r="E2408" t="s">
        <v>701</v>
      </c>
      <c r="F2408" t="s">
        <v>141</v>
      </c>
      <c r="G2408" t="s">
        <v>112</v>
      </c>
      <c r="H2408" t="s">
        <v>123</v>
      </c>
      <c r="I2408" t="s">
        <v>132</v>
      </c>
      <c r="J2408" t="s">
        <v>959</v>
      </c>
      <c r="K2408" t="s">
        <v>135</v>
      </c>
      <c r="L2408" t="s">
        <v>1105</v>
      </c>
      <c r="M2408" t="s">
        <v>328</v>
      </c>
    </row>
    <row r="2410" spans="1:13" x14ac:dyDescent="0.3">
      <c r="A2410" t="s">
        <v>1208</v>
      </c>
    </row>
    <row r="2411" spans="1:13" x14ac:dyDescent="0.3">
      <c r="A2411" t="s">
        <v>44</v>
      </c>
      <c r="B2411" t="s">
        <v>235</v>
      </c>
      <c r="C2411" t="s">
        <v>32</v>
      </c>
      <c r="D2411" t="s">
        <v>1198</v>
      </c>
      <c r="E2411" t="s">
        <v>1199</v>
      </c>
      <c r="F2411" t="s">
        <v>1200</v>
      </c>
      <c r="G2411" t="s">
        <v>1201</v>
      </c>
      <c r="H2411" t="s">
        <v>1202</v>
      </c>
      <c r="I2411" t="s">
        <v>1031</v>
      </c>
      <c r="J2411" t="s">
        <v>1203</v>
      </c>
      <c r="K2411" t="s">
        <v>1204</v>
      </c>
      <c r="L2411" t="s">
        <v>979</v>
      </c>
      <c r="M2411" t="s">
        <v>1205</v>
      </c>
    </row>
    <row r="2412" spans="1:13" x14ac:dyDescent="0.3">
      <c r="A2412" t="s">
        <v>35</v>
      </c>
      <c r="B2412" t="s">
        <v>236</v>
      </c>
      <c r="C2412">
        <v>72</v>
      </c>
      <c r="D2412" t="s">
        <v>355</v>
      </c>
      <c r="E2412" t="s">
        <v>118</v>
      </c>
      <c r="F2412" t="s">
        <v>99</v>
      </c>
      <c r="G2412" t="s">
        <v>100</v>
      </c>
      <c r="H2412" t="s">
        <v>120</v>
      </c>
      <c r="I2412" t="s">
        <v>99</v>
      </c>
      <c r="J2412" t="s">
        <v>665</v>
      </c>
      <c r="K2412" t="s">
        <v>184</v>
      </c>
      <c r="L2412" t="s">
        <v>566</v>
      </c>
      <c r="M2412" t="s">
        <v>144</v>
      </c>
    </row>
    <row r="2413" spans="1:13" x14ac:dyDescent="0.3">
      <c r="A2413" t="s">
        <v>35</v>
      </c>
      <c r="B2413" t="s">
        <v>238</v>
      </c>
      <c r="C2413">
        <v>81</v>
      </c>
      <c r="D2413" t="s">
        <v>120</v>
      </c>
      <c r="E2413" t="s">
        <v>701</v>
      </c>
      <c r="F2413" t="s">
        <v>99</v>
      </c>
      <c r="G2413" t="s">
        <v>98</v>
      </c>
      <c r="H2413" t="s">
        <v>253</v>
      </c>
      <c r="I2413" t="s">
        <v>121</v>
      </c>
      <c r="J2413" t="s">
        <v>801</v>
      </c>
      <c r="K2413" t="s">
        <v>99</v>
      </c>
      <c r="L2413" t="s">
        <v>697</v>
      </c>
      <c r="M2413" t="s">
        <v>677</v>
      </c>
    </row>
    <row r="2414" spans="1:13" x14ac:dyDescent="0.3">
      <c r="A2414" t="s">
        <v>37</v>
      </c>
      <c r="B2414" t="s">
        <v>236</v>
      </c>
      <c r="C2414">
        <v>134</v>
      </c>
      <c r="D2414" t="s">
        <v>1209</v>
      </c>
      <c r="E2414" t="s">
        <v>268</v>
      </c>
      <c r="F2414" t="s">
        <v>99</v>
      </c>
      <c r="G2414" t="s">
        <v>151</v>
      </c>
      <c r="H2414" t="s">
        <v>132</v>
      </c>
      <c r="I2414" t="s">
        <v>253</v>
      </c>
      <c r="J2414" t="s">
        <v>836</v>
      </c>
      <c r="K2414" t="s">
        <v>147</v>
      </c>
      <c r="L2414" t="s">
        <v>920</v>
      </c>
      <c r="M2414" t="s">
        <v>141</v>
      </c>
    </row>
    <row r="2415" spans="1:13" x14ac:dyDescent="0.3">
      <c r="A2415" t="s">
        <v>37</v>
      </c>
      <c r="B2415" t="s">
        <v>238</v>
      </c>
      <c r="C2415">
        <v>84</v>
      </c>
      <c r="D2415" t="s">
        <v>401</v>
      </c>
      <c r="E2415" t="s">
        <v>155</v>
      </c>
      <c r="F2415" t="s">
        <v>111</v>
      </c>
      <c r="G2415" t="s">
        <v>152</v>
      </c>
      <c r="H2415" t="s">
        <v>332</v>
      </c>
      <c r="I2415" t="s">
        <v>99</v>
      </c>
      <c r="J2415" t="s">
        <v>899</v>
      </c>
      <c r="K2415" t="s">
        <v>129</v>
      </c>
      <c r="L2415" t="s">
        <v>832</v>
      </c>
      <c r="M2415" t="s">
        <v>401</v>
      </c>
    </row>
    <row r="2416" spans="1:13" x14ac:dyDescent="0.3">
      <c r="A2416" t="s">
        <v>36</v>
      </c>
      <c r="B2416" t="s">
        <v>236</v>
      </c>
      <c r="C2416">
        <v>123</v>
      </c>
      <c r="D2416" t="s">
        <v>647</v>
      </c>
      <c r="E2416" t="s">
        <v>742</v>
      </c>
      <c r="F2416" t="s">
        <v>104</v>
      </c>
      <c r="G2416" t="s">
        <v>136</v>
      </c>
      <c r="H2416" t="s">
        <v>198</v>
      </c>
      <c r="I2416" t="s">
        <v>136</v>
      </c>
      <c r="J2416" t="s">
        <v>305</v>
      </c>
      <c r="K2416" t="s">
        <v>325</v>
      </c>
      <c r="L2416" t="s">
        <v>481</v>
      </c>
      <c r="M2416" t="s">
        <v>107</v>
      </c>
    </row>
    <row r="2417" spans="1:13" x14ac:dyDescent="0.3">
      <c r="A2417" t="s">
        <v>36</v>
      </c>
      <c r="B2417" t="s">
        <v>238</v>
      </c>
      <c r="C2417">
        <v>67</v>
      </c>
      <c r="D2417" t="s">
        <v>663</v>
      </c>
      <c r="E2417" t="s">
        <v>457</v>
      </c>
      <c r="F2417" t="s">
        <v>99</v>
      </c>
      <c r="G2417" t="s">
        <v>158</v>
      </c>
      <c r="H2417" t="s">
        <v>99</v>
      </c>
      <c r="I2417" t="s">
        <v>198</v>
      </c>
      <c r="J2417" t="s">
        <v>711</v>
      </c>
      <c r="K2417" t="s">
        <v>78</v>
      </c>
      <c r="L2417" t="s">
        <v>914</v>
      </c>
      <c r="M2417" t="s">
        <v>101</v>
      </c>
    </row>
    <row r="2418" spans="1:13" x14ac:dyDescent="0.3">
      <c r="A2418" t="s">
        <v>34</v>
      </c>
      <c r="B2418" t="s">
        <v>236</v>
      </c>
      <c r="C2418">
        <v>33</v>
      </c>
      <c r="D2418" t="s">
        <v>909</v>
      </c>
      <c r="E2418" t="s">
        <v>342</v>
      </c>
      <c r="F2418" t="s">
        <v>99</v>
      </c>
      <c r="G2418" t="s">
        <v>99</v>
      </c>
      <c r="H2418" t="s">
        <v>99</v>
      </c>
      <c r="I2418" t="s">
        <v>99</v>
      </c>
      <c r="J2418" t="s">
        <v>474</v>
      </c>
      <c r="K2418" t="s">
        <v>726</v>
      </c>
      <c r="L2418" t="s">
        <v>147</v>
      </c>
      <c r="M2418" t="s">
        <v>99</v>
      </c>
    </row>
    <row r="2419" spans="1:13" x14ac:dyDescent="0.3">
      <c r="A2419" t="s">
        <v>34</v>
      </c>
      <c r="B2419" t="s">
        <v>238</v>
      </c>
      <c r="C2419">
        <v>95</v>
      </c>
      <c r="D2419" t="s">
        <v>58</v>
      </c>
      <c r="E2419" t="s">
        <v>799</v>
      </c>
      <c r="F2419" t="s">
        <v>123</v>
      </c>
      <c r="G2419" t="s">
        <v>118</v>
      </c>
      <c r="H2419" t="s">
        <v>103</v>
      </c>
      <c r="I2419" t="s">
        <v>123</v>
      </c>
      <c r="J2419" t="s">
        <v>130</v>
      </c>
      <c r="K2419" t="s">
        <v>145</v>
      </c>
      <c r="L2419" t="s">
        <v>742</v>
      </c>
      <c r="M2419" t="s">
        <v>292</v>
      </c>
    </row>
    <row r="2420" spans="1:13" x14ac:dyDescent="0.3">
      <c r="A2420" t="s">
        <v>33</v>
      </c>
      <c r="B2420" t="s">
        <v>236</v>
      </c>
      <c r="C2420">
        <v>60</v>
      </c>
      <c r="D2420" t="s">
        <v>523</v>
      </c>
      <c r="E2420" t="s">
        <v>109</v>
      </c>
      <c r="F2420" t="s">
        <v>99</v>
      </c>
      <c r="G2420" t="s">
        <v>468</v>
      </c>
      <c r="H2420" t="s">
        <v>150</v>
      </c>
      <c r="I2420" t="s">
        <v>121</v>
      </c>
      <c r="J2420" t="s">
        <v>1057</v>
      </c>
      <c r="K2420" t="s">
        <v>379</v>
      </c>
      <c r="L2420" t="s">
        <v>357</v>
      </c>
      <c r="M2420" t="s">
        <v>804</v>
      </c>
    </row>
    <row r="2421" spans="1:13" x14ac:dyDescent="0.3">
      <c r="A2421" t="s">
        <v>33</v>
      </c>
      <c r="B2421" t="s">
        <v>238</v>
      </c>
      <c r="C2421">
        <v>37</v>
      </c>
      <c r="D2421" t="s">
        <v>157</v>
      </c>
      <c r="E2421" t="s">
        <v>363</v>
      </c>
      <c r="F2421" t="s">
        <v>99</v>
      </c>
      <c r="G2421" t="s">
        <v>677</v>
      </c>
      <c r="H2421" t="s">
        <v>118</v>
      </c>
      <c r="I2421" t="s">
        <v>316</v>
      </c>
      <c r="J2421" t="s">
        <v>710</v>
      </c>
      <c r="K2421" t="s">
        <v>669</v>
      </c>
      <c r="L2421" t="s">
        <v>523</v>
      </c>
      <c r="M2421" t="s">
        <v>143</v>
      </c>
    </row>
    <row r="2422" spans="1:13" x14ac:dyDescent="0.3">
      <c r="A2422" t="s">
        <v>49</v>
      </c>
      <c r="B2422" t="s">
        <v>236</v>
      </c>
      <c r="C2422">
        <v>422</v>
      </c>
      <c r="D2422" t="s">
        <v>42</v>
      </c>
      <c r="E2422" t="s">
        <v>299</v>
      </c>
      <c r="F2422" t="s">
        <v>99</v>
      </c>
      <c r="G2422" t="s">
        <v>111</v>
      </c>
      <c r="H2422" t="s">
        <v>111</v>
      </c>
      <c r="I2422" t="s">
        <v>141</v>
      </c>
      <c r="J2422" t="s">
        <v>276</v>
      </c>
      <c r="K2422" t="s">
        <v>74</v>
      </c>
      <c r="L2422" t="s">
        <v>1105</v>
      </c>
      <c r="M2422" t="s">
        <v>154</v>
      </c>
    </row>
    <row r="2423" spans="1:13" x14ac:dyDescent="0.3">
      <c r="A2423" t="s">
        <v>49</v>
      </c>
      <c r="B2423" t="s">
        <v>238</v>
      </c>
      <c r="C2423">
        <v>364</v>
      </c>
      <c r="D2423" t="s">
        <v>379</v>
      </c>
      <c r="E2423" t="s">
        <v>743</v>
      </c>
      <c r="F2423" t="s">
        <v>132</v>
      </c>
      <c r="G2423" t="s">
        <v>144</v>
      </c>
      <c r="H2423" t="s">
        <v>215</v>
      </c>
      <c r="I2423" t="s">
        <v>121</v>
      </c>
      <c r="J2423" t="s">
        <v>715</v>
      </c>
      <c r="K2423" t="s">
        <v>150</v>
      </c>
      <c r="L2423" t="s">
        <v>1057</v>
      </c>
      <c r="M2423" t="s">
        <v>664</v>
      </c>
    </row>
    <row r="2425" spans="1:13" x14ac:dyDescent="0.3">
      <c r="A2425" t="s">
        <v>1210</v>
      </c>
    </row>
    <row r="2426" spans="1:13" x14ac:dyDescent="0.3">
      <c r="A2426" t="s">
        <v>44</v>
      </c>
      <c r="B2426" t="s">
        <v>209</v>
      </c>
      <c r="C2426" t="s">
        <v>32</v>
      </c>
      <c r="D2426" t="s">
        <v>1198</v>
      </c>
      <c r="E2426" t="s">
        <v>1199</v>
      </c>
      <c r="F2426" t="s">
        <v>1200</v>
      </c>
      <c r="G2426" t="s">
        <v>1201</v>
      </c>
      <c r="H2426" t="s">
        <v>1202</v>
      </c>
      <c r="I2426" t="s">
        <v>1031</v>
      </c>
      <c r="J2426" t="s">
        <v>1203</v>
      </c>
      <c r="K2426" t="s">
        <v>1204</v>
      </c>
      <c r="L2426" t="s">
        <v>979</v>
      </c>
      <c r="M2426" t="s">
        <v>1205</v>
      </c>
    </row>
    <row r="2427" spans="1:13" s="5" customFormat="1" x14ac:dyDescent="0.3">
      <c r="A2427" s="5" t="s">
        <v>35</v>
      </c>
      <c r="B2427" s="5" t="s">
        <v>210</v>
      </c>
      <c r="C2427" s="5">
        <v>18</v>
      </c>
      <c r="D2427" s="5" t="s">
        <v>684</v>
      </c>
      <c r="E2427" s="5" t="s">
        <v>701</v>
      </c>
      <c r="F2427" s="5" t="s">
        <v>99</v>
      </c>
      <c r="G2427" s="5" t="s">
        <v>204</v>
      </c>
      <c r="H2427" s="5" t="s">
        <v>99</v>
      </c>
      <c r="I2427" s="5" t="s">
        <v>110</v>
      </c>
      <c r="J2427" s="5" t="s">
        <v>797</v>
      </c>
      <c r="K2427" s="5" t="s">
        <v>138</v>
      </c>
      <c r="L2427" s="5" t="s">
        <v>60</v>
      </c>
      <c r="M2427" s="5" t="s">
        <v>99</v>
      </c>
    </row>
    <row r="2428" spans="1:13" x14ac:dyDescent="0.3">
      <c r="A2428" t="s">
        <v>35</v>
      </c>
      <c r="B2428" t="s">
        <v>212</v>
      </c>
      <c r="C2428">
        <v>86</v>
      </c>
      <c r="D2428" t="s">
        <v>675</v>
      </c>
      <c r="E2428" t="s">
        <v>373</v>
      </c>
      <c r="F2428" t="s">
        <v>99</v>
      </c>
      <c r="G2428" t="s">
        <v>184</v>
      </c>
      <c r="H2428" t="s">
        <v>151</v>
      </c>
      <c r="I2428" t="s">
        <v>99</v>
      </c>
      <c r="J2428" t="s">
        <v>721</v>
      </c>
      <c r="K2428" t="s">
        <v>127</v>
      </c>
      <c r="L2428" t="s">
        <v>515</v>
      </c>
      <c r="M2428" t="s">
        <v>125</v>
      </c>
    </row>
    <row r="2429" spans="1:13" x14ac:dyDescent="0.3">
      <c r="A2429" t="s">
        <v>35</v>
      </c>
      <c r="B2429" t="s">
        <v>216</v>
      </c>
      <c r="C2429">
        <v>49</v>
      </c>
      <c r="D2429" t="s">
        <v>434</v>
      </c>
      <c r="E2429" t="s">
        <v>150</v>
      </c>
      <c r="F2429" t="s">
        <v>99</v>
      </c>
      <c r="G2429" t="s">
        <v>100</v>
      </c>
      <c r="H2429" t="s">
        <v>253</v>
      </c>
      <c r="I2429" t="s">
        <v>100</v>
      </c>
      <c r="J2429" t="s">
        <v>594</v>
      </c>
      <c r="K2429" t="s">
        <v>126</v>
      </c>
      <c r="L2429" t="s">
        <v>676</v>
      </c>
      <c r="M2429" t="s">
        <v>393</v>
      </c>
    </row>
    <row r="2430" spans="1:13" s="5" customFormat="1" x14ac:dyDescent="0.3">
      <c r="A2430" s="5" t="s">
        <v>37</v>
      </c>
      <c r="B2430" s="5" t="s">
        <v>210</v>
      </c>
      <c r="C2430" s="5">
        <v>17</v>
      </c>
      <c r="D2430" s="5" t="s">
        <v>834</v>
      </c>
      <c r="E2430" s="5" t="s">
        <v>99</v>
      </c>
      <c r="F2430" s="5" t="s">
        <v>712</v>
      </c>
      <c r="G2430" s="5" t="s">
        <v>379</v>
      </c>
      <c r="H2430" s="5" t="s">
        <v>99</v>
      </c>
      <c r="I2430" s="5" t="s">
        <v>99</v>
      </c>
      <c r="J2430" s="5" t="s">
        <v>1115</v>
      </c>
      <c r="K2430" s="5" t="s">
        <v>122</v>
      </c>
      <c r="L2430" s="5" t="s">
        <v>688</v>
      </c>
      <c r="M2430" s="5" t="s">
        <v>158</v>
      </c>
    </row>
    <row r="2431" spans="1:13" x14ac:dyDescent="0.3">
      <c r="A2431" t="s">
        <v>37</v>
      </c>
      <c r="B2431" t="s">
        <v>212</v>
      </c>
      <c r="C2431">
        <v>193</v>
      </c>
      <c r="D2431" t="s">
        <v>894</v>
      </c>
      <c r="E2431" t="s">
        <v>107</v>
      </c>
      <c r="F2431" t="s">
        <v>141</v>
      </c>
      <c r="G2431" t="s">
        <v>316</v>
      </c>
      <c r="H2431" t="s">
        <v>382</v>
      </c>
      <c r="I2431" t="s">
        <v>141</v>
      </c>
      <c r="J2431" t="s">
        <v>580</v>
      </c>
      <c r="K2431" t="s">
        <v>107</v>
      </c>
      <c r="L2431" t="s">
        <v>485</v>
      </c>
      <c r="M2431" t="s">
        <v>107</v>
      </c>
    </row>
    <row r="2432" spans="1:13" s="5" customFormat="1" x14ac:dyDescent="0.3">
      <c r="A2432" s="5" t="s">
        <v>37</v>
      </c>
      <c r="B2432" s="5" t="s">
        <v>216</v>
      </c>
      <c r="C2432" s="5">
        <v>8</v>
      </c>
      <c r="D2432" s="5" t="s">
        <v>911</v>
      </c>
      <c r="E2432" s="5" t="s">
        <v>99</v>
      </c>
      <c r="F2432" s="5" t="s">
        <v>99</v>
      </c>
      <c r="G2432" s="5" t="s">
        <v>432</v>
      </c>
      <c r="H2432" s="5" t="s">
        <v>133</v>
      </c>
      <c r="I2432" s="5" t="s">
        <v>99</v>
      </c>
      <c r="J2432" s="5" t="s">
        <v>60</v>
      </c>
      <c r="K2432" s="5" t="s">
        <v>99</v>
      </c>
      <c r="L2432" s="5" t="s">
        <v>1046</v>
      </c>
      <c r="M2432" s="5" t="s">
        <v>99</v>
      </c>
    </row>
    <row r="2433" spans="1:13" x14ac:dyDescent="0.3">
      <c r="A2433" t="s">
        <v>36</v>
      </c>
      <c r="B2433" t="s">
        <v>210</v>
      </c>
      <c r="C2433">
        <v>32</v>
      </c>
      <c r="D2433" t="s">
        <v>309</v>
      </c>
      <c r="E2433" t="s">
        <v>795</v>
      </c>
      <c r="F2433" t="s">
        <v>198</v>
      </c>
      <c r="G2433" t="s">
        <v>355</v>
      </c>
      <c r="H2433" t="s">
        <v>99</v>
      </c>
      <c r="I2433" t="s">
        <v>99</v>
      </c>
      <c r="J2433" t="s">
        <v>198</v>
      </c>
      <c r="K2433" t="s">
        <v>355</v>
      </c>
      <c r="L2433" t="s">
        <v>907</v>
      </c>
      <c r="M2433" t="s">
        <v>253</v>
      </c>
    </row>
    <row r="2434" spans="1:13" x14ac:dyDescent="0.3">
      <c r="A2434" t="s">
        <v>36</v>
      </c>
      <c r="B2434" t="s">
        <v>212</v>
      </c>
      <c r="C2434">
        <v>123</v>
      </c>
      <c r="D2434" t="s">
        <v>727</v>
      </c>
      <c r="E2434" t="s">
        <v>423</v>
      </c>
      <c r="F2434" t="s">
        <v>99</v>
      </c>
      <c r="G2434" t="s">
        <v>319</v>
      </c>
      <c r="H2434" t="s">
        <v>99</v>
      </c>
      <c r="I2434" t="s">
        <v>141</v>
      </c>
      <c r="J2434" t="s">
        <v>809</v>
      </c>
      <c r="K2434" t="s">
        <v>684</v>
      </c>
      <c r="L2434" t="s">
        <v>802</v>
      </c>
      <c r="M2434" t="s">
        <v>268</v>
      </c>
    </row>
    <row r="2435" spans="1:13" x14ac:dyDescent="0.3">
      <c r="A2435" t="s">
        <v>36</v>
      </c>
      <c r="B2435" t="s">
        <v>216</v>
      </c>
      <c r="C2435">
        <v>35</v>
      </c>
      <c r="D2435" t="s">
        <v>117</v>
      </c>
      <c r="E2435" t="s">
        <v>437</v>
      </c>
      <c r="F2435" t="s">
        <v>99</v>
      </c>
      <c r="G2435" t="s">
        <v>99</v>
      </c>
      <c r="H2435" t="s">
        <v>136</v>
      </c>
      <c r="I2435" t="s">
        <v>99</v>
      </c>
      <c r="J2435" t="s">
        <v>74</v>
      </c>
      <c r="K2435" t="s">
        <v>204</v>
      </c>
      <c r="L2435" t="s">
        <v>213</v>
      </c>
      <c r="M2435" t="s">
        <v>292</v>
      </c>
    </row>
    <row r="2436" spans="1:13" x14ac:dyDescent="0.3">
      <c r="A2436" t="s">
        <v>34</v>
      </c>
      <c r="B2436" t="s">
        <v>210</v>
      </c>
      <c r="C2436">
        <v>33</v>
      </c>
      <c r="D2436" t="s">
        <v>478</v>
      </c>
      <c r="E2436" t="s">
        <v>564</v>
      </c>
      <c r="F2436" t="s">
        <v>68</v>
      </c>
      <c r="G2436" t="s">
        <v>220</v>
      </c>
      <c r="H2436" t="s">
        <v>99</v>
      </c>
      <c r="I2436" t="s">
        <v>68</v>
      </c>
      <c r="J2436" t="s">
        <v>198</v>
      </c>
      <c r="K2436" t="s">
        <v>305</v>
      </c>
      <c r="L2436" t="s">
        <v>696</v>
      </c>
      <c r="M2436" t="s">
        <v>99</v>
      </c>
    </row>
    <row r="2437" spans="1:13" x14ac:dyDescent="0.3">
      <c r="A2437" t="s">
        <v>34</v>
      </c>
      <c r="B2437" t="s">
        <v>212</v>
      </c>
      <c r="C2437">
        <v>76</v>
      </c>
      <c r="D2437" t="s">
        <v>1185</v>
      </c>
      <c r="E2437" t="s">
        <v>40</v>
      </c>
      <c r="F2437" t="s">
        <v>99</v>
      </c>
      <c r="G2437" t="s">
        <v>99</v>
      </c>
      <c r="H2437" t="s">
        <v>712</v>
      </c>
      <c r="I2437" t="s">
        <v>99</v>
      </c>
      <c r="J2437" t="s">
        <v>113</v>
      </c>
      <c r="K2437" t="s">
        <v>145</v>
      </c>
      <c r="L2437" t="s">
        <v>676</v>
      </c>
      <c r="M2437" t="s">
        <v>382</v>
      </c>
    </row>
    <row r="2438" spans="1:13" s="5" customFormat="1" x14ac:dyDescent="0.3">
      <c r="A2438" s="5" t="s">
        <v>34</v>
      </c>
      <c r="B2438" s="5" t="s">
        <v>216</v>
      </c>
      <c r="C2438" s="5">
        <v>19</v>
      </c>
      <c r="D2438" s="5" t="s">
        <v>1148</v>
      </c>
      <c r="E2438" s="5" t="s">
        <v>1110</v>
      </c>
      <c r="F2438" s="5" t="s">
        <v>99</v>
      </c>
      <c r="G2438" s="5" t="s">
        <v>99</v>
      </c>
      <c r="H2438" s="5" t="s">
        <v>99</v>
      </c>
      <c r="I2438" s="5" t="s">
        <v>99</v>
      </c>
      <c r="J2438" s="5" t="s">
        <v>99</v>
      </c>
      <c r="K2438" s="5" t="s">
        <v>182</v>
      </c>
      <c r="L2438" s="5" t="s">
        <v>1045</v>
      </c>
      <c r="M2438" s="5" t="s">
        <v>325</v>
      </c>
    </row>
    <row r="2439" spans="1:13" s="5" customFormat="1" x14ac:dyDescent="0.3">
      <c r="A2439" s="5" t="s">
        <v>33</v>
      </c>
      <c r="B2439" s="5" t="s">
        <v>210</v>
      </c>
      <c r="C2439" s="5">
        <v>8</v>
      </c>
      <c r="D2439" s="5" t="s">
        <v>251</v>
      </c>
      <c r="E2439" s="5" t="s">
        <v>251</v>
      </c>
      <c r="F2439" s="5" t="s">
        <v>99</v>
      </c>
      <c r="G2439" s="5" t="s">
        <v>798</v>
      </c>
      <c r="H2439" s="5" t="s">
        <v>165</v>
      </c>
      <c r="I2439" s="5" t="s">
        <v>99</v>
      </c>
      <c r="J2439" s="5" t="s">
        <v>99</v>
      </c>
      <c r="K2439" s="5" t="s">
        <v>99</v>
      </c>
      <c r="L2439" s="5" t="s">
        <v>798</v>
      </c>
      <c r="M2439" s="5" t="s">
        <v>862</v>
      </c>
    </row>
    <row r="2440" spans="1:13" x14ac:dyDescent="0.3">
      <c r="A2440" t="s">
        <v>33</v>
      </c>
      <c r="B2440" t="s">
        <v>212</v>
      </c>
      <c r="C2440">
        <v>83</v>
      </c>
      <c r="D2440" t="s">
        <v>688</v>
      </c>
      <c r="E2440" t="s">
        <v>248</v>
      </c>
      <c r="F2440" t="s">
        <v>99</v>
      </c>
      <c r="G2440" t="s">
        <v>78</v>
      </c>
      <c r="H2440" t="s">
        <v>124</v>
      </c>
      <c r="I2440" t="s">
        <v>292</v>
      </c>
      <c r="J2440" t="s">
        <v>894</v>
      </c>
      <c r="K2440" t="s">
        <v>690</v>
      </c>
      <c r="L2440" t="s">
        <v>482</v>
      </c>
      <c r="M2440" t="s">
        <v>325</v>
      </c>
    </row>
    <row r="2441" spans="1:13" s="5" customFormat="1" x14ac:dyDescent="0.3">
      <c r="A2441" s="5" t="s">
        <v>33</v>
      </c>
      <c r="B2441" s="5" t="s">
        <v>216</v>
      </c>
      <c r="C2441" s="5">
        <v>6</v>
      </c>
      <c r="D2441" s="5" t="s">
        <v>99</v>
      </c>
      <c r="E2441" s="5" t="s">
        <v>99</v>
      </c>
      <c r="F2441" s="5" t="s">
        <v>99</v>
      </c>
      <c r="G2441" s="5" t="s">
        <v>700</v>
      </c>
      <c r="H2441" s="5" t="s">
        <v>99</v>
      </c>
      <c r="I2441" s="5" t="s">
        <v>99</v>
      </c>
      <c r="J2441" s="5" t="s">
        <v>99</v>
      </c>
      <c r="K2441" s="5" t="s">
        <v>56</v>
      </c>
      <c r="L2441" s="5" t="s">
        <v>955</v>
      </c>
      <c r="M2441" s="5" t="s">
        <v>99</v>
      </c>
    </row>
    <row r="2442" spans="1:13" x14ac:dyDescent="0.3">
      <c r="A2442" t="s">
        <v>49</v>
      </c>
      <c r="B2442" t="s">
        <v>210</v>
      </c>
      <c r="C2442">
        <v>108</v>
      </c>
      <c r="D2442" t="s">
        <v>705</v>
      </c>
      <c r="E2442" t="s">
        <v>224</v>
      </c>
      <c r="F2442" t="s">
        <v>103</v>
      </c>
      <c r="G2442" t="s">
        <v>369</v>
      </c>
      <c r="H2442" t="s">
        <v>132</v>
      </c>
      <c r="I2442" t="s">
        <v>316</v>
      </c>
      <c r="J2442" t="s">
        <v>714</v>
      </c>
      <c r="K2442" t="s">
        <v>70</v>
      </c>
      <c r="L2442" t="s">
        <v>513</v>
      </c>
      <c r="M2442" t="s">
        <v>118</v>
      </c>
    </row>
    <row r="2443" spans="1:13" x14ac:dyDescent="0.3">
      <c r="A2443" t="s">
        <v>49</v>
      </c>
      <c r="B2443" t="s">
        <v>212</v>
      </c>
      <c r="C2443">
        <v>561</v>
      </c>
      <c r="D2443" t="s">
        <v>370</v>
      </c>
      <c r="E2443" t="s">
        <v>688</v>
      </c>
      <c r="F2443" t="s">
        <v>198</v>
      </c>
      <c r="G2443" t="s">
        <v>129</v>
      </c>
      <c r="H2443" t="s">
        <v>103</v>
      </c>
      <c r="I2443" t="s">
        <v>253</v>
      </c>
      <c r="J2443" t="s">
        <v>1053</v>
      </c>
      <c r="K2443" t="s">
        <v>160</v>
      </c>
      <c r="L2443" t="s">
        <v>682</v>
      </c>
      <c r="M2443" t="s">
        <v>474</v>
      </c>
    </row>
    <row r="2444" spans="1:13" x14ac:dyDescent="0.3">
      <c r="A2444" t="s">
        <v>49</v>
      </c>
      <c r="B2444" t="s">
        <v>216</v>
      </c>
      <c r="C2444">
        <v>117</v>
      </c>
      <c r="D2444" t="s">
        <v>133</v>
      </c>
      <c r="E2444" t="s">
        <v>677</v>
      </c>
      <c r="F2444" t="s">
        <v>99</v>
      </c>
      <c r="G2444" t="s">
        <v>292</v>
      </c>
      <c r="H2444" t="s">
        <v>132</v>
      </c>
      <c r="I2444" t="s">
        <v>115</v>
      </c>
      <c r="J2444" t="s">
        <v>146</v>
      </c>
      <c r="K2444" t="s">
        <v>68</v>
      </c>
      <c r="L2444" t="s">
        <v>156</v>
      </c>
      <c r="M2444" t="s">
        <v>291</v>
      </c>
    </row>
    <row r="2446" spans="1:13" x14ac:dyDescent="0.3">
      <c r="A2446" t="s">
        <v>1211</v>
      </c>
    </row>
    <row r="2447" spans="1:13" x14ac:dyDescent="0.3">
      <c r="A2447" t="s">
        <v>44</v>
      </c>
      <c r="B2447" t="s">
        <v>388</v>
      </c>
      <c r="C2447" t="s">
        <v>32</v>
      </c>
      <c r="D2447" t="s">
        <v>1198</v>
      </c>
      <c r="E2447" t="s">
        <v>1199</v>
      </c>
      <c r="F2447" t="s">
        <v>1200</v>
      </c>
      <c r="G2447" t="s">
        <v>1201</v>
      </c>
      <c r="H2447" t="s">
        <v>1202</v>
      </c>
      <c r="I2447" t="s">
        <v>1031</v>
      </c>
      <c r="J2447" t="s">
        <v>1203</v>
      </c>
      <c r="K2447" t="s">
        <v>1204</v>
      </c>
      <c r="L2447" t="s">
        <v>979</v>
      </c>
      <c r="M2447" t="s">
        <v>1205</v>
      </c>
    </row>
    <row r="2448" spans="1:13" x14ac:dyDescent="0.3">
      <c r="A2448" t="s">
        <v>35</v>
      </c>
      <c r="B2448" t="s">
        <v>389</v>
      </c>
      <c r="C2448">
        <v>116</v>
      </c>
      <c r="D2448" t="s">
        <v>155</v>
      </c>
      <c r="E2448" t="s">
        <v>677</v>
      </c>
      <c r="F2448" t="s">
        <v>99</v>
      </c>
      <c r="G2448" t="s">
        <v>277</v>
      </c>
      <c r="H2448" t="s">
        <v>114</v>
      </c>
      <c r="I2448" t="s">
        <v>253</v>
      </c>
      <c r="J2448" t="s">
        <v>592</v>
      </c>
      <c r="K2448" t="s">
        <v>123</v>
      </c>
      <c r="L2448" t="s">
        <v>1094</v>
      </c>
      <c r="M2448" t="s">
        <v>206</v>
      </c>
    </row>
    <row r="2449" spans="1:13" s="5" customFormat="1" x14ac:dyDescent="0.3">
      <c r="A2449" s="5" t="s">
        <v>35</v>
      </c>
      <c r="B2449" s="5" t="s">
        <v>390</v>
      </c>
      <c r="C2449" s="5">
        <v>25</v>
      </c>
      <c r="D2449" s="5" t="s">
        <v>916</v>
      </c>
      <c r="E2449" s="5" t="s">
        <v>542</v>
      </c>
      <c r="F2449" s="5" t="s">
        <v>99</v>
      </c>
      <c r="G2449" s="5" t="s">
        <v>99</v>
      </c>
      <c r="H2449" s="5" t="s">
        <v>99</v>
      </c>
      <c r="I2449" s="5" t="s">
        <v>99</v>
      </c>
      <c r="J2449" s="5" t="s">
        <v>681</v>
      </c>
      <c r="K2449" s="5" t="s">
        <v>99</v>
      </c>
      <c r="L2449" s="5" t="s">
        <v>501</v>
      </c>
      <c r="M2449" s="5" t="s">
        <v>434</v>
      </c>
    </row>
    <row r="2450" spans="1:13" x14ac:dyDescent="0.3">
      <c r="A2450" t="s">
        <v>35</v>
      </c>
      <c r="B2450" t="s">
        <v>365</v>
      </c>
      <c r="C2450">
        <v>12</v>
      </c>
      <c r="D2450" t="s">
        <v>99</v>
      </c>
      <c r="E2450" t="s">
        <v>154</v>
      </c>
      <c r="F2450" t="s">
        <v>99</v>
      </c>
      <c r="G2450" t="s">
        <v>99</v>
      </c>
      <c r="H2450" t="s">
        <v>154</v>
      </c>
      <c r="I2450" t="s">
        <v>158</v>
      </c>
      <c r="J2450" t="s">
        <v>516</v>
      </c>
      <c r="K2450" t="s">
        <v>111</v>
      </c>
      <c r="L2450" t="s">
        <v>473</v>
      </c>
      <c r="M2450" t="s">
        <v>804</v>
      </c>
    </row>
    <row r="2451" spans="1:13" x14ac:dyDescent="0.3">
      <c r="A2451" t="s">
        <v>37</v>
      </c>
      <c r="B2451" t="s">
        <v>389</v>
      </c>
      <c r="C2451">
        <v>134</v>
      </c>
      <c r="D2451" t="s">
        <v>423</v>
      </c>
      <c r="E2451" t="s">
        <v>110</v>
      </c>
      <c r="F2451" t="s">
        <v>115</v>
      </c>
      <c r="G2451" t="s">
        <v>74</v>
      </c>
      <c r="H2451" t="s">
        <v>123</v>
      </c>
      <c r="I2451" t="s">
        <v>115</v>
      </c>
      <c r="J2451" t="s">
        <v>489</v>
      </c>
      <c r="K2451" t="s">
        <v>108</v>
      </c>
      <c r="L2451" t="s">
        <v>40</v>
      </c>
      <c r="M2451" t="s">
        <v>107</v>
      </c>
    </row>
    <row r="2452" spans="1:13" x14ac:dyDescent="0.3">
      <c r="A2452" t="s">
        <v>37</v>
      </c>
      <c r="B2452" t="s">
        <v>390</v>
      </c>
      <c r="C2452">
        <v>58</v>
      </c>
      <c r="D2452" t="s">
        <v>683</v>
      </c>
      <c r="E2452" t="s">
        <v>99</v>
      </c>
      <c r="F2452" t="s">
        <v>100</v>
      </c>
      <c r="G2452" t="s">
        <v>99</v>
      </c>
      <c r="H2452" t="s">
        <v>114</v>
      </c>
      <c r="I2452" t="s">
        <v>99</v>
      </c>
      <c r="J2452" t="s">
        <v>899</v>
      </c>
      <c r="K2452" t="s">
        <v>158</v>
      </c>
      <c r="L2452" t="s">
        <v>485</v>
      </c>
      <c r="M2452" t="s">
        <v>332</v>
      </c>
    </row>
    <row r="2453" spans="1:13" x14ac:dyDescent="0.3">
      <c r="A2453" t="s">
        <v>37</v>
      </c>
      <c r="B2453" t="s">
        <v>365</v>
      </c>
      <c r="C2453">
        <v>26</v>
      </c>
      <c r="D2453" t="s">
        <v>515</v>
      </c>
      <c r="E2453" t="s">
        <v>134</v>
      </c>
      <c r="F2453" t="s">
        <v>99</v>
      </c>
      <c r="G2453" t="s">
        <v>99</v>
      </c>
      <c r="H2453" t="s">
        <v>268</v>
      </c>
      <c r="I2453" t="s">
        <v>99</v>
      </c>
      <c r="J2453" t="s">
        <v>177</v>
      </c>
      <c r="K2453" t="s">
        <v>287</v>
      </c>
      <c r="L2453" t="s">
        <v>702</v>
      </c>
      <c r="M2453" t="s">
        <v>268</v>
      </c>
    </row>
    <row r="2454" spans="1:13" x14ac:dyDescent="0.3">
      <c r="A2454" t="s">
        <v>36</v>
      </c>
      <c r="B2454" t="s">
        <v>389</v>
      </c>
      <c r="C2454">
        <v>140</v>
      </c>
      <c r="D2454" t="s">
        <v>741</v>
      </c>
      <c r="E2454" t="s">
        <v>410</v>
      </c>
      <c r="F2454" t="s">
        <v>99</v>
      </c>
      <c r="G2454" t="s">
        <v>101</v>
      </c>
      <c r="H2454" t="s">
        <v>104</v>
      </c>
      <c r="I2454" t="s">
        <v>136</v>
      </c>
      <c r="J2454" t="s">
        <v>705</v>
      </c>
      <c r="K2454" t="s">
        <v>712</v>
      </c>
      <c r="L2454" t="s">
        <v>824</v>
      </c>
      <c r="M2454" t="s">
        <v>292</v>
      </c>
    </row>
    <row r="2455" spans="1:13" x14ac:dyDescent="0.3">
      <c r="A2455" t="s">
        <v>36</v>
      </c>
      <c r="B2455" t="s">
        <v>390</v>
      </c>
      <c r="C2455">
        <v>39</v>
      </c>
      <c r="D2455" t="s">
        <v>133</v>
      </c>
      <c r="E2455" t="s">
        <v>287</v>
      </c>
      <c r="F2455" t="s">
        <v>198</v>
      </c>
      <c r="G2455" t="s">
        <v>99</v>
      </c>
      <c r="H2455" t="s">
        <v>99</v>
      </c>
      <c r="I2455" t="s">
        <v>99</v>
      </c>
      <c r="J2455" t="s">
        <v>497</v>
      </c>
      <c r="K2455" t="s">
        <v>123</v>
      </c>
      <c r="L2455" t="s">
        <v>736</v>
      </c>
      <c r="M2455" t="s">
        <v>120</v>
      </c>
    </row>
    <row r="2456" spans="1:13" x14ac:dyDescent="0.3">
      <c r="A2456" t="s">
        <v>36</v>
      </c>
      <c r="B2456" t="s">
        <v>365</v>
      </c>
      <c r="C2456">
        <v>11</v>
      </c>
      <c r="D2456" t="s">
        <v>108</v>
      </c>
      <c r="E2456" t="s">
        <v>1122</v>
      </c>
      <c r="F2456" t="s">
        <v>99</v>
      </c>
      <c r="G2456" t="s">
        <v>309</v>
      </c>
      <c r="H2456" t="s">
        <v>99</v>
      </c>
      <c r="I2456" t="s">
        <v>99</v>
      </c>
      <c r="J2456" t="s">
        <v>99</v>
      </c>
      <c r="K2456" t="s">
        <v>513</v>
      </c>
      <c r="L2456" t="s">
        <v>184</v>
      </c>
      <c r="M2456" t="s">
        <v>99</v>
      </c>
    </row>
    <row r="2457" spans="1:13" x14ac:dyDescent="0.3">
      <c r="A2457" t="s">
        <v>34</v>
      </c>
      <c r="B2457" t="s">
        <v>389</v>
      </c>
      <c r="C2457">
        <v>93</v>
      </c>
      <c r="D2457" t="s">
        <v>668</v>
      </c>
      <c r="E2457" t="s">
        <v>344</v>
      </c>
      <c r="F2457" t="s">
        <v>117</v>
      </c>
      <c r="G2457" t="s">
        <v>117</v>
      </c>
      <c r="H2457" t="s">
        <v>105</v>
      </c>
      <c r="I2457" t="s">
        <v>117</v>
      </c>
      <c r="J2457" t="s">
        <v>112</v>
      </c>
      <c r="K2457" t="s">
        <v>804</v>
      </c>
      <c r="L2457" t="s">
        <v>690</v>
      </c>
      <c r="M2457" t="s">
        <v>123</v>
      </c>
    </row>
    <row r="2458" spans="1:13" s="5" customFormat="1" x14ac:dyDescent="0.3">
      <c r="A2458" s="5" t="s">
        <v>34</v>
      </c>
      <c r="B2458" s="5" t="s">
        <v>390</v>
      </c>
      <c r="C2458" s="5">
        <v>29</v>
      </c>
      <c r="D2458" s="5" t="s">
        <v>1077</v>
      </c>
      <c r="E2458" s="5" t="s">
        <v>1061</v>
      </c>
      <c r="F2458" s="5" t="s">
        <v>99</v>
      </c>
      <c r="G2458" s="5" t="s">
        <v>144</v>
      </c>
      <c r="H2458" s="5" t="s">
        <v>99</v>
      </c>
      <c r="I2458" s="5" t="s">
        <v>99</v>
      </c>
      <c r="J2458" s="5" t="s">
        <v>151</v>
      </c>
      <c r="K2458" s="5" t="s">
        <v>332</v>
      </c>
      <c r="L2458" s="5" t="s">
        <v>267</v>
      </c>
      <c r="M2458" s="5" t="s">
        <v>99</v>
      </c>
    </row>
    <row r="2459" spans="1:13" x14ac:dyDescent="0.3">
      <c r="A2459" t="s">
        <v>34</v>
      </c>
      <c r="B2459" t="s">
        <v>365</v>
      </c>
      <c r="C2459">
        <v>6</v>
      </c>
      <c r="D2459" t="s">
        <v>99</v>
      </c>
      <c r="E2459" t="s">
        <v>650</v>
      </c>
      <c r="F2459" t="s">
        <v>99</v>
      </c>
      <c r="G2459" t="s">
        <v>99</v>
      </c>
      <c r="H2459" t="s">
        <v>99</v>
      </c>
      <c r="I2459" t="s">
        <v>99</v>
      </c>
      <c r="J2459" t="s">
        <v>369</v>
      </c>
      <c r="K2459" t="s">
        <v>99</v>
      </c>
      <c r="L2459" t="s">
        <v>1112</v>
      </c>
      <c r="M2459" t="s">
        <v>133</v>
      </c>
    </row>
    <row r="2460" spans="1:13" x14ac:dyDescent="0.3">
      <c r="A2460" t="s">
        <v>33</v>
      </c>
      <c r="B2460" t="s">
        <v>389</v>
      </c>
      <c r="C2460">
        <v>71</v>
      </c>
      <c r="D2460" t="s">
        <v>746</v>
      </c>
      <c r="E2460" t="s">
        <v>150</v>
      </c>
      <c r="F2460" t="s">
        <v>99</v>
      </c>
      <c r="G2460" t="s">
        <v>710</v>
      </c>
      <c r="H2460" t="s">
        <v>254</v>
      </c>
      <c r="I2460" t="s">
        <v>103</v>
      </c>
      <c r="J2460" t="s">
        <v>811</v>
      </c>
      <c r="K2460" t="s">
        <v>442</v>
      </c>
      <c r="L2460" t="s">
        <v>689</v>
      </c>
      <c r="M2460" t="s">
        <v>122</v>
      </c>
    </row>
    <row r="2461" spans="1:13" s="5" customFormat="1" x14ac:dyDescent="0.3">
      <c r="A2461" s="5" t="s">
        <v>33</v>
      </c>
      <c r="B2461" s="5" t="s">
        <v>390</v>
      </c>
      <c r="C2461" s="5">
        <v>19</v>
      </c>
      <c r="D2461" s="5" t="s">
        <v>369</v>
      </c>
      <c r="E2461" s="5" t="s">
        <v>325</v>
      </c>
      <c r="F2461" s="5" t="s">
        <v>99</v>
      </c>
      <c r="G2461" s="5" t="s">
        <v>99</v>
      </c>
      <c r="H2461" s="5" t="s">
        <v>99</v>
      </c>
      <c r="I2461" s="5" t="s">
        <v>99</v>
      </c>
      <c r="J2461" s="5" t="s">
        <v>924</v>
      </c>
      <c r="K2461" s="5" t="s">
        <v>669</v>
      </c>
      <c r="L2461" s="5" t="s">
        <v>99</v>
      </c>
      <c r="M2461" s="5" t="s">
        <v>726</v>
      </c>
    </row>
    <row r="2462" spans="1:13" x14ac:dyDescent="0.3">
      <c r="A2462" t="s">
        <v>33</v>
      </c>
      <c r="B2462" t="s">
        <v>365</v>
      </c>
      <c r="C2462">
        <v>7</v>
      </c>
      <c r="D2462" t="s">
        <v>99</v>
      </c>
      <c r="E2462" t="s">
        <v>704</v>
      </c>
      <c r="F2462" t="s">
        <v>99</v>
      </c>
      <c r="G2462" t="s">
        <v>99</v>
      </c>
      <c r="H2462" t="s">
        <v>291</v>
      </c>
      <c r="I2462" t="s">
        <v>99</v>
      </c>
      <c r="J2462" t="s">
        <v>704</v>
      </c>
      <c r="K2462" t="s">
        <v>99</v>
      </c>
      <c r="L2462" t="s">
        <v>1151</v>
      </c>
      <c r="M2462" t="s">
        <v>99</v>
      </c>
    </row>
    <row r="2463" spans="1:13" x14ac:dyDescent="0.3">
      <c r="A2463" t="s">
        <v>49</v>
      </c>
      <c r="B2463" t="s">
        <v>389</v>
      </c>
      <c r="C2463">
        <v>554</v>
      </c>
      <c r="D2463" t="s">
        <v>482</v>
      </c>
      <c r="E2463" t="s">
        <v>264</v>
      </c>
      <c r="F2463" t="s">
        <v>141</v>
      </c>
      <c r="G2463" t="s">
        <v>98</v>
      </c>
      <c r="H2463" t="s">
        <v>111</v>
      </c>
      <c r="I2463" t="s">
        <v>100</v>
      </c>
      <c r="J2463" t="s">
        <v>529</v>
      </c>
      <c r="K2463" t="s">
        <v>144</v>
      </c>
      <c r="L2463" t="s">
        <v>1157</v>
      </c>
      <c r="M2463" t="s">
        <v>254</v>
      </c>
    </row>
    <row r="2464" spans="1:13" x14ac:dyDescent="0.3">
      <c r="A2464" t="s">
        <v>49</v>
      </c>
      <c r="B2464" t="s">
        <v>390</v>
      </c>
      <c r="C2464">
        <v>170</v>
      </c>
      <c r="D2464" t="s">
        <v>1053</v>
      </c>
      <c r="E2464" t="s">
        <v>167</v>
      </c>
      <c r="F2464" t="s">
        <v>141</v>
      </c>
      <c r="G2464" t="s">
        <v>319</v>
      </c>
      <c r="H2464" t="s">
        <v>136</v>
      </c>
      <c r="I2464" t="s">
        <v>99</v>
      </c>
      <c r="J2464" t="s">
        <v>828</v>
      </c>
      <c r="K2464" t="s">
        <v>78</v>
      </c>
      <c r="L2464" t="s">
        <v>751</v>
      </c>
      <c r="M2464" t="s">
        <v>130</v>
      </c>
    </row>
    <row r="2465" spans="1:13" x14ac:dyDescent="0.3">
      <c r="A2465" t="s">
        <v>49</v>
      </c>
      <c r="B2465" t="s">
        <v>365</v>
      </c>
      <c r="C2465">
        <v>62</v>
      </c>
      <c r="D2465" t="s">
        <v>175</v>
      </c>
      <c r="E2465" t="s">
        <v>911</v>
      </c>
      <c r="F2465" t="s">
        <v>99</v>
      </c>
      <c r="G2465" t="s">
        <v>712</v>
      </c>
      <c r="H2465" t="s">
        <v>147</v>
      </c>
      <c r="I2465" t="s">
        <v>101</v>
      </c>
      <c r="J2465" t="s">
        <v>749</v>
      </c>
      <c r="K2465" t="s">
        <v>470</v>
      </c>
      <c r="L2465" t="s">
        <v>140</v>
      </c>
      <c r="M2465" t="s">
        <v>130</v>
      </c>
    </row>
    <row r="2467" spans="1:13" x14ac:dyDescent="0.3">
      <c r="A2467" t="s">
        <v>1212</v>
      </c>
    </row>
    <row r="2468" spans="1:13" x14ac:dyDescent="0.3">
      <c r="A2468" t="s">
        <v>44</v>
      </c>
      <c r="B2468" t="s">
        <v>879</v>
      </c>
      <c r="C2468" t="s">
        <v>32</v>
      </c>
      <c r="D2468" t="s">
        <v>1198</v>
      </c>
      <c r="E2468" t="s">
        <v>1199</v>
      </c>
      <c r="F2468" t="s">
        <v>1200</v>
      </c>
      <c r="G2468" t="s">
        <v>1201</v>
      </c>
      <c r="H2468" t="s">
        <v>1202</v>
      </c>
      <c r="I2468" t="s">
        <v>1031</v>
      </c>
      <c r="J2468" t="s">
        <v>1203</v>
      </c>
      <c r="K2468" t="s">
        <v>1204</v>
      </c>
      <c r="L2468" t="s">
        <v>979</v>
      </c>
      <c r="M2468" t="s">
        <v>1205</v>
      </c>
    </row>
    <row r="2469" spans="1:13" s="5" customFormat="1" x14ac:dyDescent="0.3">
      <c r="A2469" s="5" t="s">
        <v>35</v>
      </c>
      <c r="B2469" s="5" t="s">
        <v>881</v>
      </c>
      <c r="C2469" s="5">
        <v>20</v>
      </c>
      <c r="D2469" s="5" t="s">
        <v>894</v>
      </c>
      <c r="E2469" s="5" t="s">
        <v>682</v>
      </c>
      <c r="F2469" s="5" t="s">
        <v>99</v>
      </c>
      <c r="G2469" s="5" t="s">
        <v>220</v>
      </c>
      <c r="H2469" s="5" t="s">
        <v>152</v>
      </c>
      <c r="I2469" s="5" t="s">
        <v>99</v>
      </c>
      <c r="J2469" s="5" t="s">
        <v>138</v>
      </c>
      <c r="K2469" s="5" t="s">
        <v>215</v>
      </c>
      <c r="L2469" s="5" t="s">
        <v>944</v>
      </c>
      <c r="M2469" s="5" t="s">
        <v>99</v>
      </c>
    </row>
    <row r="2470" spans="1:13" x14ac:dyDescent="0.3">
      <c r="A2470" t="s">
        <v>35</v>
      </c>
      <c r="B2470" t="s">
        <v>882</v>
      </c>
      <c r="C2470">
        <v>133</v>
      </c>
      <c r="D2470" t="s">
        <v>118</v>
      </c>
      <c r="E2470" t="s">
        <v>291</v>
      </c>
      <c r="F2470" t="s">
        <v>99</v>
      </c>
      <c r="G2470" t="s">
        <v>110</v>
      </c>
      <c r="H2470" t="s">
        <v>115</v>
      </c>
      <c r="I2470" t="s">
        <v>114</v>
      </c>
      <c r="J2470" t="s">
        <v>703</v>
      </c>
      <c r="K2470" t="s">
        <v>127</v>
      </c>
      <c r="L2470" t="s">
        <v>525</v>
      </c>
      <c r="M2470" t="s">
        <v>714</v>
      </c>
    </row>
    <row r="2471" spans="1:13" x14ac:dyDescent="0.3">
      <c r="A2471" t="s">
        <v>37</v>
      </c>
      <c r="B2471" t="s">
        <v>881</v>
      </c>
      <c r="C2471">
        <v>39</v>
      </c>
      <c r="D2471" t="s">
        <v>440</v>
      </c>
      <c r="E2471" t="s">
        <v>155</v>
      </c>
      <c r="F2471" t="s">
        <v>99</v>
      </c>
      <c r="G2471" t="s">
        <v>204</v>
      </c>
      <c r="H2471" t="s">
        <v>143</v>
      </c>
      <c r="I2471" t="s">
        <v>99</v>
      </c>
      <c r="J2471" t="s">
        <v>506</v>
      </c>
      <c r="K2471" t="s">
        <v>107</v>
      </c>
      <c r="L2471" t="s">
        <v>697</v>
      </c>
      <c r="M2471" t="s">
        <v>151</v>
      </c>
    </row>
    <row r="2472" spans="1:13" x14ac:dyDescent="0.3">
      <c r="A2472" t="s">
        <v>37</v>
      </c>
      <c r="B2472" t="s">
        <v>882</v>
      </c>
      <c r="C2472">
        <v>179</v>
      </c>
      <c r="D2472" t="s">
        <v>724</v>
      </c>
      <c r="E2472" t="s">
        <v>316</v>
      </c>
      <c r="F2472" t="s">
        <v>108</v>
      </c>
      <c r="G2472" t="s">
        <v>105</v>
      </c>
      <c r="H2472" t="s">
        <v>132</v>
      </c>
      <c r="I2472" t="s">
        <v>141</v>
      </c>
      <c r="J2472" t="s">
        <v>924</v>
      </c>
      <c r="K2472" t="s">
        <v>138</v>
      </c>
      <c r="L2472" t="s">
        <v>40</v>
      </c>
      <c r="M2472" t="s">
        <v>138</v>
      </c>
    </row>
    <row r="2473" spans="1:13" x14ac:dyDescent="0.3">
      <c r="A2473" t="s">
        <v>36</v>
      </c>
      <c r="B2473" t="s">
        <v>881</v>
      </c>
      <c r="C2473">
        <v>69</v>
      </c>
      <c r="D2473" t="s">
        <v>410</v>
      </c>
      <c r="E2473" t="s">
        <v>749</v>
      </c>
      <c r="F2473" t="s">
        <v>198</v>
      </c>
      <c r="G2473" t="s">
        <v>680</v>
      </c>
      <c r="H2473" t="s">
        <v>207</v>
      </c>
      <c r="I2473" t="s">
        <v>99</v>
      </c>
      <c r="J2473" t="s">
        <v>749</v>
      </c>
      <c r="K2473" t="s">
        <v>700</v>
      </c>
      <c r="L2473" t="s">
        <v>429</v>
      </c>
      <c r="M2473" t="s">
        <v>292</v>
      </c>
    </row>
    <row r="2474" spans="1:13" x14ac:dyDescent="0.3">
      <c r="A2474" t="s">
        <v>36</v>
      </c>
      <c r="B2474" t="s">
        <v>882</v>
      </c>
      <c r="C2474">
        <v>121</v>
      </c>
      <c r="D2474" t="s">
        <v>444</v>
      </c>
      <c r="E2474" t="s">
        <v>534</v>
      </c>
      <c r="F2474" t="s">
        <v>99</v>
      </c>
      <c r="G2474" t="s">
        <v>141</v>
      </c>
      <c r="H2474" t="s">
        <v>99</v>
      </c>
      <c r="I2474" t="s">
        <v>136</v>
      </c>
      <c r="J2474" t="s">
        <v>1044</v>
      </c>
      <c r="K2474" t="s">
        <v>154</v>
      </c>
      <c r="L2474" t="s">
        <v>944</v>
      </c>
      <c r="M2474" t="s">
        <v>123</v>
      </c>
    </row>
    <row r="2475" spans="1:13" x14ac:dyDescent="0.3">
      <c r="A2475" t="s">
        <v>34</v>
      </c>
      <c r="B2475" t="s">
        <v>881</v>
      </c>
      <c r="C2475">
        <v>52</v>
      </c>
      <c r="D2475" t="s">
        <v>610</v>
      </c>
      <c r="E2475" t="s">
        <v>936</v>
      </c>
      <c r="F2475" t="s">
        <v>99</v>
      </c>
      <c r="G2475" t="s">
        <v>134</v>
      </c>
      <c r="H2475" t="s">
        <v>99</v>
      </c>
      <c r="I2475" t="s">
        <v>99</v>
      </c>
      <c r="J2475" t="s">
        <v>139</v>
      </c>
      <c r="K2475" t="s">
        <v>99</v>
      </c>
      <c r="L2475" t="s">
        <v>798</v>
      </c>
      <c r="M2475" t="s">
        <v>99</v>
      </c>
    </row>
    <row r="2476" spans="1:13" x14ac:dyDescent="0.3">
      <c r="A2476" t="s">
        <v>34</v>
      </c>
      <c r="B2476" t="s">
        <v>882</v>
      </c>
      <c r="C2476">
        <v>76</v>
      </c>
      <c r="D2476" t="s">
        <v>678</v>
      </c>
      <c r="E2476" t="s">
        <v>1206</v>
      </c>
      <c r="F2476" t="s">
        <v>147</v>
      </c>
      <c r="G2476" t="s">
        <v>147</v>
      </c>
      <c r="H2476" t="s">
        <v>118</v>
      </c>
      <c r="I2476" t="s">
        <v>147</v>
      </c>
      <c r="J2476" t="s">
        <v>118</v>
      </c>
      <c r="K2476" t="s">
        <v>368</v>
      </c>
      <c r="L2476" t="s">
        <v>803</v>
      </c>
      <c r="M2476" t="s">
        <v>105</v>
      </c>
    </row>
    <row r="2477" spans="1:13" s="5" customFormat="1" x14ac:dyDescent="0.3">
      <c r="A2477" s="5" t="s">
        <v>33</v>
      </c>
      <c r="B2477" s="5" t="s">
        <v>881</v>
      </c>
      <c r="C2477" s="5">
        <v>25</v>
      </c>
      <c r="D2477" s="5" t="s">
        <v>347</v>
      </c>
      <c r="E2477" s="5" t="s">
        <v>147</v>
      </c>
      <c r="F2477" s="5" t="s">
        <v>99</v>
      </c>
      <c r="G2477" s="5" t="s">
        <v>218</v>
      </c>
      <c r="H2477" s="5" t="s">
        <v>401</v>
      </c>
      <c r="I2477" s="5" t="s">
        <v>474</v>
      </c>
      <c r="J2477" s="5" t="s">
        <v>99</v>
      </c>
      <c r="K2477" s="5" t="s">
        <v>1209</v>
      </c>
      <c r="L2477" s="5" t="s">
        <v>737</v>
      </c>
      <c r="M2477" s="5" t="s">
        <v>332</v>
      </c>
    </row>
    <row r="2478" spans="1:13" x14ac:dyDescent="0.3">
      <c r="A2478" t="s">
        <v>33</v>
      </c>
      <c r="B2478" t="s">
        <v>882</v>
      </c>
      <c r="C2478">
        <v>72</v>
      </c>
      <c r="D2478" t="s">
        <v>204</v>
      </c>
      <c r="E2478" t="s">
        <v>182</v>
      </c>
      <c r="F2478" t="s">
        <v>99</v>
      </c>
      <c r="G2478" t="s">
        <v>679</v>
      </c>
      <c r="H2478" t="s">
        <v>149</v>
      </c>
      <c r="I2478" t="s">
        <v>108</v>
      </c>
      <c r="J2478" t="s">
        <v>446</v>
      </c>
      <c r="K2478" t="s">
        <v>811</v>
      </c>
      <c r="L2478" t="s">
        <v>301</v>
      </c>
      <c r="M2478" t="s">
        <v>804</v>
      </c>
    </row>
    <row r="2479" spans="1:13" x14ac:dyDescent="0.3">
      <c r="A2479" t="s">
        <v>49</v>
      </c>
      <c r="B2479" t="s">
        <v>881</v>
      </c>
      <c r="C2479">
        <v>205</v>
      </c>
      <c r="D2479" t="s">
        <v>699</v>
      </c>
      <c r="E2479" t="s">
        <v>307</v>
      </c>
      <c r="F2479" t="s">
        <v>99</v>
      </c>
      <c r="G2479" t="s">
        <v>248</v>
      </c>
      <c r="H2479" t="s">
        <v>155</v>
      </c>
      <c r="I2479" t="s">
        <v>132</v>
      </c>
      <c r="J2479" t="s">
        <v>175</v>
      </c>
      <c r="K2479" t="s">
        <v>142</v>
      </c>
      <c r="L2479" t="s">
        <v>437</v>
      </c>
      <c r="M2479" t="s">
        <v>319</v>
      </c>
    </row>
    <row r="2480" spans="1:13" x14ac:dyDescent="0.3">
      <c r="A2480" t="s">
        <v>49</v>
      </c>
      <c r="B2480" t="s">
        <v>882</v>
      </c>
      <c r="C2480">
        <v>581</v>
      </c>
      <c r="D2480" t="s">
        <v>267</v>
      </c>
      <c r="E2480" t="s">
        <v>721</v>
      </c>
      <c r="F2480" t="s">
        <v>253</v>
      </c>
      <c r="G2480" t="s">
        <v>154</v>
      </c>
      <c r="H2480" t="s">
        <v>126</v>
      </c>
      <c r="I2480" t="s">
        <v>114</v>
      </c>
      <c r="J2480" t="s">
        <v>58</v>
      </c>
      <c r="K2480" t="s">
        <v>204</v>
      </c>
      <c r="L2480" t="s">
        <v>429</v>
      </c>
      <c r="M2480" t="s">
        <v>152</v>
      </c>
    </row>
    <row r="2482" spans="1:13" x14ac:dyDescent="0.3">
      <c r="A2482" t="s">
        <v>1213</v>
      </c>
    </row>
    <row r="2483" spans="1:13" x14ac:dyDescent="0.3">
      <c r="A2483" t="s">
        <v>44</v>
      </c>
      <c r="B2483" t="s">
        <v>257</v>
      </c>
      <c r="C2483" t="s">
        <v>32</v>
      </c>
      <c r="D2483" t="s">
        <v>1198</v>
      </c>
      <c r="E2483" t="s">
        <v>1199</v>
      </c>
      <c r="F2483" t="s">
        <v>1200</v>
      </c>
      <c r="G2483" t="s">
        <v>1201</v>
      </c>
      <c r="H2483" t="s">
        <v>1202</v>
      </c>
      <c r="I2483" t="s">
        <v>1031</v>
      </c>
      <c r="J2483" t="s">
        <v>1203</v>
      </c>
      <c r="K2483" t="s">
        <v>1204</v>
      </c>
      <c r="L2483" t="s">
        <v>979</v>
      </c>
      <c r="M2483" t="s">
        <v>1205</v>
      </c>
    </row>
    <row r="2484" spans="1:13" x14ac:dyDescent="0.3">
      <c r="A2484" t="s">
        <v>35</v>
      </c>
      <c r="B2484" t="s">
        <v>258</v>
      </c>
      <c r="C2484">
        <v>141</v>
      </c>
      <c r="D2484" t="s">
        <v>112</v>
      </c>
      <c r="E2484" t="s">
        <v>125</v>
      </c>
      <c r="F2484" t="s">
        <v>99</v>
      </c>
      <c r="G2484" t="s">
        <v>149</v>
      </c>
      <c r="H2484" t="s">
        <v>121</v>
      </c>
      <c r="I2484" t="s">
        <v>114</v>
      </c>
      <c r="J2484" t="s">
        <v>1214</v>
      </c>
      <c r="K2484" t="s">
        <v>319</v>
      </c>
      <c r="L2484" t="s">
        <v>224</v>
      </c>
      <c r="M2484" t="s">
        <v>714</v>
      </c>
    </row>
    <row r="2485" spans="1:13" s="5" customFormat="1" x14ac:dyDescent="0.3">
      <c r="A2485" s="5" t="s">
        <v>35</v>
      </c>
      <c r="B2485" s="5" t="s">
        <v>260</v>
      </c>
      <c r="C2485" s="5">
        <v>12</v>
      </c>
      <c r="D2485" s="5" t="s">
        <v>372</v>
      </c>
      <c r="E2485" s="5" t="s">
        <v>1215</v>
      </c>
      <c r="F2485" s="5" t="s">
        <v>99</v>
      </c>
      <c r="G2485" s="5" t="s">
        <v>99</v>
      </c>
      <c r="H2485" s="5" t="s">
        <v>99</v>
      </c>
      <c r="I2485" s="5" t="s">
        <v>99</v>
      </c>
      <c r="J2485" s="5" t="s">
        <v>99</v>
      </c>
      <c r="K2485" s="5" t="s">
        <v>254</v>
      </c>
      <c r="L2485" s="5" t="s">
        <v>745</v>
      </c>
      <c r="M2485" s="5" t="s">
        <v>99</v>
      </c>
    </row>
    <row r="2486" spans="1:13" x14ac:dyDescent="0.3">
      <c r="A2486" t="s">
        <v>37</v>
      </c>
      <c r="B2486" t="s">
        <v>258</v>
      </c>
      <c r="C2486">
        <v>218</v>
      </c>
      <c r="D2486" t="s">
        <v>665</v>
      </c>
      <c r="E2486" t="s">
        <v>128</v>
      </c>
      <c r="F2486" t="s">
        <v>132</v>
      </c>
      <c r="G2486" t="s">
        <v>134</v>
      </c>
      <c r="H2486" t="s">
        <v>215</v>
      </c>
      <c r="I2486" t="s">
        <v>136</v>
      </c>
      <c r="J2486" t="s">
        <v>940</v>
      </c>
      <c r="K2486" t="s">
        <v>138</v>
      </c>
      <c r="L2486" t="s">
        <v>920</v>
      </c>
      <c r="M2486" t="s">
        <v>157</v>
      </c>
    </row>
    <row r="2487" spans="1:13" x14ac:dyDescent="0.3">
      <c r="A2487" t="s">
        <v>36</v>
      </c>
      <c r="B2487" t="s">
        <v>258</v>
      </c>
      <c r="C2487">
        <v>164</v>
      </c>
      <c r="D2487" t="s">
        <v>357</v>
      </c>
      <c r="E2487" t="s">
        <v>1059</v>
      </c>
      <c r="F2487" t="s">
        <v>99</v>
      </c>
      <c r="G2487" t="s">
        <v>332</v>
      </c>
      <c r="H2487" t="s">
        <v>99</v>
      </c>
      <c r="I2487" t="s">
        <v>207</v>
      </c>
      <c r="J2487" t="s">
        <v>743</v>
      </c>
      <c r="K2487" t="s">
        <v>150</v>
      </c>
      <c r="L2487" t="s">
        <v>146</v>
      </c>
      <c r="M2487" t="s">
        <v>123</v>
      </c>
    </row>
    <row r="2488" spans="1:13" s="5" customFormat="1" x14ac:dyDescent="0.3">
      <c r="A2488" s="5" t="s">
        <v>36</v>
      </c>
      <c r="B2488" s="5" t="s">
        <v>260</v>
      </c>
      <c r="C2488" s="5">
        <v>26</v>
      </c>
      <c r="D2488" s="5" t="s">
        <v>491</v>
      </c>
      <c r="E2488" s="5" t="s">
        <v>692</v>
      </c>
      <c r="F2488" s="5" t="s">
        <v>118</v>
      </c>
      <c r="G2488" s="5" t="s">
        <v>118</v>
      </c>
      <c r="H2488" s="5" t="s">
        <v>78</v>
      </c>
      <c r="I2488" s="5" t="s">
        <v>99</v>
      </c>
      <c r="J2488" s="5" t="s">
        <v>78</v>
      </c>
      <c r="K2488" s="5" t="s">
        <v>78</v>
      </c>
      <c r="L2488" s="5" t="s">
        <v>728</v>
      </c>
      <c r="M2488" s="5" t="s">
        <v>118</v>
      </c>
    </row>
    <row r="2489" spans="1:13" x14ac:dyDescent="0.3">
      <c r="A2489" t="s">
        <v>34</v>
      </c>
      <c r="B2489" t="s">
        <v>258</v>
      </c>
      <c r="C2489">
        <v>75</v>
      </c>
      <c r="D2489" t="s">
        <v>369</v>
      </c>
      <c r="E2489" t="s">
        <v>1108</v>
      </c>
      <c r="F2489" t="s">
        <v>99</v>
      </c>
      <c r="G2489" t="s">
        <v>99</v>
      </c>
      <c r="H2489" t="s">
        <v>135</v>
      </c>
      <c r="I2489" t="s">
        <v>99</v>
      </c>
      <c r="J2489" t="s">
        <v>746</v>
      </c>
      <c r="K2489" t="s">
        <v>679</v>
      </c>
      <c r="L2489" t="s">
        <v>700</v>
      </c>
      <c r="M2489" t="s">
        <v>112</v>
      </c>
    </row>
    <row r="2490" spans="1:13" x14ac:dyDescent="0.3">
      <c r="A2490" t="s">
        <v>34</v>
      </c>
      <c r="B2490" t="s">
        <v>260</v>
      </c>
      <c r="C2490">
        <v>53</v>
      </c>
      <c r="D2490" t="s">
        <v>506</v>
      </c>
      <c r="E2490" t="s">
        <v>729</v>
      </c>
      <c r="F2490" t="s">
        <v>117</v>
      </c>
      <c r="G2490" t="s">
        <v>149</v>
      </c>
      <c r="H2490" t="s">
        <v>99</v>
      </c>
      <c r="I2490" t="s">
        <v>117</v>
      </c>
      <c r="J2490" t="s">
        <v>99</v>
      </c>
      <c r="K2490" t="s">
        <v>679</v>
      </c>
      <c r="L2490" t="s">
        <v>517</v>
      </c>
      <c r="M2490" t="s">
        <v>253</v>
      </c>
    </row>
    <row r="2491" spans="1:13" x14ac:dyDescent="0.3">
      <c r="A2491" t="s">
        <v>33</v>
      </c>
      <c r="B2491" t="s">
        <v>258</v>
      </c>
      <c r="C2491">
        <v>97</v>
      </c>
      <c r="D2491" t="s">
        <v>289</v>
      </c>
      <c r="E2491" t="s">
        <v>184</v>
      </c>
      <c r="F2491" t="s">
        <v>99</v>
      </c>
      <c r="G2491" t="s">
        <v>41</v>
      </c>
      <c r="H2491" t="s">
        <v>468</v>
      </c>
      <c r="I2491" t="s">
        <v>127</v>
      </c>
      <c r="J2491" t="s">
        <v>442</v>
      </c>
      <c r="K2491" t="s">
        <v>131</v>
      </c>
      <c r="L2491" t="s">
        <v>811</v>
      </c>
      <c r="M2491" t="s">
        <v>299</v>
      </c>
    </row>
    <row r="2492" spans="1:13" x14ac:dyDescent="0.3">
      <c r="A2492" t="s">
        <v>49</v>
      </c>
      <c r="B2492" t="s">
        <v>258</v>
      </c>
      <c r="C2492">
        <v>695</v>
      </c>
      <c r="D2492" t="s">
        <v>76</v>
      </c>
      <c r="E2492" t="s">
        <v>179</v>
      </c>
      <c r="F2492" t="s">
        <v>198</v>
      </c>
      <c r="G2492" t="s">
        <v>139</v>
      </c>
      <c r="H2492" t="s">
        <v>111</v>
      </c>
      <c r="I2492" t="s">
        <v>132</v>
      </c>
      <c r="J2492" t="s">
        <v>1157</v>
      </c>
      <c r="K2492" t="s">
        <v>663</v>
      </c>
      <c r="L2492" t="s">
        <v>519</v>
      </c>
      <c r="M2492" t="s">
        <v>663</v>
      </c>
    </row>
    <row r="2493" spans="1:13" x14ac:dyDescent="0.3">
      <c r="A2493" t="s">
        <v>49</v>
      </c>
      <c r="B2493" t="s">
        <v>260</v>
      </c>
      <c r="C2493">
        <v>91</v>
      </c>
      <c r="D2493" t="s">
        <v>102</v>
      </c>
      <c r="E2493" t="s">
        <v>102</v>
      </c>
      <c r="F2493" t="s">
        <v>151</v>
      </c>
      <c r="G2493" t="s">
        <v>129</v>
      </c>
      <c r="H2493" t="s">
        <v>104</v>
      </c>
      <c r="I2493" t="s">
        <v>151</v>
      </c>
      <c r="J2493" t="s">
        <v>104</v>
      </c>
      <c r="K2493" t="s">
        <v>122</v>
      </c>
      <c r="L2493" t="s">
        <v>451</v>
      </c>
      <c r="M2493" t="s">
        <v>141</v>
      </c>
    </row>
    <row r="2495" spans="1:13" x14ac:dyDescent="0.3">
      <c r="A2495" t="s">
        <v>1216</v>
      </c>
    </row>
    <row r="2496" spans="1:13" x14ac:dyDescent="0.3">
      <c r="A2496" t="s">
        <v>44</v>
      </c>
      <c r="B2496" t="s">
        <v>32</v>
      </c>
      <c r="C2496" t="s">
        <v>1217</v>
      </c>
      <c r="D2496" t="s">
        <v>1218</v>
      </c>
      <c r="E2496" t="s">
        <v>1219</v>
      </c>
      <c r="F2496" t="s">
        <v>1220</v>
      </c>
      <c r="G2496" t="s">
        <v>193</v>
      </c>
      <c r="H2496" t="s">
        <v>1221</v>
      </c>
      <c r="I2496" t="s">
        <v>88</v>
      </c>
    </row>
    <row r="2497" spans="1:10" x14ac:dyDescent="0.3">
      <c r="A2497" t="s">
        <v>35</v>
      </c>
      <c r="B2497">
        <v>3145</v>
      </c>
      <c r="C2497" t="s">
        <v>1049</v>
      </c>
      <c r="D2497" t="s">
        <v>253</v>
      </c>
      <c r="E2497" t="s">
        <v>570</v>
      </c>
      <c r="F2497" t="s">
        <v>115</v>
      </c>
      <c r="G2497" t="s">
        <v>99</v>
      </c>
      <c r="H2497" t="s">
        <v>99</v>
      </c>
      <c r="I2497" t="s">
        <v>136</v>
      </c>
    </row>
    <row r="2498" spans="1:10" x14ac:dyDescent="0.3">
      <c r="A2498" t="s">
        <v>37</v>
      </c>
      <c r="B2498">
        <v>3854</v>
      </c>
      <c r="C2498" t="s">
        <v>833</v>
      </c>
      <c r="D2498" t="s">
        <v>115</v>
      </c>
      <c r="E2498" t="s">
        <v>535</v>
      </c>
      <c r="F2498" t="s">
        <v>99</v>
      </c>
      <c r="G2498" t="s">
        <v>99</v>
      </c>
      <c r="H2498" t="s">
        <v>99</v>
      </c>
      <c r="I2498" t="s">
        <v>104</v>
      </c>
    </row>
    <row r="2499" spans="1:10" x14ac:dyDescent="0.3">
      <c r="A2499" t="s">
        <v>36</v>
      </c>
      <c r="B2499">
        <v>2305</v>
      </c>
      <c r="C2499" t="s">
        <v>1222</v>
      </c>
      <c r="D2499" t="s">
        <v>101</v>
      </c>
      <c r="E2499" t="s">
        <v>533</v>
      </c>
      <c r="F2499" t="s">
        <v>207</v>
      </c>
      <c r="G2499" t="s">
        <v>99</v>
      </c>
      <c r="H2499" t="s">
        <v>99</v>
      </c>
      <c r="I2499" t="s">
        <v>207</v>
      </c>
    </row>
    <row r="2500" spans="1:10" x14ac:dyDescent="0.3">
      <c r="A2500" t="s">
        <v>34</v>
      </c>
      <c r="B2500">
        <v>2080</v>
      </c>
      <c r="C2500" t="s">
        <v>913</v>
      </c>
      <c r="D2500" t="s">
        <v>121</v>
      </c>
      <c r="E2500" t="s">
        <v>1223</v>
      </c>
      <c r="F2500" t="s">
        <v>99</v>
      </c>
      <c r="G2500" t="s">
        <v>104</v>
      </c>
      <c r="H2500" t="s">
        <v>99</v>
      </c>
      <c r="I2500" t="s">
        <v>99</v>
      </c>
    </row>
    <row r="2501" spans="1:10" x14ac:dyDescent="0.3">
      <c r="A2501" t="s">
        <v>33</v>
      </c>
      <c r="B2501">
        <v>1937</v>
      </c>
      <c r="C2501" t="s">
        <v>307</v>
      </c>
      <c r="D2501" t="s">
        <v>115</v>
      </c>
      <c r="E2501" t="s">
        <v>518</v>
      </c>
      <c r="F2501" t="s">
        <v>104</v>
      </c>
      <c r="G2501" t="s">
        <v>99</v>
      </c>
      <c r="H2501" t="s">
        <v>99</v>
      </c>
      <c r="I2501" t="s">
        <v>99</v>
      </c>
    </row>
    <row r="2502" spans="1:10" x14ac:dyDescent="0.3">
      <c r="A2502" t="s">
        <v>49</v>
      </c>
      <c r="B2502">
        <v>13321</v>
      </c>
      <c r="C2502" t="s">
        <v>56</v>
      </c>
      <c r="D2502" t="s">
        <v>132</v>
      </c>
      <c r="E2502" t="s">
        <v>1224</v>
      </c>
      <c r="F2502" t="s">
        <v>207</v>
      </c>
      <c r="G2502" t="s">
        <v>99</v>
      </c>
      <c r="H2502" t="s">
        <v>99</v>
      </c>
      <c r="I2502" t="s">
        <v>198</v>
      </c>
    </row>
    <row r="2504" spans="1:10" x14ac:dyDescent="0.3">
      <c r="A2504" t="s">
        <v>1225</v>
      </c>
    </row>
    <row r="2505" spans="1:10" x14ac:dyDescent="0.3">
      <c r="A2505" t="s">
        <v>44</v>
      </c>
      <c r="B2505" t="s">
        <v>361</v>
      </c>
      <c r="C2505" t="s">
        <v>32</v>
      </c>
      <c r="D2505" t="s">
        <v>1217</v>
      </c>
      <c r="E2505" t="s">
        <v>1218</v>
      </c>
      <c r="F2505" t="s">
        <v>1219</v>
      </c>
      <c r="G2505" t="s">
        <v>1220</v>
      </c>
      <c r="H2505" t="s">
        <v>193</v>
      </c>
      <c r="I2505" t="s">
        <v>88</v>
      </c>
      <c r="J2505" t="s">
        <v>1221</v>
      </c>
    </row>
    <row r="2506" spans="1:10" x14ac:dyDescent="0.3">
      <c r="A2506" t="s">
        <v>35</v>
      </c>
      <c r="B2506" t="s">
        <v>339</v>
      </c>
      <c r="C2506">
        <v>890</v>
      </c>
      <c r="D2506" t="s">
        <v>904</v>
      </c>
      <c r="E2506" t="s">
        <v>141</v>
      </c>
      <c r="F2506" t="s">
        <v>621</v>
      </c>
      <c r="G2506" t="s">
        <v>99</v>
      </c>
      <c r="H2506" t="s">
        <v>99</v>
      </c>
      <c r="I2506" t="s">
        <v>132</v>
      </c>
      <c r="J2506" t="s">
        <v>99</v>
      </c>
    </row>
    <row r="2507" spans="1:10" x14ac:dyDescent="0.3">
      <c r="A2507" t="s">
        <v>35</v>
      </c>
      <c r="B2507" t="s">
        <v>340</v>
      </c>
      <c r="C2507">
        <v>2215</v>
      </c>
      <c r="D2507" t="s">
        <v>622</v>
      </c>
      <c r="E2507" t="s">
        <v>253</v>
      </c>
      <c r="F2507" t="s">
        <v>538</v>
      </c>
      <c r="G2507" t="s">
        <v>114</v>
      </c>
      <c r="H2507" t="s">
        <v>104</v>
      </c>
      <c r="I2507" t="s">
        <v>207</v>
      </c>
      <c r="J2507" t="s">
        <v>99</v>
      </c>
    </row>
    <row r="2508" spans="1:10" x14ac:dyDescent="0.3">
      <c r="A2508" t="s">
        <v>35</v>
      </c>
      <c r="B2508" t="s">
        <v>365</v>
      </c>
      <c r="C2508">
        <v>40</v>
      </c>
      <c r="D2508" t="s">
        <v>539</v>
      </c>
      <c r="E2508" t="s">
        <v>99</v>
      </c>
      <c r="F2508" t="s">
        <v>538</v>
      </c>
      <c r="G2508" t="s">
        <v>99</v>
      </c>
      <c r="H2508" t="s">
        <v>99</v>
      </c>
      <c r="I2508" t="s">
        <v>99</v>
      </c>
      <c r="J2508" t="s">
        <v>99</v>
      </c>
    </row>
    <row r="2509" spans="1:10" x14ac:dyDescent="0.3">
      <c r="A2509" t="s">
        <v>37</v>
      </c>
      <c r="B2509" t="s">
        <v>339</v>
      </c>
      <c r="C2509">
        <v>1093</v>
      </c>
      <c r="D2509" t="s">
        <v>718</v>
      </c>
      <c r="E2509" t="s">
        <v>108</v>
      </c>
      <c r="F2509" t="s">
        <v>1226</v>
      </c>
      <c r="G2509" t="s">
        <v>104</v>
      </c>
      <c r="H2509" t="s">
        <v>99</v>
      </c>
      <c r="I2509" t="s">
        <v>99</v>
      </c>
      <c r="J2509" t="s">
        <v>99</v>
      </c>
    </row>
    <row r="2510" spans="1:10" x14ac:dyDescent="0.3">
      <c r="A2510" t="s">
        <v>37</v>
      </c>
      <c r="B2510" t="s">
        <v>340</v>
      </c>
      <c r="C2510">
        <v>2720</v>
      </c>
      <c r="D2510" t="s">
        <v>711</v>
      </c>
      <c r="E2510" t="s">
        <v>141</v>
      </c>
      <c r="F2510" t="s">
        <v>1056</v>
      </c>
      <c r="G2510" t="s">
        <v>99</v>
      </c>
      <c r="H2510" t="s">
        <v>99</v>
      </c>
      <c r="I2510" t="s">
        <v>104</v>
      </c>
      <c r="J2510" t="s">
        <v>99</v>
      </c>
    </row>
    <row r="2511" spans="1:10" x14ac:dyDescent="0.3">
      <c r="A2511" t="s">
        <v>37</v>
      </c>
      <c r="B2511" t="s">
        <v>365</v>
      </c>
      <c r="C2511">
        <v>41</v>
      </c>
      <c r="D2511" t="s">
        <v>39</v>
      </c>
      <c r="E2511" t="s">
        <v>663</v>
      </c>
      <c r="F2511" t="s">
        <v>861</v>
      </c>
      <c r="G2511" t="s">
        <v>99</v>
      </c>
      <c r="H2511" t="s">
        <v>99</v>
      </c>
      <c r="I2511" t="s">
        <v>99</v>
      </c>
      <c r="J2511" t="s">
        <v>99</v>
      </c>
    </row>
    <row r="2512" spans="1:10" x14ac:dyDescent="0.3">
      <c r="A2512" t="s">
        <v>36</v>
      </c>
      <c r="B2512" t="s">
        <v>339</v>
      </c>
      <c r="C2512">
        <v>770</v>
      </c>
      <c r="D2512" t="s">
        <v>580</v>
      </c>
      <c r="E2512" t="s">
        <v>319</v>
      </c>
      <c r="F2512" t="s">
        <v>1227</v>
      </c>
      <c r="G2512" t="s">
        <v>99</v>
      </c>
      <c r="H2512" t="s">
        <v>99</v>
      </c>
      <c r="I2512" t="s">
        <v>132</v>
      </c>
      <c r="J2512" t="s">
        <v>99</v>
      </c>
    </row>
    <row r="2513" spans="1:10" x14ac:dyDescent="0.3">
      <c r="A2513" t="s">
        <v>36</v>
      </c>
      <c r="B2513" t="s">
        <v>340</v>
      </c>
      <c r="C2513">
        <v>1472</v>
      </c>
      <c r="D2513" t="s">
        <v>725</v>
      </c>
      <c r="E2513" t="s">
        <v>101</v>
      </c>
      <c r="F2513" t="s">
        <v>800</v>
      </c>
      <c r="G2513" t="s">
        <v>136</v>
      </c>
      <c r="H2513" t="s">
        <v>99</v>
      </c>
      <c r="I2513" t="s">
        <v>104</v>
      </c>
      <c r="J2513" t="s">
        <v>99</v>
      </c>
    </row>
    <row r="2514" spans="1:10" x14ac:dyDescent="0.3">
      <c r="A2514" t="s">
        <v>36</v>
      </c>
      <c r="B2514" t="s">
        <v>365</v>
      </c>
      <c r="C2514">
        <v>63</v>
      </c>
      <c r="D2514" t="s">
        <v>355</v>
      </c>
      <c r="E2514" t="s">
        <v>99</v>
      </c>
      <c r="F2514" t="s">
        <v>288</v>
      </c>
      <c r="G2514" t="s">
        <v>99</v>
      </c>
      <c r="H2514" t="s">
        <v>99</v>
      </c>
      <c r="I2514" t="s">
        <v>99</v>
      </c>
      <c r="J2514" t="s">
        <v>99</v>
      </c>
    </row>
    <row r="2515" spans="1:10" x14ac:dyDescent="0.3">
      <c r="A2515" t="s">
        <v>34</v>
      </c>
      <c r="B2515" t="s">
        <v>339</v>
      </c>
      <c r="C2515">
        <v>555</v>
      </c>
      <c r="D2515" t="s">
        <v>666</v>
      </c>
      <c r="E2515" t="s">
        <v>215</v>
      </c>
      <c r="F2515" t="s">
        <v>648</v>
      </c>
      <c r="G2515" t="s">
        <v>99</v>
      </c>
      <c r="H2515" t="s">
        <v>207</v>
      </c>
      <c r="I2515" t="s">
        <v>99</v>
      </c>
      <c r="J2515" t="s">
        <v>99</v>
      </c>
    </row>
    <row r="2516" spans="1:10" x14ac:dyDescent="0.3">
      <c r="A2516" t="s">
        <v>34</v>
      </c>
      <c r="B2516" t="s">
        <v>340</v>
      </c>
      <c r="C2516">
        <v>1497</v>
      </c>
      <c r="D2516" t="s">
        <v>506</v>
      </c>
      <c r="E2516" t="s">
        <v>108</v>
      </c>
      <c r="F2516" t="s">
        <v>651</v>
      </c>
      <c r="G2516" t="s">
        <v>99</v>
      </c>
      <c r="H2516" t="s">
        <v>99</v>
      </c>
      <c r="I2516" t="s">
        <v>99</v>
      </c>
      <c r="J2516" t="s">
        <v>99</v>
      </c>
    </row>
    <row r="2517" spans="1:10" x14ac:dyDescent="0.3">
      <c r="A2517" t="s">
        <v>34</v>
      </c>
      <c r="B2517" t="s">
        <v>365</v>
      </c>
      <c r="C2517">
        <v>28</v>
      </c>
      <c r="D2517" t="s">
        <v>494</v>
      </c>
      <c r="E2517" t="s">
        <v>99</v>
      </c>
      <c r="F2517" t="s">
        <v>116</v>
      </c>
      <c r="G2517" t="s">
        <v>99</v>
      </c>
      <c r="H2517" t="s">
        <v>99</v>
      </c>
      <c r="I2517" t="s">
        <v>99</v>
      </c>
      <c r="J2517" t="s">
        <v>99</v>
      </c>
    </row>
    <row r="2518" spans="1:10" x14ac:dyDescent="0.3">
      <c r="A2518" t="s">
        <v>33</v>
      </c>
      <c r="B2518" t="s">
        <v>339</v>
      </c>
      <c r="C2518">
        <v>503</v>
      </c>
      <c r="D2518" t="s">
        <v>508</v>
      </c>
      <c r="E2518" t="s">
        <v>101</v>
      </c>
      <c r="F2518" t="s">
        <v>901</v>
      </c>
      <c r="G2518" t="s">
        <v>198</v>
      </c>
      <c r="H2518" t="s">
        <v>99</v>
      </c>
      <c r="I2518" t="s">
        <v>99</v>
      </c>
      <c r="J2518" t="s">
        <v>99</v>
      </c>
    </row>
    <row r="2519" spans="1:10" x14ac:dyDescent="0.3">
      <c r="A2519" t="s">
        <v>33</v>
      </c>
      <c r="B2519" t="s">
        <v>340</v>
      </c>
      <c r="C2519">
        <v>1415</v>
      </c>
      <c r="D2519" t="s">
        <v>1053</v>
      </c>
      <c r="E2519" t="s">
        <v>141</v>
      </c>
      <c r="F2519" t="s">
        <v>1228</v>
      </c>
      <c r="G2519" t="s">
        <v>104</v>
      </c>
      <c r="H2519" t="s">
        <v>99</v>
      </c>
      <c r="I2519" t="s">
        <v>99</v>
      </c>
      <c r="J2519" t="s">
        <v>99</v>
      </c>
    </row>
    <row r="2520" spans="1:10" x14ac:dyDescent="0.3">
      <c r="A2520" t="s">
        <v>33</v>
      </c>
      <c r="B2520" t="s">
        <v>365</v>
      </c>
      <c r="C2520">
        <v>19</v>
      </c>
      <c r="D2520" t="s">
        <v>737</v>
      </c>
      <c r="E2520" t="s">
        <v>99</v>
      </c>
      <c r="F2520" t="s">
        <v>762</v>
      </c>
      <c r="G2520" t="s">
        <v>99</v>
      </c>
      <c r="H2520" t="s">
        <v>99</v>
      </c>
      <c r="I2520" t="s">
        <v>99</v>
      </c>
      <c r="J2520" t="s">
        <v>99</v>
      </c>
    </row>
    <row r="2521" spans="1:10" x14ac:dyDescent="0.3">
      <c r="A2521" t="s">
        <v>49</v>
      </c>
      <c r="B2521" t="s">
        <v>339</v>
      </c>
      <c r="C2521">
        <v>3811</v>
      </c>
      <c r="D2521" t="s">
        <v>214</v>
      </c>
      <c r="E2521" t="s">
        <v>100</v>
      </c>
      <c r="F2521" t="s">
        <v>1194</v>
      </c>
      <c r="G2521" t="s">
        <v>104</v>
      </c>
      <c r="H2521" t="s">
        <v>104</v>
      </c>
      <c r="I2521" t="s">
        <v>207</v>
      </c>
      <c r="J2521" t="s">
        <v>99</v>
      </c>
    </row>
    <row r="2522" spans="1:10" x14ac:dyDescent="0.3">
      <c r="A2522" t="s">
        <v>49</v>
      </c>
      <c r="B2522" t="s">
        <v>340</v>
      </c>
      <c r="C2522">
        <v>9319</v>
      </c>
      <c r="D2522" t="s">
        <v>1185</v>
      </c>
      <c r="E2522" t="s">
        <v>115</v>
      </c>
      <c r="F2522" t="s">
        <v>533</v>
      </c>
      <c r="G2522" t="s">
        <v>207</v>
      </c>
      <c r="H2522" t="s">
        <v>99</v>
      </c>
      <c r="I2522" t="s">
        <v>104</v>
      </c>
      <c r="J2522" t="s">
        <v>99</v>
      </c>
    </row>
    <row r="2523" spans="1:10" x14ac:dyDescent="0.3">
      <c r="A2523" t="s">
        <v>49</v>
      </c>
      <c r="B2523" t="s">
        <v>365</v>
      </c>
      <c r="C2523">
        <v>191</v>
      </c>
      <c r="D2523" t="s">
        <v>952</v>
      </c>
      <c r="E2523" t="s">
        <v>126</v>
      </c>
      <c r="F2523" t="s">
        <v>900</v>
      </c>
      <c r="G2523" t="s">
        <v>99</v>
      </c>
      <c r="H2523" t="s">
        <v>99</v>
      </c>
      <c r="I2523" t="s">
        <v>99</v>
      </c>
      <c r="J2523" t="s">
        <v>99</v>
      </c>
    </row>
    <row r="2525" spans="1:10" x14ac:dyDescent="0.3">
      <c r="A2525" t="s">
        <v>1229</v>
      </c>
    </row>
    <row r="2526" spans="1:10" x14ac:dyDescent="0.3">
      <c r="A2526" t="s">
        <v>44</v>
      </c>
      <c r="B2526" t="s">
        <v>209</v>
      </c>
      <c r="C2526" t="s">
        <v>32</v>
      </c>
      <c r="D2526" t="s">
        <v>1217</v>
      </c>
      <c r="E2526" t="s">
        <v>1218</v>
      </c>
      <c r="F2526" t="s">
        <v>1219</v>
      </c>
      <c r="G2526" t="s">
        <v>1220</v>
      </c>
      <c r="H2526" t="s">
        <v>193</v>
      </c>
      <c r="I2526" t="s">
        <v>1221</v>
      </c>
      <c r="J2526" t="s">
        <v>88</v>
      </c>
    </row>
    <row r="2527" spans="1:10" x14ac:dyDescent="0.3">
      <c r="A2527" t="s">
        <v>35</v>
      </c>
      <c r="B2527" t="s">
        <v>210</v>
      </c>
      <c r="C2527">
        <v>136</v>
      </c>
      <c r="D2527" t="s">
        <v>63</v>
      </c>
      <c r="E2527" t="s">
        <v>101</v>
      </c>
      <c r="F2527" t="s">
        <v>834</v>
      </c>
      <c r="G2527" t="s">
        <v>99</v>
      </c>
      <c r="H2527" t="s">
        <v>99</v>
      </c>
      <c r="I2527" t="s">
        <v>99</v>
      </c>
      <c r="J2527" t="s">
        <v>99</v>
      </c>
    </row>
    <row r="2528" spans="1:10" x14ac:dyDescent="0.3">
      <c r="A2528" t="s">
        <v>35</v>
      </c>
      <c r="B2528" t="s">
        <v>212</v>
      </c>
      <c r="C2528">
        <v>2442</v>
      </c>
      <c r="D2528" t="s">
        <v>1159</v>
      </c>
      <c r="E2528" t="s">
        <v>253</v>
      </c>
      <c r="F2528" t="s">
        <v>603</v>
      </c>
      <c r="G2528" t="s">
        <v>253</v>
      </c>
      <c r="H2528" t="s">
        <v>99</v>
      </c>
      <c r="I2528" t="s">
        <v>99</v>
      </c>
      <c r="J2528" t="s">
        <v>253</v>
      </c>
    </row>
    <row r="2529" spans="1:10" x14ac:dyDescent="0.3">
      <c r="A2529" t="s">
        <v>35</v>
      </c>
      <c r="B2529" t="s">
        <v>216</v>
      </c>
      <c r="C2529">
        <v>567</v>
      </c>
      <c r="D2529" t="s">
        <v>59</v>
      </c>
      <c r="E2529" t="s">
        <v>198</v>
      </c>
      <c r="F2529" t="s">
        <v>342</v>
      </c>
      <c r="G2529" t="s">
        <v>114</v>
      </c>
      <c r="H2529" t="s">
        <v>198</v>
      </c>
      <c r="I2529" t="s">
        <v>99</v>
      </c>
      <c r="J2529" t="s">
        <v>104</v>
      </c>
    </row>
    <row r="2530" spans="1:10" x14ac:dyDescent="0.3">
      <c r="A2530" t="s">
        <v>37</v>
      </c>
      <c r="B2530" t="s">
        <v>210</v>
      </c>
      <c r="C2530">
        <v>137</v>
      </c>
      <c r="D2530" t="s">
        <v>641</v>
      </c>
      <c r="E2530" t="s">
        <v>122</v>
      </c>
      <c r="F2530" t="s">
        <v>1094</v>
      </c>
      <c r="G2530" t="s">
        <v>141</v>
      </c>
      <c r="H2530" t="s">
        <v>99</v>
      </c>
      <c r="I2530" t="s">
        <v>99</v>
      </c>
      <c r="J2530" t="s">
        <v>127</v>
      </c>
    </row>
    <row r="2531" spans="1:10" x14ac:dyDescent="0.3">
      <c r="A2531" t="s">
        <v>37</v>
      </c>
      <c r="B2531" t="s">
        <v>212</v>
      </c>
      <c r="C2531">
        <v>3606</v>
      </c>
      <c r="D2531" t="s">
        <v>1008</v>
      </c>
      <c r="E2531" t="s">
        <v>136</v>
      </c>
      <c r="F2531" t="s">
        <v>901</v>
      </c>
      <c r="G2531" t="s">
        <v>99</v>
      </c>
      <c r="H2531" t="s">
        <v>99</v>
      </c>
      <c r="I2531" t="s">
        <v>99</v>
      </c>
      <c r="J2531" t="s">
        <v>99</v>
      </c>
    </row>
    <row r="2532" spans="1:10" x14ac:dyDescent="0.3">
      <c r="A2532" t="s">
        <v>37</v>
      </c>
      <c r="B2532" t="s">
        <v>216</v>
      </c>
      <c r="C2532">
        <v>111</v>
      </c>
      <c r="D2532" t="s">
        <v>1110</v>
      </c>
      <c r="E2532" t="s">
        <v>99</v>
      </c>
      <c r="F2532" t="s">
        <v>1224</v>
      </c>
      <c r="G2532" t="s">
        <v>99</v>
      </c>
      <c r="H2532" t="s">
        <v>99</v>
      </c>
      <c r="I2532" t="s">
        <v>99</v>
      </c>
      <c r="J2532" t="s">
        <v>99</v>
      </c>
    </row>
    <row r="2533" spans="1:10" x14ac:dyDescent="0.3">
      <c r="A2533" t="s">
        <v>36</v>
      </c>
      <c r="B2533" t="s">
        <v>210</v>
      </c>
      <c r="C2533">
        <v>165</v>
      </c>
      <c r="D2533" t="s">
        <v>1111</v>
      </c>
      <c r="E2533" t="s">
        <v>684</v>
      </c>
      <c r="F2533" t="s">
        <v>729</v>
      </c>
      <c r="G2533" t="s">
        <v>99</v>
      </c>
      <c r="H2533" t="s">
        <v>99</v>
      </c>
      <c r="I2533" t="s">
        <v>99</v>
      </c>
      <c r="J2533" t="s">
        <v>99</v>
      </c>
    </row>
    <row r="2534" spans="1:10" x14ac:dyDescent="0.3">
      <c r="A2534" t="s">
        <v>36</v>
      </c>
      <c r="B2534" t="s">
        <v>212</v>
      </c>
      <c r="C2534">
        <v>1875</v>
      </c>
      <c r="D2534" t="s">
        <v>153</v>
      </c>
      <c r="E2534" t="s">
        <v>108</v>
      </c>
      <c r="F2534" t="s">
        <v>1230</v>
      </c>
      <c r="G2534" t="s">
        <v>207</v>
      </c>
      <c r="H2534" t="s">
        <v>99</v>
      </c>
      <c r="I2534" t="s">
        <v>99</v>
      </c>
      <c r="J2534" t="s">
        <v>136</v>
      </c>
    </row>
    <row r="2535" spans="1:10" x14ac:dyDescent="0.3">
      <c r="A2535" t="s">
        <v>36</v>
      </c>
      <c r="B2535" t="s">
        <v>216</v>
      </c>
      <c r="C2535">
        <v>265</v>
      </c>
      <c r="D2535" t="s">
        <v>1231</v>
      </c>
      <c r="E2535" t="s">
        <v>141</v>
      </c>
      <c r="F2535" t="s">
        <v>793</v>
      </c>
      <c r="G2535" t="s">
        <v>99</v>
      </c>
      <c r="H2535" t="s">
        <v>99</v>
      </c>
      <c r="I2535" t="s">
        <v>99</v>
      </c>
      <c r="J2535" t="s">
        <v>104</v>
      </c>
    </row>
    <row r="2536" spans="1:10" x14ac:dyDescent="0.3">
      <c r="A2536" t="s">
        <v>34</v>
      </c>
      <c r="B2536" t="s">
        <v>210</v>
      </c>
      <c r="C2536">
        <v>256</v>
      </c>
      <c r="D2536" t="s">
        <v>641</v>
      </c>
      <c r="E2536" t="s">
        <v>215</v>
      </c>
      <c r="F2536" t="s">
        <v>817</v>
      </c>
      <c r="G2536" t="s">
        <v>99</v>
      </c>
      <c r="H2536" t="s">
        <v>99</v>
      </c>
      <c r="I2536" t="s">
        <v>99</v>
      </c>
      <c r="J2536" t="s">
        <v>99</v>
      </c>
    </row>
    <row r="2537" spans="1:10" x14ac:dyDescent="0.3">
      <c r="A2537" t="s">
        <v>34</v>
      </c>
      <c r="B2537" t="s">
        <v>212</v>
      </c>
      <c r="C2537">
        <v>1582</v>
      </c>
      <c r="D2537" t="s">
        <v>64</v>
      </c>
      <c r="E2537" t="s">
        <v>115</v>
      </c>
      <c r="F2537" t="s">
        <v>593</v>
      </c>
      <c r="G2537" t="s">
        <v>99</v>
      </c>
      <c r="H2537" t="s">
        <v>99</v>
      </c>
      <c r="I2537" t="s">
        <v>99</v>
      </c>
      <c r="J2537" t="s">
        <v>99</v>
      </c>
    </row>
    <row r="2538" spans="1:10" x14ac:dyDescent="0.3">
      <c r="A2538" t="s">
        <v>34</v>
      </c>
      <c r="B2538" t="s">
        <v>216</v>
      </c>
      <c r="C2538">
        <v>242</v>
      </c>
      <c r="D2538" t="s">
        <v>1049</v>
      </c>
      <c r="E2538" t="s">
        <v>103</v>
      </c>
      <c r="F2538" t="s">
        <v>557</v>
      </c>
      <c r="G2538" t="s">
        <v>99</v>
      </c>
      <c r="H2538" t="s">
        <v>115</v>
      </c>
      <c r="I2538" t="s">
        <v>99</v>
      </c>
      <c r="J2538" t="s">
        <v>99</v>
      </c>
    </row>
    <row r="2539" spans="1:10" x14ac:dyDescent="0.3">
      <c r="A2539" t="s">
        <v>33</v>
      </c>
      <c r="B2539" t="s">
        <v>210</v>
      </c>
      <c r="C2539">
        <v>68</v>
      </c>
      <c r="D2539" t="s">
        <v>64</v>
      </c>
      <c r="E2539" t="s">
        <v>133</v>
      </c>
      <c r="F2539" t="s">
        <v>646</v>
      </c>
      <c r="G2539" t="s">
        <v>99</v>
      </c>
      <c r="H2539" t="s">
        <v>99</v>
      </c>
      <c r="I2539" t="s">
        <v>99</v>
      </c>
      <c r="J2539" t="s">
        <v>99</v>
      </c>
    </row>
    <row r="2540" spans="1:10" x14ac:dyDescent="0.3">
      <c r="A2540" t="s">
        <v>33</v>
      </c>
      <c r="B2540" t="s">
        <v>212</v>
      </c>
      <c r="C2540">
        <v>1800</v>
      </c>
      <c r="D2540" t="s">
        <v>747</v>
      </c>
      <c r="E2540" t="s">
        <v>207</v>
      </c>
      <c r="F2540" t="s">
        <v>1186</v>
      </c>
      <c r="G2540" t="s">
        <v>104</v>
      </c>
      <c r="H2540" t="s">
        <v>99</v>
      </c>
      <c r="I2540" t="s">
        <v>99</v>
      </c>
      <c r="J2540" t="s">
        <v>99</v>
      </c>
    </row>
    <row r="2541" spans="1:10" x14ac:dyDescent="0.3">
      <c r="A2541" t="s">
        <v>33</v>
      </c>
      <c r="B2541" t="s">
        <v>216</v>
      </c>
      <c r="C2541">
        <v>69</v>
      </c>
      <c r="D2541" t="s">
        <v>595</v>
      </c>
      <c r="E2541" t="s">
        <v>107</v>
      </c>
      <c r="F2541" t="s">
        <v>884</v>
      </c>
      <c r="G2541" t="s">
        <v>99</v>
      </c>
      <c r="H2541" t="s">
        <v>99</v>
      </c>
      <c r="I2541" t="s">
        <v>99</v>
      </c>
      <c r="J2541" t="s">
        <v>99</v>
      </c>
    </row>
    <row r="2542" spans="1:10" x14ac:dyDescent="0.3">
      <c r="A2542" t="s">
        <v>49</v>
      </c>
      <c r="B2542" t="s">
        <v>210</v>
      </c>
      <c r="C2542">
        <v>762</v>
      </c>
      <c r="D2542" t="s">
        <v>282</v>
      </c>
      <c r="E2542" t="s">
        <v>154</v>
      </c>
      <c r="F2542" t="s">
        <v>1232</v>
      </c>
      <c r="G2542" t="s">
        <v>104</v>
      </c>
      <c r="H2542" t="s">
        <v>99</v>
      </c>
      <c r="I2542" t="s">
        <v>99</v>
      </c>
      <c r="J2542" t="s">
        <v>207</v>
      </c>
    </row>
    <row r="2543" spans="1:10" x14ac:dyDescent="0.3">
      <c r="A2543" t="s">
        <v>49</v>
      </c>
      <c r="B2543" t="s">
        <v>212</v>
      </c>
      <c r="C2543">
        <v>11305</v>
      </c>
      <c r="D2543" t="s">
        <v>834</v>
      </c>
      <c r="E2543" t="s">
        <v>141</v>
      </c>
      <c r="F2543" t="s">
        <v>1233</v>
      </c>
      <c r="G2543" t="s">
        <v>198</v>
      </c>
      <c r="H2543" t="s">
        <v>99</v>
      </c>
      <c r="I2543" t="s">
        <v>99</v>
      </c>
      <c r="J2543" t="s">
        <v>198</v>
      </c>
    </row>
    <row r="2544" spans="1:10" x14ac:dyDescent="0.3">
      <c r="A2544" t="s">
        <v>49</v>
      </c>
      <c r="B2544" t="s">
        <v>216</v>
      </c>
      <c r="C2544">
        <v>1254</v>
      </c>
      <c r="D2544" t="s">
        <v>1224</v>
      </c>
      <c r="E2544" t="s">
        <v>108</v>
      </c>
      <c r="F2544" t="s">
        <v>829</v>
      </c>
      <c r="G2544" t="s">
        <v>253</v>
      </c>
      <c r="H2544" t="s">
        <v>198</v>
      </c>
      <c r="I2544" t="s">
        <v>99</v>
      </c>
      <c r="J2544" t="s">
        <v>104</v>
      </c>
    </row>
    <row r="2546" spans="1:10" x14ac:dyDescent="0.3">
      <c r="A2546" t="s">
        <v>1234</v>
      </c>
    </row>
    <row r="2547" spans="1:10" x14ac:dyDescent="0.3">
      <c r="A2547" t="s">
        <v>44</v>
      </c>
      <c r="B2547" t="s">
        <v>388</v>
      </c>
      <c r="C2547" t="s">
        <v>32</v>
      </c>
      <c r="D2547" t="s">
        <v>1217</v>
      </c>
      <c r="E2547" t="s">
        <v>1218</v>
      </c>
      <c r="F2547" t="s">
        <v>1219</v>
      </c>
      <c r="G2547" t="s">
        <v>1220</v>
      </c>
      <c r="H2547" t="s">
        <v>193</v>
      </c>
      <c r="I2547" t="s">
        <v>1221</v>
      </c>
      <c r="J2547" t="s">
        <v>88</v>
      </c>
    </row>
    <row r="2548" spans="1:10" x14ac:dyDescent="0.3">
      <c r="A2548" t="s">
        <v>35</v>
      </c>
      <c r="B2548" t="s">
        <v>389</v>
      </c>
      <c r="C2548">
        <v>2141</v>
      </c>
      <c r="D2548" t="s">
        <v>644</v>
      </c>
      <c r="E2548" t="s">
        <v>132</v>
      </c>
      <c r="F2548" t="s">
        <v>824</v>
      </c>
      <c r="G2548" t="s">
        <v>104</v>
      </c>
      <c r="H2548" t="s">
        <v>99</v>
      </c>
      <c r="I2548" t="s">
        <v>99</v>
      </c>
      <c r="J2548" t="s">
        <v>99</v>
      </c>
    </row>
    <row r="2549" spans="1:10" x14ac:dyDescent="0.3">
      <c r="A2549" t="s">
        <v>35</v>
      </c>
      <c r="B2549" t="s">
        <v>390</v>
      </c>
      <c r="C2549">
        <v>875</v>
      </c>
      <c r="D2549" t="s">
        <v>823</v>
      </c>
      <c r="E2549" t="s">
        <v>104</v>
      </c>
      <c r="F2549" t="s">
        <v>925</v>
      </c>
      <c r="G2549" t="s">
        <v>117</v>
      </c>
      <c r="H2549" t="s">
        <v>198</v>
      </c>
      <c r="I2549" t="s">
        <v>99</v>
      </c>
      <c r="J2549" t="s">
        <v>126</v>
      </c>
    </row>
    <row r="2550" spans="1:10" x14ac:dyDescent="0.3">
      <c r="A2550" t="s">
        <v>35</v>
      </c>
      <c r="B2550" t="s">
        <v>365</v>
      </c>
      <c r="C2550">
        <v>129</v>
      </c>
      <c r="D2550" t="s">
        <v>228</v>
      </c>
      <c r="E2550" t="s">
        <v>99</v>
      </c>
      <c r="F2550" t="s">
        <v>227</v>
      </c>
      <c r="G2550" t="s">
        <v>99</v>
      </c>
      <c r="H2550" t="s">
        <v>99</v>
      </c>
      <c r="I2550" t="s">
        <v>99</v>
      </c>
      <c r="J2550" t="s">
        <v>99</v>
      </c>
    </row>
    <row r="2551" spans="1:10" x14ac:dyDescent="0.3">
      <c r="A2551" t="s">
        <v>37</v>
      </c>
      <c r="B2551" t="s">
        <v>389</v>
      </c>
      <c r="C2551">
        <v>2305</v>
      </c>
      <c r="D2551" t="s">
        <v>805</v>
      </c>
      <c r="E2551" t="s">
        <v>253</v>
      </c>
      <c r="F2551" t="s">
        <v>1235</v>
      </c>
      <c r="G2551" t="s">
        <v>99</v>
      </c>
      <c r="H2551" t="s">
        <v>99</v>
      </c>
      <c r="I2551" t="s">
        <v>99</v>
      </c>
      <c r="J2551" t="s">
        <v>104</v>
      </c>
    </row>
    <row r="2552" spans="1:10" x14ac:dyDescent="0.3">
      <c r="A2552" t="s">
        <v>37</v>
      </c>
      <c r="B2552" t="s">
        <v>390</v>
      </c>
      <c r="C2552">
        <v>1308</v>
      </c>
      <c r="D2552" t="s">
        <v>473</v>
      </c>
      <c r="E2552" t="s">
        <v>108</v>
      </c>
      <c r="F2552" t="s">
        <v>518</v>
      </c>
      <c r="G2552" t="s">
        <v>104</v>
      </c>
      <c r="H2552" t="s">
        <v>99</v>
      </c>
      <c r="I2552" t="s">
        <v>99</v>
      </c>
      <c r="J2552" t="s">
        <v>104</v>
      </c>
    </row>
    <row r="2553" spans="1:10" x14ac:dyDescent="0.3">
      <c r="A2553" t="s">
        <v>37</v>
      </c>
      <c r="B2553" t="s">
        <v>365</v>
      </c>
      <c r="C2553">
        <v>241</v>
      </c>
      <c r="D2553" t="s">
        <v>1057</v>
      </c>
      <c r="E2553" t="s">
        <v>115</v>
      </c>
      <c r="F2553" t="s">
        <v>57</v>
      </c>
      <c r="G2553" t="s">
        <v>99</v>
      </c>
      <c r="H2553" t="s">
        <v>99</v>
      </c>
      <c r="I2553" t="s">
        <v>99</v>
      </c>
      <c r="J2553" t="s">
        <v>99</v>
      </c>
    </row>
    <row r="2554" spans="1:10" x14ac:dyDescent="0.3">
      <c r="A2554" t="s">
        <v>36</v>
      </c>
      <c r="B2554" t="s">
        <v>389</v>
      </c>
      <c r="C2554">
        <v>1578</v>
      </c>
      <c r="D2554" t="s">
        <v>647</v>
      </c>
      <c r="E2554" t="s">
        <v>126</v>
      </c>
      <c r="F2554" t="s">
        <v>213</v>
      </c>
      <c r="G2554" t="s">
        <v>99</v>
      </c>
      <c r="H2554" t="s">
        <v>99</v>
      </c>
      <c r="I2554" t="s">
        <v>99</v>
      </c>
      <c r="J2554" t="s">
        <v>99</v>
      </c>
    </row>
    <row r="2555" spans="1:10" x14ac:dyDescent="0.3">
      <c r="A2555" t="s">
        <v>36</v>
      </c>
      <c r="B2555" t="s">
        <v>390</v>
      </c>
      <c r="C2555">
        <v>627</v>
      </c>
      <c r="D2555" t="s">
        <v>604</v>
      </c>
      <c r="E2555" t="s">
        <v>101</v>
      </c>
      <c r="F2555" t="s">
        <v>950</v>
      </c>
      <c r="G2555" t="s">
        <v>108</v>
      </c>
      <c r="H2555" t="s">
        <v>99</v>
      </c>
      <c r="I2555" t="s">
        <v>99</v>
      </c>
      <c r="J2555" t="s">
        <v>121</v>
      </c>
    </row>
    <row r="2556" spans="1:10" x14ac:dyDescent="0.3">
      <c r="A2556" t="s">
        <v>36</v>
      </c>
      <c r="B2556" t="s">
        <v>365</v>
      </c>
      <c r="C2556">
        <v>100</v>
      </c>
      <c r="D2556" t="s">
        <v>728</v>
      </c>
      <c r="E2556" t="s">
        <v>99</v>
      </c>
      <c r="F2556" t="s">
        <v>1236</v>
      </c>
      <c r="G2556" t="s">
        <v>99</v>
      </c>
      <c r="H2556" t="s">
        <v>99</v>
      </c>
      <c r="I2556" t="s">
        <v>99</v>
      </c>
      <c r="J2556" t="s">
        <v>99</v>
      </c>
    </row>
    <row r="2557" spans="1:10" x14ac:dyDescent="0.3">
      <c r="A2557" t="s">
        <v>34</v>
      </c>
      <c r="B2557" t="s">
        <v>389</v>
      </c>
      <c r="C2557">
        <v>1385</v>
      </c>
      <c r="D2557" t="s">
        <v>919</v>
      </c>
      <c r="E2557" t="s">
        <v>319</v>
      </c>
      <c r="F2557" t="s">
        <v>1151</v>
      </c>
      <c r="G2557" t="s">
        <v>99</v>
      </c>
      <c r="H2557" t="s">
        <v>198</v>
      </c>
      <c r="I2557" t="s">
        <v>99</v>
      </c>
      <c r="J2557" t="s">
        <v>99</v>
      </c>
    </row>
    <row r="2558" spans="1:10" x14ac:dyDescent="0.3">
      <c r="A2558" t="s">
        <v>34</v>
      </c>
      <c r="B2558" t="s">
        <v>390</v>
      </c>
      <c r="C2558">
        <v>615</v>
      </c>
      <c r="D2558" t="s">
        <v>1185</v>
      </c>
      <c r="E2558" t="s">
        <v>207</v>
      </c>
      <c r="F2558" t="s">
        <v>1100</v>
      </c>
      <c r="G2558" t="s">
        <v>99</v>
      </c>
      <c r="H2558" t="s">
        <v>99</v>
      </c>
      <c r="I2558" t="s">
        <v>99</v>
      </c>
      <c r="J2558" t="s">
        <v>99</v>
      </c>
    </row>
    <row r="2559" spans="1:10" x14ac:dyDescent="0.3">
      <c r="A2559" t="s">
        <v>34</v>
      </c>
      <c r="B2559" t="s">
        <v>365</v>
      </c>
      <c r="C2559">
        <v>80</v>
      </c>
      <c r="D2559" t="s">
        <v>342</v>
      </c>
      <c r="E2559" t="s">
        <v>157</v>
      </c>
      <c r="F2559" t="s">
        <v>275</v>
      </c>
      <c r="G2559" t="s">
        <v>99</v>
      </c>
      <c r="H2559" t="s">
        <v>99</v>
      </c>
      <c r="I2559" t="s">
        <v>99</v>
      </c>
      <c r="J2559" t="s">
        <v>99</v>
      </c>
    </row>
    <row r="2560" spans="1:10" x14ac:dyDescent="0.3">
      <c r="A2560" t="s">
        <v>33</v>
      </c>
      <c r="B2560" t="s">
        <v>389</v>
      </c>
      <c r="C2560">
        <v>1090</v>
      </c>
      <c r="D2560" t="s">
        <v>833</v>
      </c>
      <c r="E2560" t="s">
        <v>132</v>
      </c>
      <c r="F2560" t="s">
        <v>535</v>
      </c>
      <c r="G2560" t="s">
        <v>99</v>
      </c>
      <c r="H2560" t="s">
        <v>99</v>
      </c>
      <c r="I2560" t="s">
        <v>99</v>
      </c>
      <c r="J2560" t="s">
        <v>99</v>
      </c>
    </row>
    <row r="2561" spans="1:10" x14ac:dyDescent="0.3">
      <c r="A2561" t="s">
        <v>33</v>
      </c>
      <c r="B2561" t="s">
        <v>390</v>
      </c>
      <c r="C2561">
        <v>708</v>
      </c>
      <c r="D2561" t="s">
        <v>423</v>
      </c>
      <c r="E2561" t="s">
        <v>115</v>
      </c>
      <c r="F2561" t="s">
        <v>1166</v>
      </c>
      <c r="G2561" t="s">
        <v>207</v>
      </c>
      <c r="H2561" t="s">
        <v>99</v>
      </c>
      <c r="I2561" t="s">
        <v>99</v>
      </c>
      <c r="J2561" t="s">
        <v>99</v>
      </c>
    </row>
    <row r="2562" spans="1:10" x14ac:dyDescent="0.3">
      <c r="A2562" t="s">
        <v>33</v>
      </c>
      <c r="B2562" t="s">
        <v>365</v>
      </c>
      <c r="C2562">
        <v>139</v>
      </c>
      <c r="D2562" t="s">
        <v>803</v>
      </c>
      <c r="E2562" t="s">
        <v>99</v>
      </c>
      <c r="F2562" t="s">
        <v>486</v>
      </c>
      <c r="G2562" t="s">
        <v>99</v>
      </c>
      <c r="H2562" t="s">
        <v>99</v>
      </c>
      <c r="I2562" t="s">
        <v>99</v>
      </c>
      <c r="J2562" t="s">
        <v>99</v>
      </c>
    </row>
    <row r="2563" spans="1:10" x14ac:dyDescent="0.3">
      <c r="A2563" t="s">
        <v>49</v>
      </c>
      <c r="B2563" t="s">
        <v>389</v>
      </c>
      <c r="C2563">
        <v>8499</v>
      </c>
      <c r="D2563" t="s">
        <v>914</v>
      </c>
      <c r="E2563" t="s">
        <v>108</v>
      </c>
      <c r="F2563" t="s">
        <v>1237</v>
      </c>
      <c r="G2563" t="s">
        <v>99</v>
      </c>
      <c r="H2563" t="s">
        <v>99</v>
      </c>
      <c r="I2563" t="s">
        <v>99</v>
      </c>
      <c r="J2563" t="s">
        <v>99</v>
      </c>
    </row>
    <row r="2564" spans="1:10" x14ac:dyDescent="0.3">
      <c r="A2564" t="s">
        <v>49</v>
      </c>
      <c r="B2564" t="s">
        <v>390</v>
      </c>
      <c r="C2564">
        <v>4133</v>
      </c>
      <c r="D2564" t="s">
        <v>1094</v>
      </c>
      <c r="E2564" t="s">
        <v>253</v>
      </c>
      <c r="F2564" t="s">
        <v>1194</v>
      </c>
      <c r="G2564" t="s">
        <v>115</v>
      </c>
      <c r="H2564" t="s">
        <v>99</v>
      </c>
      <c r="I2564" t="s">
        <v>99</v>
      </c>
      <c r="J2564" t="s">
        <v>141</v>
      </c>
    </row>
    <row r="2565" spans="1:10" x14ac:dyDescent="0.3">
      <c r="A2565" t="s">
        <v>49</v>
      </c>
      <c r="B2565" t="s">
        <v>365</v>
      </c>
      <c r="C2565">
        <v>689</v>
      </c>
      <c r="D2565" t="s">
        <v>902</v>
      </c>
      <c r="E2565" t="s">
        <v>115</v>
      </c>
      <c r="F2565" t="s">
        <v>649</v>
      </c>
      <c r="G2565" t="s">
        <v>99</v>
      </c>
      <c r="H2565" t="s">
        <v>99</v>
      </c>
      <c r="I2565" t="s">
        <v>99</v>
      </c>
      <c r="J2565" t="s">
        <v>99</v>
      </c>
    </row>
    <row r="2567" spans="1:10" x14ac:dyDescent="0.3">
      <c r="A2567" t="s">
        <v>1238</v>
      </c>
    </row>
    <row r="2568" spans="1:10" x14ac:dyDescent="0.3">
      <c r="A2568" t="s">
        <v>44</v>
      </c>
      <c r="B2568" t="s">
        <v>235</v>
      </c>
      <c r="C2568" t="s">
        <v>32</v>
      </c>
      <c r="D2568" t="s">
        <v>1217</v>
      </c>
      <c r="E2568" t="s">
        <v>1218</v>
      </c>
      <c r="F2568" t="s">
        <v>1219</v>
      </c>
      <c r="G2568" t="s">
        <v>1220</v>
      </c>
      <c r="H2568" t="s">
        <v>193</v>
      </c>
      <c r="I2568" t="s">
        <v>1221</v>
      </c>
      <c r="J2568" t="s">
        <v>88</v>
      </c>
    </row>
    <row r="2569" spans="1:10" x14ac:dyDescent="0.3">
      <c r="A2569" t="s">
        <v>35</v>
      </c>
      <c r="B2569" t="s">
        <v>236</v>
      </c>
      <c r="C2569">
        <v>1610</v>
      </c>
      <c r="D2569" t="s">
        <v>38</v>
      </c>
      <c r="E2569" t="s">
        <v>207</v>
      </c>
      <c r="F2569" t="s">
        <v>469</v>
      </c>
      <c r="G2569" t="s">
        <v>104</v>
      </c>
      <c r="H2569" t="s">
        <v>99</v>
      </c>
      <c r="I2569" t="s">
        <v>104</v>
      </c>
      <c r="J2569" t="s">
        <v>104</v>
      </c>
    </row>
    <row r="2570" spans="1:10" x14ac:dyDescent="0.3">
      <c r="A2570" t="s">
        <v>35</v>
      </c>
      <c r="B2570" t="s">
        <v>238</v>
      </c>
      <c r="C2570">
        <v>1535</v>
      </c>
      <c r="D2570" t="s">
        <v>480</v>
      </c>
      <c r="E2570" t="s">
        <v>253</v>
      </c>
      <c r="F2570" t="s">
        <v>920</v>
      </c>
      <c r="G2570" t="s">
        <v>108</v>
      </c>
      <c r="H2570" t="s">
        <v>104</v>
      </c>
      <c r="I2570" t="s">
        <v>99</v>
      </c>
      <c r="J2570" t="s">
        <v>141</v>
      </c>
    </row>
    <row r="2571" spans="1:10" x14ac:dyDescent="0.3">
      <c r="A2571" t="s">
        <v>37</v>
      </c>
      <c r="B2571" t="s">
        <v>236</v>
      </c>
      <c r="C2571">
        <v>2211</v>
      </c>
      <c r="D2571" t="s">
        <v>268</v>
      </c>
      <c r="E2571" t="s">
        <v>207</v>
      </c>
      <c r="F2571" t="s">
        <v>466</v>
      </c>
      <c r="G2571" t="s">
        <v>99</v>
      </c>
      <c r="H2571" t="s">
        <v>99</v>
      </c>
      <c r="I2571" t="s">
        <v>99</v>
      </c>
      <c r="J2571" t="s">
        <v>104</v>
      </c>
    </row>
    <row r="2572" spans="1:10" x14ac:dyDescent="0.3">
      <c r="A2572" t="s">
        <v>37</v>
      </c>
      <c r="B2572" t="s">
        <v>238</v>
      </c>
      <c r="C2572">
        <v>1643</v>
      </c>
      <c r="D2572" t="s">
        <v>572</v>
      </c>
      <c r="E2572" t="s">
        <v>121</v>
      </c>
      <c r="F2572" t="s">
        <v>1149</v>
      </c>
      <c r="G2572" t="s">
        <v>99</v>
      </c>
      <c r="H2572" t="s">
        <v>99</v>
      </c>
      <c r="I2572" t="s">
        <v>99</v>
      </c>
      <c r="J2572" t="s">
        <v>104</v>
      </c>
    </row>
    <row r="2573" spans="1:10" x14ac:dyDescent="0.3">
      <c r="A2573" t="s">
        <v>36</v>
      </c>
      <c r="B2573" t="s">
        <v>236</v>
      </c>
      <c r="C2573">
        <v>1566</v>
      </c>
      <c r="D2573" t="s">
        <v>716</v>
      </c>
      <c r="E2573" t="s">
        <v>136</v>
      </c>
      <c r="F2573" t="s">
        <v>199</v>
      </c>
      <c r="G2573" t="s">
        <v>99</v>
      </c>
      <c r="H2573" t="s">
        <v>99</v>
      </c>
      <c r="I2573" t="s">
        <v>99</v>
      </c>
      <c r="J2573" t="s">
        <v>99</v>
      </c>
    </row>
    <row r="2574" spans="1:10" x14ac:dyDescent="0.3">
      <c r="A2574" t="s">
        <v>36</v>
      </c>
      <c r="B2574" t="s">
        <v>238</v>
      </c>
      <c r="C2574">
        <v>739</v>
      </c>
      <c r="D2574" t="s">
        <v>559</v>
      </c>
      <c r="E2574" t="s">
        <v>151</v>
      </c>
      <c r="F2574" t="s">
        <v>521</v>
      </c>
      <c r="G2574" t="s">
        <v>141</v>
      </c>
      <c r="H2574" t="s">
        <v>99</v>
      </c>
      <c r="I2574" t="s">
        <v>99</v>
      </c>
      <c r="J2574" t="s">
        <v>253</v>
      </c>
    </row>
    <row r="2575" spans="1:10" x14ac:dyDescent="0.3">
      <c r="A2575" t="s">
        <v>34</v>
      </c>
      <c r="B2575" t="s">
        <v>236</v>
      </c>
      <c r="C2575">
        <v>717</v>
      </c>
      <c r="D2575" t="s">
        <v>508</v>
      </c>
      <c r="E2575" t="s">
        <v>215</v>
      </c>
      <c r="F2575" t="s">
        <v>1186</v>
      </c>
      <c r="G2575" t="s">
        <v>99</v>
      </c>
      <c r="H2575" t="s">
        <v>99</v>
      </c>
      <c r="I2575" t="s">
        <v>99</v>
      </c>
      <c r="J2575" t="s">
        <v>99</v>
      </c>
    </row>
    <row r="2576" spans="1:10" x14ac:dyDescent="0.3">
      <c r="A2576" t="s">
        <v>34</v>
      </c>
      <c r="B2576" t="s">
        <v>238</v>
      </c>
      <c r="C2576">
        <v>1363</v>
      </c>
      <c r="D2576" t="s">
        <v>955</v>
      </c>
      <c r="E2576" t="s">
        <v>108</v>
      </c>
      <c r="F2576" t="s">
        <v>576</v>
      </c>
      <c r="G2576" t="s">
        <v>99</v>
      </c>
      <c r="H2576" t="s">
        <v>198</v>
      </c>
      <c r="I2576" t="s">
        <v>99</v>
      </c>
      <c r="J2576" t="s">
        <v>99</v>
      </c>
    </row>
    <row r="2577" spans="1:10" x14ac:dyDescent="0.3">
      <c r="A2577" t="s">
        <v>33</v>
      </c>
      <c r="B2577" t="s">
        <v>236</v>
      </c>
      <c r="C2577">
        <v>1116</v>
      </c>
      <c r="D2577" t="s">
        <v>154</v>
      </c>
      <c r="E2577" t="s">
        <v>136</v>
      </c>
      <c r="F2577" t="s">
        <v>237</v>
      </c>
      <c r="G2577" t="s">
        <v>99</v>
      </c>
      <c r="H2577" t="s">
        <v>99</v>
      </c>
      <c r="I2577" t="s">
        <v>99</v>
      </c>
      <c r="J2577" t="s">
        <v>99</v>
      </c>
    </row>
    <row r="2578" spans="1:10" x14ac:dyDescent="0.3">
      <c r="A2578" t="s">
        <v>33</v>
      </c>
      <c r="B2578" t="s">
        <v>238</v>
      </c>
      <c r="C2578">
        <v>821</v>
      </c>
      <c r="D2578" t="s">
        <v>515</v>
      </c>
      <c r="E2578" t="s">
        <v>114</v>
      </c>
      <c r="F2578" t="s">
        <v>1239</v>
      </c>
      <c r="G2578" t="s">
        <v>198</v>
      </c>
      <c r="H2578" t="s">
        <v>99</v>
      </c>
      <c r="I2578" t="s">
        <v>99</v>
      </c>
      <c r="J2578" t="s">
        <v>99</v>
      </c>
    </row>
    <row r="2579" spans="1:10" x14ac:dyDescent="0.3">
      <c r="A2579" t="s">
        <v>49</v>
      </c>
      <c r="B2579" t="s">
        <v>236</v>
      </c>
      <c r="C2579">
        <v>7220</v>
      </c>
      <c r="D2579" t="s">
        <v>72</v>
      </c>
      <c r="E2579" t="s">
        <v>141</v>
      </c>
      <c r="F2579" t="s">
        <v>359</v>
      </c>
      <c r="G2579" t="s">
        <v>99</v>
      </c>
      <c r="H2579" t="s">
        <v>99</v>
      </c>
      <c r="I2579" t="s">
        <v>99</v>
      </c>
      <c r="J2579" t="s">
        <v>104</v>
      </c>
    </row>
    <row r="2580" spans="1:10" x14ac:dyDescent="0.3">
      <c r="A2580" t="s">
        <v>49</v>
      </c>
      <c r="B2580" t="s">
        <v>238</v>
      </c>
      <c r="C2580">
        <v>6101</v>
      </c>
      <c r="D2580" t="s">
        <v>1006</v>
      </c>
      <c r="E2580" t="s">
        <v>114</v>
      </c>
      <c r="F2580" t="s">
        <v>527</v>
      </c>
      <c r="G2580" t="s">
        <v>136</v>
      </c>
      <c r="H2580" t="s">
        <v>104</v>
      </c>
      <c r="I2580" t="s">
        <v>99</v>
      </c>
      <c r="J2580" t="s">
        <v>207</v>
      </c>
    </row>
    <row r="2582" spans="1:10" x14ac:dyDescent="0.3">
      <c r="A2582" t="s">
        <v>1240</v>
      </c>
    </row>
    <row r="2583" spans="1:10" x14ac:dyDescent="0.3">
      <c r="A2583" t="s">
        <v>44</v>
      </c>
      <c r="B2583" t="s">
        <v>1241</v>
      </c>
      <c r="C2583" t="s">
        <v>32</v>
      </c>
      <c r="D2583" t="s">
        <v>1217</v>
      </c>
      <c r="E2583" t="s">
        <v>1218</v>
      </c>
      <c r="F2583" t="s">
        <v>1219</v>
      </c>
      <c r="G2583" t="s">
        <v>1220</v>
      </c>
      <c r="H2583" t="s">
        <v>193</v>
      </c>
      <c r="I2583" t="s">
        <v>1221</v>
      </c>
      <c r="J2583" t="s">
        <v>88</v>
      </c>
    </row>
    <row r="2584" spans="1:10" x14ac:dyDescent="0.3">
      <c r="A2584" t="s">
        <v>35</v>
      </c>
      <c r="B2584" t="s">
        <v>1242</v>
      </c>
      <c r="C2584">
        <v>3079</v>
      </c>
      <c r="D2584" t="s">
        <v>1165</v>
      </c>
      <c r="E2584" t="s">
        <v>253</v>
      </c>
      <c r="F2584" t="s">
        <v>538</v>
      </c>
      <c r="G2584" t="s">
        <v>115</v>
      </c>
      <c r="H2584" t="s">
        <v>99</v>
      </c>
      <c r="I2584" t="s">
        <v>99</v>
      </c>
      <c r="J2584" t="s">
        <v>136</v>
      </c>
    </row>
    <row r="2585" spans="1:10" x14ac:dyDescent="0.3">
      <c r="A2585" t="s">
        <v>35</v>
      </c>
      <c r="B2585" t="s">
        <v>1243</v>
      </c>
      <c r="C2585">
        <v>41</v>
      </c>
      <c r="D2585" t="s">
        <v>152</v>
      </c>
      <c r="E2585" t="s">
        <v>99</v>
      </c>
      <c r="F2585" t="s">
        <v>978</v>
      </c>
      <c r="G2585" t="s">
        <v>99</v>
      </c>
      <c r="H2585" t="s">
        <v>99</v>
      </c>
      <c r="I2585" t="s">
        <v>99</v>
      </c>
      <c r="J2585" t="s">
        <v>99</v>
      </c>
    </row>
    <row r="2586" spans="1:10" s="5" customFormat="1" x14ac:dyDescent="0.3">
      <c r="A2586" s="5" t="s">
        <v>35</v>
      </c>
      <c r="B2586" s="5" t="s">
        <v>1244</v>
      </c>
      <c r="C2586" s="5">
        <v>22</v>
      </c>
      <c r="D2586" s="5" t="s">
        <v>887</v>
      </c>
      <c r="E2586" s="5" t="s">
        <v>99</v>
      </c>
      <c r="F2586" s="5" t="s">
        <v>886</v>
      </c>
      <c r="G2586" s="5" t="s">
        <v>99</v>
      </c>
      <c r="H2586" s="5" t="s">
        <v>99</v>
      </c>
      <c r="I2586" s="5" t="s">
        <v>99</v>
      </c>
      <c r="J2586" s="5" t="s">
        <v>99</v>
      </c>
    </row>
    <row r="2587" spans="1:10" x14ac:dyDescent="0.3">
      <c r="A2587" t="s">
        <v>35</v>
      </c>
      <c r="B2587" t="s">
        <v>365</v>
      </c>
      <c r="C2587">
        <v>3</v>
      </c>
      <c r="D2587" t="s">
        <v>99</v>
      </c>
      <c r="E2587" t="s">
        <v>99</v>
      </c>
      <c r="F2587" t="s">
        <v>211</v>
      </c>
      <c r="G2587" t="s">
        <v>99</v>
      </c>
      <c r="H2587" t="s">
        <v>99</v>
      </c>
      <c r="I2587" t="s">
        <v>99</v>
      </c>
      <c r="J2587" t="s">
        <v>99</v>
      </c>
    </row>
    <row r="2588" spans="1:10" x14ac:dyDescent="0.3">
      <c r="A2588" t="s">
        <v>37</v>
      </c>
      <c r="B2588" t="s">
        <v>1242</v>
      </c>
      <c r="C2588">
        <v>3738</v>
      </c>
      <c r="D2588" t="s">
        <v>742</v>
      </c>
      <c r="E2588" t="s">
        <v>115</v>
      </c>
      <c r="F2588" t="s">
        <v>1174</v>
      </c>
      <c r="G2588" t="s">
        <v>99</v>
      </c>
      <c r="H2588" t="s">
        <v>99</v>
      </c>
      <c r="I2588" t="s">
        <v>99</v>
      </c>
      <c r="J2588" t="s">
        <v>99</v>
      </c>
    </row>
    <row r="2589" spans="1:10" x14ac:dyDescent="0.3">
      <c r="A2589" t="s">
        <v>37</v>
      </c>
      <c r="B2589" t="s">
        <v>1243</v>
      </c>
      <c r="C2589">
        <v>95</v>
      </c>
      <c r="D2589" t="s">
        <v>382</v>
      </c>
      <c r="E2589" t="s">
        <v>99</v>
      </c>
      <c r="F2589" t="s">
        <v>993</v>
      </c>
      <c r="G2589" t="s">
        <v>99</v>
      </c>
      <c r="H2589" t="s">
        <v>99</v>
      </c>
      <c r="I2589" t="s">
        <v>99</v>
      </c>
      <c r="J2589" t="s">
        <v>99</v>
      </c>
    </row>
    <row r="2590" spans="1:10" s="5" customFormat="1" x14ac:dyDescent="0.3">
      <c r="A2590" s="5" t="s">
        <v>37</v>
      </c>
      <c r="B2590" s="5" t="s">
        <v>1244</v>
      </c>
      <c r="C2590" s="5">
        <v>18</v>
      </c>
      <c r="D2590" s="5" t="s">
        <v>99</v>
      </c>
      <c r="E2590" s="5" t="s">
        <v>99</v>
      </c>
      <c r="F2590" s="5" t="s">
        <v>211</v>
      </c>
      <c r="G2590" s="5" t="s">
        <v>99</v>
      </c>
      <c r="H2590" s="5" t="s">
        <v>99</v>
      </c>
      <c r="I2590" s="5" t="s">
        <v>99</v>
      </c>
      <c r="J2590" s="5" t="s">
        <v>99</v>
      </c>
    </row>
    <row r="2591" spans="1:10" x14ac:dyDescent="0.3">
      <c r="A2591" t="s">
        <v>37</v>
      </c>
      <c r="B2591" t="s">
        <v>365</v>
      </c>
      <c r="C2591">
        <v>3</v>
      </c>
      <c r="D2591" t="s">
        <v>99</v>
      </c>
      <c r="E2591" t="s">
        <v>99</v>
      </c>
      <c r="F2591" t="s">
        <v>1182</v>
      </c>
      <c r="G2591" t="s">
        <v>99</v>
      </c>
      <c r="H2591" t="s">
        <v>99</v>
      </c>
      <c r="I2591" t="s">
        <v>99</v>
      </c>
      <c r="J2591" t="s">
        <v>1183</v>
      </c>
    </row>
    <row r="2592" spans="1:10" x14ac:dyDescent="0.3">
      <c r="A2592" t="s">
        <v>36</v>
      </c>
      <c r="B2592" t="s">
        <v>1242</v>
      </c>
      <c r="C2592">
        <v>2168</v>
      </c>
      <c r="D2592" t="s">
        <v>459</v>
      </c>
      <c r="E2592" t="s">
        <v>121</v>
      </c>
      <c r="F2592" t="s">
        <v>951</v>
      </c>
      <c r="G2592" t="s">
        <v>207</v>
      </c>
      <c r="H2592" t="s">
        <v>99</v>
      </c>
      <c r="I2592" t="s">
        <v>99</v>
      </c>
      <c r="J2592" t="s">
        <v>136</v>
      </c>
    </row>
    <row r="2593" spans="1:10" x14ac:dyDescent="0.3">
      <c r="A2593" t="s">
        <v>36</v>
      </c>
      <c r="B2593" t="s">
        <v>1243</v>
      </c>
      <c r="C2593">
        <v>47</v>
      </c>
      <c r="D2593" t="s">
        <v>99</v>
      </c>
      <c r="E2593" t="s">
        <v>99</v>
      </c>
      <c r="F2593" t="s">
        <v>211</v>
      </c>
      <c r="G2593" t="s">
        <v>99</v>
      </c>
      <c r="H2593" t="s">
        <v>99</v>
      </c>
      <c r="I2593" t="s">
        <v>99</v>
      </c>
      <c r="J2593" t="s">
        <v>99</v>
      </c>
    </row>
    <row r="2594" spans="1:10" x14ac:dyDescent="0.3">
      <c r="A2594" t="s">
        <v>36</v>
      </c>
      <c r="B2594" t="s">
        <v>1244</v>
      </c>
      <c r="C2594">
        <v>88</v>
      </c>
      <c r="D2594" t="s">
        <v>141</v>
      </c>
      <c r="E2594" t="s">
        <v>204</v>
      </c>
      <c r="F2594" t="s">
        <v>414</v>
      </c>
      <c r="G2594" t="s">
        <v>99</v>
      </c>
      <c r="H2594" t="s">
        <v>99</v>
      </c>
      <c r="I2594" t="s">
        <v>99</v>
      </c>
      <c r="J2594" t="s">
        <v>99</v>
      </c>
    </row>
    <row r="2595" spans="1:10" x14ac:dyDescent="0.3">
      <c r="A2595" t="s">
        <v>36</v>
      </c>
      <c r="B2595" t="s">
        <v>365</v>
      </c>
      <c r="C2595">
        <v>2</v>
      </c>
      <c r="D2595" t="s">
        <v>99</v>
      </c>
      <c r="E2595" t="s">
        <v>99</v>
      </c>
      <c r="F2595" t="s">
        <v>211</v>
      </c>
      <c r="G2595" t="s">
        <v>99</v>
      </c>
      <c r="H2595" t="s">
        <v>99</v>
      </c>
      <c r="I2595" t="s">
        <v>99</v>
      </c>
      <c r="J2595" t="s">
        <v>99</v>
      </c>
    </row>
    <row r="2596" spans="1:10" x14ac:dyDescent="0.3">
      <c r="A2596" t="s">
        <v>34</v>
      </c>
      <c r="B2596" t="s">
        <v>1242</v>
      </c>
      <c r="C2596">
        <v>2042</v>
      </c>
      <c r="D2596" t="s">
        <v>1154</v>
      </c>
      <c r="E2596" t="s">
        <v>121</v>
      </c>
      <c r="F2596" t="s">
        <v>554</v>
      </c>
      <c r="G2596" t="s">
        <v>99</v>
      </c>
      <c r="H2596" t="s">
        <v>104</v>
      </c>
      <c r="I2596" t="s">
        <v>99</v>
      </c>
      <c r="J2596" t="s">
        <v>99</v>
      </c>
    </row>
    <row r="2597" spans="1:10" s="5" customFormat="1" x14ac:dyDescent="0.3">
      <c r="A2597" s="5" t="s">
        <v>34</v>
      </c>
      <c r="B2597" s="5" t="s">
        <v>1243</v>
      </c>
      <c r="C2597" s="5">
        <v>14</v>
      </c>
      <c r="D2597" s="5" t="s">
        <v>705</v>
      </c>
      <c r="E2597" s="5" t="s">
        <v>99</v>
      </c>
      <c r="F2597" s="5" t="s">
        <v>230</v>
      </c>
      <c r="G2597" s="5" t="s">
        <v>99</v>
      </c>
      <c r="H2597" s="5" t="s">
        <v>99</v>
      </c>
      <c r="I2597" s="5" t="s">
        <v>99</v>
      </c>
      <c r="J2597" s="5" t="s">
        <v>99</v>
      </c>
    </row>
    <row r="2598" spans="1:10" s="5" customFormat="1" x14ac:dyDescent="0.3">
      <c r="A2598" s="5" t="s">
        <v>34</v>
      </c>
      <c r="B2598" s="5" t="s">
        <v>1244</v>
      </c>
      <c r="C2598" s="5">
        <v>23</v>
      </c>
      <c r="D2598" s="5" t="s">
        <v>1209</v>
      </c>
      <c r="E2598" s="5" t="s">
        <v>99</v>
      </c>
      <c r="F2598" s="5" t="s">
        <v>1245</v>
      </c>
      <c r="G2598" s="5" t="s">
        <v>99</v>
      </c>
      <c r="H2598" s="5" t="s">
        <v>99</v>
      </c>
      <c r="I2598" s="5" t="s">
        <v>99</v>
      </c>
      <c r="J2598" s="5" t="s">
        <v>99</v>
      </c>
    </row>
    <row r="2599" spans="1:10" x14ac:dyDescent="0.3">
      <c r="A2599" t="s">
        <v>34</v>
      </c>
      <c r="B2599" t="s">
        <v>365</v>
      </c>
      <c r="C2599">
        <v>1</v>
      </c>
      <c r="D2599" t="s">
        <v>99</v>
      </c>
      <c r="E2599" t="s">
        <v>99</v>
      </c>
      <c r="F2599" t="s">
        <v>211</v>
      </c>
      <c r="G2599" t="s">
        <v>99</v>
      </c>
      <c r="H2599" t="s">
        <v>99</v>
      </c>
      <c r="I2599" t="s">
        <v>99</v>
      </c>
      <c r="J2599" t="s">
        <v>99</v>
      </c>
    </row>
    <row r="2600" spans="1:10" x14ac:dyDescent="0.3">
      <c r="A2600" t="s">
        <v>33</v>
      </c>
      <c r="B2600" t="s">
        <v>1242</v>
      </c>
      <c r="C2600">
        <v>1898</v>
      </c>
      <c r="D2600" t="s">
        <v>534</v>
      </c>
      <c r="E2600" t="s">
        <v>115</v>
      </c>
      <c r="F2600" t="s">
        <v>874</v>
      </c>
      <c r="G2600" t="s">
        <v>104</v>
      </c>
      <c r="H2600" t="s">
        <v>99</v>
      </c>
      <c r="I2600" t="s">
        <v>99</v>
      </c>
      <c r="J2600" t="s">
        <v>99</v>
      </c>
    </row>
    <row r="2601" spans="1:10" s="5" customFormat="1" x14ac:dyDescent="0.3">
      <c r="A2601" s="5" t="s">
        <v>33</v>
      </c>
      <c r="B2601" s="5" t="s">
        <v>1243</v>
      </c>
      <c r="C2601" s="5">
        <v>30</v>
      </c>
      <c r="D2601" s="5" t="s">
        <v>99</v>
      </c>
      <c r="E2601" s="5" t="s">
        <v>99</v>
      </c>
      <c r="F2601" s="5" t="s">
        <v>211</v>
      </c>
      <c r="G2601" s="5" t="s">
        <v>99</v>
      </c>
      <c r="H2601" s="5" t="s">
        <v>99</v>
      </c>
      <c r="I2601" s="5" t="s">
        <v>99</v>
      </c>
      <c r="J2601" s="5" t="s">
        <v>99</v>
      </c>
    </row>
    <row r="2602" spans="1:10" s="5" customFormat="1" x14ac:dyDescent="0.3">
      <c r="A2602" s="5" t="s">
        <v>33</v>
      </c>
      <c r="B2602" s="5" t="s">
        <v>1244</v>
      </c>
      <c r="C2602" s="5">
        <v>7</v>
      </c>
      <c r="D2602" s="5" t="s">
        <v>99</v>
      </c>
      <c r="E2602" s="5" t="s">
        <v>99</v>
      </c>
      <c r="F2602" s="5" t="s">
        <v>211</v>
      </c>
      <c r="G2602" s="5" t="s">
        <v>99</v>
      </c>
      <c r="H2602" s="5" t="s">
        <v>99</v>
      </c>
      <c r="I2602" s="5" t="s">
        <v>99</v>
      </c>
      <c r="J2602" s="5" t="s">
        <v>99</v>
      </c>
    </row>
    <row r="2603" spans="1:10" x14ac:dyDescent="0.3">
      <c r="A2603" t="s">
        <v>33</v>
      </c>
      <c r="B2603" t="s">
        <v>365</v>
      </c>
      <c r="C2603">
        <v>2</v>
      </c>
      <c r="D2603" t="s">
        <v>99</v>
      </c>
      <c r="E2603" t="s">
        <v>99</v>
      </c>
      <c r="F2603" t="s">
        <v>211</v>
      </c>
      <c r="G2603" t="s">
        <v>99</v>
      </c>
      <c r="H2603" t="s">
        <v>99</v>
      </c>
      <c r="I2603" t="s">
        <v>99</v>
      </c>
      <c r="J2603" t="s">
        <v>99</v>
      </c>
    </row>
    <row r="2604" spans="1:10" x14ac:dyDescent="0.3">
      <c r="A2604" t="s">
        <v>49</v>
      </c>
      <c r="B2604" t="s">
        <v>1242</v>
      </c>
      <c r="C2604">
        <v>12925</v>
      </c>
      <c r="D2604" t="s">
        <v>1222</v>
      </c>
      <c r="E2604" t="s">
        <v>132</v>
      </c>
      <c r="F2604" t="s">
        <v>953</v>
      </c>
      <c r="G2604" t="s">
        <v>207</v>
      </c>
      <c r="H2604" t="s">
        <v>99</v>
      </c>
      <c r="I2604" t="s">
        <v>99</v>
      </c>
      <c r="J2604" t="s">
        <v>198</v>
      </c>
    </row>
    <row r="2605" spans="1:10" x14ac:dyDescent="0.3">
      <c r="A2605" t="s">
        <v>49</v>
      </c>
      <c r="B2605" t="s">
        <v>1243</v>
      </c>
      <c r="C2605">
        <v>227</v>
      </c>
      <c r="D2605" t="s">
        <v>118</v>
      </c>
      <c r="E2605" t="s">
        <v>99</v>
      </c>
      <c r="F2605" t="s">
        <v>779</v>
      </c>
      <c r="G2605" t="s">
        <v>99</v>
      </c>
      <c r="H2605" t="s">
        <v>99</v>
      </c>
      <c r="I2605" t="s">
        <v>99</v>
      </c>
      <c r="J2605" t="s">
        <v>99</v>
      </c>
    </row>
    <row r="2606" spans="1:10" x14ac:dyDescent="0.3">
      <c r="A2606" t="s">
        <v>49</v>
      </c>
      <c r="B2606" t="s">
        <v>1244</v>
      </c>
      <c r="C2606">
        <v>158</v>
      </c>
      <c r="D2606" t="s">
        <v>1008</v>
      </c>
      <c r="E2606" t="s">
        <v>101</v>
      </c>
      <c r="F2606" t="s">
        <v>1246</v>
      </c>
      <c r="G2606" t="s">
        <v>99</v>
      </c>
      <c r="H2606" t="s">
        <v>99</v>
      </c>
      <c r="I2606" t="s">
        <v>99</v>
      </c>
      <c r="J2606" t="s">
        <v>99</v>
      </c>
    </row>
    <row r="2607" spans="1:10" x14ac:dyDescent="0.3">
      <c r="A2607" t="s">
        <v>49</v>
      </c>
      <c r="B2607" t="s">
        <v>365</v>
      </c>
      <c r="C2607">
        <v>11</v>
      </c>
      <c r="D2607" t="s">
        <v>99</v>
      </c>
      <c r="E2607" t="s">
        <v>99</v>
      </c>
      <c r="F2607" t="s">
        <v>394</v>
      </c>
      <c r="G2607" t="s">
        <v>99</v>
      </c>
      <c r="H2607" t="s">
        <v>99</v>
      </c>
      <c r="I2607" t="s">
        <v>99</v>
      </c>
      <c r="J2607" t="s">
        <v>393</v>
      </c>
    </row>
    <row r="2609" spans="1:10" x14ac:dyDescent="0.3">
      <c r="A2609" t="s">
        <v>1247</v>
      </c>
    </row>
    <row r="2610" spans="1:10" x14ac:dyDescent="0.3">
      <c r="A2610" t="s">
        <v>44</v>
      </c>
      <c r="B2610" t="s">
        <v>1248</v>
      </c>
      <c r="C2610" t="s">
        <v>32</v>
      </c>
      <c r="D2610" t="s">
        <v>1217</v>
      </c>
      <c r="E2610" t="s">
        <v>1218</v>
      </c>
      <c r="F2610" t="s">
        <v>1219</v>
      </c>
      <c r="G2610" t="s">
        <v>1220</v>
      </c>
      <c r="H2610" t="s">
        <v>193</v>
      </c>
      <c r="I2610" t="s">
        <v>1221</v>
      </c>
      <c r="J2610" t="s">
        <v>88</v>
      </c>
    </row>
    <row r="2611" spans="1:10" x14ac:dyDescent="0.3">
      <c r="A2611" t="s">
        <v>35</v>
      </c>
      <c r="B2611" t="s">
        <v>1249</v>
      </c>
      <c r="C2611">
        <v>3026</v>
      </c>
      <c r="D2611" t="s">
        <v>498</v>
      </c>
      <c r="E2611" t="s">
        <v>253</v>
      </c>
      <c r="F2611" t="s">
        <v>584</v>
      </c>
      <c r="G2611" t="s">
        <v>207</v>
      </c>
      <c r="H2611" t="s">
        <v>99</v>
      </c>
      <c r="I2611" t="s">
        <v>99</v>
      </c>
      <c r="J2611" t="s">
        <v>99</v>
      </c>
    </row>
    <row r="2612" spans="1:10" x14ac:dyDescent="0.3">
      <c r="A2612" t="s">
        <v>35</v>
      </c>
      <c r="B2612" t="s">
        <v>1250</v>
      </c>
      <c r="C2612">
        <v>69</v>
      </c>
      <c r="D2612" t="s">
        <v>292</v>
      </c>
      <c r="E2612" t="s">
        <v>99</v>
      </c>
      <c r="F2612" t="s">
        <v>997</v>
      </c>
      <c r="G2612" t="s">
        <v>501</v>
      </c>
      <c r="H2612" t="s">
        <v>99</v>
      </c>
      <c r="I2612" t="s">
        <v>99</v>
      </c>
      <c r="J2612" t="s">
        <v>313</v>
      </c>
    </row>
    <row r="2613" spans="1:10" x14ac:dyDescent="0.3">
      <c r="A2613" t="s">
        <v>35</v>
      </c>
      <c r="B2613" t="s">
        <v>1251</v>
      </c>
      <c r="C2613">
        <v>49</v>
      </c>
      <c r="D2613" t="s">
        <v>197</v>
      </c>
      <c r="E2613" t="s">
        <v>99</v>
      </c>
      <c r="F2613" t="s">
        <v>426</v>
      </c>
      <c r="G2613" t="s">
        <v>99</v>
      </c>
      <c r="H2613" t="s">
        <v>99</v>
      </c>
      <c r="I2613" t="s">
        <v>99</v>
      </c>
      <c r="J2613" t="s">
        <v>99</v>
      </c>
    </row>
    <row r="2614" spans="1:10" x14ac:dyDescent="0.3">
      <c r="A2614" t="s">
        <v>35</v>
      </c>
      <c r="B2614" t="s">
        <v>365</v>
      </c>
      <c r="C2614">
        <v>1</v>
      </c>
      <c r="D2614" t="s">
        <v>99</v>
      </c>
      <c r="E2614" t="s">
        <v>99</v>
      </c>
      <c r="F2614" t="s">
        <v>99</v>
      </c>
      <c r="G2614" t="s">
        <v>99</v>
      </c>
      <c r="H2614" t="s">
        <v>99</v>
      </c>
      <c r="I2614" t="s">
        <v>99</v>
      </c>
      <c r="J2614" t="s">
        <v>211</v>
      </c>
    </row>
    <row r="2615" spans="1:10" x14ac:dyDescent="0.3">
      <c r="A2615" t="s">
        <v>37</v>
      </c>
      <c r="B2615" t="s">
        <v>1249</v>
      </c>
      <c r="C2615">
        <v>3747</v>
      </c>
      <c r="D2615" t="s">
        <v>665</v>
      </c>
      <c r="E2615" t="s">
        <v>115</v>
      </c>
      <c r="F2615" t="s">
        <v>939</v>
      </c>
      <c r="G2615" t="s">
        <v>99</v>
      </c>
      <c r="H2615" t="s">
        <v>99</v>
      </c>
      <c r="I2615" t="s">
        <v>99</v>
      </c>
      <c r="J2615" t="s">
        <v>104</v>
      </c>
    </row>
    <row r="2616" spans="1:10" x14ac:dyDescent="0.3">
      <c r="A2616" t="s">
        <v>37</v>
      </c>
      <c r="B2616" t="s">
        <v>1250</v>
      </c>
      <c r="C2616">
        <v>83</v>
      </c>
      <c r="D2616" t="s">
        <v>134</v>
      </c>
      <c r="E2616" t="s">
        <v>103</v>
      </c>
      <c r="F2616" t="s">
        <v>75</v>
      </c>
      <c r="G2616" t="s">
        <v>99</v>
      </c>
      <c r="H2616" t="s">
        <v>99</v>
      </c>
      <c r="I2616" t="s">
        <v>99</v>
      </c>
      <c r="J2616" t="s">
        <v>99</v>
      </c>
    </row>
    <row r="2617" spans="1:10" s="5" customFormat="1" x14ac:dyDescent="0.3">
      <c r="A2617" s="5" t="s">
        <v>37</v>
      </c>
      <c r="B2617" s="5" t="s">
        <v>1251</v>
      </c>
      <c r="C2617" s="5">
        <v>24</v>
      </c>
      <c r="D2617" s="5" t="s">
        <v>99</v>
      </c>
      <c r="E2617" s="5" t="s">
        <v>99</v>
      </c>
      <c r="F2617" s="5" t="s">
        <v>211</v>
      </c>
      <c r="G2617" s="5" t="s">
        <v>99</v>
      </c>
      <c r="H2617" s="5" t="s">
        <v>99</v>
      </c>
      <c r="I2617" s="5" t="s">
        <v>99</v>
      </c>
      <c r="J2617" s="5" t="s">
        <v>99</v>
      </c>
    </row>
    <row r="2618" spans="1:10" x14ac:dyDescent="0.3">
      <c r="A2618" t="s">
        <v>36</v>
      </c>
      <c r="B2618" t="s">
        <v>1249</v>
      </c>
      <c r="C2618">
        <v>2248</v>
      </c>
      <c r="D2618" t="s">
        <v>1252</v>
      </c>
      <c r="E2618" t="s">
        <v>319</v>
      </c>
      <c r="F2618" t="s">
        <v>458</v>
      </c>
      <c r="G2618" t="s">
        <v>99</v>
      </c>
      <c r="H2618" t="s">
        <v>99</v>
      </c>
      <c r="I2618" t="s">
        <v>99</v>
      </c>
      <c r="J2618" t="s">
        <v>207</v>
      </c>
    </row>
    <row r="2619" spans="1:10" x14ac:dyDescent="0.3">
      <c r="A2619" t="s">
        <v>36</v>
      </c>
      <c r="B2619" t="s">
        <v>1250</v>
      </c>
      <c r="C2619">
        <v>43</v>
      </c>
      <c r="D2619" t="s">
        <v>456</v>
      </c>
      <c r="E2619" t="s">
        <v>99</v>
      </c>
      <c r="F2619" t="s">
        <v>596</v>
      </c>
      <c r="G2619" t="s">
        <v>368</v>
      </c>
      <c r="H2619" t="s">
        <v>99</v>
      </c>
      <c r="I2619" t="s">
        <v>99</v>
      </c>
      <c r="J2619" t="s">
        <v>130</v>
      </c>
    </row>
    <row r="2620" spans="1:10" s="5" customFormat="1" x14ac:dyDescent="0.3">
      <c r="A2620" s="5" t="s">
        <v>36</v>
      </c>
      <c r="B2620" s="5" t="s">
        <v>1251</v>
      </c>
      <c r="C2620" s="5">
        <v>14</v>
      </c>
      <c r="D2620" s="5" t="s">
        <v>526</v>
      </c>
      <c r="E2620" s="5" t="s">
        <v>99</v>
      </c>
      <c r="F2620" s="5" t="s">
        <v>525</v>
      </c>
      <c r="G2620" s="5" t="s">
        <v>99</v>
      </c>
      <c r="H2620" s="5" t="s">
        <v>99</v>
      </c>
      <c r="I2620" s="5" t="s">
        <v>99</v>
      </c>
      <c r="J2620" s="5" t="s">
        <v>99</v>
      </c>
    </row>
    <row r="2621" spans="1:10" x14ac:dyDescent="0.3">
      <c r="A2621" t="s">
        <v>34</v>
      </c>
      <c r="B2621" t="s">
        <v>1249</v>
      </c>
      <c r="C2621">
        <v>2042</v>
      </c>
      <c r="D2621" t="s">
        <v>827</v>
      </c>
      <c r="E2621" t="s">
        <v>121</v>
      </c>
      <c r="F2621" t="s">
        <v>800</v>
      </c>
      <c r="G2621" t="s">
        <v>99</v>
      </c>
      <c r="H2621" t="s">
        <v>104</v>
      </c>
      <c r="I2621" t="s">
        <v>99</v>
      </c>
      <c r="J2621" t="s">
        <v>99</v>
      </c>
    </row>
    <row r="2622" spans="1:10" s="5" customFormat="1" x14ac:dyDescent="0.3">
      <c r="A2622" s="5" t="s">
        <v>34</v>
      </c>
      <c r="B2622" s="5" t="s">
        <v>1250</v>
      </c>
      <c r="C2622" s="5">
        <v>14</v>
      </c>
      <c r="D2622" s="5" t="s">
        <v>206</v>
      </c>
      <c r="E2622" s="5" t="s">
        <v>99</v>
      </c>
      <c r="F2622" s="5" t="s">
        <v>447</v>
      </c>
      <c r="G2622" s="5" t="s">
        <v>99</v>
      </c>
      <c r="H2622" s="5" t="s">
        <v>99</v>
      </c>
      <c r="I2622" s="5" t="s">
        <v>99</v>
      </c>
      <c r="J2622" s="5" t="s">
        <v>99</v>
      </c>
    </row>
    <row r="2623" spans="1:10" s="5" customFormat="1" x14ac:dyDescent="0.3">
      <c r="A2623" s="5" t="s">
        <v>34</v>
      </c>
      <c r="B2623" s="5" t="s">
        <v>1251</v>
      </c>
      <c r="C2623" s="5">
        <v>24</v>
      </c>
      <c r="D2623" s="5" t="s">
        <v>401</v>
      </c>
      <c r="E2623" s="5" t="s">
        <v>99</v>
      </c>
      <c r="F2623" s="5" t="s">
        <v>354</v>
      </c>
      <c r="G2623" s="5" t="s">
        <v>99</v>
      </c>
      <c r="H2623" s="5" t="s">
        <v>99</v>
      </c>
      <c r="I2623" s="5" t="s">
        <v>99</v>
      </c>
      <c r="J2623" s="5" t="s">
        <v>99</v>
      </c>
    </row>
    <row r="2624" spans="1:10" x14ac:dyDescent="0.3">
      <c r="A2624" t="s">
        <v>33</v>
      </c>
      <c r="B2624" t="s">
        <v>1249</v>
      </c>
      <c r="C2624">
        <v>1900</v>
      </c>
      <c r="D2624" t="s">
        <v>534</v>
      </c>
      <c r="E2624" t="s">
        <v>115</v>
      </c>
      <c r="F2624" t="s">
        <v>767</v>
      </c>
      <c r="G2624" t="s">
        <v>104</v>
      </c>
      <c r="H2624" t="s">
        <v>99</v>
      </c>
      <c r="I2624" t="s">
        <v>99</v>
      </c>
      <c r="J2624" t="s">
        <v>99</v>
      </c>
    </row>
    <row r="2625" spans="1:10" s="5" customFormat="1" x14ac:dyDescent="0.3">
      <c r="A2625" s="5" t="s">
        <v>33</v>
      </c>
      <c r="B2625" s="5" t="s">
        <v>1250</v>
      </c>
      <c r="C2625" s="5">
        <v>26</v>
      </c>
      <c r="D2625" s="5" t="s">
        <v>99</v>
      </c>
      <c r="E2625" s="5" t="s">
        <v>99</v>
      </c>
      <c r="F2625" s="5" t="s">
        <v>211</v>
      </c>
      <c r="G2625" s="5" t="s">
        <v>99</v>
      </c>
      <c r="H2625" s="5" t="s">
        <v>99</v>
      </c>
      <c r="I2625" s="5" t="s">
        <v>99</v>
      </c>
      <c r="J2625" s="5" t="s">
        <v>99</v>
      </c>
    </row>
    <row r="2626" spans="1:10" s="5" customFormat="1" x14ac:dyDescent="0.3">
      <c r="A2626" s="5" t="s">
        <v>33</v>
      </c>
      <c r="B2626" s="5" t="s">
        <v>1251</v>
      </c>
      <c r="C2626" s="5">
        <v>11</v>
      </c>
      <c r="D2626" s="5" t="s">
        <v>99</v>
      </c>
      <c r="E2626" s="5" t="s">
        <v>99</v>
      </c>
      <c r="F2626" s="5" t="s">
        <v>211</v>
      </c>
      <c r="G2626" s="5" t="s">
        <v>99</v>
      </c>
      <c r="H2626" s="5" t="s">
        <v>99</v>
      </c>
      <c r="I2626" s="5" t="s">
        <v>99</v>
      </c>
      <c r="J2626" s="5" t="s">
        <v>99</v>
      </c>
    </row>
    <row r="2627" spans="1:10" x14ac:dyDescent="0.3">
      <c r="A2627" t="s">
        <v>49</v>
      </c>
      <c r="B2627" t="s">
        <v>1249</v>
      </c>
      <c r="C2627">
        <v>12963</v>
      </c>
      <c r="D2627" t="s">
        <v>1222</v>
      </c>
      <c r="E2627" t="s">
        <v>132</v>
      </c>
      <c r="F2627" t="s">
        <v>279</v>
      </c>
      <c r="G2627" t="s">
        <v>104</v>
      </c>
      <c r="H2627" t="s">
        <v>99</v>
      </c>
      <c r="I2627" t="s">
        <v>99</v>
      </c>
      <c r="J2627" t="s">
        <v>99</v>
      </c>
    </row>
    <row r="2628" spans="1:10" x14ac:dyDescent="0.3">
      <c r="A2628" t="s">
        <v>49</v>
      </c>
      <c r="B2628" t="s">
        <v>1250</v>
      </c>
      <c r="C2628">
        <v>235</v>
      </c>
      <c r="D2628" t="s">
        <v>143</v>
      </c>
      <c r="E2628" t="s">
        <v>108</v>
      </c>
      <c r="F2628" t="s">
        <v>1253</v>
      </c>
      <c r="G2628" t="s">
        <v>353</v>
      </c>
      <c r="H2628" t="s">
        <v>99</v>
      </c>
      <c r="I2628" t="s">
        <v>99</v>
      </c>
      <c r="J2628" t="s">
        <v>434</v>
      </c>
    </row>
    <row r="2629" spans="1:10" x14ac:dyDescent="0.3">
      <c r="A2629" t="s">
        <v>49</v>
      </c>
      <c r="B2629" t="s">
        <v>1251</v>
      </c>
      <c r="C2629">
        <v>122</v>
      </c>
      <c r="D2629" t="s">
        <v>255</v>
      </c>
      <c r="E2629" t="s">
        <v>99</v>
      </c>
      <c r="F2629" t="s">
        <v>450</v>
      </c>
      <c r="G2629" t="s">
        <v>99</v>
      </c>
      <c r="H2629" t="s">
        <v>99</v>
      </c>
      <c r="I2629" t="s">
        <v>99</v>
      </c>
      <c r="J2629" t="s">
        <v>99</v>
      </c>
    </row>
    <row r="2630" spans="1:10" x14ac:dyDescent="0.3">
      <c r="A2630" t="s">
        <v>49</v>
      </c>
      <c r="B2630" t="s">
        <v>365</v>
      </c>
      <c r="C2630">
        <v>1</v>
      </c>
      <c r="D2630" t="s">
        <v>99</v>
      </c>
      <c r="E2630" t="s">
        <v>99</v>
      </c>
      <c r="F2630" t="s">
        <v>99</v>
      </c>
      <c r="G2630" t="s">
        <v>99</v>
      </c>
      <c r="H2630" t="s">
        <v>99</v>
      </c>
      <c r="I2630" t="s">
        <v>99</v>
      </c>
      <c r="J2630" t="s">
        <v>211</v>
      </c>
    </row>
    <row r="2632" spans="1:10" x14ac:dyDescent="0.3">
      <c r="A2632" t="s">
        <v>1254</v>
      </c>
    </row>
    <row r="2633" spans="1:10" x14ac:dyDescent="0.3">
      <c r="A2633" t="s">
        <v>44</v>
      </c>
      <c r="B2633" t="s">
        <v>879</v>
      </c>
      <c r="C2633" t="s">
        <v>32</v>
      </c>
      <c r="D2633" t="s">
        <v>1217</v>
      </c>
      <c r="E2633" t="s">
        <v>1218</v>
      </c>
      <c r="F2633" t="s">
        <v>1219</v>
      </c>
      <c r="G2633" t="s">
        <v>1220</v>
      </c>
      <c r="H2633" t="s">
        <v>193</v>
      </c>
      <c r="I2633" t="s">
        <v>88</v>
      </c>
      <c r="J2633" t="s">
        <v>1221</v>
      </c>
    </row>
    <row r="2634" spans="1:10" x14ac:dyDescent="0.3">
      <c r="A2634" t="s">
        <v>35</v>
      </c>
      <c r="B2634" t="s">
        <v>880</v>
      </c>
      <c r="C2634">
        <v>596</v>
      </c>
      <c r="D2634" t="s">
        <v>815</v>
      </c>
      <c r="E2634" t="s">
        <v>114</v>
      </c>
      <c r="F2634" t="s">
        <v>967</v>
      </c>
      <c r="G2634" t="s">
        <v>114</v>
      </c>
      <c r="H2634" t="s">
        <v>99</v>
      </c>
      <c r="I2634" t="s">
        <v>132</v>
      </c>
      <c r="J2634" t="s">
        <v>99</v>
      </c>
    </row>
    <row r="2635" spans="1:10" x14ac:dyDescent="0.3">
      <c r="A2635" t="s">
        <v>35</v>
      </c>
      <c r="B2635" t="s">
        <v>881</v>
      </c>
      <c r="C2635">
        <v>1162</v>
      </c>
      <c r="D2635" t="s">
        <v>620</v>
      </c>
      <c r="E2635" t="s">
        <v>136</v>
      </c>
      <c r="F2635" t="s">
        <v>1255</v>
      </c>
      <c r="G2635" t="s">
        <v>319</v>
      </c>
      <c r="H2635" t="s">
        <v>104</v>
      </c>
      <c r="I2635" t="s">
        <v>253</v>
      </c>
      <c r="J2635" t="s">
        <v>99</v>
      </c>
    </row>
    <row r="2636" spans="1:10" x14ac:dyDescent="0.3">
      <c r="A2636" t="s">
        <v>35</v>
      </c>
      <c r="B2636" t="s">
        <v>882</v>
      </c>
      <c r="C2636">
        <v>1387</v>
      </c>
      <c r="D2636" t="s">
        <v>1101</v>
      </c>
      <c r="E2636" t="s">
        <v>136</v>
      </c>
      <c r="F2636" t="s">
        <v>620</v>
      </c>
      <c r="G2636" t="s">
        <v>99</v>
      </c>
      <c r="H2636" t="s">
        <v>99</v>
      </c>
      <c r="I2636" t="s">
        <v>104</v>
      </c>
      <c r="J2636" t="s">
        <v>99</v>
      </c>
    </row>
    <row r="2637" spans="1:10" x14ac:dyDescent="0.3">
      <c r="A2637" t="s">
        <v>37</v>
      </c>
      <c r="B2637" t="s">
        <v>880</v>
      </c>
      <c r="C2637">
        <v>670</v>
      </c>
      <c r="D2637" t="s">
        <v>913</v>
      </c>
      <c r="E2637" t="s">
        <v>121</v>
      </c>
      <c r="F2637" t="s">
        <v>522</v>
      </c>
      <c r="G2637" t="s">
        <v>99</v>
      </c>
      <c r="H2637" t="s">
        <v>99</v>
      </c>
      <c r="I2637" t="s">
        <v>198</v>
      </c>
      <c r="J2637" t="s">
        <v>99</v>
      </c>
    </row>
    <row r="2638" spans="1:10" x14ac:dyDescent="0.3">
      <c r="A2638" t="s">
        <v>37</v>
      </c>
      <c r="B2638" t="s">
        <v>881</v>
      </c>
      <c r="C2638">
        <v>1371</v>
      </c>
      <c r="D2638" t="s">
        <v>811</v>
      </c>
      <c r="E2638" t="s">
        <v>108</v>
      </c>
      <c r="F2638" t="s">
        <v>502</v>
      </c>
      <c r="G2638" t="s">
        <v>104</v>
      </c>
      <c r="H2638" t="s">
        <v>99</v>
      </c>
      <c r="I2638" t="s">
        <v>99</v>
      </c>
      <c r="J2638" t="s">
        <v>99</v>
      </c>
    </row>
    <row r="2639" spans="1:10" x14ac:dyDescent="0.3">
      <c r="A2639" t="s">
        <v>37</v>
      </c>
      <c r="B2639" t="s">
        <v>882</v>
      </c>
      <c r="C2639">
        <v>1813</v>
      </c>
      <c r="D2639" t="s">
        <v>670</v>
      </c>
      <c r="E2639" t="s">
        <v>207</v>
      </c>
      <c r="F2639" t="s">
        <v>1170</v>
      </c>
      <c r="G2639" t="s">
        <v>99</v>
      </c>
      <c r="H2639" t="s">
        <v>99</v>
      </c>
      <c r="I2639" t="s">
        <v>104</v>
      </c>
      <c r="J2639" t="s">
        <v>99</v>
      </c>
    </row>
    <row r="2640" spans="1:10" x14ac:dyDescent="0.3">
      <c r="A2640" t="s">
        <v>36</v>
      </c>
      <c r="B2640" t="s">
        <v>880</v>
      </c>
      <c r="C2640">
        <v>382</v>
      </c>
      <c r="D2640" t="s">
        <v>555</v>
      </c>
      <c r="E2640" t="s">
        <v>147</v>
      </c>
      <c r="F2640" t="s">
        <v>1256</v>
      </c>
      <c r="G2640" t="s">
        <v>99</v>
      </c>
      <c r="H2640" t="s">
        <v>99</v>
      </c>
      <c r="I2640" t="s">
        <v>100</v>
      </c>
      <c r="J2640" t="s">
        <v>99</v>
      </c>
    </row>
    <row r="2641" spans="1:19" x14ac:dyDescent="0.3">
      <c r="A2641" t="s">
        <v>36</v>
      </c>
      <c r="B2641" t="s">
        <v>881</v>
      </c>
      <c r="C2641">
        <v>866</v>
      </c>
      <c r="D2641" t="s">
        <v>1154</v>
      </c>
      <c r="E2641" t="s">
        <v>115</v>
      </c>
      <c r="F2641" t="s">
        <v>1104</v>
      </c>
      <c r="G2641" t="s">
        <v>108</v>
      </c>
      <c r="H2641" t="s">
        <v>99</v>
      </c>
      <c r="I2641" t="s">
        <v>207</v>
      </c>
      <c r="J2641" t="s">
        <v>99</v>
      </c>
    </row>
    <row r="2642" spans="1:19" x14ac:dyDescent="0.3">
      <c r="A2642" t="s">
        <v>36</v>
      </c>
      <c r="B2642" t="s">
        <v>882</v>
      </c>
      <c r="C2642">
        <v>1057</v>
      </c>
      <c r="D2642" t="s">
        <v>960</v>
      </c>
      <c r="E2642" t="s">
        <v>108</v>
      </c>
      <c r="F2642" t="s">
        <v>1257</v>
      </c>
      <c r="G2642" t="s">
        <v>99</v>
      </c>
      <c r="H2642" t="s">
        <v>99</v>
      </c>
      <c r="I2642" t="s">
        <v>99</v>
      </c>
      <c r="J2642" t="s">
        <v>99</v>
      </c>
    </row>
    <row r="2643" spans="1:19" x14ac:dyDescent="0.3">
      <c r="A2643" t="s">
        <v>34</v>
      </c>
      <c r="B2643" t="s">
        <v>880</v>
      </c>
      <c r="C2643">
        <v>351</v>
      </c>
      <c r="D2643" t="s">
        <v>607</v>
      </c>
      <c r="E2643" t="s">
        <v>123</v>
      </c>
      <c r="F2643" t="s">
        <v>1258</v>
      </c>
      <c r="G2643" t="s">
        <v>99</v>
      </c>
      <c r="H2643" t="s">
        <v>99</v>
      </c>
      <c r="I2643" t="s">
        <v>99</v>
      </c>
      <c r="J2643" t="s">
        <v>99</v>
      </c>
    </row>
    <row r="2644" spans="1:19" x14ac:dyDescent="0.3">
      <c r="A2644" t="s">
        <v>34</v>
      </c>
      <c r="B2644" t="s">
        <v>881</v>
      </c>
      <c r="C2644">
        <v>861</v>
      </c>
      <c r="D2644" t="s">
        <v>1252</v>
      </c>
      <c r="E2644" t="s">
        <v>121</v>
      </c>
      <c r="F2644" t="s">
        <v>279</v>
      </c>
      <c r="G2644" t="s">
        <v>99</v>
      </c>
      <c r="H2644" t="s">
        <v>99</v>
      </c>
      <c r="I2644" t="s">
        <v>99</v>
      </c>
      <c r="J2644" t="s">
        <v>99</v>
      </c>
    </row>
    <row r="2645" spans="1:19" x14ac:dyDescent="0.3">
      <c r="A2645" t="s">
        <v>34</v>
      </c>
      <c r="B2645" t="s">
        <v>882</v>
      </c>
      <c r="C2645">
        <v>868</v>
      </c>
      <c r="D2645" t="s">
        <v>1148</v>
      </c>
      <c r="E2645" t="s">
        <v>132</v>
      </c>
      <c r="F2645" t="s">
        <v>533</v>
      </c>
      <c r="G2645" t="s">
        <v>99</v>
      </c>
      <c r="H2645" t="s">
        <v>198</v>
      </c>
      <c r="I2645" t="s">
        <v>99</v>
      </c>
      <c r="J2645" t="s">
        <v>99</v>
      </c>
    </row>
    <row r="2646" spans="1:19" x14ac:dyDescent="0.3">
      <c r="A2646" t="s">
        <v>33</v>
      </c>
      <c r="B2646" t="s">
        <v>880</v>
      </c>
      <c r="C2646">
        <v>426</v>
      </c>
      <c r="D2646" t="s">
        <v>456</v>
      </c>
      <c r="E2646" t="s">
        <v>253</v>
      </c>
      <c r="F2646" t="s">
        <v>1259</v>
      </c>
      <c r="G2646" t="s">
        <v>207</v>
      </c>
      <c r="H2646" t="s">
        <v>99</v>
      </c>
      <c r="I2646" t="s">
        <v>99</v>
      </c>
      <c r="J2646" t="s">
        <v>99</v>
      </c>
    </row>
    <row r="2647" spans="1:19" x14ac:dyDescent="0.3">
      <c r="A2647" t="s">
        <v>33</v>
      </c>
      <c r="B2647" t="s">
        <v>881</v>
      </c>
      <c r="C2647">
        <v>682</v>
      </c>
      <c r="D2647" t="s">
        <v>463</v>
      </c>
      <c r="E2647" t="s">
        <v>100</v>
      </c>
      <c r="F2647" t="s">
        <v>623</v>
      </c>
      <c r="G2647" t="s">
        <v>99</v>
      </c>
      <c r="H2647" t="s">
        <v>99</v>
      </c>
      <c r="I2647" t="s">
        <v>99</v>
      </c>
      <c r="J2647" t="s">
        <v>99</v>
      </c>
    </row>
    <row r="2648" spans="1:19" x14ac:dyDescent="0.3">
      <c r="A2648" t="s">
        <v>33</v>
      </c>
      <c r="B2648" t="s">
        <v>882</v>
      </c>
      <c r="C2648">
        <v>829</v>
      </c>
      <c r="D2648" t="s">
        <v>805</v>
      </c>
      <c r="E2648" t="s">
        <v>136</v>
      </c>
      <c r="F2648" t="s">
        <v>1171</v>
      </c>
      <c r="G2648" t="s">
        <v>104</v>
      </c>
      <c r="H2648" t="s">
        <v>99</v>
      </c>
      <c r="I2648" t="s">
        <v>99</v>
      </c>
      <c r="J2648" t="s">
        <v>99</v>
      </c>
    </row>
    <row r="2649" spans="1:19" x14ac:dyDescent="0.3">
      <c r="A2649" t="s">
        <v>49</v>
      </c>
      <c r="B2649" t="s">
        <v>880</v>
      </c>
      <c r="C2649">
        <v>2425</v>
      </c>
      <c r="D2649" t="s">
        <v>793</v>
      </c>
      <c r="E2649" t="s">
        <v>101</v>
      </c>
      <c r="F2649" t="s">
        <v>895</v>
      </c>
      <c r="G2649" t="s">
        <v>136</v>
      </c>
      <c r="H2649" t="s">
        <v>99</v>
      </c>
      <c r="I2649" t="s">
        <v>136</v>
      </c>
      <c r="J2649" t="s">
        <v>99</v>
      </c>
    </row>
    <row r="2650" spans="1:19" x14ac:dyDescent="0.3">
      <c r="A2650" t="s">
        <v>49</v>
      </c>
      <c r="B2650" t="s">
        <v>881</v>
      </c>
      <c r="C2650">
        <v>4942</v>
      </c>
      <c r="D2650" t="s">
        <v>481</v>
      </c>
      <c r="E2650" t="s">
        <v>108</v>
      </c>
      <c r="F2650" t="s">
        <v>593</v>
      </c>
      <c r="G2650" t="s">
        <v>141</v>
      </c>
      <c r="H2650" t="s">
        <v>99</v>
      </c>
      <c r="I2650" t="s">
        <v>198</v>
      </c>
      <c r="J2650" t="s">
        <v>99</v>
      </c>
    </row>
    <row r="2651" spans="1:19" x14ac:dyDescent="0.3">
      <c r="A2651" t="s">
        <v>49</v>
      </c>
      <c r="B2651" t="s">
        <v>882</v>
      </c>
      <c r="C2651">
        <v>5954</v>
      </c>
      <c r="D2651" t="s">
        <v>843</v>
      </c>
      <c r="E2651" t="s">
        <v>141</v>
      </c>
      <c r="F2651" t="s">
        <v>1127</v>
      </c>
      <c r="G2651" t="s">
        <v>99</v>
      </c>
      <c r="H2651" t="s">
        <v>99</v>
      </c>
      <c r="I2651" t="s">
        <v>99</v>
      </c>
      <c r="J2651" t="s">
        <v>99</v>
      </c>
    </row>
    <row r="2653" spans="1:19" x14ac:dyDescent="0.3">
      <c r="A2653" t="s">
        <v>1260</v>
      </c>
    </row>
    <row r="2654" spans="1:19" x14ac:dyDescent="0.3">
      <c r="A2654" t="s">
        <v>44</v>
      </c>
      <c r="B2654" t="s">
        <v>32</v>
      </c>
      <c r="C2654" t="s">
        <v>1261</v>
      </c>
      <c r="D2654" t="s">
        <v>1262</v>
      </c>
      <c r="E2654" t="s">
        <v>1263</v>
      </c>
      <c r="F2654" t="s">
        <v>1264</v>
      </c>
      <c r="G2654" t="s">
        <v>1265</v>
      </c>
      <c r="H2654" t="s">
        <v>1266</v>
      </c>
      <c r="I2654" t="s">
        <v>1267</v>
      </c>
      <c r="J2654" t="s">
        <v>1268</v>
      </c>
      <c r="K2654" t="s">
        <v>1269</v>
      </c>
      <c r="L2654" t="s">
        <v>1270</v>
      </c>
      <c r="M2654" t="s">
        <v>1271</v>
      </c>
      <c r="N2654" t="s">
        <v>1272</v>
      </c>
      <c r="O2654" t="s">
        <v>1273</v>
      </c>
      <c r="P2654" t="s">
        <v>1274</v>
      </c>
      <c r="Q2654" t="s">
        <v>1275</v>
      </c>
      <c r="R2654" t="s">
        <v>83</v>
      </c>
      <c r="S2654" t="s">
        <v>193</v>
      </c>
    </row>
    <row r="2655" spans="1:19" x14ac:dyDescent="0.3">
      <c r="A2655" t="s">
        <v>35</v>
      </c>
      <c r="B2655">
        <v>3144</v>
      </c>
      <c r="C2655" t="s">
        <v>764</v>
      </c>
      <c r="D2655" t="s">
        <v>68</v>
      </c>
      <c r="E2655" t="s">
        <v>115</v>
      </c>
      <c r="F2655" t="s">
        <v>328</v>
      </c>
      <c r="G2655" t="s">
        <v>207</v>
      </c>
      <c r="H2655" t="s">
        <v>118</v>
      </c>
      <c r="I2655" t="s">
        <v>198</v>
      </c>
      <c r="J2655" t="s">
        <v>198</v>
      </c>
      <c r="K2655" t="s">
        <v>141</v>
      </c>
      <c r="L2655" t="s">
        <v>99</v>
      </c>
      <c r="M2655" t="s">
        <v>108</v>
      </c>
      <c r="N2655" t="s">
        <v>207</v>
      </c>
      <c r="O2655" t="s">
        <v>198</v>
      </c>
      <c r="P2655" t="s">
        <v>141</v>
      </c>
      <c r="Q2655" t="s">
        <v>99</v>
      </c>
      <c r="R2655" t="s">
        <v>99</v>
      </c>
      <c r="S2655" t="s">
        <v>99</v>
      </c>
    </row>
    <row r="2656" spans="1:19" x14ac:dyDescent="0.3">
      <c r="A2656" t="s">
        <v>37</v>
      </c>
      <c r="B2656">
        <v>3854</v>
      </c>
      <c r="C2656" t="s">
        <v>364</v>
      </c>
      <c r="D2656" t="s">
        <v>110</v>
      </c>
      <c r="E2656" t="s">
        <v>207</v>
      </c>
      <c r="F2656" t="s">
        <v>100</v>
      </c>
      <c r="G2656" t="s">
        <v>126</v>
      </c>
      <c r="H2656" t="s">
        <v>292</v>
      </c>
      <c r="I2656" t="s">
        <v>198</v>
      </c>
      <c r="J2656" t="s">
        <v>198</v>
      </c>
      <c r="K2656" t="s">
        <v>123</v>
      </c>
      <c r="L2656" t="s">
        <v>136</v>
      </c>
      <c r="M2656" t="s">
        <v>114</v>
      </c>
      <c r="N2656" t="s">
        <v>104</v>
      </c>
      <c r="O2656" t="s">
        <v>207</v>
      </c>
      <c r="P2656" t="s">
        <v>99</v>
      </c>
      <c r="Q2656" t="s">
        <v>99</v>
      </c>
      <c r="R2656" t="s">
        <v>198</v>
      </c>
      <c r="S2656" t="s">
        <v>99</v>
      </c>
    </row>
    <row r="2657" spans="1:20" x14ac:dyDescent="0.3">
      <c r="A2657" t="s">
        <v>36</v>
      </c>
      <c r="B2657">
        <v>2305</v>
      </c>
      <c r="C2657" t="s">
        <v>1276</v>
      </c>
      <c r="D2657" t="s">
        <v>129</v>
      </c>
      <c r="E2657" t="s">
        <v>319</v>
      </c>
      <c r="F2657" t="s">
        <v>468</v>
      </c>
      <c r="G2657" t="s">
        <v>115</v>
      </c>
      <c r="H2657" t="s">
        <v>147</v>
      </c>
      <c r="I2657" t="s">
        <v>136</v>
      </c>
      <c r="J2657" t="s">
        <v>207</v>
      </c>
      <c r="K2657" t="s">
        <v>136</v>
      </c>
      <c r="L2657" t="s">
        <v>104</v>
      </c>
      <c r="M2657" t="s">
        <v>151</v>
      </c>
      <c r="N2657" t="s">
        <v>207</v>
      </c>
      <c r="O2657" t="s">
        <v>207</v>
      </c>
      <c r="P2657" t="s">
        <v>141</v>
      </c>
      <c r="Q2657" t="s">
        <v>198</v>
      </c>
      <c r="R2657" t="s">
        <v>207</v>
      </c>
      <c r="S2657" t="s">
        <v>104</v>
      </c>
    </row>
    <row r="2658" spans="1:20" x14ac:dyDescent="0.3">
      <c r="A2658" t="s">
        <v>34</v>
      </c>
      <c r="B2658">
        <v>2080</v>
      </c>
      <c r="C2658" t="s">
        <v>1277</v>
      </c>
      <c r="D2658" t="s">
        <v>679</v>
      </c>
      <c r="E2658" t="s">
        <v>103</v>
      </c>
      <c r="F2658" t="s">
        <v>416</v>
      </c>
      <c r="G2658" t="s">
        <v>115</v>
      </c>
      <c r="H2658" t="s">
        <v>149</v>
      </c>
      <c r="I2658" t="s">
        <v>136</v>
      </c>
      <c r="J2658" t="s">
        <v>207</v>
      </c>
      <c r="K2658" t="s">
        <v>253</v>
      </c>
      <c r="L2658" t="s">
        <v>207</v>
      </c>
      <c r="M2658" t="s">
        <v>129</v>
      </c>
      <c r="N2658" t="s">
        <v>100</v>
      </c>
      <c r="O2658" t="s">
        <v>141</v>
      </c>
      <c r="P2658" t="s">
        <v>136</v>
      </c>
      <c r="Q2658" t="s">
        <v>114</v>
      </c>
      <c r="R2658" t="s">
        <v>198</v>
      </c>
      <c r="S2658" t="s">
        <v>99</v>
      </c>
    </row>
    <row r="2659" spans="1:20" x14ac:dyDescent="0.3">
      <c r="A2659" t="s">
        <v>33</v>
      </c>
      <c r="B2659">
        <v>1936</v>
      </c>
      <c r="C2659" t="s">
        <v>989</v>
      </c>
      <c r="D2659" t="s">
        <v>141</v>
      </c>
      <c r="E2659" t="s">
        <v>99</v>
      </c>
      <c r="F2659" t="s">
        <v>198</v>
      </c>
      <c r="G2659" t="s">
        <v>104</v>
      </c>
      <c r="H2659" t="s">
        <v>198</v>
      </c>
      <c r="I2659" t="s">
        <v>99</v>
      </c>
      <c r="J2659" t="s">
        <v>99</v>
      </c>
      <c r="K2659" t="s">
        <v>104</v>
      </c>
      <c r="L2659" t="s">
        <v>99</v>
      </c>
      <c r="M2659" t="s">
        <v>99</v>
      </c>
      <c r="N2659" t="s">
        <v>99</v>
      </c>
      <c r="O2659" t="s">
        <v>99</v>
      </c>
      <c r="P2659" t="s">
        <v>99</v>
      </c>
      <c r="Q2659" t="s">
        <v>99</v>
      </c>
      <c r="R2659" t="s">
        <v>99</v>
      </c>
      <c r="S2659" t="s">
        <v>99</v>
      </c>
    </row>
    <row r="2660" spans="1:20" x14ac:dyDescent="0.3">
      <c r="A2660" t="s">
        <v>49</v>
      </c>
      <c r="B2660">
        <v>13319</v>
      </c>
      <c r="C2660" t="s">
        <v>889</v>
      </c>
      <c r="D2660" t="s">
        <v>712</v>
      </c>
      <c r="E2660" t="s">
        <v>108</v>
      </c>
      <c r="F2660" t="s">
        <v>139</v>
      </c>
      <c r="G2660" t="s">
        <v>115</v>
      </c>
      <c r="H2660" t="s">
        <v>120</v>
      </c>
      <c r="I2660" t="s">
        <v>198</v>
      </c>
      <c r="J2660" t="s">
        <v>198</v>
      </c>
      <c r="K2660" t="s">
        <v>132</v>
      </c>
      <c r="L2660" t="s">
        <v>198</v>
      </c>
      <c r="M2660" t="s">
        <v>126</v>
      </c>
      <c r="N2660" t="s">
        <v>207</v>
      </c>
      <c r="O2660" t="s">
        <v>207</v>
      </c>
      <c r="P2660" t="s">
        <v>207</v>
      </c>
      <c r="Q2660" t="s">
        <v>198</v>
      </c>
      <c r="R2660" t="s">
        <v>104</v>
      </c>
      <c r="S2660" t="s">
        <v>99</v>
      </c>
    </row>
    <row r="2662" spans="1:20" x14ac:dyDescent="0.3">
      <c r="A2662" t="s">
        <v>1278</v>
      </c>
    </row>
    <row r="2663" spans="1:20" x14ac:dyDescent="0.3">
      <c r="A2663" t="s">
        <v>44</v>
      </c>
      <c r="B2663" t="s">
        <v>361</v>
      </c>
      <c r="C2663" t="s">
        <v>32</v>
      </c>
      <c r="D2663" t="s">
        <v>1261</v>
      </c>
      <c r="E2663" t="s">
        <v>1262</v>
      </c>
      <c r="F2663" t="s">
        <v>1263</v>
      </c>
      <c r="G2663" t="s">
        <v>1264</v>
      </c>
      <c r="H2663" t="s">
        <v>1265</v>
      </c>
      <c r="I2663" t="s">
        <v>1266</v>
      </c>
      <c r="J2663" t="s">
        <v>1267</v>
      </c>
      <c r="K2663" t="s">
        <v>1268</v>
      </c>
      <c r="L2663" t="s">
        <v>1269</v>
      </c>
      <c r="M2663" t="s">
        <v>1270</v>
      </c>
      <c r="N2663" t="s">
        <v>1271</v>
      </c>
      <c r="O2663" t="s">
        <v>1272</v>
      </c>
      <c r="P2663" t="s">
        <v>1273</v>
      </c>
      <c r="Q2663" t="s">
        <v>1274</v>
      </c>
      <c r="R2663" t="s">
        <v>1275</v>
      </c>
      <c r="S2663" t="s">
        <v>83</v>
      </c>
      <c r="T2663" t="s">
        <v>193</v>
      </c>
    </row>
    <row r="2664" spans="1:20" x14ac:dyDescent="0.3">
      <c r="A2664" t="s">
        <v>35</v>
      </c>
      <c r="B2664" t="s">
        <v>339</v>
      </c>
      <c r="C2664">
        <v>889</v>
      </c>
      <c r="D2664" t="s">
        <v>464</v>
      </c>
      <c r="E2664" t="s">
        <v>663</v>
      </c>
      <c r="F2664" t="s">
        <v>207</v>
      </c>
      <c r="G2664" t="s">
        <v>353</v>
      </c>
      <c r="H2664" t="s">
        <v>141</v>
      </c>
      <c r="I2664" t="s">
        <v>325</v>
      </c>
      <c r="J2664" t="s">
        <v>99</v>
      </c>
      <c r="K2664" t="s">
        <v>104</v>
      </c>
      <c r="L2664" t="s">
        <v>141</v>
      </c>
      <c r="M2664" t="s">
        <v>99</v>
      </c>
      <c r="N2664" t="s">
        <v>382</v>
      </c>
      <c r="O2664" t="s">
        <v>198</v>
      </c>
      <c r="P2664" t="s">
        <v>104</v>
      </c>
      <c r="Q2664" t="s">
        <v>141</v>
      </c>
      <c r="R2664" t="s">
        <v>99</v>
      </c>
      <c r="S2664" t="s">
        <v>104</v>
      </c>
      <c r="T2664" t="s">
        <v>99</v>
      </c>
    </row>
    <row r="2665" spans="1:20" x14ac:dyDescent="0.3">
      <c r="A2665" t="s">
        <v>35</v>
      </c>
      <c r="B2665" t="s">
        <v>340</v>
      </c>
      <c r="C2665">
        <v>2215</v>
      </c>
      <c r="D2665" t="s">
        <v>873</v>
      </c>
      <c r="E2665" t="s">
        <v>130</v>
      </c>
      <c r="F2665" t="s">
        <v>132</v>
      </c>
      <c r="G2665" t="s">
        <v>68</v>
      </c>
      <c r="H2665" t="s">
        <v>207</v>
      </c>
      <c r="I2665" t="s">
        <v>107</v>
      </c>
      <c r="J2665" t="s">
        <v>207</v>
      </c>
      <c r="K2665" t="s">
        <v>198</v>
      </c>
      <c r="L2665" t="s">
        <v>136</v>
      </c>
      <c r="M2665" t="s">
        <v>99</v>
      </c>
      <c r="N2665" t="s">
        <v>115</v>
      </c>
      <c r="O2665" t="s">
        <v>207</v>
      </c>
      <c r="P2665" t="s">
        <v>207</v>
      </c>
      <c r="Q2665" t="s">
        <v>253</v>
      </c>
      <c r="R2665" t="s">
        <v>104</v>
      </c>
      <c r="S2665" t="s">
        <v>99</v>
      </c>
      <c r="T2665" t="s">
        <v>99</v>
      </c>
    </row>
    <row r="2666" spans="1:20" x14ac:dyDescent="0.3">
      <c r="A2666" t="s">
        <v>35</v>
      </c>
      <c r="B2666" t="s">
        <v>365</v>
      </c>
      <c r="C2666">
        <v>40</v>
      </c>
      <c r="D2666" t="s">
        <v>759</v>
      </c>
      <c r="E2666" t="s">
        <v>154</v>
      </c>
      <c r="F2666" t="s">
        <v>99</v>
      </c>
      <c r="G2666" t="s">
        <v>99</v>
      </c>
      <c r="H2666" t="s">
        <v>99</v>
      </c>
      <c r="I2666" t="s">
        <v>99</v>
      </c>
      <c r="J2666" t="s">
        <v>99</v>
      </c>
      <c r="K2666" t="s">
        <v>99</v>
      </c>
      <c r="L2666" t="s">
        <v>99</v>
      </c>
      <c r="M2666" t="s">
        <v>99</v>
      </c>
      <c r="N2666" t="s">
        <v>99</v>
      </c>
      <c r="O2666" t="s">
        <v>99</v>
      </c>
      <c r="P2666" t="s">
        <v>99</v>
      </c>
      <c r="Q2666" t="s">
        <v>99</v>
      </c>
      <c r="R2666" t="s">
        <v>99</v>
      </c>
      <c r="S2666" t="s">
        <v>99</v>
      </c>
      <c r="T2666" t="s">
        <v>99</v>
      </c>
    </row>
    <row r="2667" spans="1:20" x14ac:dyDescent="0.3">
      <c r="A2667" t="s">
        <v>37</v>
      </c>
      <c r="B2667" t="s">
        <v>339</v>
      </c>
      <c r="C2667">
        <v>1093</v>
      </c>
      <c r="D2667" t="s">
        <v>221</v>
      </c>
      <c r="E2667" t="s">
        <v>158</v>
      </c>
      <c r="F2667" t="s">
        <v>115</v>
      </c>
      <c r="G2667" t="s">
        <v>292</v>
      </c>
      <c r="H2667" t="s">
        <v>147</v>
      </c>
      <c r="I2667" t="s">
        <v>129</v>
      </c>
      <c r="J2667" t="s">
        <v>207</v>
      </c>
      <c r="K2667" t="s">
        <v>198</v>
      </c>
      <c r="L2667" t="s">
        <v>138</v>
      </c>
      <c r="M2667" t="s">
        <v>108</v>
      </c>
      <c r="N2667" t="s">
        <v>268</v>
      </c>
      <c r="O2667" t="s">
        <v>198</v>
      </c>
      <c r="P2667" t="s">
        <v>141</v>
      </c>
      <c r="Q2667" t="s">
        <v>104</v>
      </c>
      <c r="R2667" t="s">
        <v>99</v>
      </c>
      <c r="S2667" t="s">
        <v>198</v>
      </c>
      <c r="T2667" t="s">
        <v>99</v>
      </c>
    </row>
    <row r="2668" spans="1:20" x14ac:dyDescent="0.3">
      <c r="A2668" t="s">
        <v>37</v>
      </c>
      <c r="B2668" t="s">
        <v>340</v>
      </c>
      <c r="C2668">
        <v>2720</v>
      </c>
      <c r="D2668" t="s">
        <v>414</v>
      </c>
      <c r="E2668" t="s">
        <v>105</v>
      </c>
      <c r="F2668" t="s">
        <v>104</v>
      </c>
      <c r="G2668" t="s">
        <v>115</v>
      </c>
      <c r="H2668" t="s">
        <v>114</v>
      </c>
      <c r="I2668" t="s">
        <v>319</v>
      </c>
      <c r="J2668" t="s">
        <v>198</v>
      </c>
      <c r="K2668" t="s">
        <v>104</v>
      </c>
      <c r="L2668" t="s">
        <v>101</v>
      </c>
      <c r="M2668" t="s">
        <v>198</v>
      </c>
      <c r="N2668" t="s">
        <v>141</v>
      </c>
      <c r="O2668" t="s">
        <v>99</v>
      </c>
      <c r="P2668" t="s">
        <v>207</v>
      </c>
      <c r="Q2668" t="s">
        <v>99</v>
      </c>
      <c r="R2668" t="s">
        <v>99</v>
      </c>
      <c r="S2668" t="s">
        <v>198</v>
      </c>
      <c r="T2668" t="s">
        <v>99</v>
      </c>
    </row>
    <row r="2669" spans="1:20" x14ac:dyDescent="0.3">
      <c r="A2669" t="s">
        <v>37</v>
      </c>
      <c r="B2669" t="s">
        <v>365</v>
      </c>
      <c r="C2669">
        <v>41</v>
      </c>
      <c r="D2669" t="s">
        <v>286</v>
      </c>
      <c r="E2669" t="s">
        <v>688</v>
      </c>
      <c r="F2669" t="s">
        <v>99</v>
      </c>
      <c r="G2669" t="s">
        <v>99</v>
      </c>
      <c r="H2669" t="s">
        <v>99</v>
      </c>
      <c r="I2669" t="s">
        <v>99</v>
      </c>
      <c r="J2669" t="s">
        <v>99</v>
      </c>
      <c r="K2669" t="s">
        <v>99</v>
      </c>
      <c r="L2669" t="s">
        <v>99</v>
      </c>
      <c r="M2669" t="s">
        <v>99</v>
      </c>
      <c r="N2669" t="s">
        <v>215</v>
      </c>
      <c r="O2669" t="s">
        <v>99</v>
      </c>
      <c r="P2669" t="s">
        <v>99</v>
      </c>
      <c r="Q2669" t="s">
        <v>99</v>
      </c>
      <c r="R2669" t="s">
        <v>99</v>
      </c>
      <c r="S2669" t="s">
        <v>99</v>
      </c>
      <c r="T2669" t="s">
        <v>99</v>
      </c>
    </row>
    <row r="2670" spans="1:20" x14ac:dyDescent="0.3">
      <c r="A2670" t="s">
        <v>36</v>
      </c>
      <c r="B2670" t="s">
        <v>339</v>
      </c>
      <c r="C2670">
        <v>770</v>
      </c>
      <c r="D2670" t="s">
        <v>407</v>
      </c>
      <c r="E2670" t="s">
        <v>109</v>
      </c>
      <c r="F2670" t="s">
        <v>117</v>
      </c>
      <c r="G2670" t="s">
        <v>420</v>
      </c>
      <c r="H2670" t="s">
        <v>141</v>
      </c>
      <c r="I2670" t="s">
        <v>332</v>
      </c>
      <c r="J2670" t="s">
        <v>141</v>
      </c>
      <c r="K2670" t="s">
        <v>253</v>
      </c>
      <c r="L2670" t="s">
        <v>141</v>
      </c>
      <c r="M2670" t="s">
        <v>207</v>
      </c>
      <c r="N2670" t="s">
        <v>120</v>
      </c>
      <c r="O2670" t="s">
        <v>141</v>
      </c>
      <c r="P2670" t="s">
        <v>198</v>
      </c>
      <c r="Q2670" t="s">
        <v>141</v>
      </c>
      <c r="R2670" t="s">
        <v>198</v>
      </c>
      <c r="S2670" t="s">
        <v>132</v>
      </c>
      <c r="T2670" t="s">
        <v>207</v>
      </c>
    </row>
    <row r="2671" spans="1:20" x14ac:dyDescent="0.3">
      <c r="A2671" t="s">
        <v>36</v>
      </c>
      <c r="B2671" t="s">
        <v>340</v>
      </c>
      <c r="C2671">
        <v>1472</v>
      </c>
      <c r="D2671" t="s">
        <v>71</v>
      </c>
      <c r="E2671" t="s">
        <v>120</v>
      </c>
      <c r="F2671" t="s">
        <v>108</v>
      </c>
      <c r="G2671" t="s">
        <v>712</v>
      </c>
      <c r="H2671" t="s">
        <v>132</v>
      </c>
      <c r="I2671" t="s">
        <v>128</v>
      </c>
      <c r="J2671" t="s">
        <v>136</v>
      </c>
      <c r="K2671" t="s">
        <v>104</v>
      </c>
      <c r="L2671" t="s">
        <v>207</v>
      </c>
      <c r="M2671" t="s">
        <v>99</v>
      </c>
      <c r="N2671" t="s">
        <v>215</v>
      </c>
      <c r="O2671" t="s">
        <v>207</v>
      </c>
      <c r="P2671" t="s">
        <v>207</v>
      </c>
      <c r="Q2671" t="s">
        <v>253</v>
      </c>
      <c r="R2671" t="s">
        <v>104</v>
      </c>
      <c r="S2671" t="s">
        <v>99</v>
      </c>
      <c r="T2671" t="s">
        <v>99</v>
      </c>
    </row>
    <row r="2672" spans="1:20" x14ac:dyDescent="0.3">
      <c r="A2672" t="s">
        <v>36</v>
      </c>
      <c r="B2672" t="s">
        <v>365</v>
      </c>
      <c r="C2672">
        <v>63</v>
      </c>
      <c r="D2672" t="s">
        <v>981</v>
      </c>
      <c r="E2672" t="s">
        <v>198</v>
      </c>
      <c r="F2672" t="s">
        <v>198</v>
      </c>
      <c r="G2672" t="s">
        <v>198</v>
      </c>
      <c r="H2672" t="s">
        <v>99</v>
      </c>
      <c r="I2672" t="s">
        <v>198</v>
      </c>
      <c r="J2672" t="s">
        <v>99</v>
      </c>
      <c r="K2672" t="s">
        <v>99</v>
      </c>
      <c r="L2672" t="s">
        <v>99</v>
      </c>
      <c r="M2672" t="s">
        <v>198</v>
      </c>
      <c r="N2672" t="s">
        <v>99</v>
      </c>
      <c r="O2672" t="s">
        <v>99</v>
      </c>
      <c r="P2672" t="s">
        <v>99</v>
      </c>
      <c r="Q2672" t="s">
        <v>99</v>
      </c>
      <c r="R2672" t="s">
        <v>99</v>
      </c>
      <c r="S2672" t="s">
        <v>99</v>
      </c>
      <c r="T2672" t="s">
        <v>99</v>
      </c>
    </row>
    <row r="2673" spans="1:20" x14ac:dyDescent="0.3">
      <c r="A2673" t="s">
        <v>34</v>
      </c>
      <c r="B2673" t="s">
        <v>339</v>
      </c>
      <c r="C2673">
        <v>555</v>
      </c>
      <c r="D2673" t="s">
        <v>1166</v>
      </c>
      <c r="E2673" t="s">
        <v>220</v>
      </c>
      <c r="F2673" t="s">
        <v>155</v>
      </c>
      <c r="G2673" t="s">
        <v>264</v>
      </c>
      <c r="H2673" t="s">
        <v>101</v>
      </c>
      <c r="I2673" t="s">
        <v>145</v>
      </c>
      <c r="J2673" t="s">
        <v>108</v>
      </c>
      <c r="K2673" t="s">
        <v>253</v>
      </c>
      <c r="L2673" t="s">
        <v>132</v>
      </c>
      <c r="M2673" t="s">
        <v>253</v>
      </c>
      <c r="N2673" t="s">
        <v>149</v>
      </c>
      <c r="O2673" t="s">
        <v>132</v>
      </c>
      <c r="P2673" t="s">
        <v>121</v>
      </c>
      <c r="Q2673" t="s">
        <v>114</v>
      </c>
      <c r="R2673" t="s">
        <v>101</v>
      </c>
      <c r="S2673" t="s">
        <v>104</v>
      </c>
      <c r="T2673" t="s">
        <v>99</v>
      </c>
    </row>
    <row r="2674" spans="1:20" x14ac:dyDescent="0.3">
      <c r="A2674" t="s">
        <v>34</v>
      </c>
      <c r="B2674" t="s">
        <v>340</v>
      </c>
      <c r="C2674">
        <v>1497</v>
      </c>
      <c r="D2674" t="s">
        <v>469</v>
      </c>
      <c r="E2674" t="s">
        <v>675</v>
      </c>
      <c r="F2674" t="s">
        <v>151</v>
      </c>
      <c r="G2674" t="s">
        <v>251</v>
      </c>
      <c r="H2674" t="s">
        <v>136</v>
      </c>
      <c r="I2674" t="s">
        <v>110</v>
      </c>
      <c r="J2674" t="s">
        <v>104</v>
      </c>
      <c r="K2674" t="s">
        <v>198</v>
      </c>
      <c r="L2674" t="s">
        <v>141</v>
      </c>
      <c r="M2674" t="s">
        <v>99</v>
      </c>
      <c r="N2674" t="s">
        <v>154</v>
      </c>
      <c r="O2674" t="s">
        <v>101</v>
      </c>
      <c r="P2674" t="s">
        <v>104</v>
      </c>
      <c r="Q2674" t="s">
        <v>104</v>
      </c>
      <c r="R2674" t="s">
        <v>108</v>
      </c>
      <c r="S2674" t="s">
        <v>198</v>
      </c>
      <c r="T2674" t="s">
        <v>99</v>
      </c>
    </row>
    <row r="2675" spans="1:20" x14ac:dyDescent="0.3">
      <c r="A2675" t="s">
        <v>34</v>
      </c>
      <c r="B2675" t="s">
        <v>365</v>
      </c>
      <c r="C2675">
        <v>28</v>
      </c>
      <c r="D2675" t="s">
        <v>1279</v>
      </c>
      <c r="E2675" t="s">
        <v>468</v>
      </c>
      <c r="F2675" t="s">
        <v>120</v>
      </c>
      <c r="G2675" t="s">
        <v>186</v>
      </c>
      <c r="H2675" t="s">
        <v>99</v>
      </c>
      <c r="I2675" t="s">
        <v>138</v>
      </c>
      <c r="J2675" t="s">
        <v>99</v>
      </c>
      <c r="K2675" t="s">
        <v>99</v>
      </c>
      <c r="L2675" t="s">
        <v>99</v>
      </c>
      <c r="M2675" t="s">
        <v>138</v>
      </c>
      <c r="N2675" t="s">
        <v>468</v>
      </c>
      <c r="O2675" t="s">
        <v>99</v>
      </c>
      <c r="P2675" t="s">
        <v>99</v>
      </c>
      <c r="Q2675" t="s">
        <v>99</v>
      </c>
      <c r="R2675" t="s">
        <v>99</v>
      </c>
      <c r="S2675" t="s">
        <v>99</v>
      </c>
      <c r="T2675" t="s">
        <v>99</v>
      </c>
    </row>
    <row r="2676" spans="1:20" x14ac:dyDescent="0.3">
      <c r="A2676" t="s">
        <v>33</v>
      </c>
      <c r="B2676" t="s">
        <v>339</v>
      </c>
      <c r="C2676">
        <v>503</v>
      </c>
      <c r="D2676" t="s">
        <v>1026</v>
      </c>
      <c r="E2676" t="s">
        <v>101</v>
      </c>
      <c r="F2676" t="s">
        <v>99</v>
      </c>
      <c r="G2676" t="s">
        <v>99</v>
      </c>
      <c r="H2676" t="s">
        <v>198</v>
      </c>
      <c r="I2676" t="s">
        <v>141</v>
      </c>
      <c r="J2676" t="s">
        <v>99</v>
      </c>
      <c r="K2676" t="s">
        <v>99</v>
      </c>
      <c r="L2676" t="s">
        <v>99</v>
      </c>
      <c r="M2676" t="s">
        <v>99</v>
      </c>
      <c r="N2676" t="s">
        <v>99</v>
      </c>
      <c r="O2676" t="s">
        <v>99</v>
      </c>
      <c r="P2676" t="s">
        <v>99</v>
      </c>
      <c r="Q2676" t="s">
        <v>99</v>
      </c>
      <c r="R2676" t="s">
        <v>99</v>
      </c>
      <c r="S2676" t="s">
        <v>99</v>
      </c>
      <c r="T2676" t="s">
        <v>99</v>
      </c>
    </row>
    <row r="2677" spans="1:20" x14ac:dyDescent="0.3">
      <c r="A2677" t="s">
        <v>33</v>
      </c>
      <c r="B2677" t="s">
        <v>340</v>
      </c>
      <c r="C2677">
        <v>1414</v>
      </c>
      <c r="D2677" t="s">
        <v>970</v>
      </c>
      <c r="E2677" t="s">
        <v>198</v>
      </c>
      <c r="F2677" t="s">
        <v>99</v>
      </c>
      <c r="G2677" t="s">
        <v>198</v>
      </c>
      <c r="H2677" t="s">
        <v>99</v>
      </c>
      <c r="I2677" t="s">
        <v>99</v>
      </c>
      <c r="J2677" t="s">
        <v>99</v>
      </c>
      <c r="K2677" t="s">
        <v>99</v>
      </c>
      <c r="L2677" t="s">
        <v>104</v>
      </c>
      <c r="M2677" t="s">
        <v>99</v>
      </c>
      <c r="N2677" t="s">
        <v>99</v>
      </c>
      <c r="O2677" t="s">
        <v>99</v>
      </c>
      <c r="P2677" t="s">
        <v>99</v>
      </c>
      <c r="Q2677" t="s">
        <v>99</v>
      </c>
      <c r="R2677" t="s">
        <v>99</v>
      </c>
      <c r="S2677" t="s">
        <v>99</v>
      </c>
      <c r="T2677" t="s">
        <v>99</v>
      </c>
    </row>
    <row r="2678" spans="1:20" x14ac:dyDescent="0.3">
      <c r="A2678" t="s">
        <v>33</v>
      </c>
      <c r="B2678" t="s">
        <v>365</v>
      </c>
      <c r="C2678">
        <v>19</v>
      </c>
      <c r="D2678" t="s">
        <v>211</v>
      </c>
      <c r="E2678" t="s">
        <v>99</v>
      </c>
      <c r="F2678" t="s">
        <v>99</v>
      </c>
      <c r="G2678" t="s">
        <v>99</v>
      </c>
      <c r="H2678" t="s">
        <v>99</v>
      </c>
      <c r="I2678" t="s">
        <v>99</v>
      </c>
      <c r="J2678" t="s">
        <v>99</v>
      </c>
      <c r="K2678" t="s">
        <v>99</v>
      </c>
      <c r="L2678" t="s">
        <v>99</v>
      </c>
      <c r="M2678" t="s">
        <v>99</v>
      </c>
      <c r="N2678" t="s">
        <v>99</v>
      </c>
      <c r="O2678" t="s">
        <v>99</v>
      </c>
      <c r="P2678" t="s">
        <v>99</v>
      </c>
      <c r="Q2678" t="s">
        <v>99</v>
      </c>
      <c r="R2678" t="s">
        <v>99</v>
      </c>
      <c r="S2678" t="s">
        <v>99</v>
      </c>
      <c r="T2678" t="s">
        <v>99</v>
      </c>
    </row>
    <row r="2679" spans="1:20" x14ac:dyDescent="0.3">
      <c r="A2679" t="s">
        <v>49</v>
      </c>
      <c r="B2679" t="s">
        <v>339</v>
      </c>
      <c r="C2679">
        <v>3810</v>
      </c>
      <c r="D2679" t="s">
        <v>1135</v>
      </c>
      <c r="E2679" t="s">
        <v>74</v>
      </c>
      <c r="F2679" t="s">
        <v>121</v>
      </c>
      <c r="G2679" t="s">
        <v>135</v>
      </c>
      <c r="H2679" t="s">
        <v>101</v>
      </c>
      <c r="I2679" t="s">
        <v>112</v>
      </c>
      <c r="J2679" t="s">
        <v>207</v>
      </c>
      <c r="K2679" t="s">
        <v>207</v>
      </c>
      <c r="L2679" t="s">
        <v>101</v>
      </c>
      <c r="M2679" t="s">
        <v>136</v>
      </c>
      <c r="N2679" t="s">
        <v>268</v>
      </c>
      <c r="O2679" t="s">
        <v>207</v>
      </c>
      <c r="P2679" t="s">
        <v>136</v>
      </c>
      <c r="Q2679" t="s">
        <v>136</v>
      </c>
      <c r="R2679" t="s">
        <v>207</v>
      </c>
      <c r="S2679" t="s">
        <v>198</v>
      </c>
      <c r="T2679" t="s">
        <v>99</v>
      </c>
    </row>
    <row r="2680" spans="1:20" x14ac:dyDescent="0.3">
      <c r="A2680" t="s">
        <v>49</v>
      </c>
      <c r="B2680" t="s">
        <v>340</v>
      </c>
      <c r="C2680">
        <v>9318</v>
      </c>
      <c r="D2680" t="s">
        <v>400</v>
      </c>
      <c r="E2680" t="s">
        <v>332</v>
      </c>
      <c r="F2680" t="s">
        <v>115</v>
      </c>
      <c r="G2680" t="s">
        <v>134</v>
      </c>
      <c r="H2680" t="s">
        <v>141</v>
      </c>
      <c r="I2680" t="s">
        <v>111</v>
      </c>
      <c r="J2680" t="s">
        <v>198</v>
      </c>
      <c r="K2680" t="s">
        <v>198</v>
      </c>
      <c r="L2680" t="s">
        <v>253</v>
      </c>
      <c r="M2680" t="s">
        <v>104</v>
      </c>
      <c r="N2680" t="s">
        <v>100</v>
      </c>
      <c r="O2680" t="s">
        <v>207</v>
      </c>
      <c r="P2680" t="s">
        <v>198</v>
      </c>
      <c r="Q2680" t="s">
        <v>198</v>
      </c>
      <c r="R2680" t="s">
        <v>198</v>
      </c>
      <c r="S2680" t="s">
        <v>104</v>
      </c>
      <c r="T2680" t="s">
        <v>99</v>
      </c>
    </row>
    <row r="2681" spans="1:20" x14ac:dyDescent="0.3">
      <c r="A2681" t="s">
        <v>49</v>
      </c>
      <c r="B2681" t="s">
        <v>365</v>
      </c>
      <c r="C2681">
        <v>191</v>
      </c>
      <c r="D2681" t="s">
        <v>250</v>
      </c>
      <c r="E2681" t="s">
        <v>277</v>
      </c>
      <c r="F2681" t="s">
        <v>253</v>
      </c>
      <c r="G2681" t="s">
        <v>154</v>
      </c>
      <c r="H2681" t="s">
        <v>99</v>
      </c>
      <c r="I2681" t="s">
        <v>132</v>
      </c>
      <c r="J2681" t="s">
        <v>99</v>
      </c>
      <c r="K2681" t="s">
        <v>99</v>
      </c>
      <c r="L2681" t="s">
        <v>99</v>
      </c>
      <c r="M2681" t="s">
        <v>132</v>
      </c>
      <c r="N2681" t="s">
        <v>382</v>
      </c>
      <c r="O2681" t="s">
        <v>99</v>
      </c>
      <c r="P2681" t="s">
        <v>99</v>
      </c>
      <c r="Q2681" t="s">
        <v>99</v>
      </c>
      <c r="R2681" t="s">
        <v>99</v>
      </c>
      <c r="S2681" t="s">
        <v>99</v>
      </c>
      <c r="T2681" t="s">
        <v>99</v>
      </c>
    </row>
    <row r="2683" spans="1:20" x14ac:dyDescent="0.3">
      <c r="A2683" t="s">
        <v>1280</v>
      </c>
    </row>
    <row r="2684" spans="1:20" x14ac:dyDescent="0.3">
      <c r="A2684" t="s">
        <v>44</v>
      </c>
      <c r="B2684" t="s">
        <v>209</v>
      </c>
      <c r="C2684" t="s">
        <v>32</v>
      </c>
      <c r="D2684" t="s">
        <v>1261</v>
      </c>
      <c r="E2684" t="s">
        <v>1262</v>
      </c>
      <c r="F2684" t="s">
        <v>1263</v>
      </c>
      <c r="G2684" t="s">
        <v>1264</v>
      </c>
      <c r="H2684" t="s">
        <v>1265</v>
      </c>
      <c r="I2684" t="s">
        <v>1266</v>
      </c>
      <c r="J2684" t="s">
        <v>1267</v>
      </c>
      <c r="K2684" t="s">
        <v>1268</v>
      </c>
      <c r="L2684" t="s">
        <v>1269</v>
      </c>
      <c r="M2684" t="s">
        <v>1270</v>
      </c>
      <c r="N2684" t="s">
        <v>1271</v>
      </c>
      <c r="O2684" t="s">
        <v>1272</v>
      </c>
      <c r="P2684" t="s">
        <v>1273</v>
      </c>
      <c r="Q2684" t="s">
        <v>1274</v>
      </c>
      <c r="R2684" t="s">
        <v>1275</v>
      </c>
      <c r="S2684" t="s">
        <v>83</v>
      </c>
      <c r="T2684" t="s">
        <v>193</v>
      </c>
    </row>
    <row r="2685" spans="1:20" x14ac:dyDescent="0.3">
      <c r="A2685" t="s">
        <v>35</v>
      </c>
      <c r="B2685" t="s">
        <v>210</v>
      </c>
      <c r="C2685">
        <v>136</v>
      </c>
      <c r="D2685" t="s">
        <v>780</v>
      </c>
      <c r="E2685" t="s">
        <v>127</v>
      </c>
      <c r="F2685" t="s">
        <v>99</v>
      </c>
      <c r="G2685" t="s">
        <v>141</v>
      </c>
      <c r="H2685" t="s">
        <v>99</v>
      </c>
      <c r="I2685" t="s">
        <v>198</v>
      </c>
      <c r="J2685" t="s">
        <v>198</v>
      </c>
      <c r="K2685" t="s">
        <v>115</v>
      </c>
      <c r="L2685" t="s">
        <v>99</v>
      </c>
      <c r="M2685" t="s">
        <v>99</v>
      </c>
      <c r="N2685" t="s">
        <v>99</v>
      </c>
      <c r="O2685" t="s">
        <v>99</v>
      </c>
      <c r="P2685" t="s">
        <v>99</v>
      </c>
      <c r="Q2685" t="s">
        <v>99</v>
      </c>
      <c r="R2685" t="s">
        <v>99</v>
      </c>
      <c r="S2685" t="s">
        <v>99</v>
      </c>
      <c r="T2685" t="s">
        <v>99</v>
      </c>
    </row>
    <row r="2686" spans="1:20" x14ac:dyDescent="0.3">
      <c r="A2686" t="s">
        <v>35</v>
      </c>
      <c r="B2686" t="s">
        <v>212</v>
      </c>
      <c r="C2686">
        <v>2442</v>
      </c>
      <c r="D2686" t="s">
        <v>1276</v>
      </c>
      <c r="E2686" t="s">
        <v>110</v>
      </c>
      <c r="F2686" t="s">
        <v>207</v>
      </c>
      <c r="G2686" t="s">
        <v>68</v>
      </c>
      <c r="H2686" t="s">
        <v>136</v>
      </c>
      <c r="I2686" t="s">
        <v>105</v>
      </c>
      <c r="J2686" t="s">
        <v>207</v>
      </c>
      <c r="K2686" t="s">
        <v>198</v>
      </c>
      <c r="L2686" t="s">
        <v>253</v>
      </c>
      <c r="M2686" t="s">
        <v>99</v>
      </c>
      <c r="N2686" t="s">
        <v>114</v>
      </c>
      <c r="O2686" t="s">
        <v>207</v>
      </c>
      <c r="P2686" t="s">
        <v>207</v>
      </c>
      <c r="Q2686" t="s">
        <v>207</v>
      </c>
      <c r="R2686" t="s">
        <v>104</v>
      </c>
      <c r="S2686" t="s">
        <v>104</v>
      </c>
      <c r="T2686" t="s">
        <v>99</v>
      </c>
    </row>
    <row r="2687" spans="1:20" x14ac:dyDescent="0.3">
      <c r="A2687" t="s">
        <v>35</v>
      </c>
      <c r="B2687" t="s">
        <v>216</v>
      </c>
      <c r="C2687">
        <v>566</v>
      </c>
      <c r="D2687" t="s">
        <v>477</v>
      </c>
      <c r="E2687" t="s">
        <v>248</v>
      </c>
      <c r="F2687" t="s">
        <v>382</v>
      </c>
      <c r="G2687" t="s">
        <v>41</v>
      </c>
      <c r="H2687" t="s">
        <v>198</v>
      </c>
      <c r="I2687" t="s">
        <v>144</v>
      </c>
      <c r="J2687" t="s">
        <v>99</v>
      </c>
      <c r="K2687" t="s">
        <v>99</v>
      </c>
      <c r="L2687" t="s">
        <v>198</v>
      </c>
      <c r="M2687" t="s">
        <v>99</v>
      </c>
      <c r="N2687" t="s">
        <v>132</v>
      </c>
      <c r="O2687" t="s">
        <v>207</v>
      </c>
      <c r="P2687" t="s">
        <v>99</v>
      </c>
      <c r="Q2687" t="s">
        <v>100</v>
      </c>
      <c r="R2687" t="s">
        <v>99</v>
      </c>
      <c r="S2687" t="s">
        <v>99</v>
      </c>
      <c r="T2687" t="s">
        <v>99</v>
      </c>
    </row>
    <row r="2688" spans="1:20" x14ac:dyDescent="0.3">
      <c r="A2688" t="s">
        <v>37</v>
      </c>
      <c r="B2688" t="s">
        <v>210</v>
      </c>
      <c r="C2688">
        <v>138</v>
      </c>
      <c r="D2688" t="s">
        <v>250</v>
      </c>
      <c r="E2688" t="s">
        <v>118</v>
      </c>
      <c r="F2688" t="s">
        <v>99</v>
      </c>
      <c r="G2688" t="s">
        <v>132</v>
      </c>
      <c r="H2688" t="s">
        <v>120</v>
      </c>
      <c r="I2688" t="s">
        <v>99</v>
      </c>
      <c r="J2688" t="s">
        <v>136</v>
      </c>
      <c r="K2688" t="s">
        <v>100</v>
      </c>
      <c r="L2688" t="s">
        <v>292</v>
      </c>
      <c r="M2688" t="s">
        <v>99</v>
      </c>
      <c r="N2688" t="s">
        <v>141</v>
      </c>
      <c r="O2688" t="s">
        <v>99</v>
      </c>
      <c r="P2688" t="s">
        <v>99</v>
      </c>
      <c r="Q2688" t="s">
        <v>99</v>
      </c>
      <c r="R2688" t="s">
        <v>99</v>
      </c>
      <c r="S2688" t="s">
        <v>136</v>
      </c>
      <c r="T2688" t="s">
        <v>99</v>
      </c>
    </row>
    <row r="2689" spans="1:20" x14ac:dyDescent="0.3">
      <c r="A2689" t="s">
        <v>37</v>
      </c>
      <c r="B2689" t="s">
        <v>212</v>
      </c>
      <c r="C2689">
        <v>3605</v>
      </c>
      <c r="D2689" t="s">
        <v>364</v>
      </c>
      <c r="E2689" t="s">
        <v>129</v>
      </c>
      <c r="F2689" t="s">
        <v>207</v>
      </c>
      <c r="G2689" t="s">
        <v>100</v>
      </c>
      <c r="H2689" t="s">
        <v>319</v>
      </c>
      <c r="I2689" t="s">
        <v>111</v>
      </c>
      <c r="J2689" t="s">
        <v>198</v>
      </c>
      <c r="K2689" t="s">
        <v>104</v>
      </c>
      <c r="L2689" t="s">
        <v>123</v>
      </c>
      <c r="M2689" t="s">
        <v>136</v>
      </c>
      <c r="N2689" t="s">
        <v>114</v>
      </c>
      <c r="O2689" t="s">
        <v>104</v>
      </c>
      <c r="P2689" t="s">
        <v>207</v>
      </c>
      <c r="Q2689" t="s">
        <v>99</v>
      </c>
      <c r="R2689" t="s">
        <v>99</v>
      </c>
      <c r="S2689" t="s">
        <v>198</v>
      </c>
      <c r="T2689" t="s">
        <v>99</v>
      </c>
    </row>
    <row r="2690" spans="1:20" x14ac:dyDescent="0.3">
      <c r="A2690" t="s">
        <v>37</v>
      </c>
      <c r="B2690" t="s">
        <v>216</v>
      </c>
      <c r="C2690">
        <v>111</v>
      </c>
      <c r="D2690" t="s">
        <v>327</v>
      </c>
      <c r="E2690" t="s">
        <v>115</v>
      </c>
      <c r="F2690" t="s">
        <v>99</v>
      </c>
      <c r="G2690" t="s">
        <v>99</v>
      </c>
      <c r="H2690" t="s">
        <v>134</v>
      </c>
      <c r="I2690" t="s">
        <v>99</v>
      </c>
      <c r="J2690" t="s">
        <v>99</v>
      </c>
      <c r="K2690" t="s">
        <v>99</v>
      </c>
      <c r="L2690" t="s">
        <v>99</v>
      </c>
      <c r="M2690" t="s">
        <v>99</v>
      </c>
      <c r="N2690" t="s">
        <v>132</v>
      </c>
      <c r="O2690" t="s">
        <v>99</v>
      </c>
      <c r="P2690" t="s">
        <v>316</v>
      </c>
      <c r="Q2690" t="s">
        <v>99</v>
      </c>
      <c r="R2690" t="s">
        <v>99</v>
      </c>
      <c r="S2690" t="s">
        <v>253</v>
      </c>
      <c r="T2690" t="s">
        <v>99</v>
      </c>
    </row>
    <row r="2691" spans="1:20" x14ac:dyDescent="0.3">
      <c r="A2691" t="s">
        <v>36</v>
      </c>
      <c r="B2691" t="s">
        <v>210</v>
      </c>
      <c r="C2691">
        <v>165</v>
      </c>
      <c r="D2691" t="s">
        <v>286</v>
      </c>
      <c r="E2691" t="s">
        <v>98</v>
      </c>
      <c r="F2691" t="s">
        <v>198</v>
      </c>
      <c r="G2691" t="s">
        <v>184</v>
      </c>
      <c r="H2691" t="s">
        <v>99</v>
      </c>
      <c r="I2691" t="s">
        <v>117</v>
      </c>
      <c r="J2691" t="s">
        <v>99</v>
      </c>
      <c r="K2691" t="s">
        <v>319</v>
      </c>
      <c r="L2691" t="s">
        <v>319</v>
      </c>
      <c r="M2691" t="s">
        <v>115</v>
      </c>
      <c r="N2691" t="s">
        <v>382</v>
      </c>
      <c r="O2691" t="s">
        <v>99</v>
      </c>
      <c r="P2691" t="s">
        <v>115</v>
      </c>
      <c r="Q2691" t="s">
        <v>99</v>
      </c>
      <c r="R2691" t="s">
        <v>99</v>
      </c>
      <c r="S2691" t="s">
        <v>99</v>
      </c>
      <c r="T2691" t="s">
        <v>99</v>
      </c>
    </row>
    <row r="2692" spans="1:20" x14ac:dyDescent="0.3">
      <c r="A2692" t="s">
        <v>36</v>
      </c>
      <c r="B2692" t="s">
        <v>212</v>
      </c>
      <c r="C2692">
        <v>1875</v>
      </c>
      <c r="D2692" t="s">
        <v>326</v>
      </c>
      <c r="E2692" t="s">
        <v>268</v>
      </c>
      <c r="F2692" t="s">
        <v>253</v>
      </c>
      <c r="G2692" t="s">
        <v>107</v>
      </c>
      <c r="H2692" t="s">
        <v>207</v>
      </c>
      <c r="I2692" t="s">
        <v>111</v>
      </c>
      <c r="J2692" t="s">
        <v>253</v>
      </c>
      <c r="K2692" t="s">
        <v>104</v>
      </c>
      <c r="L2692" t="s">
        <v>104</v>
      </c>
      <c r="M2692" t="s">
        <v>99</v>
      </c>
      <c r="N2692" t="s">
        <v>121</v>
      </c>
      <c r="O2692" t="s">
        <v>104</v>
      </c>
      <c r="P2692" t="s">
        <v>104</v>
      </c>
      <c r="Q2692" t="s">
        <v>207</v>
      </c>
      <c r="R2692" t="s">
        <v>104</v>
      </c>
      <c r="S2692" t="s">
        <v>207</v>
      </c>
      <c r="T2692" t="s">
        <v>104</v>
      </c>
    </row>
    <row r="2693" spans="1:20" x14ac:dyDescent="0.3">
      <c r="A2693" t="s">
        <v>36</v>
      </c>
      <c r="B2693" t="s">
        <v>216</v>
      </c>
      <c r="C2693">
        <v>265</v>
      </c>
      <c r="D2693" t="s">
        <v>297</v>
      </c>
      <c r="E2693" t="s">
        <v>175</v>
      </c>
      <c r="F2693" t="s">
        <v>70</v>
      </c>
      <c r="G2693" t="s">
        <v>442</v>
      </c>
      <c r="H2693" t="s">
        <v>154</v>
      </c>
      <c r="I2693" t="s">
        <v>78</v>
      </c>
      <c r="J2693" t="s">
        <v>104</v>
      </c>
      <c r="K2693" t="s">
        <v>104</v>
      </c>
      <c r="L2693" t="s">
        <v>108</v>
      </c>
      <c r="M2693" t="s">
        <v>104</v>
      </c>
      <c r="N2693" t="s">
        <v>78</v>
      </c>
      <c r="O2693" t="s">
        <v>111</v>
      </c>
      <c r="P2693" t="s">
        <v>115</v>
      </c>
      <c r="Q2693" t="s">
        <v>268</v>
      </c>
      <c r="R2693" t="s">
        <v>115</v>
      </c>
      <c r="S2693" t="s">
        <v>99</v>
      </c>
      <c r="T2693" t="s">
        <v>99</v>
      </c>
    </row>
    <row r="2694" spans="1:20" x14ac:dyDescent="0.3">
      <c r="A2694" t="s">
        <v>34</v>
      </c>
      <c r="B2694" t="s">
        <v>210</v>
      </c>
      <c r="C2694">
        <v>256</v>
      </c>
      <c r="D2694" t="s">
        <v>178</v>
      </c>
      <c r="E2694" t="s">
        <v>679</v>
      </c>
      <c r="F2694" t="s">
        <v>332</v>
      </c>
      <c r="G2694" t="s">
        <v>313</v>
      </c>
      <c r="H2694" t="s">
        <v>104</v>
      </c>
      <c r="I2694" t="s">
        <v>319</v>
      </c>
      <c r="J2694" t="s">
        <v>132</v>
      </c>
      <c r="K2694" t="s">
        <v>215</v>
      </c>
      <c r="L2694" t="s">
        <v>99</v>
      </c>
      <c r="M2694" t="s">
        <v>99</v>
      </c>
      <c r="N2694" t="s">
        <v>68</v>
      </c>
      <c r="O2694" t="s">
        <v>132</v>
      </c>
      <c r="P2694" t="s">
        <v>319</v>
      </c>
      <c r="Q2694" t="s">
        <v>115</v>
      </c>
      <c r="R2694" t="s">
        <v>99</v>
      </c>
      <c r="S2694" t="s">
        <v>99</v>
      </c>
      <c r="T2694" t="s">
        <v>99</v>
      </c>
    </row>
    <row r="2695" spans="1:20" x14ac:dyDescent="0.3">
      <c r="A2695" t="s">
        <v>34</v>
      </c>
      <c r="B2695" t="s">
        <v>212</v>
      </c>
      <c r="C2695">
        <v>1582</v>
      </c>
      <c r="D2695" t="s">
        <v>200</v>
      </c>
      <c r="E2695" t="s">
        <v>143</v>
      </c>
      <c r="F2695" t="s">
        <v>100</v>
      </c>
      <c r="G2695" t="s">
        <v>363</v>
      </c>
      <c r="H2695" t="s">
        <v>114</v>
      </c>
      <c r="I2695" t="s">
        <v>134</v>
      </c>
      <c r="J2695" t="s">
        <v>104</v>
      </c>
      <c r="K2695" t="s">
        <v>104</v>
      </c>
      <c r="L2695" t="s">
        <v>207</v>
      </c>
      <c r="M2695" t="s">
        <v>198</v>
      </c>
      <c r="N2695" t="s">
        <v>105</v>
      </c>
      <c r="O2695" t="s">
        <v>132</v>
      </c>
      <c r="P2695" t="s">
        <v>104</v>
      </c>
      <c r="Q2695" t="s">
        <v>104</v>
      </c>
      <c r="R2695" t="s">
        <v>108</v>
      </c>
      <c r="S2695" t="s">
        <v>104</v>
      </c>
      <c r="T2695" t="s">
        <v>99</v>
      </c>
    </row>
    <row r="2696" spans="1:20" x14ac:dyDescent="0.3">
      <c r="A2696" t="s">
        <v>34</v>
      </c>
      <c r="B2696" t="s">
        <v>216</v>
      </c>
      <c r="C2696">
        <v>242</v>
      </c>
      <c r="D2696" t="s">
        <v>495</v>
      </c>
      <c r="E2696" t="s">
        <v>672</v>
      </c>
      <c r="F2696" t="s">
        <v>353</v>
      </c>
      <c r="G2696" t="s">
        <v>42</v>
      </c>
      <c r="H2696" t="s">
        <v>207</v>
      </c>
      <c r="I2696" t="s">
        <v>721</v>
      </c>
      <c r="J2696" t="s">
        <v>108</v>
      </c>
      <c r="K2696" t="s">
        <v>99</v>
      </c>
      <c r="L2696" t="s">
        <v>103</v>
      </c>
      <c r="M2696" t="s">
        <v>108</v>
      </c>
      <c r="N2696" t="s">
        <v>109</v>
      </c>
      <c r="O2696" t="s">
        <v>103</v>
      </c>
      <c r="P2696" t="s">
        <v>126</v>
      </c>
      <c r="Q2696" t="s">
        <v>121</v>
      </c>
      <c r="R2696" t="s">
        <v>103</v>
      </c>
      <c r="S2696" t="s">
        <v>108</v>
      </c>
      <c r="T2696" t="s">
        <v>99</v>
      </c>
    </row>
    <row r="2697" spans="1:20" x14ac:dyDescent="0.3">
      <c r="A2697" t="s">
        <v>33</v>
      </c>
      <c r="B2697" t="s">
        <v>210</v>
      </c>
      <c r="C2697">
        <v>68</v>
      </c>
      <c r="D2697" t="s">
        <v>249</v>
      </c>
      <c r="E2697" t="s">
        <v>316</v>
      </c>
      <c r="F2697" t="s">
        <v>99</v>
      </c>
      <c r="G2697" t="s">
        <v>108</v>
      </c>
      <c r="H2697" t="s">
        <v>108</v>
      </c>
      <c r="I2697" t="s">
        <v>108</v>
      </c>
      <c r="J2697" t="s">
        <v>108</v>
      </c>
      <c r="K2697" t="s">
        <v>108</v>
      </c>
      <c r="L2697" t="s">
        <v>108</v>
      </c>
      <c r="M2697" t="s">
        <v>108</v>
      </c>
      <c r="N2697" t="s">
        <v>99</v>
      </c>
      <c r="O2697" t="s">
        <v>99</v>
      </c>
      <c r="P2697" t="s">
        <v>99</v>
      </c>
      <c r="Q2697" t="s">
        <v>99</v>
      </c>
      <c r="R2697" t="s">
        <v>99</v>
      </c>
      <c r="S2697" t="s">
        <v>99</v>
      </c>
      <c r="T2697" t="s">
        <v>99</v>
      </c>
    </row>
    <row r="2698" spans="1:20" x14ac:dyDescent="0.3">
      <c r="A2698" t="s">
        <v>33</v>
      </c>
      <c r="B2698" t="s">
        <v>212</v>
      </c>
      <c r="C2698">
        <v>1799</v>
      </c>
      <c r="D2698" t="s">
        <v>980</v>
      </c>
      <c r="E2698" t="s">
        <v>136</v>
      </c>
      <c r="F2698" t="s">
        <v>99</v>
      </c>
      <c r="G2698" t="s">
        <v>104</v>
      </c>
      <c r="H2698" t="s">
        <v>104</v>
      </c>
      <c r="I2698" t="s">
        <v>104</v>
      </c>
      <c r="J2698" t="s">
        <v>99</v>
      </c>
      <c r="K2698" t="s">
        <v>99</v>
      </c>
      <c r="L2698" t="s">
        <v>99</v>
      </c>
      <c r="M2698" t="s">
        <v>99</v>
      </c>
      <c r="N2698" t="s">
        <v>99</v>
      </c>
      <c r="O2698" t="s">
        <v>99</v>
      </c>
      <c r="P2698" t="s">
        <v>99</v>
      </c>
      <c r="Q2698" t="s">
        <v>99</v>
      </c>
      <c r="R2698" t="s">
        <v>99</v>
      </c>
      <c r="S2698" t="s">
        <v>99</v>
      </c>
      <c r="T2698" t="s">
        <v>99</v>
      </c>
    </row>
    <row r="2699" spans="1:20" x14ac:dyDescent="0.3">
      <c r="A2699" t="s">
        <v>33</v>
      </c>
      <c r="B2699" t="s">
        <v>216</v>
      </c>
      <c r="C2699">
        <v>69</v>
      </c>
      <c r="D2699" t="s">
        <v>336</v>
      </c>
      <c r="E2699" t="s">
        <v>99</v>
      </c>
      <c r="F2699" t="s">
        <v>99</v>
      </c>
      <c r="G2699" t="s">
        <v>99</v>
      </c>
      <c r="H2699" t="s">
        <v>99</v>
      </c>
      <c r="I2699" t="s">
        <v>127</v>
      </c>
      <c r="J2699" t="s">
        <v>99</v>
      </c>
      <c r="K2699" t="s">
        <v>99</v>
      </c>
      <c r="L2699" t="s">
        <v>319</v>
      </c>
      <c r="M2699" t="s">
        <v>99</v>
      </c>
      <c r="N2699" t="s">
        <v>99</v>
      </c>
      <c r="O2699" t="s">
        <v>99</v>
      </c>
      <c r="P2699" t="s">
        <v>99</v>
      </c>
      <c r="Q2699" t="s">
        <v>99</v>
      </c>
      <c r="R2699" t="s">
        <v>99</v>
      </c>
      <c r="S2699" t="s">
        <v>99</v>
      </c>
      <c r="T2699" t="s">
        <v>99</v>
      </c>
    </row>
    <row r="2700" spans="1:20" x14ac:dyDescent="0.3">
      <c r="A2700" t="s">
        <v>49</v>
      </c>
      <c r="B2700" t="s">
        <v>210</v>
      </c>
      <c r="C2700">
        <v>763</v>
      </c>
      <c r="D2700" t="s">
        <v>966</v>
      </c>
      <c r="E2700" t="s">
        <v>412</v>
      </c>
      <c r="F2700" t="s">
        <v>126</v>
      </c>
      <c r="G2700" t="s">
        <v>325</v>
      </c>
      <c r="H2700" t="s">
        <v>253</v>
      </c>
      <c r="I2700" t="s">
        <v>114</v>
      </c>
      <c r="J2700" t="s">
        <v>141</v>
      </c>
      <c r="K2700" t="s">
        <v>101</v>
      </c>
      <c r="L2700" t="s">
        <v>253</v>
      </c>
      <c r="M2700" t="s">
        <v>198</v>
      </c>
      <c r="N2700" t="s">
        <v>268</v>
      </c>
      <c r="O2700" t="s">
        <v>207</v>
      </c>
      <c r="P2700" t="s">
        <v>115</v>
      </c>
      <c r="Q2700" t="s">
        <v>207</v>
      </c>
      <c r="R2700" t="s">
        <v>99</v>
      </c>
      <c r="S2700" t="s">
        <v>104</v>
      </c>
      <c r="T2700" t="s">
        <v>99</v>
      </c>
    </row>
    <row r="2701" spans="1:20" x14ac:dyDescent="0.3">
      <c r="A2701" t="s">
        <v>49</v>
      </c>
      <c r="B2701" t="s">
        <v>212</v>
      </c>
      <c r="C2701">
        <v>11303</v>
      </c>
      <c r="D2701" t="s">
        <v>364</v>
      </c>
      <c r="E2701" t="s">
        <v>332</v>
      </c>
      <c r="F2701" t="s">
        <v>136</v>
      </c>
      <c r="G2701" t="s">
        <v>105</v>
      </c>
      <c r="H2701" t="s">
        <v>115</v>
      </c>
      <c r="I2701" t="s">
        <v>268</v>
      </c>
      <c r="J2701" t="s">
        <v>198</v>
      </c>
      <c r="K2701" t="s">
        <v>104</v>
      </c>
      <c r="L2701" t="s">
        <v>132</v>
      </c>
      <c r="M2701" t="s">
        <v>198</v>
      </c>
      <c r="N2701" t="s">
        <v>121</v>
      </c>
      <c r="O2701" t="s">
        <v>198</v>
      </c>
      <c r="P2701" t="s">
        <v>198</v>
      </c>
      <c r="Q2701" t="s">
        <v>104</v>
      </c>
      <c r="R2701" t="s">
        <v>198</v>
      </c>
      <c r="S2701" t="s">
        <v>104</v>
      </c>
      <c r="T2701" t="s">
        <v>99</v>
      </c>
    </row>
    <row r="2702" spans="1:20" x14ac:dyDescent="0.3">
      <c r="A2702" t="s">
        <v>49</v>
      </c>
      <c r="B2702" t="s">
        <v>216</v>
      </c>
      <c r="C2702">
        <v>1253</v>
      </c>
      <c r="D2702" t="s">
        <v>1020</v>
      </c>
      <c r="E2702" t="s">
        <v>41</v>
      </c>
      <c r="F2702" t="s">
        <v>138</v>
      </c>
      <c r="G2702" t="s">
        <v>721</v>
      </c>
      <c r="H2702" t="s">
        <v>115</v>
      </c>
      <c r="I2702" t="s">
        <v>160</v>
      </c>
      <c r="J2702" t="s">
        <v>198</v>
      </c>
      <c r="K2702" t="s">
        <v>99</v>
      </c>
      <c r="L2702" t="s">
        <v>132</v>
      </c>
      <c r="M2702" t="s">
        <v>198</v>
      </c>
      <c r="N2702" t="s">
        <v>128</v>
      </c>
      <c r="O2702" t="s">
        <v>108</v>
      </c>
      <c r="P2702" t="s">
        <v>141</v>
      </c>
      <c r="Q2702" t="s">
        <v>100</v>
      </c>
      <c r="R2702" t="s">
        <v>253</v>
      </c>
      <c r="S2702" t="s">
        <v>198</v>
      </c>
      <c r="T2702" t="s">
        <v>99</v>
      </c>
    </row>
    <row r="2704" spans="1:20" x14ac:dyDescent="0.3">
      <c r="A2704" t="s">
        <v>1281</v>
      </c>
    </row>
    <row r="2705" spans="1:20" x14ac:dyDescent="0.3">
      <c r="A2705" t="s">
        <v>44</v>
      </c>
      <c r="B2705" t="s">
        <v>388</v>
      </c>
      <c r="C2705" t="s">
        <v>32</v>
      </c>
      <c r="D2705" t="s">
        <v>1261</v>
      </c>
      <c r="E2705" t="s">
        <v>1262</v>
      </c>
      <c r="F2705" t="s">
        <v>1263</v>
      </c>
      <c r="G2705" t="s">
        <v>1264</v>
      </c>
      <c r="H2705" t="s">
        <v>1265</v>
      </c>
      <c r="I2705" t="s">
        <v>1266</v>
      </c>
      <c r="J2705" t="s">
        <v>1267</v>
      </c>
      <c r="K2705" t="s">
        <v>1268</v>
      </c>
      <c r="L2705" t="s">
        <v>1269</v>
      </c>
      <c r="M2705" t="s">
        <v>1270</v>
      </c>
      <c r="N2705" t="s">
        <v>1271</v>
      </c>
      <c r="O2705" t="s">
        <v>1272</v>
      </c>
      <c r="P2705" t="s">
        <v>1273</v>
      </c>
      <c r="Q2705" t="s">
        <v>1274</v>
      </c>
      <c r="R2705" t="s">
        <v>1275</v>
      </c>
      <c r="S2705" t="s">
        <v>83</v>
      </c>
      <c r="T2705" t="s">
        <v>193</v>
      </c>
    </row>
    <row r="2706" spans="1:20" x14ac:dyDescent="0.3">
      <c r="A2706" t="s">
        <v>35</v>
      </c>
      <c r="B2706" t="s">
        <v>389</v>
      </c>
      <c r="C2706">
        <v>2140</v>
      </c>
      <c r="D2706" t="s">
        <v>199</v>
      </c>
      <c r="E2706" t="s">
        <v>130</v>
      </c>
      <c r="F2706" t="s">
        <v>132</v>
      </c>
      <c r="G2706" t="s">
        <v>158</v>
      </c>
      <c r="H2706" t="s">
        <v>207</v>
      </c>
      <c r="I2706" t="s">
        <v>129</v>
      </c>
      <c r="J2706" t="s">
        <v>99</v>
      </c>
      <c r="K2706" t="s">
        <v>207</v>
      </c>
      <c r="L2706" t="s">
        <v>207</v>
      </c>
      <c r="M2706" t="s">
        <v>99</v>
      </c>
      <c r="N2706" t="s">
        <v>132</v>
      </c>
      <c r="O2706" t="s">
        <v>104</v>
      </c>
      <c r="P2706" t="s">
        <v>99</v>
      </c>
      <c r="Q2706" t="s">
        <v>141</v>
      </c>
      <c r="R2706" t="s">
        <v>104</v>
      </c>
      <c r="S2706" t="s">
        <v>104</v>
      </c>
      <c r="T2706" t="s">
        <v>99</v>
      </c>
    </row>
    <row r="2707" spans="1:20" x14ac:dyDescent="0.3">
      <c r="A2707" t="s">
        <v>35</v>
      </c>
      <c r="B2707" t="s">
        <v>390</v>
      </c>
      <c r="C2707">
        <v>875</v>
      </c>
      <c r="D2707" t="s">
        <v>450</v>
      </c>
      <c r="E2707" t="s">
        <v>150</v>
      </c>
      <c r="F2707" t="s">
        <v>136</v>
      </c>
      <c r="G2707" t="s">
        <v>254</v>
      </c>
      <c r="H2707" t="s">
        <v>198</v>
      </c>
      <c r="I2707" t="s">
        <v>155</v>
      </c>
      <c r="J2707" t="s">
        <v>115</v>
      </c>
      <c r="K2707" t="s">
        <v>99</v>
      </c>
      <c r="L2707" t="s">
        <v>108</v>
      </c>
      <c r="M2707" t="s">
        <v>99</v>
      </c>
      <c r="N2707" t="s">
        <v>101</v>
      </c>
      <c r="O2707" t="s">
        <v>108</v>
      </c>
      <c r="P2707" t="s">
        <v>115</v>
      </c>
      <c r="Q2707" t="s">
        <v>132</v>
      </c>
      <c r="R2707" t="s">
        <v>99</v>
      </c>
      <c r="S2707" t="s">
        <v>99</v>
      </c>
      <c r="T2707" t="s">
        <v>99</v>
      </c>
    </row>
    <row r="2708" spans="1:20" x14ac:dyDescent="0.3">
      <c r="A2708" t="s">
        <v>35</v>
      </c>
      <c r="B2708" t="s">
        <v>365</v>
      </c>
      <c r="C2708">
        <v>129</v>
      </c>
      <c r="D2708" t="s">
        <v>961</v>
      </c>
      <c r="E2708" t="s">
        <v>155</v>
      </c>
      <c r="F2708" t="s">
        <v>99</v>
      </c>
      <c r="G2708" t="s">
        <v>109</v>
      </c>
      <c r="H2708" t="s">
        <v>100</v>
      </c>
      <c r="I2708" t="s">
        <v>292</v>
      </c>
      <c r="J2708" t="s">
        <v>99</v>
      </c>
      <c r="K2708" t="s">
        <v>99</v>
      </c>
      <c r="L2708" t="s">
        <v>99</v>
      </c>
      <c r="M2708" t="s">
        <v>99</v>
      </c>
      <c r="N2708" t="s">
        <v>198</v>
      </c>
      <c r="O2708" t="s">
        <v>99</v>
      </c>
      <c r="P2708" t="s">
        <v>99</v>
      </c>
      <c r="Q2708" t="s">
        <v>99</v>
      </c>
      <c r="R2708" t="s">
        <v>99</v>
      </c>
      <c r="S2708" t="s">
        <v>99</v>
      </c>
      <c r="T2708" t="s">
        <v>99</v>
      </c>
    </row>
    <row r="2709" spans="1:20" x14ac:dyDescent="0.3">
      <c r="A2709" t="s">
        <v>37</v>
      </c>
      <c r="B2709" t="s">
        <v>389</v>
      </c>
      <c r="C2709">
        <v>2304</v>
      </c>
      <c r="D2709" t="s">
        <v>364</v>
      </c>
      <c r="E2709" t="s">
        <v>474</v>
      </c>
      <c r="F2709" t="s">
        <v>207</v>
      </c>
      <c r="G2709" t="s">
        <v>100</v>
      </c>
      <c r="H2709" t="s">
        <v>126</v>
      </c>
      <c r="I2709" t="s">
        <v>127</v>
      </c>
      <c r="J2709" t="s">
        <v>104</v>
      </c>
      <c r="K2709" t="s">
        <v>198</v>
      </c>
      <c r="L2709" t="s">
        <v>382</v>
      </c>
      <c r="M2709" t="s">
        <v>136</v>
      </c>
      <c r="N2709" t="s">
        <v>114</v>
      </c>
      <c r="O2709" t="s">
        <v>104</v>
      </c>
      <c r="P2709" t="s">
        <v>99</v>
      </c>
      <c r="Q2709" t="s">
        <v>99</v>
      </c>
      <c r="R2709" t="s">
        <v>99</v>
      </c>
      <c r="S2709" t="s">
        <v>198</v>
      </c>
      <c r="T2709" t="s">
        <v>99</v>
      </c>
    </row>
    <row r="2710" spans="1:20" x14ac:dyDescent="0.3">
      <c r="A2710" t="s">
        <v>37</v>
      </c>
      <c r="B2710" t="s">
        <v>390</v>
      </c>
      <c r="C2710">
        <v>1309</v>
      </c>
      <c r="D2710" t="s">
        <v>252</v>
      </c>
      <c r="E2710" t="s">
        <v>157</v>
      </c>
      <c r="F2710" t="s">
        <v>198</v>
      </c>
      <c r="G2710" t="s">
        <v>108</v>
      </c>
      <c r="H2710" t="s">
        <v>127</v>
      </c>
      <c r="I2710" t="s">
        <v>103</v>
      </c>
      <c r="J2710" t="s">
        <v>198</v>
      </c>
      <c r="K2710" t="s">
        <v>104</v>
      </c>
      <c r="L2710" t="s">
        <v>292</v>
      </c>
      <c r="M2710" t="s">
        <v>198</v>
      </c>
      <c r="N2710" t="s">
        <v>108</v>
      </c>
      <c r="O2710" t="s">
        <v>99</v>
      </c>
      <c r="P2710" t="s">
        <v>108</v>
      </c>
      <c r="Q2710" t="s">
        <v>99</v>
      </c>
      <c r="R2710" t="s">
        <v>99</v>
      </c>
      <c r="S2710" t="s">
        <v>207</v>
      </c>
      <c r="T2710" t="s">
        <v>99</v>
      </c>
    </row>
    <row r="2711" spans="1:20" x14ac:dyDescent="0.3">
      <c r="A2711" t="s">
        <v>37</v>
      </c>
      <c r="B2711" t="s">
        <v>365</v>
      </c>
      <c r="C2711">
        <v>241</v>
      </c>
      <c r="D2711" t="s">
        <v>403</v>
      </c>
      <c r="E2711" t="s">
        <v>155</v>
      </c>
      <c r="F2711" t="s">
        <v>136</v>
      </c>
      <c r="G2711" t="s">
        <v>123</v>
      </c>
      <c r="H2711" t="s">
        <v>99</v>
      </c>
      <c r="I2711" t="s">
        <v>123</v>
      </c>
      <c r="J2711" t="s">
        <v>100</v>
      </c>
      <c r="K2711" t="s">
        <v>207</v>
      </c>
      <c r="L2711" t="s">
        <v>103</v>
      </c>
      <c r="M2711" t="s">
        <v>101</v>
      </c>
      <c r="N2711" t="s">
        <v>382</v>
      </c>
      <c r="O2711" t="s">
        <v>99</v>
      </c>
      <c r="P2711" t="s">
        <v>99</v>
      </c>
      <c r="Q2711" t="s">
        <v>99</v>
      </c>
      <c r="R2711" t="s">
        <v>99</v>
      </c>
      <c r="S2711" t="s">
        <v>99</v>
      </c>
      <c r="T2711" t="s">
        <v>99</v>
      </c>
    </row>
    <row r="2712" spans="1:20" x14ac:dyDescent="0.3">
      <c r="A2712" t="s">
        <v>36</v>
      </c>
      <c r="B2712" t="s">
        <v>389</v>
      </c>
      <c r="C2712">
        <v>1578</v>
      </c>
      <c r="D2712" t="s">
        <v>366</v>
      </c>
      <c r="E2712" t="s">
        <v>277</v>
      </c>
      <c r="F2712" t="s">
        <v>215</v>
      </c>
      <c r="G2712" t="s">
        <v>254</v>
      </c>
      <c r="H2712" t="s">
        <v>132</v>
      </c>
      <c r="I2712" t="s">
        <v>107</v>
      </c>
      <c r="J2712" t="s">
        <v>207</v>
      </c>
      <c r="K2712" t="s">
        <v>136</v>
      </c>
      <c r="L2712" t="s">
        <v>136</v>
      </c>
      <c r="M2712" t="s">
        <v>198</v>
      </c>
      <c r="N2712" t="s">
        <v>268</v>
      </c>
      <c r="O2712" t="s">
        <v>141</v>
      </c>
      <c r="P2712" t="s">
        <v>198</v>
      </c>
      <c r="Q2712" t="s">
        <v>141</v>
      </c>
      <c r="R2712" t="s">
        <v>198</v>
      </c>
      <c r="S2712" t="s">
        <v>99</v>
      </c>
      <c r="T2712" t="s">
        <v>104</v>
      </c>
    </row>
    <row r="2713" spans="1:20" x14ac:dyDescent="0.3">
      <c r="A2713" t="s">
        <v>36</v>
      </c>
      <c r="B2713" t="s">
        <v>390</v>
      </c>
      <c r="C2713">
        <v>627</v>
      </c>
      <c r="D2713" t="s">
        <v>419</v>
      </c>
      <c r="E2713" t="s">
        <v>215</v>
      </c>
      <c r="F2713" t="s">
        <v>115</v>
      </c>
      <c r="G2713" t="s">
        <v>118</v>
      </c>
      <c r="H2713" t="s">
        <v>207</v>
      </c>
      <c r="I2713" t="s">
        <v>316</v>
      </c>
      <c r="J2713" t="s">
        <v>99</v>
      </c>
      <c r="K2713" t="s">
        <v>99</v>
      </c>
      <c r="L2713" t="s">
        <v>99</v>
      </c>
      <c r="M2713" t="s">
        <v>99</v>
      </c>
      <c r="N2713" t="s">
        <v>104</v>
      </c>
      <c r="O2713" t="s">
        <v>99</v>
      </c>
      <c r="P2713" t="s">
        <v>99</v>
      </c>
      <c r="Q2713" t="s">
        <v>207</v>
      </c>
      <c r="R2713" t="s">
        <v>99</v>
      </c>
      <c r="S2713" t="s">
        <v>108</v>
      </c>
      <c r="T2713" t="s">
        <v>99</v>
      </c>
    </row>
    <row r="2714" spans="1:20" x14ac:dyDescent="0.3">
      <c r="A2714" t="s">
        <v>36</v>
      </c>
      <c r="B2714" t="s">
        <v>365</v>
      </c>
      <c r="C2714">
        <v>100</v>
      </c>
      <c r="D2714" t="s">
        <v>885</v>
      </c>
      <c r="E2714" t="s">
        <v>157</v>
      </c>
      <c r="F2714" t="s">
        <v>104</v>
      </c>
      <c r="G2714" t="s">
        <v>412</v>
      </c>
      <c r="H2714" t="s">
        <v>121</v>
      </c>
      <c r="I2714" t="s">
        <v>103</v>
      </c>
      <c r="J2714" t="s">
        <v>110</v>
      </c>
      <c r="K2714" t="s">
        <v>99</v>
      </c>
      <c r="L2714" t="s">
        <v>101</v>
      </c>
      <c r="M2714" t="s">
        <v>99</v>
      </c>
      <c r="N2714" t="s">
        <v>675</v>
      </c>
      <c r="O2714" t="s">
        <v>104</v>
      </c>
      <c r="P2714" t="s">
        <v>101</v>
      </c>
      <c r="Q2714" t="s">
        <v>121</v>
      </c>
      <c r="R2714" t="s">
        <v>99</v>
      </c>
      <c r="S2714" t="s">
        <v>99</v>
      </c>
      <c r="T2714" t="s">
        <v>99</v>
      </c>
    </row>
    <row r="2715" spans="1:20" x14ac:dyDescent="0.3">
      <c r="A2715" t="s">
        <v>34</v>
      </c>
      <c r="B2715" t="s">
        <v>389</v>
      </c>
      <c r="C2715">
        <v>1385</v>
      </c>
      <c r="D2715" t="s">
        <v>411</v>
      </c>
      <c r="E2715" t="s">
        <v>420</v>
      </c>
      <c r="F2715" t="s">
        <v>103</v>
      </c>
      <c r="G2715" t="s">
        <v>315</v>
      </c>
      <c r="H2715" t="s">
        <v>100</v>
      </c>
      <c r="I2715" t="s">
        <v>277</v>
      </c>
      <c r="J2715" t="s">
        <v>136</v>
      </c>
      <c r="K2715" t="s">
        <v>104</v>
      </c>
      <c r="L2715" t="s">
        <v>253</v>
      </c>
      <c r="M2715" t="s">
        <v>136</v>
      </c>
      <c r="N2715" t="s">
        <v>242</v>
      </c>
      <c r="O2715" t="s">
        <v>121</v>
      </c>
      <c r="P2715" t="s">
        <v>253</v>
      </c>
      <c r="Q2715" t="s">
        <v>141</v>
      </c>
      <c r="R2715" t="s">
        <v>108</v>
      </c>
      <c r="S2715" t="s">
        <v>99</v>
      </c>
      <c r="T2715" t="s">
        <v>99</v>
      </c>
    </row>
    <row r="2716" spans="1:20" x14ac:dyDescent="0.3">
      <c r="A2716" t="s">
        <v>34</v>
      </c>
      <c r="B2716" t="s">
        <v>390</v>
      </c>
      <c r="C2716">
        <v>615</v>
      </c>
      <c r="D2716" t="s">
        <v>492</v>
      </c>
      <c r="E2716" t="s">
        <v>98</v>
      </c>
      <c r="F2716" t="s">
        <v>117</v>
      </c>
      <c r="G2716" t="s">
        <v>714</v>
      </c>
      <c r="H2716" t="s">
        <v>104</v>
      </c>
      <c r="I2716" t="s">
        <v>434</v>
      </c>
      <c r="J2716" t="s">
        <v>141</v>
      </c>
      <c r="K2716" t="s">
        <v>108</v>
      </c>
      <c r="L2716" t="s">
        <v>141</v>
      </c>
      <c r="M2716" t="s">
        <v>99</v>
      </c>
      <c r="N2716" t="s">
        <v>103</v>
      </c>
      <c r="O2716" t="s">
        <v>114</v>
      </c>
      <c r="P2716" t="s">
        <v>207</v>
      </c>
      <c r="Q2716" t="s">
        <v>104</v>
      </c>
      <c r="R2716" t="s">
        <v>126</v>
      </c>
      <c r="S2716" t="s">
        <v>253</v>
      </c>
      <c r="T2716" t="s">
        <v>99</v>
      </c>
    </row>
    <row r="2717" spans="1:20" x14ac:dyDescent="0.3">
      <c r="A2717" t="s">
        <v>34</v>
      </c>
      <c r="B2717" t="s">
        <v>365</v>
      </c>
      <c r="C2717">
        <v>80</v>
      </c>
      <c r="D2717" t="s">
        <v>1282</v>
      </c>
      <c r="E2717" t="s">
        <v>664</v>
      </c>
      <c r="F2717" t="s">
        <v>157</v>
      </c>
      <c r="G2717" t="s">
        <v>233</v>
      </c>
      <c r="H2717" t="s">
        <v>99</v>
      </c>
      <c r="I2717" t="s">
        <v>215</v>
      </c>
      <c r="J2717" t="s">
        <v>99</v>
      </c>
      <c r="K2717" t="s">
        <v>99</v>
      </c>
      <c r="L2717" t="s">
        <v>99</v>
      </c>
      <c r="M2717" t="s">
        <v>99</v>
      </c>
      <c r="N2717" t="s">
        <v>99</v>
      </c>
      <c r="O2717" t="s">
        <v>99</v>
      </c>
      <c r="P2717" t="s">
        <v>99</v>
      </c>
      <c r="Q2717" t="s">
        <v>99</v>
      </c>
      <c r="R2717" t="s">
        <v>99</v>
      </c>
      <c r="S2717" t="s">
        <v>99</v>
      </c>
      <c r="T2717" t="s">
        <v>99</v>
      </c>
    </row>
    <row r="2718" spans="1:20" x14ac:dyDescent="0.3">
      <c r="A2718" t="s">
        <v>33</v>
      </c>
      <c r="B2718" t="s">
        <v>389</v>
      </c>
      <c r="C2718">
        <v>1089</v>
      </c>
      <c r="D2718" t="s">
        <v>1022</v>
      </c>
      <c r="E2718" t="s">
        <v>253</v>
      </c>
      <c r="F2718" t="s">
        <v>99</v>
      </c>
      <c r="G2718" t="s">
        <v>207</v>
      </c>
      <c r="H2718" t="s">
        <v>104</v>
      </c>
      <c r="I2718" t="s">
        <v>198</v>
      </c>
      <c r="J2718" t="s">
        <v>104</v>
      </c>
      <c r="K2718" t="s">
        <v>104</v>
      </c>
      <c r="L2718" t="s">
        <v>104</v>
      </c>
      <c r="M2718" t="s">
        <v>104</v>
      </c>
      <c r="N2718" t="s">
        <v>99</v>
      </c>
      <c r="O2718" t="s">
        <v>99</v>
      </c>
      <c r="P2718" t="s">
        <v>99</v>
      </c>
      <c r="Q2718" t="s">
        <v>99</v>
      </c>
      <c r="R2718" t="s">
        <v>99</v>
      </c>
      <c r="S2718" t="s">
        <v>99</v>
      </c>
      <c r="T2718" t="s">
        <v>99</v>
      </c>
    </row>
    <row r="2719" spans="1:20" x14ac:dyDescent="0.3">
      <c r="A2719" t="s">
        <v>33</v>
      </c>
      <c r="B2719" t="s">
        <v>390</v>
      </c>
      <c r="C2719">
        <v>708</v>
      </c>
      <c r="D2719" t="s">
        <v>989</v>
      </c>
      <c r="E2719" t="s">
        <v>141</v>
      </c>
      <c r="F2719" t="s">
        <v>99</v>
      </c>
      <c r="G2719" t="s">
        <v>99</v>
      </c>
      <c r="H2719" t="s">
        <v>198</v>
      </c>
      <c r="I2719" t="s">
        <v>198</v>
      </c>
      <c r="J2719" t="s">
        <v>99</v>
      </c>
      <c r="K2719" t="s">
        <v>99</v>
      </c>
      <c r="L2719" t="s">
        <v>198</v>
      </c>
      <c r="M2719" t="s">
        <v>99</v>
      </c>
      <c r="N2719" t="s">
        <v>99</v>
      </c>
      <c r="O2719" t="s">
        <v>99</v>
      </c>
      <c r="P2719" t="s">
        <v>99</v>
      </c>
      <c r="Q2719" t="s">
        <v>99</v>
      </c>
      <c r="R2719" t="s">
        <v>99</v>
      </c>
      <c r="S2719" t="s">
        <v>99</v>
      </c>
      <c r="T2719" t="s">
        <v>99</v>
      </c>
    </row>
    <row r="2720" spans="1:20" x14ac:dyDescent="0.3">
      <c r="A2720" t="s">
        <v>33</v>
      </c>
      <c r="B2720" t="s">
        <v>365</v>
      </c>
      <c r="C2720">
        <v>139</v>
      </c>
      <c r="D2720" t="s">
        <v>211</v>
      </c>
      <c r="E2720" t="s">
        <v>99</v>
      </c>
      <c r="F2720" t="s">
        <v>99</v>
      </c>
      <c r="G2720" t="s">
        <v>99</v>
      </c>
      <c r="H2720" t="s">
        <v>99</v>
      </c>
      <c r="I2720" t="s">
        <v>99</v>
      </c>
      <c r="J2720" t="s">
        <v>99</v>
      </c>
      <c r="K2720" t="s">
        <v>99</v>
      </c>
      <c r="L2720" t="s">
        <v>99</v>
      </c>
      <c r="M2720" t="s">
        <v>99</v>
      </c>
      <c r="N2720" t="s">
        <v>99</v>
      </c>
      <c r="O2720" t="s">
        <v>99</v>
      </c>
      <c r="P2720" t="s">
        <v>99</v>
      </c>
      <c r="Q2720" t="s">
        <v>99</v>
      </c>
      <c r="R2720" t="s">
        <v>99</v>
      </c>
      <c r="S2720" t="s">
        <v>99</v>
      </c>
      <c r="T2720" t="s">
        <v>99</v>
      </c>
    </row>
    <row r="2721" spans="1:20" x14ac:dyDescent="0.3">
      <c r="A2721" t="s">
        <v>49</v>
      </c>
      <c r="B2721" t="s">
        <v>389</v>
      </c>
      <c r="C2721">
        <v>8496</v>
      </c>
      <c r="D2721" t="s">
        <v>232</v>
      </c>
      <c r="E2721" t="s">
        <v>139</v>
      </c>
      <c r="F2721" t="s">
        <v>114</v>
      </c>
      <c r="G2721" t="s">
        <v>68</v>
      </c>
      <c r="H2721" t="s">
        <v>132</v>
      </c>
      <c r="I2721" t="s">
        <v>107</v>
      </c>
      <c r="J2721" t="s">
        <v>104</v>
      </c>
      <c r="K2721" t="s">
        <v>198</v>
      </c>
      <c r="L2721" t="s">
        <v>115</v>
      </c>
      <c r="M2721" t="s">
        <v>198</v>
      </c>
      <c r="N2721" t="s">
        <v>215</v>
      </c>
      <c r="O2721" t="s">
        <v>207</v>
      </c>
      <c r="P2721" t="s">
        <v>198</v>
      </c>
      <c r="Q2721" t="s">
        <v>207</v>
      </c>
      <c r="R2721" t="s">
        <v>198</v>
      </c>
      <c r="S2721" t="s">
        <v>104</v>
      </c>
      <c r="T2721" t="s">
        <v>99</v>
      </c>
    </row>
    <row r="2722" spans="1:20" x14ac:dyDescent="0.3">
      <c r="A2722" t="s">
        <v>49</v>
      </c>
      <c r="B2722" t="s">
        <v>390</v>
      </c>
      <c r="C2722">
        <v>4134</v>
      </c>
      <c r="D2722" t="s">
        <v>889</v>
      </c>
      <c r="E2722" t="s">
        <v>118</v>
      </c>
      <c r="F2722" t="s">
        <v>253</v>
      </c>
      <c r="G2722" t="s">
        <v>434</v>
      </c>
      <c r="H2722" t="s">
        <v>115</v>
      </c>
      <c r="I2722" t="s">
        <v>316</v>
      </c>
      <c r="J2722" t="s">
        <v>207</v>
      </c>
      <c r="K2722" t="s">
        <v>198</v>
      </c>
      <c r="L2722" t="s">
        <v>114</v>
      </c>
      <c r="M2722" t="s">
        <v>104</v>
      </c>
      <c r="N2722" t="s">
        <v>114</v>
      </c>
      <c r="O2722" t="s">
        <v>136</v>
      </c>
      <c r="P2722" t="s">
        <v>141</v>
      </c>
      <c r="Q2722" t="s">
        <v>198</v>
      </c>
      <c r="R2722" t="s">
        <v>207</v>
      </c>
      <c r="S2722" t="s">
        <v>207</v>
      </c>
      <c r="T2722" t="s">
        <v>99</v>
      </c>
    </row>
    <row r="2723" spans="1:20" x14ac:dyDescent="0.3">
      <c r="A2723" t="s">
        <v>49</v>
      </c>
      <c r="B2723" t="s">
        <v>365</v>
      </c>
      <c r="C2723">
        <v>689</v>
      </c>
      <c r="D2723" t="s">
        <v>252</v>
      </c>
      <c r="E2723" t="s">
        <v>138</v>
      </c>
      <c r="F2723" t="s">
        <v>253</v>
      </c>
      <c r="G2723" t="s">
        <v>130</v>
      </c>
      <c r="H2723" t="s">
        <v>136</v>
      </c>
      <c r="I2723" t="s">
        <v>382</v>
      </c>
      <c r="J2723" t="s">
        <v>132</v>
      </c>
      <c r="K2723" t="s">
        <v>104</v>
      </c>
      <c r="L2723" t="s">
        <v>114</v>
      </c>
      <c r="M2723" t="s">
        <v>136</v>
      </c>
      <c r="N2723" t="s">
        <v>101</v>
      </c>
      <c r="O2723" t="s">
        <v>99</v>
      </c>
      <c r="P2723" t="s">
        <v>104</v>
      </c>
      <c r="Q2723" t="s">
        <v>104</v>
      </c>
      <c r="R2723" t="s">
        <v>99</v>
      </c>
      <c r="S2723" t="s">
        <v>99</v>
      </c>
      <c r="T2723" t="s">
        <v>99</v>
      </c>
    </row>
    <row r="2725" spans="1:20" x14ac:dyDescent="0.3">
      <c r="A2725" t="s">
        <v>1283</v>
      </c>
    </row>
    <row r="2726" spans="1:20" x14ac:dyDescent="0.3">
      <c r="A2726" t="s">
        <v>44</v>
      </c>
      <c r="B2726" t="s">
        <v>235</v>
      </c>
      <c r="C2726" t="s">
        <v>32</v>
      </c>
      <c r="D2726" t="s">
        <v>1261</v>
      </c>
      <c r="E2726" t="s">
        <v>1262</v>
      </c>
      <c r="F2726" t="s">
        <v>1263</v>
      </c>
      <c r="G2726" t="s">
        <v>1264</v>
      </c>
      <c r="H2726" t="s">
        <v>1265</v>
      </c>
      <c r="I2726" t="s">
        <v>1266</v>
      </c>
      <c r="J2726" t="s">
        <v>1267</v>
      </c>
      <c r="K2726" t="s">
        <v>1268</v>
      </c>
      <c r="L2726" t="s">
        <v>1269</v>
      </c>
      <c r="M2726" t="s">
        <v>1270</v>
      </c>
      <c r="N2726" t="s">
        <v>1271</v>
      </c>
      <c r="O2726" t="s">
        <v>1272</v>
      </c>
      <c r="P2726" t="s">
        <v>1273</v>
      </c>
      <c r="Q2726" t="s">
        <v>1274</v>
      </c>
      <c r="R2726" t="s">
        <v>1275</v>
      </c>
      <c r="S2726" t="s">
        <v>83</v>
      </c>
      <c r="T2726" t="s">
        <v>193</v>
      </c>
    </row>
    <row r="2727" spans="1:20" x14ac:dyDescent="0.3">
      <c r="A2727" t="s">
        <v>35</v>
      </c>
      <c r="B2727" t="s">
        <v>236</v>
      </c>
      <c r="C2727">
        <v>1610</v>
      </c>
      <c r="D2727" t="s">
        <v>392</v>
      </c>
      <c r="E2727" t="s">
        <v>118</v>
      </c>
      <c r="F2727" t="s">
        <v>132</v>
      </c>
      <c r="G2727" t="s">
        <v>158</v>
      </c>
      <c r="H2727" t="s">
        <v>141</v>
      </c>
      <c r="I2727" t="s">
        <v>157</v>
      </c>
      <c r="J2727" t="s">
        <v>99</v>
      </c>
      <c r="K2727" t="s">
        <v>198</v>
      </c>
      <c r="L2727" t="s">
        <v>207</v>
      </c>
      <c r="M2727" t="s">
        <v>99</v>
      </c>
      <c r="N2727" t="s">
        <v>132</v>
      </c>
      <c r="O2727" t="s">
        <v>104</v>
      </c>
      <c r="P2727" t="s">
        <v>99</v>
      </c>
      <c r="Q2727" t="s">
        <v>198</v>
      </c>
      <c r="R2727" t="s">
        <v>104</v>
      </c>
      <c r="S2727" t="s">
        <v>104</v>
      </c>
      <c r="T2727" t="s">
        <v>99</v>
      </c>
    </row>
    <row r="2728" spans="1:20" x14ac:dyDescent="0.3">
      <c r="A2728" t="s">
        <v>35</v>
      </c>
      <c r="B2728" t="s">
        <v>238</v>
      </c>
      <c r="C2728">
        <v>1534</v>
      </c>
      <c r="D2728" t="s">
        <v>217</v>
      </c>
      <c r="E2728" t="s">
        <v>684</v>
      </c>
      <c r="F2728" t="s">
        <v>253</v>
      </c>
      <c r="G2728" t="s">
        <v>325</v>
      </c>
      <c r="H2728" t="s">
        <v>198</v>
      </c>
      <c r="I2728" t="s">
        <v>130</v>
      </c>
      <c r="J2728" t="s">
        <v>207</v>
      </c>
      <c r="K2728" t="s">
        <v>198</v>
      </c>
      <c r="L2728" t="s">
        <v>141</v>
      </c>
      <c r="M2728" t="s">
        <v>99</v>
      </c>
      <c r="N2728" t="s">
        <v>108</v>
      </c>
      <c r="O2728" t="s">
        <v>136</v>
      </c>
      <c r="P2728" t="s">
        <v>207</v>
      </c>
      <c r="Q2728" t="s">
        <v>115</v>
      </c>
      <c r="R2728" t="s">
        <v>99</v>
      </c>
      <c r="S2728" t="s">
        <v>99</v>
      </c>
      <c r="T2728" t="s">
        <v>99</v>
      </c>
    </row>
    <row r="2729" spans="1:20" x14ac:dyDescent="0.3">
      <c r="A2729" t="s">
        <v>37</v>
      </c>
      <c r="B2729" t="s">
        <v>236</v>
      </c>
      <c r="C2729">
        <v>2211</v>
      </c>
      <c r="D2729" t="s">
        <v>377</v>
      </c>
      <c r="E2729" t="s">
        <v>277</v>
      </c>
      <c r="F2729" t="s">
        <v>141</v>
      </c>
      <c r="G2729" t="s">
        <v>100</v>
      </c>
      <c r="H2729" t="s">
        <v>123</v>
      </c>
      <c r="I2729" t="s">
        <v>117</v>
      </c>
      <c r="J2729" t="s">
        <v>104</v>
      </c>
      <c r="K2729" t="s">
        <v>198</v>
      </c>
      <c r="L2729" t="s">
        <v>103</v>
      </c>
      <c r="M2729" t="s">
        <v>141</v>
      </c>
      <c r="N2729" t="s">
        <v>121</v>
      </c>
      <c r="O2729" t="s">
        <v>104</v>
      </c>
      <c r="P2729" t="s">
        <v>207</v>
      </c>
      <c r="Q2729" t="s">
        <v>99</v>
      </c>
      <c r="R2729" t="s">
        <v>99</v>
      </c>
      <c r="S2729" t="s">
        <v>104</v>
      </c>
      <c r="T2729" t="s">
        <v>99</v>
      </c>
    </row>
    <row r="2730" spans="1:20" x14ac:dyDescent="0.3">
      <c r="A2730" t="s">
        <v>37</v>
      </c>
      <c r="B2730" t="s">
        <v>238</v>
      </c>
      <c r="C2730">
        <v>1643</v>
      </c>
      <c r="D2730" t="s">
        <v>334</v>
      </c>
      <c r="E2730" t="s">
        <v>268</v>
      </c>
      <c r="F2730" t="s">
        <v>99</v>
      </c>
      <c r="G2730" t="s">
        <v>100</v>
      </c>
      <c r="H2730" t="s">
        <v>100</v>
      </c>
      <c r="I2730" t="s">
        <v>382</v>
      </c>
      <c r="J2730" t="s">
        <v>136</v>
      </c>
      <c r="K2730" t="s">
        <v>198</v>
      </c>
      <c r="L2730" t="s">
        <v>100</v>
      </c>
      <c r="M2730" t="s">
        <v>198</v>
      </c>
      <c r="N2730" t="s">
        <v>132</v>
      </c>
      <c r="O2730" t="s">
        <v>99</v>
      </c>
      <c r="P2730" t="s">
        <v>207</v>
      </c>
      <c r="Q2730" t="s">
        <v>99</v>
      </c>
      <c r="R2730" t="s">
        <v>99</v>
      </c>
      <c r="S2730" t="s">
        <v>136</v>
      </c>
      <c r="T2730" t="s">
        <v>99</v>
      </c>
    </row>
    <row r="2731" spans="1:20" x14ac:dyDescent="0.3">
      <c r="A2731" t="s">
        <v>36</v>
      </c>
      <c r="B2731" t="s">
        <v>236</v>
      </c>
      <c r="C2731">
        <v>1566</v>
      </c>
      <c r="D2731" t="s">
        <v>889</v>
      </c>
      <c r="E2731" t="s">
        <v>242</v>
      </c>
      <c r="F2731" t="s">
        <v>123</v>
      </c>
      <c r="G2731" t="s">
        <v>145</v>
      </c>
      <c r="H2731" t="s">
        <v>114</v>
      </c>
      <c r="I2731" t="s">
        <v>105</v>
      </c>
      <c r="J2731" t="s">
        <v>136</v>
      </c>
      <c r="K2731" t="s">
        <v>104</v>
      </c>
      <c r="L2731" t="s">
        <v>141</v>
      </c>
      <c r="M2731" t="s">
        <v>104</v>
      </c>
      <c r="N2731" t="s">
        <v>123</v>
      </c>
      <c r="O2731" t="s">
        <v>132</v>
      </c>
      <c r="P2731" t="s">
        <v>253</v>
      </c>
      <c r="Q2731" t="s">
        <v>115</v>
      </c>
      <c r="R2731" t="s">
        <v>198</v>
      </c>
      <c r="S2731" t="s">
        <v>99</v>
      </c>
      <c r="T2731" t="s">
        <v>99</v>
      </c>
    </row>
    <row r="2732" spans="1:20" x14ac:dyDescent="0.3">
      <c r="A2732" t="s">
        <v>36</v>
      </c>
      <c r="B2732" t="s">
        <v>238</v>
      </c>
      <c r="C2732">
        <v>739</v>
      </c>
      <c r="D2732" t="s">
        <v>392</v>
      </c>
      <c r="E2732" t="s">
        <v>155</v>
      </c>
      <c r="F2732" t="s">
        <v>114</v>
      </c>
      <c r="G2732" t="s">
        <v>277</v>
      </c>
      <c r="H2732" t="s">
        <v>136</v>
      </c>
      <c r="I2732" t="s">
        <v>128</v>
      </c>
      <c r="J2732" t="s">
        <v>136</v>
      </c>
      <c r="K2732" t="s">
        <v>136</v>
      </c>
      <c r="L2732" t="s">
        <v>207</v>
      </c>
      <c r="M2732" t="s">
        <v>104</v>
      </c>
      <c r="N2732" t="s">
        <v>292</v>
      </c>
      <c r="O2732" t="s">
        <v>99</v>
      </c>
      <c r="P2732" t="s">
        <v>99</v>
      </c>
      <c r="Q2732" t="s">
        <v>136</v>
      </c>
      <c r="R2732" t="s">
        <v>104</v>
      </c>
      <c r="S2732" t="s">
        <v>136</v>
      </c>
      <c r="T2732" t="s">
        <v>104</v>
      </c>
    </row>
    <row r="2733" spans="1:20" x14ac:dyDescent="0.3">
      <c r="A2733" t="s">
        <v>34</v>
      </c>
      <c r="B2733" t="s">
        <v>236</v>
      </c>
      <c r="C2733">
        <v>717</v>
      </c>
      <c r="D2733" t="s">
        <v>1080</v>
      </c>
      <c r="E2733" t="s">
        <v>220</v>
      </c>
      <c r="F2733" t="s">
        <v>328</v>
      </c>
      <c r="G2733" t="s">
        <v>990</v>
      </c>
      <c r="H2733" t="s">
        <v>215</v>
      </c>
      <c r="I2733" t="s">
        <v>663</v>
      </c>
      <c r="J2733" t="s">
        <v>108</v>
      </c>
      <c r="K2733" t="s">
        <v>141</v>
      </c>
      <c r="L2733" t="s">
        <v>101</v>
      </c>
      <c r="M2733" t="s">
        <v>136</v>
      </c>
      <c r="N2733" t="s">
        <v>78</v>
      </c>
      <c r="O2733" t="s">
        <v>111</v>
      </c>
      <c r="P2733" t="s">
        <v>108</v>
      </c>
      <c r="Q2733" t="s">
        <v>99</v>
      </c>
      <c r="R2733" t="s">
        <v>101</v>
      </c>
      <c r="S2733" t="s">
        <v>99</v>
      </c>
      <c r="T2733" t="s">
        <v>99</v>
      </c>
    </row>
    <row r="2734" spans="1:20" x14ac:dyDescent="0.3">
      <c r="A2734" t="s">
        <v>34</v>
      </c>
      <c r="B2734" t="s">
        <v>238</v>
      </c>
      <c r="C2734">
        <v>1363</v>
      </c>
      <c r="D2734" t="s">
        <v>464</v>
      </c>
      <c r="E2734" t="s">
        <v>663</v>
      </c>
      <c r="F2734" t="s">
        <v>100</v>
      </c>
      <c r="G2734" t="s">
        <v>461</v>
      </c>
      <c r="H2734" t="s">
        <v>207</v>
      </c>
      <c r="I2734" t="s">
        <v>110</v>
      </c>
      <c r="J2734" t="s">
        <v>104</v>
      </c>
      <c r="K2734" t="s">
        <v>207</v>
      </c>
      <c r="L2734" t="s">
        <v>198</v>
      </c>
      <c r="M2734" t="s">
        <v>198</v>
      </c>
      <c r="N2734" t="s">
        <v>117</v>
      </c>
      <c r="O2734" t="s">
        <v>253</v>
      </c>
      <c r="P2734" t="s">
        <v>207</v>
      </c>
      <c r="Q2734" t="s">
        <v>141</v>
      </c>
      <c r="R2734" t="s">
        <v>108</v>
      </c>
      <c r="S2734" t="s">
        <v>207</v>
      </c>
      <c r="T2734" t="s">
        <v>99</v>
      </c>
    </row>
    <row r="2735" spans="1:20" x14ac:dyDescent="0.3">
      <c r="A2735" t="s">
        <v>33</v>
      </c>
      <c r="B2735" t="s">
        <v>236</v>
      </c>
      <c r="C2735">
        <v>1115</v>
      </c>
      <c r="D2735" t="s">
        <v>989</v>
      </c>
      <c r="E2735" t="s">
        <v>253</v>
      </c>
      <c r="F2735" t="s">
        <v>99</v>
      </c>
      <c r="G2735" t="s">
        <v>198</v>
      </c>
      <c r="H2735" t="s">
        <v>104</v>
      </c>
      <c r="I2735" t="s">
        <v>104</v>
      </c>
      <c r="J2735" t="s">
        <v>104</v>
      </c>
      <c r="K2735" t="s">
        <v>104</v>
      </c>
      <c r="L2735" t="s">
        <v>198</v>
      </c>
      <c r="M2735" t="s">
        <v>104</v>
      </c>
      <c r="N2735" t="s">
        <v>99</v>
      </c>
      <c r="O2735" t="s">
        <v>99</v>
      </c>
      <c r="P2735" t="s">
        <v>99</v>
      </c>
      <c r="Q2735" t="s">
        <v>99</v>
      </c>
      <c r="R2735" t="s">
        <v>99</v>
      </c>
      <c r="S2735" t="s">
        <v>99</v>
      </c>
      <c r="T2735" t="s">
        <v>99</v>
      </c>
    </row>
    <row r="2736" spans="1:20" x14ac:dyDescent="0.3">
      <c r="A2736" t="s">
        <v>33</v>
      </c>
      <c r="B2736" t="s">
        <v>238</v>
      </c>
      <c r="C2736">
        <v>821</v>
      </c>
      <c r="D2736" t="s">
        <v>989</v>
      </c>
      <c r="E2736" t="s">
        <v>136</v>
      </c>
      <c r="F2736" t="s">
        <v>99</v>
      </c>
      <c r="G2736" t="s">
        <v>104</v>
      </c>
      <c r="H2736" t="s">
        <v>104</v>
      </c>
      <c r="I2736" t="s">
        <v>207</v>
      </c>
      <c r="J2736" t="s">
        <v>99</v>
      </c>
      <c r="K2736" t="s">
        <v>99</v>
      </c>
      <c r="L2736" t="s">
        <v>99</v>
      </c>
      <c r="M2736" t="s">
        <v>99</v>
      </c>
      <c r="N2736" t="s">
        <v>99</v>
      </c>
      <c r="O2736" t="s">
        <v>99</v>
      </c>
      <c r="P2736" t="s">
        <v>99</v>
      </c>
      <c r="Q2736" t="s">
        <v>99</v>
      </c>
      <c r="R2736" t="s">
        <v>99</v>
      </c>
      <c r="S2736" t="s">
        <v>99</v>
      </c>
      <c r="T2736" t="s">
        <v>99</v>
      </c>
    </row>
    <row r="2737" spans="1:20" x14ac:dyDescent="0.3">
      <c r="A2737" t="s">
        <v>49</v>
      </c>
      <c r="B2737" t="s">
        <v>236</v>
      </c>
      <c r="C2737">
        <v>7219</v>
      </c>
      <c r="D2737" t="s">
        <v>232</v>
      </c>
      <c r="E2737" t="s">
        <v>139</v>
      </c>
      <c r="F2737" t="s">
        <v>101</v>
      </c>
      <c r="G2737" t="s">
        <v>112</v>
      </c>
      <c r="H2737" t="s">
        <v>121</v>
      </c>
      <c r="I2737" t="s">
        <v>128</v>
      </c>
      <c r="J2737" t="s">
        <v>198</v>
      </c>
      <c r="K2737" t="s">
        <v>198</v>
      </c>
      <c r="L2737" t="s">
        <v>121</v>
      </c>
      <c r="M2737" t="s">
        <v>207</v>
      </c>
      <c r="N2737" t="s">
        <v>127</v>
      </c>
      <c r="O2737" t="s">
        <v>136</v>
      </c>
      <c r="P2737" t="s">
        <v>207</v>
      </c>
      <c r="Q2737" t="s">
        <v>104</v>
      </c>
      <c r="R2737" t="s">
        <v>198</v>
      </c>
      <c r="S2737" t="s">
        <v>104</v>
      </c>
      <c r="T2737" t="s">
        <v>99</v>
      </c>
    </row>
    <row r="2738" spans="1:20" x14ac:dyDescent="0.3">
      <c r="A2738" t="s">
        <v>49</v>
      </c>
      <c r="B2738" t="s">
        <v>238</v>
      </c>
      <c r="C2738">
        <v>6100</v>
      </c>
      <c r="D2738" t="s">
        <v>1276</v>
      </c>
      <c r="E2738" t="s">
        <v>130</v>
      </c>
      <c r="F2738" t="s">
        <v>141</v>
      </c>
      <c r="G2738" t="s">
        <v>149</v>
      </c>
      <c r="H2738" t="s">
        <v>136</v>
      </c>
      <c r="I2738" t="s">
        <v>147</v>
      </c>
      <c r="J2738" t="s">
        <v>198</v>
      </c>
      <c r="K2738" t="s">
        <v>198</v>
      </c>
      <c r="L2738" t="s">
        <v>141</v>
      </c>
      <c r="M2738" t="s">
        <v>104</v>
      </c>
      <c r="N2738" t="s">
        <v>121</v>
      </c>
      <c r="O2738" t="s">
        <v>207</v>
      </c>
      <c r="P2738" t="s">
        <v>198</v>
      </c>
      <c r="Q2738" t="s">
        <v>136</v>
      </c>
      <c r="R2738" t="s">
        <v>198</v>
      </c>
      <c r="S2738" t="s">
        <v>198</v>
      </c>
      <c r="T2738" t="s">
        <v>99</v>
      </c>
    </row>
    <row r="2740" spans="1:20" x14ac:dyDescent="0.3">
      <c r="A2740" t="s">
        <v>1284</v>
      </c>
    </row>
    <row r="2741" spans="1:20" x14ac:dyDescent="0.3">
      <c r="A2741" t="s">
        <v>44</v>
      </c>
      <c r="B2741" t="s">
        <v>257</v>
      </c>
      <c r="C2741" t="s">
        <v>32</v>
      </c>
      <c r="D2741" t="s">
        <v>1261</v>
      </c>
      <c r="E2741" t="s">
        <v>1262</v>
      </c>
      <c r="F2741" t="s">
        <v>1263</v>
      </c>
      <c r="G2741" t="s">
        <v>1264</v>
      </c>
      <c r="H2741" t="s">
        <v>1265</v>
      </c>
      <c r="I2741" t="s">
        <v>1266</v>
      </c>
      <c r="J2741" t="s">
        <v>1267</v>
      </c>
      <c r="K2741" t="s">
        <v>1268</v>
      </c>
      <c r="L2741" t="s">
        <v>1269</v>
      </c>
      <c r="M2741" t="s">
        <v>1270</v>
      </c>
      <c r="N2741" t="s">
        <v>1271</v>
      </c>
      <c r="O2741" t="s">
        <v>1272</v>
      </c>
      <c r="P2741" t="s">
        <v>1273</v>
      </c>
      <c r="Q2741" t="s">
        <v>1274</v>
      </c>
      <c r="R2741" t="s">
        <v>1275</v>
      </c>
      <c r="S2741" t="s">
        <v>83</v>
      </c>
      <c r="T2741" t="s">
        <v>193</v>
      </c>
    </row>
    <row r="2742" spans="1:20" x14ac:dyDescent="0.3">
      <c r="A2742" t="s">
        <v>35</v>
      </c>
      <c r="B2742" t="s">
        <v>258</v>
      </c>
      <c r="C2742">
        <v>2872</v>
      </c>
      <c r="D2742" t="s">
        <v>417</v>
      </c>
      <c r="E2742" t="s">
        <v>474</v>
      </c>
      <c r="F2742" t="s">
        <v>115</v>
      </c>
      <c r="G2742" t="s">
        <v>98</v>
      </c>
      <c r="H2742" t="s">
        <v>207</v>
      </c>
      <c r="I2742" t="s">
        <v>134</v>
      </c>
      <c r="J2742" t="s">
        <v>198</v>
      </c>
      <c r="K2742" t="s">
        <v>104</v>
      </c>
      <c r="L2742" t="s">
        <v>136</v>
      </c>
      <c r="M2742" t="s">
        <v>99</v>
      </c>
      <c r="N2742" t="s">
        <v>115</v>
      </c>
      <c r="O2742" t="s">
        <v>198</v>
      </c>
      <c r="P2742" t="s">
        <v>198</v>
      </c>
      <c r="Q2742" t="s">
        <v>141</v>
      </c>
      <c r="R2742" t="s">
        <v>99</v>
      </c>
      <c r="S2742" t="s">
        <v>99</v>
      </c>
      <c r="T2742" t="s">
        <v>99</v>
      </c>
    </row>
    <row r="2743" spans="1:20" x14ac:dyDescent="0.3">
      <c r="A2743" t="s">
        <v>35</v>
      </c>
      <c r="B2743" t="s">
        <v>260</v>
      </c>
      <c r="C2743">
        <v>272</v>
      </c>
      <c r="D2743" t="s">
        <v>883</v>
      </c>
      <c r="E2743" t="s">
        <v>113</v>
      </c>
      <c r="F2743" t="s">
        <v>136</v>
      </c>
      <c r="G2743" t="s">
        <v>248</v>
      </c>
      <c r="H2743" t="s">
        <v>132</v>
      </c>
      <c r="I2743" t="s">
        <v>434</v>
      </c>
      <c r="J2743" t="s">
        <v>99</v>
      </c>
      <c r="K2743" t="s">
        <v>100</v>
      </c>
      <c r="L2743" t="s">
        <v>121</v>
      </c>
      <c r="M2743" t="s">
        <v>99</v>
      </c>
      <c r="N2743" t="s">
        <v>316</v>
      </c>
      <c r="O2743" t="s">
        <v>115</v>
      </c>
      <c r="P2743" t="s">
        <v>99</v>
      </c>
      <c r="Q2743" t="s">
        <v>136</v>
      </c>
      <c r="R2743" t="s">
        <v>99</v>
      </c>
      <c r="S2743" t="s">
        <v>99</v>
      </c>
      <c r="T2743" t="s">
        <v>99</v>
      </c>
    </row>
    <row r="2744" spans="1:20" x14ac:dyDescent="0.3">
      <c r="A2744" t="s">
        <v>37</v>
      </c>
      <c r="B2744" t="s">
        <v>258</v>
      </c>
      <c r="C2744">
        <v>3854</v>
      </c>
      <c r="D2744" t="s">
        <v>364</v>
      </c>
      <c r="E2744" t="s">
        <v>110</v>
      </c>
      <c r="F2744" t="s">
        <v>207</v>
      </c>
      <c r="G2744" t="s">
        <v>100</v>
      </c>
      <c r="H2744" t="s">
        <v>126</v>
      </c>
      <c r="I2744" t="s">
        <v>292</v>
      </c>
      <c r="J2744" t="s">
        <v>198</v>
      </c>
      <c r="K2744" t="s">
        <v>198</v>
      </c>
      <c r="L2744" t="s">
        <v>123</v>
      </c>
      <c r="M2744" t="s">
        <v>136</v>
      </c>
      <c r="N2744" t="s">
        <v>114</v>
      </c>
      <c r="O2744" t="s">
        <v>104</v>
      </c>
      <c r="P2744" t="s">
        <v>207</v>
      </c>
      <c r="Q2744" t="s">
        <v>99</v>
      </c>
      <c r="R2744" t="s">
        <v>99</v>
      </c>
      <c r="S2744" t="s">
        <v>198</v>
      </c>
      <c r="T2744" t="s">
        <v>99</v>
      </c>
    </row>
    <row r="2745" spans="1:20" x14ac:dyDescent="0.3">
      <c r="A2745" t="s">
        <v>36</v>
      </c>
      <c r="B2745" t="s">
        <v>258</v>
      </c>
      <c r="C2745">
        <v>2100</v>
      </c>
      <c r="D2745" t="s">
        <v>399</v>
      </c>
      <c r="E2745" t="s">
        <v>134</v>
      </c>
      <c r="F2745" t="s">
        <v>121</v>
      </c>
      <c r="G2745" t="s">
        <v>684</v>
      </c>
      <c r="H2745" t="s">
        <v>253</v>
      </c>
      <c r="I2745" t="s">
        <v>120</v>
      </c>
      <c r="J2745" t="s">
        <v>136</v>
      </c>
      <c r="K2745" t="s">
        <v>207</v>
      </c>
      <c r="L2745" t="s">
        <v>207</v>
      </c>
      <c r="M2745" t="s">
        <v>104</v>
      </c>
      <c r="N2745" t="s">
        <v>123</v>
      </c>
      <c r="O2745" t="s">
        <v>207</v>
      </c>
      <c r="P2745" t="s">
        <v>207</v>
      </c>
      <c r="Q2745" t="s">
        <v>141</v>
      </c>
      <c r="R2745" t="s">
        <v>198</v>
      </c>
      <c r="S2745" t="s">
        <v>207</v>
      </c>
      <c r="T2745" t="s">
        <v>104</v>
      </c>
    </row>
    <row r="2746" spans="1:20" x14ac:dyDescent="0.3">
      <c r="A2746" t="s">
        <v>36</v>
      </c>
      <c r="B2746" t="s">
        <v>260</v>
      </c>
      <c r="C2746">
        <v>205</v>
      </c>
      <c r="D2746" t="s">
        <v>682</v>
      </c>
      <c r="E2746" t="s">
        <v>1285</v>
      </c>
      <c r="F2746" t="s">
        <v>740</v>
      </c>
      <c r="G2746" t="s">
        <v>1002</v>
      </c>
      <c r="H2746" t="s">
        <v>474</v>
      </c>
      <c r="I2746" t="s">
        <v>864</v>
      </c>
      <c r="J2746" t="s">
        <v>126</v>
      </c>
      <c r="K2746" t="s">
        <v>126</v>
      </c>
      <c r="L2746" t="s">
        <v>147</v>
      </c>
      <c r="M2746" t="s">
        <v>126</v>
      </c>
      <c r="N2746" t="s">
        <v>706</v>
      </c>
      <c r="O2746" t="s">
        <v>110</v>
      </c>
      <c r="P2746" t="s">
        <v>114</v>
      </c>
      <c r="Q2746" t="s">
        <v>204</v>
      </c>
      <c r="R2746" t="s">
        <v>141</v>
      </c>
      <c r="S2746" t="s">
        <v>99</v>
      </c>
      <c r="T2746" t="s">
        <v>141</v>
      </c>
    </row>
    <row r="2747" spans="1:20" x14ac:dyDescent="0.3">
      <c r="A2747" t="s">
        <v>34</v>
      </c>
      <c r="B2747" t="s">
        <v>258</v>
      </c>
      <c r="C2747">
        <v>1221</v>
      </c>
      <c r="D2747" t="s">
        <v>483</v>
      </c>
      <c r="E2747" t="s">
        <v>100</v>
      </c>
      <c r="F2747" t="s">
        <v>99</v>
      </c>
      <c r="G2747" t="s">
        <v>207</v>
      </c>
      <c r="H2747" t="s">
        <v>99</v>
      </c>
      <c r="I2747" t="s">
        <v>198</v>
      </c>
      <c r="J2747" t="s">
        <v>99</v>
      </c>
      <c r="K2747" t="s">
        <v>99</v>
      </c>
      <c r="L2747" t="s">
        <v>99</v>
      </c>
      <c r="M2747" t="s">
        <v>99</v>
      </c>
      <c r="N2747" t="s">
        <v>198</v>
      </c>
      <c r="O2747" t="s">
        <v>99</v>
      </c>
      <c r="P2747" t="s">
        <v>99</v>
      </c>
      <c r="Q2747" t="s">
        <v>99</v>
      </c>
      <c r="R2747" t="s">
        <v>99</v>
      </c>
      <c r="S2747" t="s">
        <v>99</v>
      </c>
      <c r="T2747" t="s">
        <v>99</v>
      </c>
    </row>
    <row r="2748" spans="1:20" x14ac:dyDescent="0.3">
      <c r="A2748" t="s">
        <v>34</v>
      </c>
      <c r="B2748" t="s">
        <v>260</v>
      </c>
      <c r="C2748">
        <v>859</v>
      </c>
      <c r="D2748" t="s">
        <v>297</v>
      </c>
      <c r="E2748" t="s">
        <v>408</v>
      </c>
      <c r="F2748" t="s">
        <v>129</v>
      </c>
      <c r="G2748" t="s">
        <v>478</v>
      </c>
      <c r="H2748" t="s">
        <v>121</v>
      </c>
      <c r="I2748" t="s">
        <v>184</v>
      </c>
      <c r="J2748" t="s">
        <v>253</v>
      </c>
      <c r="K2748" t="s">
        <v>141</v>
      </c>
      <c r="L2748" t="s">
        <v>108</v>
      </c>
      <c r="M2748" t="s">
        <v>136</v>
      </c>
      <c r="N2748" t="s">
        <v>145</v>
      </c>
      <c r="O2748" t="s">
        <v>127</v>
      </c>
      <c r="P2748" t="s">
        <v>132</v>
      </c>
      <c r="Q2748" t="s">
        <v>253</v>
      </c>
      <c r="R2748" t="s">
        <v>382</v>
      </c>
      <c r="S2748" t="s">
        <v>207</v>
      </c>
      <c r="T2748" t="s">
        <v>99</v>
      </c>
    </row>
    <row r="2749" spans="1:20" x14ac:dyDescent="0.3">
      <c r="A2749" t="s">
        <v>33</v>
      </c>
      <c r="B2749" t="s">
        <v>258</v>
      </c>
      <c r="C2749">
        <v>1936</v>
      </c>
      <c r="D2749" t="s">
        <v>989</v>
      </c>
      <c r="E2749" t="s">
        <v>141</v>
      </c>
      <c r="F2749" t="s">
        <v>99</v>
      </c>
      <c r="G2749" t="s">
        <v>198</v>
      </c>
      <c r="H2749" t="s">
        <v>104</v>
      </c>
      <c r="I2749" t="s">
        <v>198</v>
      </c>
      <c r="J2749" t="s">
        <v>99</v>
      </c>
      <c r="K2749" t="s">
        <v>99</v>
      </c>
      <c r="L2749" t="s">
        <v>104</v>
      </c>
      <c r="M2749" t="s">
        <v>99</v>
      </c>
      <c r="N2749" t="s">
        <v>99</v>
      </c>
      <c r="O2749" t="s">
        <v>99</v>
      </c>
      <c r="P2749" t="s">
        <v>99</v>
      </c>
      <c r="Q2749" t="s">
        <v>99</v>
      </c>
      <c r="R2749" t="s">
        <v>99</v>
      </c>
      <c r="S2749" t="s">
        <v>99</v>
      </c>
      <c r="T2749" t="s">
        <v>99</v>
      </c>
    </row>
    <row r="2750" spans="1:20" x14ac:dyDescent="0.3">
      <c r="A2750" t="s">
        <v>49</v>
      </c>
      <c r="B2750" t="s">
        <v>258</v>
      </c>
      <c r="C2750">
        <v>11983</v>
      </c>
      <c r="D2750" t="s">
        <v>324</v>
      </c>
      <c r="E2750" t="s">
        <v>105</v>
      </c>
      <c r="F2750" t="s">
        <v>136</v>
      </c>
      <c r="G2750" t="s">
        <v>316</v>
      </c>
      <c r="H2750" t="s">
        <v>115</v>
      </c>
      <c r="I2750" t="s">
        <v>292</v>
      </c>
      <c r="J2750" t="s">
        <v>198</v>
      </c>
      <c r="K2750" t="s">
        <v>104</v>
      </c>
      <c r="L2750" t="s">
        <v>132</v>
      </c>
      <c r="M2750" t="s">
        <v>104</v>
      </c>
      <c r="N2750" t="s">
        <v>132</v>
      </c>
      <c r="O2750" t="s">
        <v>104</v>
      </c>
      <c r="P2750" t="s">
        <v>198</v>
      </c>
      <c r="Q2750" t="s">
        <v>198</v>
      </c>
      <c r="R2750" t="s">
        <v>99</v>
      </c>
      <c r="S2750" t="s">
        <v>104</v>
      </c>
      <c r="T2750" t="s">
        <v>99</v>
      </c>
    </row>
    <row r="2751" spans="1:20" x14ac:dyDescent="0.3">
      <c r="A2751" t="s">
        <v>49</v>
      </c>
      <c r="B2751" t="s">
        <v>260</v>
      </c>
      <c r="C2751">
        <v>1336</v>
      </c>
      <c r="D2751" t="s">
        <v>1080</v>
      </c>
      <c r="E2751" t="s">
        <v>165</v>
      </c>
      <c r="F2751" t="s">
        <v>138</v>
      </c>
      <c r="G2751" t="s">
        <v>687</v>
      </c>
      <c r="H2751" t="s">
        <v>100</v>
      </c>
      <c r="I2751" t="s">
        <v>109</v>
      </c>
      <c r="J2751" t="s">
        <v>141</v>
      </c>
      <c r="K2751" t="s">
        <v>115</v>
      </c>
      <c r="L2751" t="s">
        <v>114</v>
      </c>
      <c r="M2751" t="s">
        <v>207</v>
      </c>
      <c r="N2751" t="s">
        <v>468</v>
      </c>
      <c r="O2751" t="s">
        <v>126</v>
      </c>
      <c r="P2751" t="s">
        <v>253</v>
      </c>
      <c r="Q2751" t="s">
        <v>253</v>
      </c>
      <c r="R2751" t="s">
        <v>101</v>
      </c>
      <c r="S2751" t="s">
        <v>198</v>
      </c>
      <c r="T2751" t="s">
        <v>99</v>
      </c>
    </row>
    <row r="2753" spans="1:20" x14ac:dyDescent="0.3">
      <c r="A2753" t="s">
        <v>1286</v>
      </c>
    </row>
    <row r="2754" spans="1:20" x14ac:dyDescent="0.3">
      <c r="A2754" t="s">
        <v>44</v>
      </c>
      <c r="B2754" t="s">
        <v>1287</v>
      </c>
      <c r="C2754" t="s">
        <v>32</v>
      </c>
      <c r="D2754" t="s">
        <v>1261</v>
      </c>
      <c r="E2754" t="s">
        <v>1262</v>
      </c>
      <c r="F2754" t="s">
        <v>1263</v>
      </c>
      <c r="G2754" t="s">
        <v>1264</v>
      </c>
      <c r="H2754" t="s">
        <v>1265</v>
      </c>
      <c r="I2754" t="s">
        <v>1266</v>
      </c>
      <c r="J2754" t="s">
        <v>1267</v>
      </c>
      <c r="K2754" t="s">
        <v>1268</v>
      </c>
      <c r="L2754" t="s">
        <v>1269</v>
      </c>
      <c r="M2754" t="s">
        <v>1270</v>
      </c>
      <c r="N2754" t="s">
        <v>1271</v>
      </c>
      <c r="O2754" t="s">
        <v>1272</v>
      </c>
      <c r="P2754" t="s">
        <v>1273</v>
      </c>
      <c r="Q2754" t="s">
        <v>1274</v>
      </c>
      <c r="R2754" t="s">
        <v>1275</v>
      </c>
      <c r="S2754" t="s">
        <v>83</v>
      </c>
      <c r="T2754" t="s">
        <v>193</v>
      </c>
    </row>
    <row r="2755" spans="1:20" x14ac:dyDescent="0.3">
      <c r="A2755" t="s">
        <v>35</v>
      </c>
      <c r="B2755" t="s">
        <v>1288</v>
      </c>
      <c r="C2755">
        <v>2772</v>
      </c>
      <c r="D2755" t="s">
        <v>417</v>
      </c>
      <c r="E2755" t="s">
        <v>474</v>
      </c>
      <c r="F2755" t="s">
        <v>253</v>
      </c>
      <c r="G2755" t="s">
        <v>98</v>
      </c>
      <c r="H2755" t="s">
        <v>207</v>
      </c>
      <c r="I2755" t="s">
        <v>138</v>
      </c>
      <c r="J2755" t="s">
        <v>198</v>
      </c>
      <c r="K2755" t="s">
        <v>198</v>
      </c>
      <c r="L2755" t="s">
        <v>136</v>
      </c>
      <c r="M2755" t="s">
        <v>99</v>
      </c>
      <c r="N2755" t="s">
        <v>132</v>
      </c>
      <c r="O2755" t="s">
        <v>198</v>
      </c>
      <c r="P2755" t="s">
        <v>198</v>
      </c>
      <c r="Q2755" t="s">
        <v>253</v>
      </c>
      <c r="R2755" t="s">
        <v>99</v>
      </c>
      <c r="S2755" t="s">
        <v>99</v>
      </c>
      <c r="T2755" t="s">
        <v>99</v>
      </c>
    </row>
    <row r="2756" spans="1:20" x14ac:dyDescent="0.3">
      <c r="A2756" t="s">
        <v>35</v>
      </c>
      <c r="B2756" t="s">
        <v>1289</v>
      </c>
      <c r="C2756">
        <v>344</v>
      </c>
      <c r="D2756" t="s">
        <v>290</v>
      </c>
      <c r="E2756" t="s">
        <v>74</v>
      </c>
      <c r="F2756" t="s">
        <v>114</v>
      </c>
      <c r="G2756" t="s">
        <v>145</v>
      </c>
      <c r="H2756" t="s">
        <v>207</v>
      </c>
      <c r="I2756" t="s">
        <v>124</v>
      </c>
      <c r="J2756" t="s">
        <v>104</v>
      </c>
      <c r="K2756" t="s">
        <v>104</v>
      </c>
      <c r="L2756" t="s">
        <v>253</v>
      </c>
      <c r="M2756" t="s">
        <v>99</v>
      </c>
      <c r="N2756" t="s">
        <v>121</v>
      </c>
      <c r="O2756" t="s">
        <v>253</v>
      </c>
      <c r="P2756" t="s">
        <v>99</v>
      </c>
      <c r="Q2756" t="s">
        <v>207</v>
      </c>
      <c r="R2756" t="s">
        <v>99</v>
      </c>
      <c r="S2756" t="s">
        <v>99</v>
      </c>
      <c r="T2756" t="s">
        <v>99</v>
      </c>
    </row>
    <row r="2757" spans="1:20" s="5" customFormat="1" x14ac:dyDescent="0.3">
      <c r="A2757" s="5" t="s">
        <v>35</v>
      </c>
      <c r="B2757" s="5" t="s">
        <v>1290</v>
      </c>
      <c r="C2757" s="5">
        <v>26</v>
      </c>
      <c r="D2757" s="5" t="s">
        <v>1291</v>
      </c>
      <c r="E2757" s="5" t="s">
        <v>525</v>
      </c>
      <c r="F2757" s="5" t="s">
        <v>128</v>
      </c>
      <c r="G2757" s="5" t="s">
        <v>724</v>
      </c>
      <c r="H2757" s="5" t="s">
        <v>99</v>
      </c>
      <c r="I2757" s="5" t="s">
        <v>429</v>
      </c>
      <c r="J2757" s="5" t="s">
        <v>99</v>
      </c>
      <c r="K2757" s="5" t="s">
        <v>99</v>
      </c>
      <c r="L2757" s="5" t="s">
        <v>328</v>
      </c>
      <c r="M2757" s="5" t="s">
        <v>99</v>
      </c>
      <c r="N2757" s="5" t="s">
        <v>804</v>
      </c>
      <c r="O2757" s="5" t="s">
        <v>129</v>
      </c>
      <c r="P2757" s="5" t="s">
        <v>129</v>
      </c>
      <c r="Q2757" s="5" t="s">
        <v>99</v>
      </c>
      <c r="R2757" s="5" t="s">
        <v>99</v>
      </c>
      <c r="S2757" s="5" t="s">
        <v>99</v>
      </c>
      <c r="T2757" s="5" t="s">
        <v>99</v>
      </c>
    </row>
    <row r="2758" spans="1:20" x14ac:dyDescent="0.3">
      <c r="A2758" t="s">
        <v>35</v>
      </c>
      <c r="B2758" t="s">
        <v>365</v>
      </c>
      <c r="C2758">
        <v>2</v>
      </c>
      <c r="D2758" t="s">
        <v>211</v>
      </c>
      <c r="E2758" t="s">
        <v>99</v>
      </c>
      <c r="F2758" t="s">
        <v>99</v>
      </c>
      <c r="G2758" t="s">
        <v>99</v>
      </c>
      <c r="H2758" t="s">
        <v>99</v>
      </c>
      <c r="I2758" t="s">
        <v>99</v>
      </c>
      <c r="J2758" t="s">
        <v>99</v>
      </c>
      <c r="K2758" t="s">
        <v>99</v>
      </c>
      <c r="L2758" t="s">
        <v>99</v>
      </c>
      <c r="M2758" t="s">
        <v>99</v>
      </c>
      <c r="N2758" t="s">
        <v>99</v>
      </c>
      <c r="O2758" t="s">
        <v>99</v>
      </c>
      <c r="P2758" t="s">
        <v>99</v>
      </c>
      <c r="Q2758" t="s">
        <v>99</v>
      </c>
      <c r="R2758" t="s">
        <v>99</v>
      </c>
      <c r="S2758" t="s">
        <v>99</v>
      </c>
      <c r="T2758" t="s">
        <v>99</v>
      </c>
    </row>
    <row r="2759" spans="1:20" x14ac:dyDescent="0.3">
      <c r="A2759" t="s">
        <v>37</v>
      </c>
      <c r="B2759" t="s">
        <v>1288</v>
      </c>
      <c r="C2759">
        <v>3622</v>
      </c>
      <c r="D2759" t="s">
        <v>247</v>
      </c>
      <c r="E2759" t="s">
        <v>134</v>
      </c>
      <c r="F2759" t="s">
        <v>207</v>
      </c>
      <c r="G2759" t="s">
        <v>100</v>
      </c>
      <c r="H2759" t="s">
        <v>126</v>
      </c>
      <c r="I2759" t="s">
        <v>151</v>
      </c>
      <c r="J2759" t="s">
        <v>198</v>
      </c>
      <c r="K2759" t="s">
        <v>104</v>
      </c>
      <c r="L2759" t="s">
        <v>215</v>
      </c>
      <c r="M2759" t="s">
        <v>136</v>
      </c>
      <c r="N2759" t="s">
        <v>114</v>
      </c>
      <c r="O2759" t="s">
        <v>104</v>
      </c>
      <c r="P2759" t="s">
        <v>207</v>
      </c>
      <c r="Q2759" t="s">
        <v>99</v>
      </c>
      <c r="R2759" t="s">
        <v>99</v>
      </c>
      <c r="S2759" t="s">
        <v>198</v>
      </c>
      <c r="T2759" t="s">
        <v>99</v>
      </c>
    </row>
    <row r="2760" spans="1:20" x14ac:dyDescent="0.3">
      <c r="A2760" t="s">
        <v>37</v>
      </c>
      <c r="B2760" t="s">
        <v>1289</v>
      </c>
      <c r="C2760">
        <v>200</v>
      </c>
      <c r="D2760" t="s">
        <v>537</v>
      </c>
      <c r="E2760" t="s">
        <v>675</v>
      </c>
      <c r="F2760" t="s">
        <v>99</v>
      </c>
      <c r="G2760" t="s">
        <v>215</v>
      </c>
      <c r="H2760" t="s">
        <v>316</v>
      </c>
      <c r="I2760" t="s">
        <v>101</v>
      </c>
      <c r="J2760" t="s">
        <v>207</v>
      </c>
      <c r="K2760" t="s">
        <v>101</v>
      </c>
      <c r="L2760" t="s">
        <v>138</v>
      </c>
      <c r="M2760" t="s">
        <v>136</v>
      </c>
      <c r="N2760" t="s">
        <v>108</v>
      </c>
      <c r="O2760" t="s">
        <v>99</v>
      </c>
      <c r="P2760" t="s">
        <v>101</v>
      </c>
      <c r="Q2760" t="s">
        <v>99</v>
      </c>
      <c r="R2760" t="s">
        <v>99</v>
      </c>
      <c r="S2760" t="s">
        <v>100</v>
      </c>
      <c r="T2760" t="s">
        <v>99</v>
      </c>
    </row>
    <row r="2761" spans="1:20" s="5" customFormat="1" x14ac:dyDescent="0.3">
      <c r="A2761" s="5" t="s">
        <v>37</v>
      </c>
      <c r="B2761" s="5" t="s">
        <v>1290</v>
      </c>
      <c r="C2761" s="5">
        <v>26</v>
      </c>
      <c r="D2761" s="5" t="s">
        <v>1282</v>
      </c>
      <c r="E2761" s="5" t="s">
        <v>151</v>
      </c>
      <c r="F2761" s="5" t="s">
        <v>99</v>
      </c>
      <c r="G2761" s="5" t="s">
        <v>99</v>
      </c>
      <c r="H2761" s="5" t="s">
        <v>99</v>
      </c>
      <c r="I2761" s="5" t="s">
        <v>461</v>
      </c>
      <c r="J2761" s="5" t="s">
        <v>99</v>
      </c>
      <c r="K2761" s="5" t="s">
        <v>99</v>
      </c>
      <c r="L2761" s="5" t="s">
        <v>461</v>
      </c>
      <c r="M2761" s="5" t="s">
        <v>99</v>
      </c>
      <c r="N2761" s="5" t="s">
        <v>151</v>
      </c>
      <c r="O2761" s="5" t="s">
        <v>99</v>
      </c>
      <c r="P2761" s="5" t="s">
        <v>99</v>
      </c>
      <c r="Q2761" s="5" t="s">
        <v>99</v>
      </c>
      <c r="R2761" s="5" t="s">
        <v>99</v>
      </c>
      <c r="S2761" s="5" t="s">
        <v>99</v>
      </c>
      <c r="T2761" s="5" t="s">
        <v>99</v>
      </c>
    </row>
    <row r="2762" spans="1:20" x14ac:dyDescent="0.3">
      <c r="A2762" t="s">
        <v>37</v>
      </c>
      <c r="B2762" t="s">
        <v>365</v>
      </c>
      <c r="C2762">
        <v>6</v>
      </c>
      <c r="D2762" t="s">
        <v>1282</v>
      </c>
      <c r="E2762" t="s">
        <v>313</v>
      </c>
      <c r="F2762" t="s">
        <v>99</v>
      </c>
      <c r="G2762" t="s">
        <v>99</v>
      </c>
      <c r="H2762" t="s">
        <v>99</v>
      </c>
      <c r="I2762" t="s">
        <v>99</v>
      </c>
      <c r="J2762" t="s">
        <v>99</v>
      </c>
      <c r="K2762" t="s">
        <v>99</v>
      </c>
      <c r="L2762" t="s">
        <v>99</v>
      </c>
      <c r="M2762" t="s">
        <v>99</v>
      </c>
      <c r="N2762" t="s">
        <v>99</v>
      </c>
      <c r="O2762" t="s">
        <v>99</v>
      </c>
      <c r="P2762" t="s">
        <v>99</v>
      </c>
      <c r="Q2762" t="s">
        <v>99</v>
      </c>
      <c r="R2762" t="s">
        <v>99</v>
      </c>
      <c r="S2762" t="s">
        <v>99</v>
      </c>
      <c r="T2762" t="s">
        <v>99</v>
      </c>
    </row>
    <row r="2763" spans="1:20" x14ac:dyDescent="0.3">
      <c r="A2763" t="s">
        <v>36</v>
      </c>
      <c r="B2763" t="s">
        <v>1288</v>
      </c>
      <c r="C2763">
        <v>1422</v>
      </c>
      <c r="D2763" t="s">
        <v>778</v>
      </c>
      <c r="E2763" t="s">
        <v>319</v>
      </c>
      <c r="F2763" t="s">
        <v>104</v>
      </c>
      <c r="G2763" t="s">
        <v>123</v>
      </c>
      <c r="H2763" t="s">
        <v>99</v>
      </c>
      <c r="I2763" t="s">
        <v>114</v>
      </c>
      <c r="J2763" t="s">
        <v>136</v>
      </c>
      <c r="K2763" t="s">
        <v>104</v>
      </c>
      <c r="L2763" t="s">
        <v>198</v>
      </c>
      <c r="M2763" t="s">
        <v>104</v>
      </c>
      <c r="N2763" t="s">
        <v>101</v>
      </c>
      <c r="O2763" t="s">
        <v>99</v>
      </c>
      <c r="P2763" t="s">
        <v>99</v>
      </c>
      <c r="Q2763" t="s">
        <v>99</v>
      </c>
      <c r="R2763" t="s">
        <v>99</v>
      </c>
      <c r="S2763" t="s">
        <v>136</v>
      </c>
      <c r="T2763" t="s">
        <v>99</v>
      </c>
    </row>
    <row r="2764" spans="1:20" x14ac:dyDescent="0.3">
      <c r="A2764" t="s">
        <v>36</v>
      </c>
      <c r="B2764" t="s">
        <v>1289</v>
      </c>
      <c r="C2764">
        <v>818</v>
      </c>
      <c r="D2764" t="s">
        <v>1292</v>
      </c>
      <c r="E2764" t="s">
        <v>152</v>
      </c>
      <c r="F2764" t="s">
        <v>105</v>
      </c>
      <c r="G2764" t="s">
        <v>262</v>
      </c>
      <c r="H2764" t="s">
        <v>382</v>
      </c>
      <c r="I2764" t="s">
        <v>328</v>
      </c>
      <c r="J2764" t="s">
        <v>141</v>
      </c>
      <c r="K2764" t="s">
        <v>141</v>
      </c>
      <c r="L2764" t="s">
        <v>132</v>
      </c>
      <c r="M2764" t="s">
        <v>99</v>
      </c>
      <c r="N2764" t="s">
        <v>268</v>
      </c>
      <c r="O2764" t="s">
        <v>132</v>
      </c>
      <c r="P2764" t="s">
        <v>132</v>
      </c>
      <c r="Q2764" t="s">
        <v>319</v>
      </c>
      <c r="R2764" t="s">
        <v>141</v>
      </c>
      <c r="S2764" t="s">
        <v>99</v>
      </c>
      <c r="T2764" t="s">
        <v>99</v>
      </c>
    </row>
    <row r="2765" spans="1:20" x14ac:dyDescent="0.3">
      <c r="A2765" t="s">
        <v>36</v>
      </c>
      <c r="B2765" t="s">
        <v>1290</v>
      </c>
      <c r="C2765">
        <v>59</v>
      </c>
      <c r="D2765" t="s">
        <v>747</v>
      </c>
      <c r="E2765" t="s">
        <v>515</v>
      </c>
      <c r="F2765" t="s">
        <v>318</v>
      </c>
      <c r="G2765" t="s">
        <v>594</v>
      </c>
      <c r="H2765" t="s">
        <v>182</v>
      </c>
      <c r="I2765" t="s">
        <v>894</v>
      </c>
      <c r="J2765" t="s">
        <v>136</v>
      </c>
      <c r="K2765" t="s">
        <v>198</v>
      </c>
      <c r="L2765" t="s">
        <v>99</v>
      </c>
      <c r="M2765" t="s">
        <v>198</v>
      </c>
      <c r="N2765" t="s">
        <v>894</v>
      </c>
      <c r="O2765" t="s">
        <v>149</v>
      </c>
      <c r="P2765" t="s">
        <v>198</v>
      </c>
      <c r="Q2765" t="s">
        <v>277</v>
      </c>
      <c r="R2765" t="s">
        <v>198</v>
      </c>
      <c r="S2765" t="s">
        <v>99</v>
      </c>
      <c r="T2765" t="s">
        <v>474</v>
      </c>
    </row>
    <row r="2766" spans="1:20" x14ac:dyDescent="0.3">
      <c r="A2766" t="s">
        <v>36</v>
      </c>
      <c r="B2766" t="s">
        <v>365</v>
      </c>
      <c r="C2766">
        <v>6</v>
      </c>
      <c r="D2766" t="s">
        <v>426</v>
      </c>
      <c r="E2766" t="s">
        <v>463</v>
      </c>
      <c r="F2766" t="s">
        <v>108</v>
      </c>
      <c r="G2766" t="s">
        <v>197</v>
      </c>
      <c r="H2766" t="s">
        <v>99</v>
      </c>
      <c r="I2766" t="s">
        <v>108</v>
      </c>
      <c r="J2766" t="s">
        <v>99</v>
      </c>
      <c r="K2766" t="s">
        <v>99</v>
      </c>
      <c r="L2766" t="s">
        <v>99</v>
      </c>
      <c r="M2766" t="s">
        <v>99</v>
      </c>
      <c r="N2766" t="s">
        <v>108</v>
      </c>
      <c r="O2766" t="s">
        <v>99</v>
      </c>
      <c r="P2766" t="s">
        <v>99</v>
      </c>
      <c r="Q2766" t="s">
        <v>99</v>
      </c>
      <c r="R2766" t="s">
        <v>99</v>
      </c>
      <c r="S2766" t="s">
        <v>99</v>
      </c>
      <c r="T2766" t="s">
        <v>99</v>
      </c>
    </row>
    <row r="2767" spans="1:20" x14ac:dyDescent="0.3">
      <c r="A2767" t="s">
        <v>34</v>
      </c>
      <c r="B2767" t="s">
        <v>1288</v>
      </c>
      <c r="C2767">
        <v>1334</v>
      </c>
      <c r="D2767" t="s">
        <v>422</v>
      </c>
      <c r="E2767" t="s">
        <v>118</v>
      </c>
      <c r="F2767" t="s">
        <v>319</v>
      </c>
      <c r="G2767" t="s">
        <v>68</v>
      </c>
      <c r="H2767" t="s">
        <v>198</v>
      </c>
      <c r="I2767" t="s">
        <v>157</v>
      </c>
      <c r="J2767" t="s">
        <v>198</v>
      </c>
      <c r="K2767" t="s">
        <v>198</v>
      </c>
      <c r="L2767" t="s">
        <v>198</v>
      </c>
      <c r="M2767" t="s">
        <v>104</v>
      </c>
      <c r="N2767" t="s">
        <v>215</v>
      </c>
      <c r="O2767" t="s">
        <v>108</v>
      </c>
      <c r="P2767" t="s">
        <v>198</v>
      </c>
      <c r="Q2767" t="s">
        <v>198</v>
      </c>
      <c r="R2767" t="s">
        <v>115</v>
      </c>
      <c r="S2767" t="s">
        <v>198</v>
      </c>
      <c r="T2767" t="s">
        <v>99</v>
      </c>
    </row>
    <row r="2768" spans="1:20" x14ac:dyDescent="0.3">
      <c r="A2768" t="s">
        <v>34</v>
      </c>
      <c r="B2768" t="s">
        <v>1289</v>
      </c>
      <c r="C2768">
        <v>710</v>
      </c>
      <c r="D2768" t="s">
        <v>350</v>
      </c>
      <c r="E2768" t="s">
        <v>680</v>
      </c>
      <c r="F2768" t="s">
        <v>118</v>
      </c>
      <c r="G2768" t="s">
        <v>673</v>
      </c>
      <c r="H2768" t="s">
        <v>126</v>
      </c>
      <c r="I2768" t="s">
        <v>254</v>
      </c>
      <c r="J2768" t="s">
        <v>253</v>
      </c>
      <c r="K2768" t="s">
        <v>141</v>
      </c>
      <c r="L2768" t="s">
        <v>108</v>
      </c>
      <c r="M2768" t="s">
        <v>141</v>
      </c>
      <c r="N2768" t="s">
        <v>122</v>
      </c>
      <c r="O2768" t="s">
        <v>319</v>
      </c>
      <c r="P2768" t="s">
        <v>114</v>
      </c>
      <c r="Q2768" t="s">
        <v>136</v>
      </c>
      <c r="R2768" t="s">
        <v>141</v>
      </c>
      <c r="S2768" t="s">
        <v>104</v>
      </c>
      <c r="T2768" t="s">
        <v>99</v>
      </c>
    </row>
    <row r="2769" spans="1:20" x14ac:dyDescent="0.3">
      <c r="A2769" t="s">
        <v>34</v>
      </c>
      <c r="B2769" t="s">
        <v>1290</v>
      </c>
      <c r="C2769">
        <v>31</v>
      </c>
      <c r="D2769" t="s">
        <v>1051</v>
      </c>
      <c r="E2769" t="s">
        <v>39</v>
      </c>
      <c r="F2769" t="s">
        <v>109</v>
      </c>
      <c r="G2769" t="s">
        <v>919</v>
      </c>
      <c r="H2769" t="s">
        <v>215</v>
      </c>
      <c r="I2769" t="s">
        <v>685</v>
      </c>
      <c r="J2769" t="s">
        <v>99</v>
      </c>
      <c r="K2769" t="s">
        <v>99</v>
      </c>
      <c r="L2769" t="s">
        <v>277</v>
      </c>
      <c r="M2769" t="s">
        <v>99</v>
      </c>
      <c r="N2769" t="s">
        <v>132</v>
      </c>
      <c r="O2769" t="s">
        <v>99</v>
      </c>
      <c r="P2769" t="s">
        <v>99</v>
      </c>
      <c r="Q2769" t="s">
        <v>130</v>
      </c>
      <c r="R2769" t="s">
        <v>372</v>
      </c>
      <c r="S2769" t="s">
        <v>99</v>
      </c>
      <c r="T2769" t="s">
        <v>99</v>
      </c>
    </row>
    <row r="2770" spans="1:20" x14ac:dyDescent="0.3">
      <c r="A2770" t="s">
        <v>34</v>
      </c>
      <c r="B2770" t="s">
        <v>365</v>
      </c>
      <c r="C2770">
        <v>5</v>
      </c>
      <c r="D2770" t="s">
        <v>226</v>
      </c>
      <c r="E2770" t="s">
        <v>99</v>
      </c>
      <c r="F2770" t="s">
        <v>99</v>
      </c>
      <c r="G2770" t="s">
        <v>99</v>
      </c>
      <c r="H2770" t="s">
        <v>99</v>
      </c>
      <c r="I2770" t="s">
        <v>99</v>
      </c>
      <c r="J2770" t="s">
        <v>99</v>
      </c>
      <c r="K2770" t="s">
        <v>99</v>
      </c>
      <c r="L2770" t="s">
        <v>99</v>
      </c>
      <c r="M2770" t="s">
        <v>99</v>
      </c>
      <c r="N2770" t="s">
        <v>150</v>
      </c>
      <c r="O2770" t="s">
        <v>99</v>
      </c>
      <c r="P2770" t="s">
        <v>99</v>
      </c>
      <c r="Q2770" t="s">
        <v>99</v>
      </c>
      <c r="R2770" t="s">
        <v>99</v>
      </c>
      <c r="S2770" t="s">
        <v>99</v>
      </c>
      <c r="T2770" t="s">
        <v>99</v>
      </c>
    </row>
    <row r="2771" spans="1:20" x14ac:dyDescent="0.3">
      <c r="A2771" t="s">
        <v>33</v>
      </c>
      <c r="B2771" t="s">
        <v>1288</v>
      </c>
      <c r="C2771">
        <v>1841</v>
      </c>
      <c r="D2771" t="s">
        <v>980</v>
      </c>
      <c r="E2771" t="s">
        <v>136</v>
      </c>
      <c r="F2771" t="s">
        <v>99</v>
      </c>
      <c r="G2771" t="s">
        <v>104</v>
      </c>
      <c r="H2771" t="s">
        <v>104</v>
      </c>
      <c r="I2771" t="s">
        <v>104</v>
      </c>
      <c r="J2771" t="s">
        <v>99</v>
      </c>
      <c r="K2771" t="s">
        <v>99</v>
      </c>
      <c r="L2771" t="s">
        <v>104</v>
      </c>
      <c r="M2771" t="s">
        <v>99</v>
      </c>
      <c r="N2771" t="s">
        <v>99</v>
      </c>
      <c r="O2771" t="s">
        <v>99</v>
      </c>
      <c r="P2771" t="s">
        <v>99</v>
      </c>
      <c r="Q2771" t="s">
        <v>99</v>
      </c>
      <c r="R2771" t="s">
        <v>99</v>
      </c>
      <c r="S2771" t="s">
        <v>99</v>
      </c>
      <c r="T2771" t="s">
        <v>99</v>
      </c>
    </row>
    <row r="2772" spans="1:20" x14ac:dyDescent="0.3">
      <c r="A2772" t="s">
        <v>33</v>
      </c>
      <c r="B2772" t="s">
        <v>1289</v>
      </c>
      <c r="C2772">
        <v>90</v>
      </c>
      <c r="D2772" t="s">
        <v>398</v>
      </c>
      <c r="E2772" t="s">
        <v>123</v>
      </c>
      <c r="F2772" t="s">
        <v>99</v>
      </c>
      <c r="G2772" t="s">
        <v>215</v>
      </c>
      <c r="H2772" t="s">
        <v>115</v>
      </c>
      <c r="I2772" t="s">
        <v>115</v>
      </c>
      <c r="J2772" t="s">
        <v>115</v>
      </c>
      <c r="K2772" t="s">
        <v>115</v>
      </c>
      <c r="L2772" t="s">
        <v>115</v>
      </c>
      <c r="M2772" t="s">
        <v>115</v>
      </c>
      <c r="N2772" t="s">
        <v>99</v>
      </c>
      <c r="O2772" t="s">
        <v>99</v>
      </c>
      <c r="P2772" t="s">
        <v>99</v>
      </c>
      <c r="Q2772" t="s">
        <v>99</v>
      </c>
      <c r="R2772" t="s">
        <v>99</v>
      </c>
      <c r="S2772" t="s">
        <v>99</v>
      </c>
      <c r="T2772" t="s">
        <v>99</v>
      </c>
    </row>
    <row r="2773" spans="1:20" s="5" customFormat="1" x14ac:dyDescent="0.3">
      <c r="A2773" s="5" t="s">
        <v>33</v>
      </c>
      <c r="B2773" s="5" t="s">
        <v>1290</v>
      </c>
      <c r="C2773" s="5">
        <v>2</v>
      </c>
      <c r="D2773" s="5" t="s">
        <v>211</v>
      </c>
      <c r="E2773" s="5" t="s">
        <v>99</v>
      </c>
      <c r="F2773" s="5" t="s">
        <v>99</v>
      </c>
      <c r="G2773" s="5" t="s">
        <v>99</v>
      </c>
      <c r="H2773" s="5" t="s">
        <v>99</v>
      </c>
      <c r="I2773" s="5" t="s">
        <v>99</v>
      </c>
      <c r="J2773" s="5" t="s">
        <v>99</v>
      </c>
      <c r="K2773" s="5" t="s">
        <v>99</v>
      </c>
      <c r="L2773" s="5" t="s">
        <v>99</v>
      </c>
      <c r="M2773" s="5" t="s">
        <v>99</v>
      </c>
      <c r="N2773" s="5" t="s">
        <v>99</v>
      </c>
      <c r="O2773" s="5" t="s">
        <v>99</v>
      </c>
      <c r="P2773" s="5" t="s">
        <v>99</v>
      </c>
      <c r="Q2773" s="5" t="s">
        <v>99</v>
      </c>
      <c r="R2773" s="5" t="s">
        <v>99</v>
      </c>
      <c r="S2773" s="5" t="s">
        <v>99</v>
      </c>
      <c r="T2773" s="5" t="s">
        <v>99</v>
      </c>
    </row>
    <row r="2774" spans="1:20" x14ac:dyDescent="0.3">
      <c r="A2774" t="s">
        <v>33</v>
      </c>
      <c r="B2774" t="s">
        <v>365</v>
      </c>
      <c r="C2774">
        <v>3</v>
      </c>
      <c r="D2774" t="s">
        <v>951</v>
      </c>
      <c r="E2774" t="s">
        <v>817</v>
      </c>
      <c r="F2774" t="s">
        <v>99</v>
      </c>
      <c r="G2774" t="s">
        <v>99</v>
      </c>
      <c r="H2774" t="s">
        <v>99</v>
      </c>
      <c r="I2774" t="s">
        <v>99</v>
      </c>
      <c r="J2774" t="s">
        <v>99</v>
      </c>
      <c r="K2774" t="s">
        <v>99</v>
      </c>
      <c r="L2774" t="s">
        <v>99</v>
      </c>
      <c r="M2774" t="s">
        <v>99</v>
      </c>
      <c r="N2774" t="s">
        <v>99</v>
      </c>
      <c r="O2774" t="s">
        <v>99</v>
      </c>
      <c r="P2774" t="s">
        <v>99</v>
      </c>
      <c r="Q2774" t="s">
        <v>99</v>
      </c>
      <c r="R2774" t="s">
        <v>99</v>
      </c>
      <c r="S2774" t="s">
        <v>99</v>
      </c>
      <c r="T2774" t="s">
        <v>99</v>
      </c>
    </row>
    <row r="2775" spans="1:20" x14ac:dyDescent="0.3">
      <c r="A2775" t="s">
        <v>49</v>
      </c>
      <c r="B2775" t="s">
        <v>1288</v>
      </c>
      <c r="C2775">
        <v>10991</v>
      </c>
      <c r="D2775" t="s">
        <v>79</v>
      </c>
      <c r="E2775" t="s">
        <v>105</v>
      </c>
      <c r="F2775" t="s">
        <v>141</v>
      </c>
      <c r="G2775" t="s">
        <v>128</v>
      </c>
      <c r="H2775" t="s">
        <v>253</v>
      </c>
      <c r="I2775" t="s">
        <v>292</v>
      </c>
      <c r="J2775" t="s">
        <v>198</v>
      </c>
      <c r="K2775" t="s">
        <v>104</v>
      </c>
      <c r="L2775" t="s">
        <v>115</v>
      </c>
      <c r="M2775" t="s">
        <v>104</v>
      </c>
      <c r="N2775" t="s">
        <v>108</v>
      </c>
      <c r="O2775" t="s">
        <v>198</v>
      </c>
      <c r="P2775" t="s">
        <v>198</v>
      </c>
      <c r="Q2775" t="s">
        <v>198</v>
      </c>
      <c r="R2775" t="s">
        <v>104</v>
      </c>
      <c r="S2775" t="s">
        <v>104</v>
      </c>
      <c r="T2775" t="s">
        <v>99</v>
      </c>
    </row>
    <row r="2776" spans="1:20" x14ac:dyDescent="0.3">
      <c r="A2776" t="s">
        <v>49</v>
      </c>
      <c r="B2776" t="s">
        <v>1289</v>
      </c>
      <c r="C2776">
        <v>2162</v>
      </c>
      <c r="D2776" t="s">
        <v>500</v>
      </c>
      <c r="E2776" t="s">
        <v>296</v>
      </c>
      <c r="F2776" t="s">
        <v>103</v>
      </c>
      <c r="G2776" t="s">
        <v>294</v>
      </c>
      <c r="H2776" t="s">
        <v>101</v>
      </c>
      <c r="I2776" t="s">
        <v>158</v>
      </c>
      <c r="J2776" t="s">
        <v>136</v>
      </c>
      <c r="K2776" t="s">
        <v>141</v>
      </c>
      <c r="L2776" t="s">
        <v>114</v>
      </c>
      <c r="M2776" t="s">
        <v>207</v>
      </c>
      <c r="N2776" t="s">
        <v>434</v>
      </c>
      <c r="O2776" t="s">
        <v>108</v>
      </c>
      <c r="P2776" t="s">
        <v>115</v>
      </c>
      <c r="Q2776" t="s">
        <v>141</v>
      </c>
      <c r="R2776" t="s">
        <v>207</v>
      </c>
      <c r="S2776" t="s">
        <v>198</v>
      </c>
      <c r="T2776" t="s">
        <v>99</v>
      </c>
    </row>
    <row r="2777" spans="1:20" x14ac:dyDescent="0.3">
      <c r="A2777" t="s">
        <v>49</v>
      </c>
      <c r="B2777" t="s">
        <v>1290</v>
      </c>
      <c r="C2777">
        <v>144</v>
      </c>
      <c r="D2777" t="s">
        <v>1176</v>
      </c>
      <c r="E2777" t="s">
        <v>508</v>
      </c>
      <c r="F2777" t="s">
        <v>468</v>
      </c>
      <c r="G2777" t="s">
        <v>224</v>
      </c>
      <c r="H2777" t="s">
        <v>292</v>
      </c>
      <c r="I2777" t="s">
        <v>357</v>
      </c>
      <c r="J2777" t="s">
        <v>104</v>
      </c>
      <c r="K2777" t="s">
        <v>99</v>
      </c>
      <c r="L2777" t="s">
        <v>684</v>
      </c>
      <c r="M2777" t="s">
        <v>99</v>
      </c>
      <c r="N2777" t="s">
        <v>143</v>
      </c>
      <c r="O2777" t="s">
        <v>319</v>
      </c>
      <c r="P2777" t="s">
        <v>132</v>
      </c>
      <c r="Q2777" t="s">
        <v>316</v>
      </c>
      <c r="R2777" t="s">
        <v>109</v>
      </c>
      <c r="S2777" t="s">
        <v>99</v>
      </c>
      <c r="T2777" t="s">
        <v>253</v>
      </c>
    </row>
    <row r="2778" spans="1:20" x14ac:dyDescent="0.3">
      <c r="A2778" t="s">
        <v>49</v>
      </c>
      <c r="B2778" t="s">
        <v>365</v>
      </c>
      <c r="C2778">
        <v>22</v>
      </c>
      <c r="D2778" t="s">
        <v>200</v>
      </c>
      <c r="E2778" t="s">
        <v>206</v>
      </c>
      <c r="F2778" t="s">
        <v>198</v>
      </c>
      <c r="G2778" t="s">
        <v>712</v>
      </c>
      <c r="H2778" t="s">
        <v>99</v>
      </c>
      <c r="I2778" t="s">
        <v>198</v>
      </c>
      <c r="J2778" t="s">
        <v>99</v>
      </c>
      <c r="K2778" t="s">
        <v>99</v>
      </c>
      <c r="L2778" t="s">
        <v>99</v>
      </c>
      <c r="M2778" t="s">
        <v>99</v>
      </c>
      <c r="N2778" t="s">
        <v>117</v>
      </c>
      <c r="O2778" t="s">
        <v>99</v>
      </c>
      <c r="P2778" t="s">
        <v>99</v>
      </c>
      <c r="Q2778" t="s">
        <v>99</v>
      </c>
      <c r="R2778" t="s">
        <v>99</v>
      </c>
      <c r="S2778" t="s">
        <v>99</v>
      </c>
      <c r="T2778" t="s">
        <v>99</v>
      </c>
    </row>
    <row r="2780" spans="1:20" x14ac:dyDescent="0.3">
      <c r="A2780" t="s">
        <v>1293</v>
      </c>
    </row>
    <row r="2781" spans="1:20" x14ac:dyDescent="0.3">
      <c r="A2781" t="s">
        <v>44</v>
      </c>
      <c r="B2781" t="s">
        <v>32</v>
      </c>
      <c r="C2781" t="s">
        <v>1294</v>
      </c>
      <c r="D2781" t="s">
        <v>1295</v>
      </c>
      <c r="E2781" t="s">
        <v>1296</v>
      </c>
      <c r="F2781" t="s">
        <v>1297</v>
      </c>
      <c r="G2781" t="s">
        <v>1298</v>
      </c>
      <c r="H2781" t="s">
        <v>1299</v>
      </c>
      <c r="I2781" t="s">
        <v>1300</v>
      </c>
      <c r="J2781" t="s">
        <v>1301</v>
      </c>
      <c r="K2781" t="s">
        <v>1302</v>
      </c>
      <c r="L2781" t="s">
        <v>1303</v>
      </c>
      <c r="M2781" t="s">
        <v>1275</v>
      </c>
      <c r="N2781" t="s">
        <v>1304</v>
      </c>
    </row>
    <row r="2782" spans="1:20" x14ac:dyDescent="0.3">
      <c r="A2782" t="s">
        <v>35</v>
      </c>
      <c r="B2782">
        <v>3144</v>
      </c>
      <c r="C2782" t="s">
        <v>151</v>
      </c>
      <c r="D2782" t="s">
        <v>127</v>
      </c>
      <c r="E2782" t="s">
        <v>126</v>
      </c>
      <c r="F2782" t="s">
        <v>157</v>
      </c>
      <c r="G2782" t="s">
        <v>103</v>
      </c>
      <c r="H2782" t="s">
        <v>126</v>
      </c>
      <c r="I2782" t="s">
        <v>382</v>
      </c>
      <c r="J2782" t="s">
        <v>319</v>
      </c>
      <c r="K2782" t="s">
        <v>123</v>
      </c>
      <c r="L2782" t="s">
        <v>203</v>
      </c>
      <c r="M2782" t="s">
        <v>141</v>
      </c>
      <c r="N2782" t="s">
        <v>141</v>
      </c>
    </row>
    <row r="2783" spans="1:20" x14ac:dyDescent="0.3">
      <c r="A2783" t="s">
        <v>37</v>
      </c>
      <c r="B2783">
        <v>3855</v>
      </c>
      <c r="C2783" t="s">
        <v>207</v>
      </c>
      <c r="D2783" t="s">
        <v>141</v>
      </c>
      <c r="E2783" t="s">
        <v>198</v>
      </c>
      <c r="F2783" t="s">
        <v>111</v>
      </c>
      <c r="G2783" t="s">
        <v>114</v>
      </c>
      <c r="H2783" t="s">
        <v>136</v>
      </c>
      <c r="I2783" t="s">
        <v>253</v>
      </c>
      <c r="J2783" t="s">
        <v>126</v>
      </c>
      <c r="K2783" t="s">
        <v>114</v>
      </c>
      <c r="L2783" t="s">
        <v>467</v>
      </c>
      <c r="M2783" t="s">
        <v>104</v>
      </c>
      <c r="N2783" t="s">
        <v>207</v>
      </c>
    </row>
    <row r="2784" spans="1:20" x14ac:dyDescent="0.3">
      <c r="A2784" t="s">
        <v>36</v>
      </c>
      <c r="B2784">
        <v>2304</v>
      </c>
      <c r="C2784" t="s">
        <v>123</v>
      </c>
      <c r="D2784" t="s">
        <v>100</v>
      </c>
      <c r="E2784" t="s">
        <v>268</v>
      </c>
      <c r="F2784" t="s">
        <v>118</v>
      </c>
      <c r="G2784" t="s">
        <v>151</v>
      </c>
      <c r="H2784" t="s">
        <v>121</v>
      </c>
      <c r="I2784" t="s">
        <v>101</v>
      </c>
      <c r="J2784" t="s">
        <v>319</v>
      </c>
      <c r="K2784" t="s">
        <v>127</v>
      </c>
      <c r="L2784" t="s">
        <v>232</v>
      </c>
      <c r="M2784" t="s">
        <v>114</v>
      </c>
      <c r="N2784" t="s">
        <v>136</v>
      </c>
    </row>
    <row r="2785" spans="1:15" x14ac:dyDescent="0.3">
      <c r="A2785" t="s">
        <v>34</v>
      </c>
      <c r="B2785">
        <v>2079</v>
      </c>
      <c r="C2785" t="s">
        <v>215</v>
      </c>
      <c r="D2785" t="s">
        <v>101</v>
      </c>
      <c r="E2785" t="s">
        <v>123</v>
      </c>
      <c r="F2785" t="s">
        <v>74</v>
      </c>
      <c r="G2785" t="s">
        <v>120</v>
      </c>
      <c r="H2785" t="s">
        <v>316</v>
      </c>
      <c r="I2785" t="s">
        <v>100</v>
      </c>
      <c r="J2785" t="s">
        <v>316</v>
      </c>
      <c r="K2785" t="s">
        <v>138</v>
      </c>
      <c r="L2785" t="s">
        <v>612</v>
      </c>
      <c r="M2785" t="s">
        <v>316</v>
      </c>
      <c r="N2785" t="s">
        <v>104</v>
      </c>
    </row>
    <row r="2786" spans="1:15" x14ac:dyDescent="0.3">
      <c r="A2786" t="s">
        <v>33</v>
      </c>
      <c r="B2786">
        <v>1937</v>
      </c>
      <c r="C2786" t="s">
        <v>198</v>
      </c>
      <c r="D2786" t="s">
        <v>141</v>
      </c>
      <c r="E2786" t="s">
        <v>132</v>
      </c>
      <c r="F2786" t="s">
        <v>147</v>
      </c>
      <c r="G2786" t="s">
        <v>253</v>
      </c>
      <c r="H2786" t="s">
        <v>141</v>
      </c>
      <c r="I2786" t="s">
        <v>141</v>
      </c>
      <c r="J2786" t="s">
        <v>382</v>
      </c>
      <c r="K2786" t="s">
        <v>108</v>
      </c>
      <c r="L2786" t="s">
        <v>467</v>
      </c>
      <c r="M2786" t="s">
        <v>104</v>
      </c>
      <c r="N2786" t="s">
        <v>104</v>
      </c>
    </row>
    <row r="2787" spans="1:15" x14ac:dyDescent="0.3">
      <c r="A2787" t="s">
        <v>49</v>
      </c>
      <c r="B2787">
        <v>13319</v>
      </c>
      <c r="C2787" t="s">
        <v>121</v>
      </c>
      <c r="D2787" t="s">
        <v>100</v>
      </c>
      <c r="E2787" t="s">
        <v>121</v>
      </c>
      <c r="F2787" t="s">
        <v>332</v>
      </c>
      <c r="G2787" t="s">
        <v>127</v>
      </c>
      <c r="H2787" t="s">
        <v>121</v>
      </c>
      <c r="I2787" t="s">
        <v>114</v>
      </c>
      <c r="J2787" t="s">
        <v>215</v>
      </c>
      <c r="K2787" t="s">
        <v>215</v>
      </c>
      <c r="L2787" t="s">
        <v>403</v>
      </c>
      <c r="M2787" t="s">
        <v>132</v>
      </c>
      <c r="N2787" t="s">
        <v>207</v>
      </c>
    </row>
    <row r="2789" spans="1:15" x14ac:dyDescent="0.3">
      <c r="A2789" t="s">
        <v>1305</v>
      </c>
    </row>
    <row r="2790" spans="1:15" x14ac:dyDescent="0.3">
      <c r="A2790" t="s">
        <v>44</v>
      </c>
      <c r="B2790" t="s">
        <v>209</v>
      </c>
      <c r="C2790" t="s">
        <v>32</v>
      </c>
      <c r="D2790" t="s">
        <v>1294</v>
      </c>
      <c r="E2790" t="s">
        <v>1295</v>
      </c>
      <c r="F2790" t="s">
        <v>1296</v>
      </c>
      <c r="G2790" t="s">
        <v>1297</v>
      </c>
      <c r="H2790" t="s">
        <v>1298</v>
      </c>
      <c r="I2790" t="s">
        <v>1299</v>
      </c>
      <c r="J2790" t="s">
        <v>1300</v>
      </c>
      <c r="K2790" t="s">
        <v>1301</v>
      </c>
      <c r="L2790" t="s">
        <v>1302</v>
      </c>
      <c r="M2790" t="s">
        <v>1303</v>
      </c>
      <c r="N2790" t="s">
        <v>1275</v>
      </c>
      <c r="O2790" t="s">
        <v>1304</v>
      </c>
    </row>
    <row r="2791" spans="1:15" x14ac:dyDescent="0.3">
      <c r="A2791" t="s">
        <v>35</v>
      </c>
      <c r="B2791" t="s">
        <v>210</v>
      </c>
      <c r="C2791">
        <v>136</v>
      </c>
      <c r="D2791" t="s">
        <v>128</v>
      </c>
      <c r="E2791" t="s">
        <v>120</v>
      </c>
      <c r="F2791" t="s">
        <v>101</v>
      </c>
      <c r="G2791" t="s">
        <v>128</v>
      </c>
      <c r="H2791" t="s">
        <v>121</v>
      </c>
      <c r="I2791" t="s">
        <v>434</v>
      </c>
      <c r="J2791" t="s">
        <v>319</v>
      </c>
      <c r="K2791" t="s">
        <v>126</v>
      </c>
      <c r="L2791" t="s">
        <v>382</v>
      </c>
      <c r="M2791" t="s">
        <v>854</v>
      </c>
      <c r="N2791" t="s">
        <v>141</v>
      </c>
      <c r="O2791" t="s">
        <v>99</v>
      </c>
    </row>
    <row r="2792" spans="1:15" x14ac:dyDescent="0.3">
      <c r="A2792" t="s">
        <v>35</v>
      </c>
      <c r="B2792" t="s">
        <v>212</v>
      </c>
      <c r="C2792">
        <v>2442</v>
      </c>
      <c r="D2792" t="s">
        <v>111</v>
      </c>
      <c r="E2792" t="s">
        <v>111</v>
      </c>
      <c r="F2792" t="s">
        <v>127</v>
      </c>
      <c r="G2792" t="s">
        <v>118</v>
      </c>
      <c r="H2792" t="s">
        <v>107</v>
      </c>
      <c r="I2792" t="s">
        <v>319</v>
      </c>
      <c r="J2792" t="s">
        <v>123</v>
      </c>
      <c r="K2792" t="s">
        <v>319</v>
      </c>
      <c r="L2792" t="s">
        <v>151</v>
      </c>
      <c r="M2792" t="s">
        <v>73</v>
      </c>
      <c r="N2792" t="s">
        <v>136</v>
      </c>
      <c r="O2792" t="s">
        <v>115</v>
      </c>
    </row>
    <row r="2793" spans="1:15" x14ac:dyDescent="0.3">
      <c r="A2793" t="s">
        <v>35</v>
      </c>
      <c r="B2793" t="s">
        <v>216</v>
      </c>
      <c r="C2793">
        <v>566</v>
      </c>
      <c r="D2793" t="s">
        <v>319</v>
      </c>
      <c r="E2793" t="s">
        <v>141</v>
      </c>
      <c r="F2793" t="s">
        <v>141</v>
      </c>
      <c r="G2793" t="s">
        <v>101</v>
      </c>
      <c r="H2793" t="s">
        <v>126</v>
      </c>
      <c r="I2793" t="s">
        <v>121</v>
      </c>
      <c r="J2793" t="s">
        <v>115</v>
      </c>
      <c r="K2793" t="s">
        <v>101</v>
      </c>
      <c r="L2793" t="s">
        <v>382</v>
      </c>
      <c r="M2793" t="s">
        <v>978</v>
      </c>
      <c r="N2793" t="s">
        <v>132</v>
      </c>
      <c r="O2793" t="s">
        <v>104</v>
      </c>
    </row>
    <row r="2794" spans="1:15" x14ac:dyDescent="0.3">
      <c r="A2794" t="s">
        <v>37</v>
      </c>
      <c r="B2794" t="s">
        <v>210</v>
      </c>
      <c r="C2794">
        <v>138</v>
      </c>
      <c r="D2794" t="s">
        <v>103</v>
      </c>
      <c r="E2794" t="s">
        <v>138</v>
      </c>
      <c r="F2794" t="s">
        <v>100</v>
      </c>
      <c r="G2794" t="s">
        <v>328</v>
      </c>
      <c r="H2794" t="s">
        <v>151</v>
      </c>
      <c r="I2794" t="s">
        <v>136</v>
      </c>
      <c r="J2794" t="s">
        <v>117</v>
      </c>
      <c r="K2794" t="s">
        <v>123</v>
      </c>
      <c r="L2794" t="s">
        <v>68</v>
      </c>
      <c r="M2794" t="s">
        <v>288</v>
      </c>
      <c r="N2794" t="s">
        <v>99</v>
      </c>
      <c r="O2794" t="s">
        <v>99</v>
      </c>
    </row>
    <row r="2795" spans="1:15" x14ac:dyDescent="0.3">
      <c r="A2795" t="s">
        <v>37</v>
      </c>
      <c r="B2795" t="s">
        <v>212</v>
      </c>
      <c r="C2795">
        <v>3606</v>
      </c>
      <c r="D2795" t="s">
        <v>198</v>
      </c>
      <c r="E2795" t="s">
        <v>136</v>
      </c>
      <c r="F2795" t="s">
        <v>198</v>
      </c>
      <c r="G2795" t="s">
        <v>292</v>
      </c>
      <c r="H2795" t="s">
        <v>114</v>
      </c>
      <c r="I2795" t="s">
        <v>136</v>
      </c>
      <c r="J2795" t="s">
        <v>141</v>
      </c>
      <c r="K2795" t="s">
        <v>126</v>
      </c>
      <c r="L2795" t="s">
        <v>132</v>
      </c>
      <c r="M2795" t="s">
        <v>335</v>
      </c>
      <c r="N2795" t="s">
        <v>104</v>
      </c>
      <c r="O2795" t="s">
        <v>207</v>
      </c>
    </row>
    <row r="2796" spans="1:15" x14ac:dyDescent="0.3">
      <c r="A2796" t="s">
        <v>37</v>
      </c>
      <c r="B2796" t="s">
        <v>216</v>
      </c>
      <c r="C2796">
        <v>111</v>
      </c>
      <c r="D2796" t="s">
        <v>132</v>
      </c>
      <c r="E2796" t="s">
        <v>253</v>
      </c>
      <c r="F2796" t="s">
        <v>253</v>
      </c>
      <c r="G2796" t="s">
        <v>253</v>
      </c>
      <c r="H2796" t="s">
        <v>253</v>
      </c>
      <c r="I2796" t="s">
        <v>99</v>
      </c>
      <c r="J2796" t="s">
        <v>99</v>
      </c>
      <c r="K2796" t="s">
        <v>99</v>
      </c>
      <c r="L2796" t="s">
        <v>253</v>
      </c>
      <c r="M2796" t="s">
        <v>466</v>
      </c>
      <c r="N2796" t="s">
        <v>115</v>
      </c>
      <c r="O2796" t="s">
        <v>115</v>
      </c>
    </row>
    <row r="2797" spans="1:15" x14ac:dyDescent="0.3">
      <c r="A2797" t="s">
        <v>36</v>
      </c>
      <c r="B2797" t="s">
        <v>210</v>
      </c>
      <c r="C2797">
        <v>165</v>
      </c>
      <c r="D2797" t="s">
        <v>292</v>
      </c>
      <c r="E2797" t="s">
        <v>319</v>
      </c>
      <c r="F2797" t="s">
        <v>114</v>
      </c>
      <c r="G2797" t="s">
        <v>128</v>
      </c>
      <c r="H2797" t="s">
        <v>319</v>
      </c>
      <c r="I2797" t="s">
        <v>107</v>
      </c>
      <c r="J2797" t="s">
        <v>124</v>
      </c>
      <c r="K2797" t="s">
        <v>105</v>
      </c>
      <c r="L2797" t="s">
        <v>117</v>
      </c>
      <c r="M2797" t="s">
        <v>312</v>
      </c>
      <c r="N2797" t="s">
        <v>104</v>
      </c>
      <c r="O2797" t="s">
        <v>104</v>
      </c>
    </row>
    <row r="2798" spans="1:15" x14ac:dyDescent="0.3">
      <c r="A2798" t="s">
        <v>36</v>
      </c>
      <c r="B2798" t="s">
        <v>212</v>
      </c>
      <c r="C2798">
        <v>1874</v>
      </c>
      <c r="D2798" t="s">
        <v>126</v>
      </c>
      <c r="E2798" t="s">
        <v>121</v>
      </c>
      <c r="F2798" t="s">
        <v>268</v>
      </c>
      <c r="G2798" t="s">
        <v>110</v>
      </c>
      <c r="H2798" t="s">
        <v>111</v>
      </c>
      <c r="I2798" t="s">
        <v>132</v>
      </c>
      <c r="J2798" t="s">
        <v>115</v>
      </c>
      <c r="K2798" t="s">
        <v>121</v>
      </c>
      <c r="L2798" t="s">
        <v>382</v>
      </c>
      <c r="M2798" t="s">
        <v>422</v>
      </c>
      <c r="N2798" t="s">
        <v>108</v>
      </c>
      <c r="O2798" t="s">
        <v>253</v>
      </c>
    </row>
    <row r="2799" spans="1:15" x14ac:dyDescent="0.3">
      <c r="A2799" t="s">
        <v>36</v>
      </c>
      <c r="B2799" t="s">
        <v>216</v>
      </c>
      <c r="C2799">
        <v>265</v>
      </c>
      <c r="D2799" t="s">
        <v>474</v>
      </c>
      <c r="E2799" t="s">
        <v>198</v>
      </c>
      <c r="F2799" t="s">
        <v>434</v>
      </c>
      <c r="G2799" t="s">
        <v>139</v>
      </c>
      <c r="H2799" t="s">
        <v>132</v>
      </c>
      <c r="I2799" t="s">
        <v>215</v>
      </c>
      <c r="J2799" t="s">
        <v>108</v>
      </c>
      <c r="K2799" t="s">
        <v>100</v>
      </c>
      <c r="L2799" t="s">
        <v>120</v>
      </c>
      <c r="M2799" t="s">
        <v>356</v>
      </c>
      <c r="N2799" t="s">
        <v>292</v>
      </c>
      <c r="O2799" t="s">
        <v>99</v>
      </c>
    </row>
    <row r="2800" spans="1:15" x14ac:dyDescent="0.3">
      <c r="A2800" t="s">
        <v>34</v>
      </c>
      <c r="B2800" t="s">
        <v>210</v>
      </c>
      <c r="C2800">
        <v>256</v>
      </c>
      <c r="D2800" t="s">
        <v>143</v>
      </c>
      <c r="E2800" t="s">
        <v>292</v>
      </c>
      <c r="F2800" t="s">
        <v>120</v>
      </c>
      <c r="G2800" t="s">
        <v>109</v>
      </c>
      <c r="H2800" t="s">
        <v>129</v>
      </c>
      <c r="I2800" t="s">
        <v>292</v>
      </c>
      <c r="J2800" t="s">
        <v>107</v>
      </c>
      <c r="K2800" t="s">
        <v>328</v>
      </c>
      <c r="L2800" t="s">
        <v>363</v>
      </c>
      <c r="M2800" t="s">
        <v>1235</v>
      </c>
      <c r="N2800" t="s">
        <v>316</v>
      </c>
      <c r="O2800" t="s">
        <v>99</v>
      </c>
    </row>
    <row r="2801" spans="1:15" x14ac:dyDescent="0.3">
      <c r="A2801" t="s">
        <v>34</v>
      </c>
      <c r="B2801" t="s">
        <v>212</v>
      </c>
      <c r="C2801">
        <v>1581</v>
      </c>
      <c r="D2801" t="s">
        <v>141</v>
      </c>
      <c r="E2801" t="s">
        <v>108</v>
      </c>
      <c r="F2801" t="s">
        <v>100</v>
      </c>
      <c r="G2801" t="s">
        <v>277</v>
      </c>
      <c r="H2801" t="s">
        <v>292</v>
      </c>
      <c r="I2801" t="s">
        <v>123</v>
      </c>
      <c r="J2801" t="s">
        <v>115</v>
      </c>
      <c r="K2801" t="s">
        <v>126</v>
      </c>
      <c r="L2801" t="s">
        <v>292</v>
      </c>
      <c r="M2801" t="s">
        <v>366</v>
      </c>
      <c r="N2801" t="s">
        <v>127</v>
      </c>
      <c r="O2801" t="s">
        <v>99</v>
      </c>
    </row>
    <row r="2802" spans="1:15" x14ac:dyDescent="0.3">
      <c r="A2802" t="s">
        <v>34</v>
      </c>
      <c r="B2802" t="s">
        <v>216</v>
      </c>
      <c r="C2802">
        <v>242</v>
      </c>
      <c r="D2802" t="s">
        <v>120</v>
      </c>
      <c r="E2802" t="s">
        <v>117</v>
      </c>
      <c r="F2802" t="s">
        <v>149</v>
      </c>
      <c r="G2802" t="s">
        <v>163</v>
      </c>
      <c r="H2802" t="s">
        <v>139</v>
      </c>
      <c r="I2802" t="s">
        <v>74</v>
      </c>
      <c r="J2802" t="s">
        <v>114</v>
      </c>
      <c r="K2802" t="s">
        <v>130</v>
      </c>
      <c r="L2802" t="s">
        <v>107</v>
      </c>
      <c r="M2802" t="s">
        <v>1279</v>
      </c>
      <c r="N2802" t="s">
        <v>325</v>
      </c>
      <c r="O2802" t="s">
        <v>115</v>
      </c>
    </row>
    <row r="2803" spans="1:15" x14ac:dyDescent="0.3">
      <c r="A2803" t="s">
        <v>33</v>
      </c>
      <c r="B2803" t="s">
        <v>210</v>
      </c>
      <c r="C2803">
        <v>68</v>
      </c>
      <c r="D2803" t="s">
        <v>100</v>
      </c>
      <c r="E2803" t="s">
        <v>101</v>
      </c>
      <c r="F2803" t="s">
        <v>474</v>
      </c>
      <c r="G2803" t="s">
        <v>405</v>
      </c>
      <c r="H2803" t="s">
        <v>155</v>
      </c>
      <c r="I2803" t="s">
        <v>117</v>
      </c>
      <c r="J2803" t="s">
        <v>139</v>
      </c>
      <c r="K2803" t="s">
        <v>155</v>
      </c>
      <c r="L2803" t="s">
        <v>434</v>
      </c>
      <c r="M2803" t="s">
        <v>168</v>
      </c>
      <c r="N2803" t="s">
        <v>101</v>
      </c>
      <c r="O2803" t="s">
        <v>99</v>
      </c>
    </row>
    <row r="2804" spans="1:15" x14ac:dyDescent="0.3">
      <c r="A2804" t="s">
        <v>33</v>
      </c>
      <c r="B2804" t="s">
        <v>212</v>
      </c>
      <c r="C2804">
        <v>1800</v>
      </c>
      <c r="D2804" t="s">
        <v>198</v>
      </c>
      <c r="E2804" t="s">
        <v>141</v>
      </c>
      <c r="F2804" t="s">
        <v>115</v>
      </c>
      <c r="G2804" t="s">
        <v>316</v>
      </c>
      <c r="H2804" t="s">
        <v>141</v>
      </c>
      <c r="I2804" t="s">
        <v>136</v>
      </c>
      <c r="J2804" t="s">
        <v>198</v>
      </c>
      <c r="K2804" t="s">
        <v>126</v>
      </c>
      <c r="L2804" t="s">
        <v>253</v>
      </c>
      <c r="M2804" t="s">
        <v>778</v>
      </c>
      <c r="N2804" t="s">
        <v>99</v>
      </c>
      <c r="O2804" t="s">
        <v>104</v>
      </c>
    </row>
    <row r="2805" spans="1:15" x14ac:dyDescent="0.3">
      <c r="A2805" t="s">
        <v>33</v>
      </c>
      <c r="B2805" t="s">
        <v>216</v>
      </c>
      <c r="C2805">
        <v>69</v>
      </c>
      <c r="D2805" t="s">
        <v>99</v>
      </c>
      <c r="E2805" t="s">
        <v>99</v>
      </c>
      <c r="F2805" t="s">
        <v>99</v>
      </c>
      <c r="G2805" t="s">
        <v>147</v>
      </c>
      <c r="H2805" t="s">
        <v>99</v>
      </c>
      <c r="I2805" t="s">
        <v>382</v>
      </c>
      <c r="J2805" t="s">
        <v>127</v>
      </c>
      <c r="K2805" t="s">
        <v>99</v>
      </c>
      <c r="L2805" t="s">
        <v>155</v>
      </c>
      <c r="M2805" t="s">
        <v>376</v>
      </c>
      <c r="N2805" t="s">
        <v>99</v>
      </c>
      <c r="O2805" t="s">
        <v>99</v>
      </c>
    </row>
    <row r="2806" spans="1:15" x14ac:dyDescent="0.3">
      <c r="A2806" t="s">
        <v>49</v>
      </c>
      <c r="B2806" t="s">
        <v>210</v>
      </c>
      <c r="C2806">
        <v>763</v>
      </c>
      <c r="D2806" t="s">
        <v>110</v>
      </c>
      <c r="E2806" t="s">
        <v>268</v>
      </c>
      <c r="F2806" t="s">
        <v>292</v>
      </c>
      <c r="G2806" t="s">
        <v>98</v>
      </c>
      <c r="H2806" t="s">
        <v>128</v>
      </c>
      <c r="I2806" t="s">
        <v>103</v>
      </c>
      <c r="J2806" t="s">
        <v>107</v>
      </c>
      <c r="K2806" t="s">
        <v>134</v>
      </c>
      <c r="L2806" t="s">
        <v>277</v>
      </c>
      <c r="M2806" t="s">
        <v>870</v>
      </c>
      <c r="N2806" t="s">
        <v>101</v>
      </c>
      <c r="O2806" t="s">
        <v>99</v>
      </c>
    </row>
    <row r="2807" spans="1:15" x14ac:dyDescent="0.3">
      <c r="A2807" t="s">
        <v>49</v>
      </c>
      <c r="B2807" t="s">
        <v>212</v>
      </c>
      <c r="C2807">
        <v>11303</v>
      </c>
      <c r="D2807" t="s">
        <v>132</v>
      </c>
      <c r="E2807" t="s">
        <v>114</v>
      </c>
      <c r="F2807" t="s">
        <v>114</v>
      </c>
      <c r="G2807" t="s">
        <v>105</v>
      </c>
      <c r="H2807" t="s">
        <v>215</v>
      </c>
      <c r="I2807" t="s">
        <v>108</v>
      </c>
      <c r="J2807" t="s">
        <v>108</v>
      </c>
      <c r="K2807" t="s">
        <v>126</v>
      </c>
      <c r="L2807" t="s">
        <v>319</v>
      </c>
      <c r="M2807" t="s">
        <v>329</v>
      </c>
      <c r="N2807" t="s">
        <v>141</v>
      </c>
      <c r="O2807" t="s">
        <v>207</v>
      </c>
    </row>
    <row r="2808" spans="1:15" x14ac:dyDescent="0.3">
      <c r="A2808" t="s">
        <v>49</v>
      </c>
      <c r="B2808" t="s">
        <v>216</v>
      </c>
      <c r="C2808">
        <v>1253</v>
      </c>
      <c r="D2808" t="s">
        <v>127</v>
      </c>
      <c r="E2808" t="s">
        <v>132</v>
      </c>
      <c r="F2808" t="s">
        <v>215</v>
      </c>
      <c r="G2808" t="s">
        <v>134</v>
      </c>
      <c r="H2808" t="s">
        <v>151</v>
      </c>
      <c r="I2808" t="s">
        <v>268</v>
      </c>
      <c r="J2808" t="s">
        <v>132</v>
      </c>
      <c r="K2808" t="s">
        <v>215</v>
      </c>
      <c r="L2808" t="s">
        <v>151</v>
      </c>
      <c r="M2808" t="s">
        <v>417</v>
      </c>
      <c r="N2808" t="s">
        <v>123</v>
      </c>
      <c r="O2808" t="s">
        <v>207</v>
      </c>
    </row>
    <row r="2810" spans="1:15" x14ac:dyDescent="0.3">
      <c r="A2810" t="s">
        <v>1306</v>
      </c>
    </row>
    <row r="2811" spans="1:15" x14ac:dyDescent="0.3">
      <c r="A2811" t="s">
        <v>44</v>
      </c>
      <c r="B2811" t="s">
        <v>388</v>
      </c>
      <c r="C2811" t="s">
        <v>32</v>
      </c>
      <c r="D2811" t="s">
        <v>1294</v>
      </c>
      <c r="E2811" t="s">
        <v>1295</v>
      </c>
      <c r="F2811" t="s">
        <v>1296</v>
      </c>
      <c r="G2811" t="s">
        <v>1297</v>
      </c>
      <c r="H2811" t="s">
        <v>1298</v>
      </c>
      <c r="I2811" t="s">
        <v>1299</v>
      </c>
      <c r="J2811" t="s">
        <v>1300</v>
      </c>
      <c r="K2811" t="s">
        <v>1301</v>
      </c>
      <c r="L2811" t="s">
        <v>1302</v>
      </c>
      <c r="M2811" t="s">
        <v>1303</v>
      </c>
      <c r="N2811" t="s">
        <v>1275</v>
      </c>
      <c r="O2811" t="s">
        <v>1304</v>
      </c>
    </row>
    <row r="2812" spans="1:15" x14ac:dyDescent="0.3">
      <c r="A2812" t="s">
        <v>35</v>
      </c>
      <c r="B2812" t="s">
        <v>389</v>
      </c>
      <c r="C2812">
        <v>2140</v>
      </c>
      <c r="D2812" t="s">
        <v>101</v>
      </c>
      <c r="E2812" t="s">
        <v>100</v>
      </c>
      <c r="F2812" t="s">
        <v>253</v>
      </c>
      <c r="G2812" t="s">
        <v>316</v>
      </c>
      <c r="H2812" t="s">
        <v>123</v>
      </c>
      <c r="I2812" t="s">
        <v>108</v>
      </c>
      <c r="J2812" t="s">
        <v>100</v>
      </c>
      <c r="K2812" t="s">
        <v>108</v>
      </c>
      <c r="L2812" t="s">
        <v>127</v>
      </c>
      <c r="M2812" t="s">
        <v>364</v>
      </c>
      <c r="N2812" t="s">
        <v>207</v>
      </c>
      <c r="O2812" t="s">
        <v>198</v>
      </c>
    </row>
    <row r="2813" spans="1:15" x14ac:dyDescent="0.3">
      <c r="A2813" t="s">
        <v>35</v>
      </c>
      <c r="B2813" t="s">
        <v>390</v>
      </c>
      <c r="C2813">
        <v>875</v>
      </c>
      <c r="D2813" t="s">
        <v>712</v>
      </c>
      <c r="E2813" t="s">
        <v>129</v>
      </c>
      <c r="F2813" t="s">
        <v>118</v>
      </c>
      <c r="G2813" t="s">
        <v>112</v>
      </c>
      <c r="H2813" t="s">
        <v>139</v>
      </c>
      <c r="I2813" t="s">
        <v>105</v>
      </c>
      <c r="J2813" t="s">
        <v>105</v>
      </c>
      <c r="K2813" t="s">
        <v>147</v>
      </c>
      <c r="L2813" t="s">
        <v>117</v>
      </c>
      <c r="M2813" t="s">
        <v>399</v>
      </c>
      <c r="N2813" t="s">
        <v>114</v>
      </c>
      <c r="O2813" t="s">
        <v>319</v>
      </c>
    </row>
    <row r="2814" spans="1:15" x14ac:dyDescent="0.3">
      <c r="A2814" t="s">
        <v>35</v>
      </c>
      <c r="B2814" t="s">
        <v>365</v>
      </c>
      <c r="C2814">
        <v>129</v>
      </c>
      <c r="D2814" t="s">
        <v>99</v>
      </c>
      <c r="E2814" t="s">
        <v>99</v>
      </c>
      <c r="F2814" t="s">
        <v>99</v>
      </c>
      <c r="G2814" t="s">
        <v>292</v>
      </c>
      <c r="H2814" t="s">
        <v>99</v>
      </c>
      <c r="I2814" t="s">
        <v>99</v>
      </c>
      <c r="J2814" t="s">
        <v>99</v>
      </c>
      <c r="K2814" t="s">
        <v>132</v>
      </c>
      <c r="L2814" t="s">
        <v>99</v>
      </c>
      <c r="M2814" t="s">
        <v>384</v>
      </c>
      <c r="N2814" t="s">
        <v>100</v>
      </c>
      <c r="O2814" t="s">
        <v>99</v>
      </c>
    </row>
    <row r="2815" spans="1:15" x14ac:dyDescent="0.3">
      <c r="A2815" t="s">
        <v>37</v>
      </c>
      <c r="B2815" t="s">
        <v>389</v>
      </c>
      <c r="C2815">
        <v>2305</v>
      </c>
      <c r="D2815" t="s">
        <v>136</v>
      </c>
      <c r="E2815" t="s">
        <v>207</v>
      </c>
      <c r="F2815" t="s">
        <v>136</v>
      </c>
      <c r="G2815" t="s">
        <v>103</v>
      </c>
      <c r="H2815" t="s">
        <v>108</v>
      </c>
      <c r="I2815" t="s">
        <v>104</v>
      </c>
      <c r="J2815" t="s">
        <v>136</v>
      </c>
      <c r="K2815" t="s">
        <v>126</v>
      </c>
      <c r="L2815" t="s">
        <v>132</v>
      </c>
      <c r="M2815" t="s">
        <v>758</v>
      </c>
      <c r="N2815" t="s">
        <v>104</v>
      </c>
      <c r="O2815" t="s">
        <v>136</v>
      </c>
    </row>
    <row r="2816" spans="1:15" x14ac:dyDescent="0.3">
      <c r="A2816" t="s">
        <v>37</v>
      </c>
      <c r="B2816" t="s">
        <v>390</v>
      </c>
      <c r="C2816">
        <v>1309</v>
      </c>
      <c r="D2816" t="s">
        <v>198</v>
      </c>
      <c r="E2816" t="s">
        <v>114</v>
      </c>
      <c r="F2816" t="s">
        <v>104</v>
      </c>
      <c r="G2816" t="s">
        <v>123</v>
      </c>
      <c r="H2816" t="s">
        <v>319</v>
      </c>
      <c r="I2816" t="s">
        <v>115</v>
      </c>
      <c r="J2816" t="s">
        <v>108</v>
      </c>
      <c r="K2816" t="s">
        <v>215</v>
      </c>
      <c r="L2816" t="s">
        <v>126</v>
      </c>
      <c r="M2816" t="s">
        <v>414</v>
      </c>
      <c r="N2816" t="s">
        <v>207</v>
      </c>
      <c r="O2816" t="s">
        <v>198</v>
      </c>
    </row>
    <row r="2817" spans="1:15" x14ac:dyDescent="0.3">
      <c r="A2817" t="s">
        <v>37</v>
      </c>
      <c r="B2817" t="s">
        <v>365</v>
      </c>
      <c r="C2817">
        <v>241</v>
      </c>
      <c r="D2817" t="s">
        <v>99</v>
      </c>
      <c r="E2817" t="s">
        <v>99</v>
      </c>
      <c r="F2817" t="s">
        <v>99</v>
      </c>
      <c r="G2817" t="s">
        <v>101</v>
      </c>
      <c r="H2817" t="s">
        <v>99</v>
      </c>
      <c r="I2817" t="s">
        <v>207</v>
      </c>
      <c r="J2817" t="s">
        <v>198</v>
      </c>
      <c r="K2817" t="s">
        <v>207</v>
      </c>
      <c r="L2817" t="s">
        <v>99</v>
      </c>
      <c r="M2817" t="s">
        <v>229</v>
      </c>
      <c r="N2817" t="s">
        <v>99</v>
      </c>
      <c r="O2817" t="s">
        <v>99</v>
      </c>
    </row>
    <row r="2818" spans="1:15" x14ac:dyDescent="0.3">
      <c r="A2818" t="s">
        <v>36</v>
      </c>
      <c r="B2818" t="s">
        <v>389</v>
      </c>
      <c r="C2818">
        <v>1578</v>
      </c>
      <c r="D2818" t="s">
        <v>382</v>
      </c>
      <c r="E2818" t="s">
        <v>108</v>
      </c>
      <c r="F2818" t="s">
        <v>120</v>
      </c>
      <c r="G2818" t="s">
        <v>434</v>
      </c>
      <c r="H2818" t="s">
        <v>268</v>
      </c>
      <c r="I2818" t="s">
        <v>100</v>
      </c>
      <c r="J2818" t="s">
        <v>101</v>
      </c>
      <c r="K2818" t="s">
        <v>215</v>
      </c>
      <c r="L2818" t="s">
        <v>123</v>
      </c>
      <c r="M2818" t="s">
        <v>877</v>
      </c>
      <c r="N2818" t="s">
        <v>319</v>
      </c>
      <c r="O2818" t="s">
        <v>207</v>
      </c>
    </row>
    <row r="2819" spans="1:15" x14ac:dyDescent="0.3">
      <c r="A2819" t="s">
        <v>36</v>
      </c>
      <c r="B2819" t="s">
        <v>390</v>
      </c>
      <c r="C2819">
        <v>626</v>
      </c>
      <c r="D2819" t="s">
        <v>103</v>
      </c>
      <c r="E2819" t="s">
        <v>382</v>
      </c>
      <c r="F2819" t="s">
        <v>126</v>
      </c>
      <c r="G2819" t="s">
        <v>105</v>
      </c>
      <c r="H2819" t="s">
        <v>382</v>
      </c>
      <c r="I2819" t="s">
        <v>136</v>
      </c>
      <c r="J2819" t="s">
        <v>198</v>
      </c>
      <c r="K2819" t="s">
        <v>253</v>
      </c>
      <c r="L2819" t="s">
        <v>101</v>
      </c>
      <c r="M2819" t="s">
        <v>857</v>
      </c>
      <c r="N2819" t="s">
        <v>99</v>
      </c>
      <c r="O2819" t="s">
        <v>108</v>
      </c>
    </row>
    <row r="2820" spans="1:15" x14ac:dyDescent="0.3">
      <c r="A2820" t="s">
        <v>36</v>
      </c>
      <c r="B2820" t="s">
        <v>365</v>
      </c>
      <c r="C2820">
        <v>100</v>
      </c>
      <c r="D2820" t="s">
        <v>268</v>
      </c>
      <c r="E2820" t="s">
        <v>121</v>
      </c>
      <c r="F2820" t="s">
        <v>101</v>
      </c>
      <c r="G2820" t="s">
        <v>128</v>
      </c>
      <c r="H2820" t="s">
        <v>104</v>
      </c>
      <c r="I2820" t="s">
        <v>277</v>
      </c>
      <c r="J2820" t="s">
        <v>277</v>
      </c>
      <c r="K2820" t="s">
        <v>121</v>
      </c>
      <c r="L2820" t="s">
        <v>332</v>
      </c>
      <c r="M2820" t="s">
        <v>73</v>
      </c>
      <c r="N2820" t="s">
        <v>207</v>
      </c>
      <c r="O2820" t="s">
        <v>99</v>
      </c>
    </row>
    <row r="2821" spans="1:15" x14ac:dyDescent="0.3">
      <c r="A2821" t="s">
        <v>34</v>
      </c>
      <c r="B2821" t="s">
        <v>389</v>
      </c>
      <c r="C2821">
        <v>1385</v>
      </c>
      <c r="D2821" t="s">
        <v>382</v>
      </c>
      <c r="E2821" t="s">
        <v>114</v>
      </c>
      <c r="F2821" t="s">
        <v>382</v>
      </c>
      <c r="G2821" t="s">
        <v>144</v>
      </c>
      <c r="H2821" t="s">
        <v>138</v>
      </c>
      <c r="I2821" t="s">
        <v>107</v>
      </c>
      <c r="J2821" t="s">
        <v>114</v>
      </c>
      <c r="K2821" t="s">
        <v>105</v>
      </c>
      <c r="L2821" t="s">
        <v>332</v>
      </c>
      <c r="M2821" t="s">
        <v>612</v>
      </c>
      <c r="N2821" t="s">
        <v>111</v>
      </c>
      <c r="O2821" t="s">
        <v>104</v>
      </c>
    </row>
    <row r="2822" spans="1:15" x14ac:dyDescent="0.3">
      <c r="A2822" t="s">
        <v>34</v>
      </c>
      <c r="B2822" t="s">
        <v>390</v>
      </c>
      <c r="C2822">
        <v>614</v>
      </c>
      <c r="D2822" t="s">
        <v>151</v>
      </c>
      <c r="E2822" t="s">
        <v>268</v>
      </c>
      <c r="F2822" t="s">
        <v>147</v>
      </c>
      <c r="G2822" t="s">
        <v>184</v>
      </c>
      <c r="H2822" t="s">
        <v>123</v>
      </c>
      <c r="I2822" t="s">
        <v>215</v>
      </c>
      <c r="J2822" t="s">
        <v>126</v>
      </c>
      <c r="K2822" t="s">
        <v>101</v>
      </c>
      <c r="L2822" t="s">
        <v>138</v>
      </c>
      <c r="M2822" t="s">
        <v>908</v>
      </c>
      <c r="N2822" t="s">
        <v>118</v>
      </c>
      <c r="O2822" t="s">
        <v>104</v>
      </c>
    </row>
    <row r="2823" spans="1:15" x14ac:dyDescent="0.3">
      <c r="A2823" t="s">
        <v>34</v>
      </c>
      <c r="B2823" t="s">
        <v>365</v>
      </c>
      <c r="C2823">
        <v>80</v>
      </c>
      <c r="D2823" t="s">
        <v>103</v>
      </c>
      <c r="E2823" t="s">
        <v>99</v>
      </c>
      <c r="F2823" t="s">
        <v>99</v>
      </c>
      <c r="G2823" t="s">
        <v>215</v>
      </c>
      <c r="H2823" t="s">
        <v>121</v>
      </c>
      <c r="I2823" t="s">
        <v>151</v>
      </c>
      <c r="J2823" t="s">
        <v>121</v>
      </c>
      <c r="K2823" t="s">
        <v>121</v>
      </c>
      <c r="L2823" t="s">
        <v>99</v>
      </c>
      <c r="M2823" t="s">
        <v>73</v>
      </c>
      <c r="N2823" t="s">
        <v>99</v>
      </c>
      <c r="O2823" t="s">
        <v>99</v>
      </c>
    </row>
    <row r="2824" spans="1:15" x14ac:dyDescent="0.3">
      <c r="A2824" t="s">
        <v>33</v>
      </c>
      <c r="B2824" t="s">
        <v>389</v>
      </c>
      <c r="C2824">
        <v>1090</v>
      </c>
      <c r="D2824" t="s">
        <v>207</v>
      </c>
      <c r="E2824" t="s">
        <v>115</v>
      </c>
      <c r="F2824" t="s">
        <v>136</v>
      </c>
      <c r="G2824" t="s">
        <v>134</v>
      </c>
      <c r="H2824" t="s">
        <v>132</v>
      </c>
      <c r="I2824" t="s">
        <v>115</v>
      </c>
      <c r="J2824" t="s">
        <v>115</v>
      </c>
      <c r="K2824" t="s">
        <v>126</v>
      </c>
      <c r="L2824" t="s">
        <v>114</v>
      </c>
      <c r="M2824" t="s">
        <v>334</v>
      </c>
      <c r="N2824" t="s">
        <v>104</v>
      </c>
      <c r="O2824" t="s">
        <v>104</v>
      </c>
    </row>
    <row r="2825" spans="1:15" x14ac:dyDescent="0.3">
      <c r="A2825" t="s">
        <v>33</v>
      </c>
      <c r="B2825" t="s">
        <v>390</v>
      </c>
      <c r="C2825">
        <v>708</v>
      </c>
      <c r="D2825" t="s">
        <v>198</v>
      </c>
      <c r="E2825" t="s">
        <v>136</v>
      </c>
      <c r="F2825" t="s">
        <v>319</v>
      </c>
      <c r="G2825" t="s">
        <v>123</v>
      </c>
      <c r="H2825" t="s">
        <v>207</v>
      </c>
      <c r="I2825" t="s">
        <v>207</v>
      </c>
      <c r="J2825" t="s">
        <v>104</v>
      </c>
      <c r="K2825" t="s">
        <v>215</v>
      </c>
      <c r="L2825" t="s">
        <v>132</v>
      </c>
      <c r="M2825" t="s">
        <v>367</v>
      </c>
      <c r="N2825" t="s">
        <v>99</v>
      </c>
      <c r="O2825" t="s">
        <v>99</v>
      </c>
    </row>
    <row r="2826" spans="1:15" x14ac:dyDescent="0.3">
      <c r="A2826" t="s">
        <v>33</v>
      </c>
      <c r="B2826" t="s">
        <v>365</v>
      </c>
      <c r="C2826">
        <v>139</v>
      </c>
      <c r="D2826" t="s">
        <v>99</v>
      </c>
      <c r="E2826" t="s">
        <v>99</v>
      </c>
      <c r="F2826" t="s">
        <v>382</v>
      </c>
      <c r="G2826" t="s">
        <v>121</v>
      </c>
      <c r="H2826" t="s">
        <v>99</v>
      </c>
      <c r="I2826" t="s">
        <v>108</v>
      </c>
      <c r="J2826" t="s">
        <v>99</v>
      </c>
      <c r="K2826" t="s">
        <v>121</v>
      </c>
      <c r="L2826" t="s">
        <v>99</v>
      </c>
      <c r="M2826" t="s">
        <v>1017</v>
      </c>
      <c r="N2826" t="s">
        <v>99</v>
      </c>
      <c r="O2826" t="s">
        <v>99</v>
      </c>
    </row>
    <row r="2827" spans="1:15" x14ac:dyDescent="0.3">
      <c r="A2827" t="s">
        <v>49</v>
      </c>
      <c r="B2827" t="s">
        <v>389</v>
      </c>
      <c r="C2827">
        <v>8498</v>
      </c>
      <c r="D2827" t="s">
        <v>114</v>
      </c>
      <c r="E2827" t="s">
        <v>132</v>
      </c>
      <c r="F2827" t="s">
        <v>108</v>
      </c>
      <c r="G2827" t="s">
        <v>154</v>
      </c>
      <c r="H2827" t="s">
        <v>127</v>
      </c>
      <c r="I2827" t="s">
        <v>100</v>
      </c>
      <c r="J2827" t="s">
        <v>108</v>
      </c>
      <c r="K2827" t="s">
        <v>215</v>
      </c>
      <c r="L2827" t="s">
        <v>127</v>
      </c>
      <c r="M2827" t="s">
        <v>421</v>
      </c>
      <c r="N2827" t="s">
        <v>115</v>
      </c>
      <c r="O2827" t="s">
        <v>198</v>
      </c>
    </row>
    <row r="2828" spans="1:15" x14ac:dyDescent="0.3">
      <c r="A2828" t="s">
        <v>49</v>
      </c>
      <c r="B2828" t="s">
        <v>390</v>
      </c>
      <c r="C2828">
        <v>4132</v>
      </c>
      <c r="D2828" t="s">
        <v>215</v>
      </c>
      <c r="E2828" t="s">
        <v>123</v>
      </c>
      <c r="F2828" t="s">
        <v>127</v>
      </c>
      <c r="G2828" t="s">
        <v>154</v>
      </c>
      <c r="H2828" t="s">
        <v>292</v>
      </c>
      <c r="I2828" t="s">
        <v>319</v>
      </c>
      <c r="J2828" t="s">
        <v>101</v>
      </c>
      <c r="K2828" t="s">
        <v>127</v>
      </c>
      <c r="L2828" t="s">
        <v>123</v>
      </c>
      <c r="M2828" t="s">
        <v>421</v>
      </c>
      <c r="N2828" t="s">
        <v>114</v>
      </c>
      <c r="O2828" t="s">
        <v>141</v>
      </c>
    </row>
    <row r="2829" spans="1:15" x14ac:dyDescent="0.3">
      <c r="A2829" t="s">
        <v>49</v>
      </c>
      <c r="B2829" t="s">
        <v>365</v>
      </c>
      <c r="C2829">
        <v>689</v>
      </c>
      <c r="D2829" t="s">
        <v>253</v>
      </c>
      <c r="E2829" t="s">
        <v>104</v>
      </c>
      <c r="F2829" t="s">
        <v>136</v>
      </c>
      <c r="G2829" t="s">
        <v>215</v>
      </c>
      <c r="H2829" t="s">
        <v>198</v>
      </c>
      <c r="I2829" t="s">
        <v>100</v>
      </c>
      <c r="J2829" t="s">
        <v>132</v>
      </c>
      <c r="K2829" t="s">
        <v>132</v>
      </c>
      <c r="L2829" t="s">
        <v>136</v>
      </c>
      <c r="M2829" t="s">
        <v>433</v>
      </c>
      <c r="N2829" t="s">
        <v>198</v>
      </c>
      <c r="O2829" t="s">
        <v>99</v>
      </c>
    </row>
    <row r="2831" spans="1:15" x14ac:dyDescent="0.3">
      <c r="A2831" t="s">
        <v>1307</v>
      </c>
    </row>
    <row r="2832" spans="1:15" x14ac:dyDescent="0.3">
      <c r="A2832" t="s">
        <v>44</v>
      </c>
      <c r="B2832" t="s">
        <v>235</v>
      </c>
      <c r="C2832" t="s">
        <v>32</v>
      </c>
      <c r="D2832" t="s">
        <v>1294</v>
      </c>
      <c r="E2832" t="s">
        <v>1295</v>
      </c>
      <c r="F2832" t="s">
        <v>1296</v>
      </c>
      <c r="G2832" t="s">
        <v>1297</v>
      </c>
      <c r="H2832" t="s">
        <v>1298</v>
      </c>
      <c r="I2832" t="s">
        <v>1299</v>
      </c>
      <c r="J2832" t="s">
        <v>1300</v>
      </c>
      <c r="K2832" t="s">
        <v>1301</v>
      </c>
      <c r="L2832" t="s">
        <v>1302</v>
      </c>
      <c r="M2832" t="s">
        <v>1303</v>
      </c>
      <c r="N2832" t="s">
        <v>1275</v>
      </c>
      <c r="O2832" t="s">
        <v>1304</v>
      </c>
    </row>
    <row r="2833" spans="1:15" x14ac:dyDescent="0.3">
      <c r="A2833" t="s">
        <v>35</v>
      </c>
      <c r="B2833" t="s">
        <v>236</v>
      </c>
      <c r="C2833">
        <v>1609</v>
      </c>
      <c r="D2833" t="s">
        <v>108</v>
      </c>
      <c r="E2833" t="s">
        <v>132</v>
      </c>
      <c r="F2833" t="s">
        <v>136</v>
      </c>
      <c r="G2833" t="s">
        <v>138</v>
      </c>
      <c r="H2833" t="s">
        <v>101</v>
      </c>
      <c r="I2833" t="s">
        <v>136</v>
      </c>
      <c r="J2833" t="s">
        <v>108</v>
      </c>
      <c r="K2833" t="s">
        <v>115</v>
      </c>
      <c r="L2833" t="s">
        <v>132</v>
      </c>
      <c r="M2833" t="s">
        <v>241</v>
      </c>
      <c r="N2833" t="s">
        <v>253</v>
      </c>
      <c r="O2833" t="s">
        <v>198</v>
      </c>
    </row>
    <row r="2834" spans="1:15" x14ac:dyDescent="0.3">
      <c r="A2834" t="s">
        <v>35</v>
      </c>
      <c r="B2834" t="s">
        <v>238</v>
      </c>
      <c r="C2834">
        <v>1535</v>
      </c>
      <c r="D2834" t="s">
        <v>103</v>
      </c>
      <c r="E2834" t="s">
        <v>111</v>
      </c>
      <c r="F2834" t="s">
        <v>123</v>
      </c>
      <c r="G2834" t="s">
        <v>107</v>
      </c>
      <c r="H2834" t="s">
        <v>107</v>
      </c>
      <c r="I2834" t="s">
        <v>123</v>
      </c>
      <c r="J2834" t="s">
        <v>123</v>
      </c>
      <c r="K2834" t="s">
        <v>215</v>
      </c>
      <c r="L2834" t="s">
        <v>117</v>
      </c>
      <c r="M2834" t="s">
        <v>183</v>
      </c>
      <c r="N2834" t="s">
        <v>136</v>
      </c>
      <c r="O2834" t="s">
        <v>115</v>
      </c>
    </row>
    <row r="2835" spans="1:15" x14ac:dyDescent="0.3">
      <c r="A2835" t="s">
        <v>37</v>
      </c>
      <c r="B2835" t="s">
        <v>236</v>
      </c>
      <c r="C2835">
        <v>2211</v>
      </c>
      <c r="D2835" t="s">
        <v>207</v>
      </c>
      <c r="E2835" t="s">
        <v>141</v>
      </c>
      <c r="F2835" t="s">
        <v>207</v>
      </c>
      <c r="G2835" t="s">
        <v>128</v>
      </c>
      <c r="H2835" t="s">
        <v>132</v>
      </c>
      <c r="I2835" t="s">
        <v>136</v>
      </c>
      <c r="J2835" t="s">
        <v>253</v>
      </c>
      <c r="K2835" t="s">
        <v>215</v>
      </c>
      <c r="L2835" t="s">
        <v>108</v>
      </c>
      <c r="M2835" t="s">
        <v>334</v>
      </c>
      <c r="N2835" t="s">
        <v>104</v>
      </c>
      <c r="O2835" t="s">
        <v>141</v>
      </c>
    </row>
    <row r="2836" spans="1:15" x14ac:dyDescent="0.3">
      <c r="A2836" t="s">
        <v>37</v>
      </c>
      <c r="B2836" t="s">
        <v>238</v>
      </c>
      <c r="C2836">
        <v>1644</v>
      </c>
      <c r="D2836" t="s">
        <v>136</v>
      </c>
      <c r="E2836" t="s">
        <v>253</v>
      </c>
      <c r="F2836" t="s">
        <v>104</v>
      </c>
      <c r="G2836" t="s">
        <v>126</v>
      </c>
      <c r="H2836" t="s">
        <v>101</v>
      </c>
      <c r="I2836" t="s">
        <v>136</v>
      </c>
      <c r="J2836" t="s">
        <v>141</v>
      </c>
      <c r="K2836" t="s">
        <v>121</v>
      </c>
      <c r="L2836" t="s">
        <v>121</v>
      </c>
      <c r="M2836" t="s">
        <v>367</v>
      </c>
      <c r="N2836" t="s">
        <v>198</v>
      </c>
      <c r="O2836" t="s">
        <v>99</v>
      </c>
    </row>
    <row r="2837" spans="1:15" x14ac:dyDescent="0.3">
      <c r="A2837" t="s">
        <v>36</v>
      </c>
      <c r="B2837" t="s">
        <v>236</v>
      </c>
      <c r="C2837">
        <v>1565</v>
      </c>
      <c r="D2837" t="s">
        <v>126</v>
      </c>
      <c r="E2837" t="s">
        <v>108</v>
      </c>
      <c r="F2837" t="s">
        <v>474</v>
      </c>
      <c r="G2837" t="s">
        <v>328</v>
      </c>
      <c r="H2837" t="s">
        <v>120</v>
      </c>
      <c r="I2837" t="s">
        <v>215</v>
      </c>
      <c r="J2837" t="s">
        <v>126</v>
      </c>
      <c r="K2837" t="s">
        <v>147</v>
      </c>
      <c r="L2837" t="s">
        <v>215</v>
      </c>
      <c r="M2837" t="s">
        <v>176</v>
      </c>
      <c r="N2837" t="s">
        <v>114</v>
      </c>
      <c r="O2837" t="s">
        <v>207</v>
      </c>
    </row>
    <row r="2838" spans="1:15" x14ac:dyDescent="0.3">
      <c r="A2838" t="s">
        <v>36</v>
      </c>
      <c r="B2838" t="s">
        <v>238</v>
      </c>
      <c r="C2838">
        <v>739</v>
      </c>
      <c r="D2838" t="s">
        <v>111</v>
      </c>
      <c r="E2838" t="s">
        <v>101</v>
      </c>
      <c r="F2838" t="s">
        <v>108</v>
      </c>
      <c r="G2838" t="s">
        <v>117</v>
      </c>
      <c r="H2838" t="s">
        <v>101</v>
      </c>
      <c r="I2838" t="s">
        <v>132</v>
      </c>
      <c r="J2838" t="s">
        <v>100</v>
      </c>
      <c r="K2838" t="s">
        <v>207</v>
      </c>
      <c r="L2838" t="s">
        <v>123</v>
      </c>
      <c r="M2838" t="s">
        <v>419</v>
      </c>
      <c r="N2838" t="s">
        <v>108</v>
      </c>
      <c r="O2838" t="s">
        <v>141</v>
      </c>
    </row>
    <row r="2839" spans="1:15" x14ac:dyDescent="0.3">
      <c r="A2839" t="s">
        <v>34</v>
      </c>
      <c r="B2839" t="s">
        <v>236</v>
      </c>
      <c r="C2839">
        <v>717</v>
      </c>
      <c r="D2839" t="s">
        <v>268</v>
      </c>
      <c r="E2839" t="s">
        <v>292</v>
      </c>
      <c r="F2839" t="s">
        <v>115</v>
      </c>
      <c r="G2839" t="s">
        <v>135</v>
      </c>
      <c r="H2839" t="s">
        <v>147</v>
      </c>
      <c r="I2839" t="s">
        <v>120</v>
      </c>
      <c r="J2839" t="s">
        <v>123</v>
      </c>
      <c r="K2839" t="s">
        <v>292</v>
      </c>
      <c r="L2839" t="s">
        <v>382</v>
      </c>
      <c r="M2839" t="s">
        <v>612</v>
      </c>
      <c r="N2839" t="s">
        <v>292</v>
      </c>
      <c r="O2839" t="s">
        <v>99</v>
      </c>
    </row>
    <row r="2840" spans="1:15" x14ac:dyDescent="0.3">
      <c r="A2840" t="s">
        <v>34</v>
      </c>
      <c r="B2840" t="s">
        <v>238</v>
      </c>
      <c r="C2840">
        <v>1362</v>
      </c>
      <c r="D2840" t="s">
        <v>126</v>
      </c>
      <c r="E2840" t="s">
        <v>114</v>
      </c>
      <c r="F2840" t="s">
        <v>103</v>
      </c>
      <c r="G2840" t="s">
        <v>144</v>
      </c>
      <c r="H2840" t="s">
        <v>128</v>
      </c>
      <c r="I2840" t="s">
        <v>103</v>
      </c>
      <c r="J2840" t="s">
        <v>132</v>
      </c>
      <c r="K2840" t="s">
        <v>120</v>
      </c>
      <c r="L2840" t="s">
        <v>129</v>
      </c>
      <c r="M2840" t="s">
        <v>174</v>
      </c>
      <c r="N2840" t="s">
        <v>120</v>
      </c>
      <c r="O2840" t="s">
        <v>198</v>
      </c>
    </row>
    <row r="2841" spans="1:15" x14ac:dyDescent="0.3">
      <c r="A2841" t="s">
        <v>33</v>
      </c>
      <c r="B2841" t="s">
        <v>236</v>
      </c>
      <c r="C2841">
        <v>1116</v>
      </c>
      <c r="D2841" t="s">
        <v>198</v>
      </c>
      <c r="E2841" t="s">
        <v>141</v>
      </c>
      <c r="F2841" t="s">
        <v>132</v>
      </c>
      <c r="G2841" t="s">
        <v>332</v>
      </c>
      <c r="H2841" t="s">
        <v>141</v>
      </c>
      <c r="I2841" t="s">
        <v>136</v>
      </c>
      <c r="J2841" t="s">
        <v>207</v>
      </c>
      <c r="K2841" t="s">
        <v>117</v>
      </c>
      <c r="L2841" t="s">
        <v>108</v>
      </c>
      <c r="M2841" t="s">
        <v>362</v>
      </c>
      <c r="N2841" t="s">
        <v>198</v>
      </c>
      <c r="O2841" t="s">
        <v>104</v>
      </c>
    </row>
    <row r="2842" spans="1:15" x14ac:dyDescent="0.3">
      <c r="A2842" t="s">
        <v>33</v>
      </c>
      <c r="B2842" t="s">
        <v>238</v>
      </c>
      <c r="C2842">
        <v>821</v>
      </c>
      <c r="D2842" t="s">
        <v>198</v>
      </c>
      <c r="E2842" t="s">
        <v>141</v>
      </c>
      <c r="F2842" t="s">
        <v>132</v>
      </c>
      <c r="G2842" t="s">
        <v>111</v>
      </c>
      <c r="H2842" t="s">
        <v>253</v>
      </c>
      <c r="I2842" t="s">
        <v>253</v>
      </c>
      <c r="J2842" t="s">
        <v>115</v>
      </c>
      <c r="K2842" t="s">
        <v>253</v>
      </c>
      <c r="L2842" t="s">
        <v>132</v>
      </c>
      <c r="M2842" t="s">
        <v>768</v>
      </c>
      <c r="N2842" t="s">
        <v>99</v>
      </c>
      <c r="O2842" t="s">
        <v>99</v>
      </c>
    </row>
    <row r="2843" spans="1:15" x14ac:dyDescent="0.3">
      <c r="A2843" t="s">
        <v>49</v>
      </c>
      <c r="B2843" t="s">
        <v>236</v>
      </c>
      <c r="C2843">
        <v>7218</v>
      </c>
      <c r="D2843" t="s">
        <v>132</v>
      </c>
      <c r="E2843" t="s">
        <v>132</v>
      </c>
      <c r="F2843" t="s">
        <v>108</v>
      </c>
      <c r="G2843" t="s">
        <v>118</v>
      </c>
      <c r="H2843" t="s">
        <v>101</v>
      </c>
      <c r="I2843" t="s">
        <v>132</v>
      </c>
      <c r="J2843" t="s">
        <v>108</v>
      </c>
      <c r="K2843" t="s">
        <v>127</v>
      </c>
      <c r="L2843" t="s">
        <v>114</v>
      </c>
      <c r="M2843" t="s">
        <v>400</v>
      </c>
      <c r="N2843" t="s">
        <v>253</v>
      </c>
      <c r="O2843" t="s">
        <v>207</v>
      </c>
    </row>
    <row r="2844" spans="1:15" x14ac:dyDescent="0.3">
      <c r="A2844" t="s">
        <v>49</v>
      </c>
      <c r="B2844" t="s">
        <v>238</v>
      </c>
      <c r="C2844">
        <v>6101</v>
      </c>
      <c r="D2844" t="s">
        <v>126</v>
      </c>
      <c r="E2844" t="s">
        <v>101</v>
      </c>
      <c r="F2844" t="s">
        <v>319</v>
      </c>
      <c r="G2844" t="s">
        <v>105</v>
      </c>
      <c r="H2844" t="s">
        <v>292</v>
      </c>
      <c r="I2844" t="s">
        <v>126</v>
      </c>
      <c r="J2844" t="s">
        <v>100</v>
      </c>
      <c r="K2844" t="s">
        <v>382</v>
      </c>
      <c r="L2844" t="s">
        <v>111</v>
      </c>
      <c r="M2844" t="s">
        <v>1308</v>
      </c>
      <c r="N2844" t="s">
        <v>108</v>
      </c>
      <c r="O2844" t="s">
        <v>207</v>
      </c>
    </row>
    <row r="2846" spans="1:15" x14ac:dyDescent="0.3">
      <c r="A2846" t="s">
        <v>1309</v>
      </c>
    </row>
    <row r="2847" spans="1:15" x14ac:dyDescent="0.3">
      <c r="A2847" t="s">
        <v>44</v>
      </c>
      <c r="B2847" t="s">
        <v>1287</v>
      </c>
      <c r="C2847" t="s">
        <v>32</v>
      </c>
      <c r="D2847" t="s">
        <v>1294</v>
      </c>
      <c r="E2847" t="s">
        <v>1295</v>
      </c>
      <c r="F2847" t="s">
        <v>1296</v>
      </c>
      <c r="G2847" t="s">
        <v>1297</v>
      </c>
      <c r="H2847" t="s">
        <v>1298</v>
      </c>
      <c r="I2847" t="s">
        <v>1299</v>
      </c>
      <c r="J2847" t="s">
        <v>1300</v>
      </c>
      <c r="K2847" t="s">
        <v>1301</v>
      </c>
      <c r="L2847" t="s">
        <v>1302</v>
      </c>
      <c r="M2847" t="s">
        <v>1303</v>
      </c>
      <c r="N2847" t="s">
        <v>1275</v>
      </c>
      <c r="O2847" t="s">
        <v>1304</v>
      </c>
    </row>
    <row r="2848" spans="1:15" x14ac:dyDescent="0.3">
      <c r="A2848" t="s">
        <v>35</v>
      </c>
      <c r="B2848" t="s">
        <v>1288</v>
      </c>
      <c r="C2848">
        <v>2773</v>
      </c>
      <c r="D2848" t="s">
        <v>382</v>
      </c>
      <c r="E2848" t="s">
        <v>382</v>
      </c>
      <c r="F2848" t="s">
        <v>101</v>
      </c>
      <c r="G2848" t="s">
        <v>120</v>
      </c>
      <c r="H2848" t="s">
        <v>151</v>
      </c>
      <c r="I2848" t="s">
        <v>121</v>
      </c>
      <c r="J2848" t="s">
        <v>100</v>
      </c>
      <c r="K2848" t="s">
        <v>101</v>
      </c>
      <c r="L2848" t="s">
        <v>126</v>
      </c>
      <c r="M2848" t="s">
        <v>241</v>
      </c>
      <c r="N2848" t="s">
        <v>141</v>
      </c>
      <c r="O2848" t="s">
        <v>141</v>
      </c>
    </row>
    <row r="2849" spans="1:15" x14ac:dyDescent="0.3">
      <c r="A2849" t="s">
        <v>35</v>
      </c>
      <c r="B2849" t="s">
        <v>1289</v>
      </c>
      <c r="C2849">
        <v>343</v>
      </c>
      <c r="D2849" t="s">
        <v>149</v>
      </c>
      <c r="E2849" t="s">
        <v>120</v>
      </c>
      <c r="F2849" t="s">
        <v>151</v>
      </c>
      <c r="G2849" t="s">
        <v>242</v>
      </c>
      <c r="H2849" t="s">
        <v>144</v>
      </c>
      <c r="I2849" t="s">
        <v>157</v>
      </c>
      <c r="J2849" t="s">
        <v>434</v>
      </c>
      <c r="K2849" t="s">
        <v>127</v>
      </c>
      <c r="L2849" t="s">
        <v>712</v>
      </c>
      <c r="M2849" t="s">
        <v>1277</v>
      </c>
      <c r="N2849" t="s">
        <v>253</v>
      </c>
      <c r="O2849" t="s">
        <v>114</v>
      </c>
    </row>
    <row r="2850" spans="1:15" s="5" customFormat="1" x14ac:dyDescent="0.3">
      <c r="A2850" s="5" t="s">
        <v>35</v>
      </c>
      <c r="B2850" s="5" t="s">
        <v>1290</v>
      </c>
      <c r="C2850" s="5">
        <v>26</v>
      </c>
      <c r="D2850" s="5" t="s">
        <v>129</v>
      </c>
      <c r="E2850" s="5" t="s">
        <v>129</v>
      </c>
      <c r="F2850" s="5" t="s">
        <v>158</v>
      </c>
      <c r="G2850" s="5" t="s">
        <v>133</v>
      </c>
      <c r="H2850" s="5" t="s">
        <v>401</v>
      </c>
      <c r="I2850" s="5" t="s">
        <v>158</v>
      </c>
      <c r="J2850" s="5" t="s">
        <v>814</v>
      </c>
      <c r="K2850" s="5" t="s">
        <v>129</v>
      </c>
      <c r="L2850" s="5" t="s">
        <v>158</v>
      </c>
      <c r="M2850" s="5" t="s">
        <v>623</v>
      </c>
      <c r="N2850" s="5" t="s">
        <v>99</v>
      </c>
      <c r="O2850" s="5" t="s">
        <v>99</v>
      </c>
    </row>
    <row r="2851" spans="1:15" x14ac:dyDescent="0.3">
      <c r="A2851" t="s">
        <v>35</v>
      </c>
      <c r="B2851" t="s">
        <v>365</v>
      </c>
      <c r="C2851">
        <v>2</v>
      </c>
      <c r="D2851" t="s">
        <v>99</v>
      </c>
      <c r="E2851" t="s">
        <v>99</v>
      </c>
      <c r="F2851" t="s">
        <v>99</v>
      </c>
      <c r="G2851" t="s">
        <v>99</v>
      </c>
      <c r="H2851" t="s">
        <v>99</v>
      </c>
      <c r="I2851" t="s">
        <v>99</v>
      </c>
      <c r="J2851" t="s">
        <v>99</v>
      </c>
      <c r="K2851" t="s">
        <v>99</v>
      </c>
      <c r="L2851" t="s">
        <v>99</v>
      </c>
      <c r="M2851" t="s">
        <v>211</v>
      </c>
      <c r="N2851" t="s">
        <v>99</v>
      </c>
      <c r="O2851" t="s">
        <v>99</v>
      </c>
    </row>
    <row r="2852" spans="1:15" x14ac:dyDescent="0.3">
      <c r="A2852" t="s">
        <v>37</v>
      </c>
      <c r="B2852" t="s">
        <v>1288</v>
      </c>
      <c r="C2852">
        <v>3622</v>
      </c>
      <c r="D2852" t="s">
        <v>198</v>
      </c>
      <c r="E2852" t="s">
        <v>136</v>
      </c>
      <c r="F2852" t="s">
        <v>198</v>
      </c>
      <c r="G2852" t="s">
        <v>151</v>
      </c>
      <c r="H2852" t="s">
        <v>108</v>
      </c>
      <c r="I2852" t="s">
        <v>207</v>
      </c>
      <c r="J2852" t="s">
        <v>136</v>
      </c>
      <c r="K2852" t="s">
        <v>126</v>
      </c>
      <c r="L2852" t="s">
        <v>132</v>
      </c>
      <c r="M2852" t="s">
        <v>778</v>
      </c>
      <c r="N2852" t="s">
        <v>198</v>
      </c>
      <c r="O2852" t="s">
        <v>207</v>
      </c>
    </row>
    <row r="2853" spans="1:15" x14ac:dyDescent="0.3">
      <c r="A2853" t="s">
        <v>37</v>
      </c>
      <c r="B2853" t="s">
        <v>1289</v>
      </c>
      <c r="C2853">
        <v>201</v>
      </c>
      <c r="D2853" t="s">
        <v>316</v>
      </c>
      <c r="E2853" t="s">
        <v>157</v>
      </c>
      <c r="F2853" t="s">
        <v>108</v>
      </c>
      <c r="G2853" t="s">
        <v>149</v>
      </c>
      <c r="H2853" t="s">
        <v>117</v>
      </c>
      <c r="I2853" t="s">
        <v>132</v>
      </c>
      <c r="J2853" t="s">
        <v>120</v>
      </c>
      <c r="K2853" t="s">
        <v>151</v>
      </c>
      <c r="L2853" t="s">
        <v>130</v>
      </c>
      <c r="M2853" t="s">
        <v>290</v>
      </c>
      <c r="N2853" t="s">
        <v>99</v>
      </c>
      <c r="O2853" t="s">
        <v>99</v>
      </c>
    </row>
    <row r="2854" spans="1:15" s="5" customFormat="1" x14ac:dyDescent="0.3">
      <c r="A2854" s="5" t="s">
        <v>37</v>
      </c>
      <c r="B2854" s="5" t="s">
        <v>1290</v>
      </c>
      <c r="C2854" s="5">
        <v>26</v>
      </c>
      <c r="D2854" s="5" t="s">
        <v>120</v>
      </c>
      <c r="E2854" s="5" t="s">
        <v>120</v>
      </c>
      <c r="F2854" s="5" t="s">
        <v>99</v>
      </c>
      <c r="G2854" s="5" t="s">
        <v>120</v>
      </c>
      <c r="H2854" s="5" t="s">
        <v>99</v>
      </c>
      <c r="I2854" s="5" t="s">
        <v>99</v>
      </c>
      <c r="J2854" s="5" t="s">
        <v>99</v>
      </c>
      <c r="K2854" s="5" t="s">
        <v>99</v>
      </c>
      <c r="L2854" s="5" t="s">
        <v>120</v>
      </c>
      <c r="M2854" s="5" t="s">
        <v>467</v>
      </c>
      <c r="N2854" s="5" t="s">
        <v>99</v>
      </c>
      <c r="O2854" s="5" t="s">
        <v>99</v>
      </c>
    </row>
    <row r="2855" spans="1:15" x14ac:dyDescent="0.3">
      <c r="A2855" t="s">
        <v>37</v>
      </c>
      <c r="B2855" t="s">
        <v>365</v>
      </c>
      <c r="C2855">
        <v>6</v>
      </c>
      <c r="D2855" t="s">
        <v>99</v>
      </c>
      <c r="E2855" t="s">
        <v>99</v>
      </c>
      <c r="F2855" t="s">
        <v>99</v>
      </c>
      <c r="G2855" t="s">
        <v>262</v>
      </c>
      <c r="H2855" t="s">
        <v>99</v>
      </c>
      <c r="I2855" t="s">
        <v>99</v>
      </c>
      <c r="J2855" t="s">
        <v>262</v>
      </c>
      <c r="K2855" t="s">
        <v>99</v>
      </c>
      <c r="L2855" t="s">
        <v>99</v>
      </c>
      <c r="M2855" t="s">
        <v>889</v>
      </c>
      <c r="N2855" t="s">
        <v>99</v>
      </c>
      <c r="O2855" t="s">
        <v>99</v>
      </c>
    </row>
    <row r="2856" spans="1:15" x14ac:dyDescent="0.3">
      <c r="A2856" t="s">
        <v>36</v>
      </c>
      <c r="B2856" t="s">
        <v>1288</v>
      </c>
      <c r="C2856">
        <v>1421</v>
      </c>
      <c r="D2856" t="s">
        <v>151</v>
      </c>
      <c r="E2856" t="s">
        <v>100</v>
      </c>
      <c r="F2856" t="s">
        <v>111</v>
      </c>
      <c r="G2856" t="s">
        <v>157</v>
      </c>
      <c r="H2856" t="s">
        <v>123</v>
      </c>
      <c r="I2856" t="s">
        <v>253</v>
      </c>
      <c r="J2856" t="s">
        <v>115</v>
      </c>
      <c r="K2856" t="s">
        <v>100</v>
      </c>
      <c r="L2856" t="s">
        <v>101</v>
      </c>
      <c r="M2856" t="s">
        <v>421</v>
      </c>
      <c r="N2856" t="s">
        <v>115</v>
      </c>
      <c r="O2856" t="s">
        <v>141</v>
      </c>
    </row>
    <row r="2857" spans="1:15" x14ac:dyDescent="0.3">
      <c r="A2857" t="s">
        <v>36</v>
      </c>
      <c r="B2857" t="s">
        <v>1289</v>
      </c>
      <c r="C2857">
        <v>818</v>
      </c>
      <c r="D2857" t="s">
        <v>127</v>
      </c>
      <c r="E2857" t="s">
        <v>100</v>
      </c>
      <c r="F2857" t="s">
        <v>316</v>
      </c>
      <c r="G2857" t="s">
        <v>712</v>
      </c>
      <c r="H2857" t="s">
        <v>151</v>
      </c>
      <c r="I2857" t="s">
        <v>151</v>
      </c>
      <c r="J2857" t="s">
        <v>316</v>
      </c>
      <c r="K2857" t="s">
        <v>292</v>
      </c>
      <c r="L2857" t="s">
        <v>107</v>
      </c>
      <c r="M2857" t="s">
        <v>217</v>
      </c>
      <c r="N2857" t="s">
        <v>101</v>
      </c>
      <c r="O2857" t="s">
        <v>136</v>
      </c>
    </row>
    <row r="2858" spans="1:15" x14ac:dyDescent="0.3">
      <c r="A2858" t="s">
        <v>36</v>
      </c>
      <c r="B2858" t="s">
        <v>1290</v>
      </c>
      <c r="C2858">
        <v>59</v>
      </c>
      <c r="D2858" t="s">
        <v>198</v>
      </c>
      <c r="E2858" t="s">
        <v>99</v>
      </c>
      <c r="F2858" t="s">
        <v>242</v>
      </c>
      <c r="G2858" t="s">
        <v>702</v>
      </c>
      <c r="H2858" t="s">
        <v>474</v>
      </c>
      <c r="I2858" t="s">
        <v>100</v>
      </c>
      <c r="J2858" t="s">
        <v>115</v>
      </c>
      <c r="K2858" t="s">
        <v>136</v>
      </c>
      <c r="L2858" t="s">
        <v>198</v>
      </c>
      <c r="M2858" t="s">
        <v>1174</v>
      </c>
      <c r="N2858" t="s">
        <v>158</v>
      </c>
      <c r="O2858" t="s">
        <v>198</v>
      </c>
    </row>
    <row r="2859" spans="1:15" x14ac:dyDescent="0.3">
      <c r="A2859" t="s">
        <v>36</v>
      </c>
      <c r="B2859" t="s">
        <v>365</v>
      </c>
      <c r="C2859">
        <v>6</v>
      </c>
      <c r="D2859" t="s">
        <v>99</v>
      </c>
      <c r="E2859" t="s">
        <v>108</v>
      </c>
      <c r="F2859" t="s">
        <v>108</v>
      </c>
      <c r="G2859" t="s">
        <v>99</v>
      </c>
      <c r="H2859" t="s">
        <v>99</v>
      </c>
      <c r="I2859" t="s">
        <v>463</v>
      </c>
      <c r="J2859" t="s">
        <v>108</v>
      </c>
      <c r="K2859" t="s">
        <v>108</v>
      </c>
      <c r="L2859" t="s">
        <v>99</v>
      </c>
      <c r="M2859" t="s">
        <v>426</v>
      </c>
      <c r="N2859" t="s">
        <v>99</v>
      </c>
      <c r="O2859" t="s">
        <v>99</v>
      </c>
    </row>
    <row r="2860" spans="1:15" x14ac:dyDescent="0.3">
      <c r="A2860" t="s">
        <v>34</v>
      </c>
      <c r="B2860" t="s">
        <v>1288</v>
      </c>
      <c r="C2860">
        <v>1334</v>
      </c>
      <c r="D2860" t="s">
        <v>115</v>
      </c>
      <c r="E2860" t="s">
        <v>132</v>
      </c>
      <c r="F2860" t="s">
        <v>100</v>
      </c>
      <c r="G2860" t="s">
        <v>107</v>
      </c>
      <c r="H2860" t="s">
        <v>382</v>
      </c>
      <c r="I2860" t="s">
        <v>268</v>
      </c>
      <c r="J2860" t="s">
        <v>132</v>
      </c>
      <c r="K2860" t="s">
        <v>215</v>
      </c>
      <c r="L2860" t="s">
        <v>215</v>
      </c>
      <c r="M2860" t="s">
        <v>73</v>
      </c>
      <c r="N2860" t="s">
        <v>253</v>
      </c>
      <c r="O2860" t="s">
        <v>198</v>
      </c>
    </row>
    <row r="2861" spans="1:15" x14ac:dyDescent="0.3">
      <c r="A2861" t="s">
        <v>34</v>
      </c>
      <c r="B2861" t="s">
        <v>1289</v>
      </c>
      <c r="C2861">
        <v>709</v>
      </c>
      <c r="D2861" t="s">
        <v>105</v>
      </c>
      <c r="E2861" t="s">
        <v>292</v>
      </c>
      <c r="F2861" t="s">
        <v>105</v>
      </c>
      <c r="G2861" t="s">
        <v>311</v>
      </c>
      <c r="H2861" t="s">
        <v>434</v>
      </c>
      <c r="I2861" t="s">
        <v>157</v>
      </c>
      <c r="J2861" t="s">
        <v>215</v>
      </c>
      <c r="K2861" t="s">
        <v>129</v>
      </c>
      <c r="L2861" t="s">
        <v>98</v>
      </c>
      <c r="M2861" t="s">
        <v>518</v>
      </c>
      <c r="N2861" t="s">
        <v>112</v>
      </c>
      <c r="O2861" t="s">
        <v>99</v>
      </c>
    </row>
    <row r="2862" spans="1:15" x14ac:dyDescent="0.3">
      <c r="A2862" t="s">
        <v>34</v>
      </c>
      <c r="B2862" t="s">
        <v>1290</v>
      </c>
      <c r="C2862">
        <v>31</v>
      </c>
      <c r="D2862" t="s">
        <v>132</v>
      </c>
      <c r="E2862" t="s">
        <v>99</v>
      </c>
      <c r="F2862" t="s">
        <v>99</v>
      </c>
      <c r="G2862" t="s">
        <v>99</v>
      </c>
      <c r="H2862" t="s">
        <v>277</v>
      </c>
      <c r="I2862" t="s">
        <v>132</v>
      </c>
      <c r="J2862" t="s">
        <v>101</v>
      </c>
      <c r="K2862" t="s">
        <v>99</v>
      </c>
      <c r="L2862" t="s">
        <v>138</v>
      </c>
      <c r="M2862" t="s">
        <v>859</v>
      </c>
      <c r="N2862" t="s">
        <v>244</v>
      </c>
      <c r="O2862" t="s">
        <v>99</v>
      </c>
    </row>
    <row r="2863" spans="1:15" x14ac:dyDescent="0.3">
      <c r="A2863" t="s">
        <v>34</v>
      </c>
      <c r="B2863" t="s">
        <v>365</v>
      </c>
      <c r="C2863">
        <v>5</v>
      </c>
      <c r="D2863" t="s">
        <v>99</v>
      </c>
      <c r="E2863" t="s">
        <v>99</v>
      </c>
      <c r="F2863" t="s">
        <v>99</v>
      </c>
      <c r="G2863" t="s">
        <v>99</v>
      </c>
      <c r="H2863" t="s">
        <v>99</v>
      </c>
      <c r="I2863" t="s">
        <v>99</v>
      </c>
      <c r="J2863" t="s">
        <v>99</v>
      </c>
      <c r="K2863" t="s">
        <v>99</v>
      </c>
      <c r="L2863" t="s">
        <v>99</v>
      </c>
      <c r="M2863" t="s">
        <v>226</v>
      </c>
      <c r="N2863" t="s">
        <v>99</v>
      </c>
      <c r="O2863" t="s">
        <v>150</v>
      </c>
    </row>
    <row r="2864" spans="1:15" x14ac:dyDescent="0.3">
      <c r="A2864" t="s">
        <v>33</v>
      </c>
      <c r="B2864" t="s">
        <v>1288</v>
      </c>
      <c r="C2864">
        <v>1842</v>
      </c>
      <c r="D2864" t="s">
        <v>198</v>
      </c>
      <c r="E2864" t="s">
        <v>141</v>
      </c>
      <c r="F2864" t="s">
        <v>115</v>
      </c>
      <c r="G2864" t="s">
        <v>128</v>
      </c>
      <c r="H2864" t="s">
        <v>141</v>
      </c>
      <c r="I2864" t="s">
        <v>141</v>
      </c>
      <c r="J2864" t="s">
        <v>198</v>
      </c>
      <c r="K2864" t="s">
        <v>382</v>
      </c>
      <c r="L2864" t="s">
        <v>132</v>
      </c>
      <c r="M2864" t="s">
        <v>505</v>
      </c>
      <c r="N2864" t="s">
        <v>104</v>
      </c>
      <c r="O2864" t="s">
        <v>104</v>
      </c>
    </row>
    <row r="2865" spans="1:18" x14ac:dyDescent="0.3">
      <c r="A2865" t="s">
        <v>33</v>
      </c>
      <c r="B2865" t="s">
        <v>1289</v>
      </c>
      <c r="C2865">
        <v>90</v>
      </c>
      <c r="D2865" t="s">
        <v>99</v>
      </c>
      <c r="E2865" t="s">
        <v>114</v>
      </c>
      <c r="F2865" t="s">
        <v>111</v>
      </c>
      <c r="G2865" t="s">
        <v>74</v>
      </c>
      <c r="H2865" t="s">
        <v>215</v>
      </c>
      <c r="I2865" t="s">
        <v>127</v>
      </c>
      <c r="J2865" t="s">
        <v>242</v>
      </c>
      <c r="K2865" t="s">
        <v>115</v>
      </c>
      <c r="L2865" t="s">
        <v>123</v>
      </c>
      <c r="M2865" t="s">
        <v>422</v>
      </c>
      <c r="N2865" t="s">
        <v>99</v>
      </c>
      <c r="O2865" t="s">
        <v>99</v>
      </c>
    </row>
    <row r="2866" spans="1:18" s="5" customFormat="1" x14ac:dyDescent="0.3">
      <c r="A2866" s="5" t="s">
        <v>33</v>
      </c>
      <c r="B2866" s="5" t="s">
        <v>1290</v>
      </c>
      <c r="C2866" s="5">
        <v>2</v>
      </c>
      <c r="D2866" s="5" t="s">
        <v>99</v>
      </c>
      <c r="E2866" s="5" t="s">
        <v>99</v>
      </c>
      <c r="F2866" s="5" t="s">
        <v>99</v>
      </c>
      <c r="G2866" s="5" t="s">
        <v>99</v>
      </c>
      <c r="H2866" s="5" t="s">
        <v>99</v>
      </c>
      <c r="I2866" s="5" t="s">
        <v>99</v>
      </c>
      <c r="J2866" s="5" t="s">
        <v>99</v>
      </c>
      <c r="K2866" s="5" t="s">
        <v>99</v>
      </c>
      <c r="L2866" s="5" t="s">
        <v>99</v>
      </c>
      <c r="M2866" s="5" t="s">
        <v>211</v>
      </c>
      <c r="N2866" s="5" t="s">
        <v>99</v>
      </c>
      <c r="O2866" s="5" t="s">
        <v>99</v>
      </c>
    </row>
    <row r="2867" spans="1:18" x14ac:dyDescent="0.3">
      <c r="A2867" t="s">
        <v>33</v>
      </c>
      <c r="B2867" t="s">
        <v>365</v>
      </c>
      <c r="C2867">
        <v>3</v>
      </c>
      <c r="D2867" t="s">
        <v>99</v>
      </c>
      <c r="E2867" t="s">
        <v>99</v>
      </c>
      <c r="F2867" t="s">
        <v>99</v>
      </c>
      <c r="G2867" t="s">
        <v>99</v>
      </c>
      <c r="H2867" t="s">
        <v>99</v>
      </c>
      <c r="I2867" t="s">
        <v>99</v>
      </c>
      <c r="J2867" t="s">
        <v>99</v>
      </c>
      <c r="K2867" t="s">
        <v>99</v>
      </c>
      <c r="L2867" t="s">
        <v>99</v>
      </c>
      <c r="M2867" t="s">
        <v>211</v>
      </c>
      <c r="N2867" t="s">
        <v>99</v>
      </c>
      <c r="O2867" t="s">
        <v>99</v>
      </c>
    </row>
    <row r="2868" spans="1:18" x14ac:dyDescent="0.3">
      <c r="A2868" t="s">
        <v>49</v>
      </c>
      <c r="B2868" t="s">
        <v>1288</v>
      </c>
      <c r="C2868">
        <v>10992</v>
      </c>
      <c r="D2868" t="s">
        <v>132</v>
      </c>
      <c r="E2868" t="s">
        <v>108</v>
      </c>
      <c r="F2868" t="s">
        <v>108</v>
      </c>
      <c r="G2868" t="s">
        <v>316</v>
      </c>
      <c r="H2868" t="s">
        <v>101</v>
      </c>
      <c r="I2868" t="s">
        <v>108</v>
      </c>
      <c r="J2868" t="s">
        <v>115</v>
      </c>
      <c r="K2868" t="s">
        <v>319</v>
      </c>
      <c r="L2868" t="s">
        <v>121</v>
      </c>
      <c r="M2868" t="s">
        <v>414</v>
      </c>
      <c r="N2868" t="s">
        <v>207</v>
      </c>
      <c r="O2868" t="s">
        <v>207</v>
      </c>
    </row>
    <row r="2869" spans="1:18" x14ac:dyDescent="0.3">
      <c r="A2869" t="s">
        <v>49</v>
      </c>
      <c r="B2869" t="s">
        <v>1289</v>
      </c>
      <c r="C2869">
        <v>2161</v>
      </c>
      <c r="D2869" t="s">
        <v>157</v>
      </c>
      <c r="E2869" t="s">
        <v>292</v>
      </c>
      <c r="F2869" t="s">
        <v>316</v>
      </c>
      <c r="G2869" t="s">
        <v>78</v>
      </c>
      <c r="H2869" t="s">
        <v>129</v>
      </c>
      <c r="I2869" t="s">
        <v>316</v>
      </c>
      <c r="J2869" t="s">
        <v>316</v>
      </c>
      <c r="K2869" t="s">
        <v>120</v>
      </c>
      <c r="L2869" t="s">
        <v>112</v>
      </c>
      <c r="M2869" t="s">
        <v>397</v>
      </c>
      <c r="N2869" t="s">
        <v>103</v>
      </c>
      <c r="O2869" t="s">
        <v>207</v>
      </c>
    </row>
    <row r="2870" spans="1:18" x14ac:dyDescent="0.3">
      <c r="A2870" t="s">
        <v>49</v>
      </c>
      <c r="B2870" t="s">
        <v>1290</v>
      </c>
      <c r="C2870">
        <v>144</v>
      </c>
      <c r="D2870" t="s">
        <v>215</v>
      </c>
      <c r="E2870" t="s">
        <v>319</v>
      </c>
      <c r="F2870" t="s">
        <v>215</v>
      </c>
      <c r="G2870" t="s">
        <v>328</v>
      </c>
      <c r="H2870" t="s">
        <v>112</v>
      </c>
      <c r="I2870" t="s">
        <v>126</v>
      </c>
      <c r="J2870" t="s">
        <v>138</v>
      </c>
      <c r="K2870" t="s">
        <v>132</v>
      </c>
      <c r="L2870" t="s">
        <v>157</v>
      </c>
      <c r="M2870" t="s">
        <v>317</v>
      </c>
      <c r="N2870" t="s">
        <v>109</v>
      </c>
      <c r="O2870" t="s">
        <v>99</v>
      </c>
    </row>
    <row r="2871" spans="1:18" x14ac:dyDescent="0.3">
      <c r="A2871" t="s">
        <v>49</v>
      </c>
      <c r="B2871" t="s">
        <v>365</v>
      </c>
      <c r="C2871">
        <v>22</v>
      </c>
      <c r="D2871" t="s">
        <v>99</v>
      </c>
      <c r="E2871" t="s">
        <v>198</v>
      </c>
      <c r="F2871" t="s">
        <v>198</v>
      </c>
      <c r="G2871" t="s">
        <v>147</v>
      </c>
      <c r="H2871" t="s">
        <v>99</v>
      </c>
      <c r="I2871" t="s">
        <v>130</v>
      </c>
      <c r="J2871" t="s">
        <v>157</v>
      </c>
      <c r="K2871" t="s">
        <v>198</v>
      </c>
      <c r="L2871" t="s">
        <v>99</v>
      </c>
      <c r="M2871" t="s">
        <v>961</v>
      </c>
      <c r="N2871" t="s">
        <v>99</v>
      </c>
      <c r="O2871" t="s">
        <v>111</v>
      </c>
    </row>
    <row r="2873" spans="1:18" x14ac:dyDescent="0.3">
      <c r="A2873" t="s">
        <v>1310</v>
      </c>
    </row>
    <row r="2874" spans="1:18" x14ac:dyDescent="0.3">
      <c r="A2874" t="s">
        <v>44</v>
      </c>
      <c r="B2874" t="s">
        <v>32</v>
      </c>
      <c r="C2874" t="s">
        <v>1311</v>
      </c>
      <c r="D2874" t="s">
        <v>1312</v>
      </c>
      <c r="E2874" t="s">
        <v>1313</v>
      </c>
      <c r="F2874" t="s">
        <v>1314</v>
      </c>
      <c r="G2874" t="s">
        <v>1315</v>
      </c>
      <c r="H2874" t="s">
        <v>1316</v>
      </c>
      <c r="I2874" t="s">
        <v>1317</v>
      </c>
      <c r="J2874" t="s">
        <v>1318</v>
      </c>
      <c r="K2874" t="s">
        <v>1319</v>
      </c>
      <c r="L2874" t="s">
        <v>1320</v>
      </c>
      <c r="M2874" t="s">
        <v>1321</v>
      </c>
      <c r="N2874" t="s">
        <v>1322</v>
      </c>
      <c r="O2874" t="s">
        <v>1323</v>
      </c>
      <c r="P2874" t="s">
        <v>88</v>
      </c>
      <c r="Q2874" t="s">
        <v>83</v>
      </c>
      <c r="R2874" t="s">
        <v>193</v>
      </c>
    </row>
    <row r="2875" spans="1:18" x14ac:dyDescent="0.3">
      <c r="A2875" t="s">
        <v>35</v>
      </c>
      <c r="B2875">
        <v>3144</v>
      </c>
      <c r="C2875" t="s">
        <v>722</v>
      </c>
      <c r="D2875" t="s">
        <v>142</v>
      </c>
      <c r="E2875" t="s">
        <v>379</v>
      </c>
      <c r="F2875" t="s">
        <v>112</v>
      </c>
      <c r="G2875" t="s">
        <v>160</v>
      </c>
      <c r="H2875" t="s">
        <v>150</v>
      </c>
      <c r="I2875" t="s">
        <v>679</v>
      </c>
      <c r="J2875" t="s">
        <v>143</v>
      </c>
      <c r="K2875" t="s">
        <v>157</v>
      </c>
      <c r="L2875" t="s">
        <v>408</v>
      </c>
      <c r="M2875" t="s">
        <v>112</v>
      </c>
      <c r="N2875" t="s">
        <v>135</v>
      </c>
      <c r="O2875" t="s">
        <v>1245</v>
      </c>
      <c r="P2875" t="s">
        <v>253</v>
      </c>
      <c r="Q2875" t="s">
        <v>127</v>
      </c>
      <c r="R2875" t="s">
        <v>207</v>
      </c>
    </row>
    <row r="2876" spans="1:18" x14ac:dyDescent="0.3">
      <c r="A2876" t="s">
        <v>37</v>
      </c>
      <c r="B2876">
        <v>3854</v>
      </c>
      <c r="C2876" t="s">
        <v>328</v>
      </c>
      <c r="D2876" t="s">
        <v>363</v>
      </c>
      <c r="E2876" t="s">
        <v>664</v>
      </c>
      <c r="F2876" t="s">
        <v>107</v>
      </c>
      <c r="G2876" t="s">
        <v>150</v>
      </c>
      <c r="H2876" t="s">
        <v>328</v>
      </c>
      <c r="I2876" t="s">
        <v>124</v>
      </c>
      <c r="J2876" t="s">
        <v>254</v>
      </c>
      <c r="K2876" t="s">
        <v>149</v>
      </c>
      <c r="L2876" t="s">
        <v>700</v>
      </c>
      <c r="M2876" t="s">
        <v>434</v>
      </c>
      <c r="N2876" t="s">
        <v>144</v>
      </c>
      <c r="O2876" t="s">
        <v>346</v>
      </c>
      <c r="P2876" t="s">
        <v>141</v>
      </c>
      <c r="Q2876" t="s">
        <v>292</v>
      </c>
      <c r="R2876" t="s">
        <v>207</v>
      </c>
    </row>
    <row r="2877" spans="1:18" x14ac:dyDescent="0.3">
      <c r="A2877" t="s">
        <v>36</v>
      </c>
      <c r="B2877">
        <v>2302</v>
      </c>
      <c r="C2877" t="s">
        <v>291</v>
      </c>
      <c r="D2877" t="s">
        <v>313</v>
      </c>
      <c r="E2877" t="s">
        <v>262</v>
      </c>
      <c r="F2877" t="s">
        <v>143</v>
      </c>
      <c r="G2877" t="s">
        <v>233</v>
      </c>
      <c r="H2877" t="s">
        <v>671</v>
      </c>
      <c r="I2877" t="s">
        <v>305</v>
      </c>
      <c r="J2877" t="s">
        <v>363</v>
      </c>
      <c r="K2877" t="s">
        <v>112</v>
      </c>
      <c r="L2877" t="s">
        <v>735</v>
      </c>
      <c r="M2877" t="s">
        <v>70</v>
      </c>
      <c r="N2877" t="s">
        <v>255</v>
      </c>
      <c r="O2877" t="s">
        <v>633</v>
      </c>
      <c r="P2877" t="s">
        <v>136</v>
      </c>
      <c r="Q2877" t="s">
        <v>108</v>
      </c>
      <c r="R2877" t="s">
        <v>141</v>
      </c>
    </row>
    <row r="2878" spans="1:18" x14ac:dyDescent="0.3">
      <c r="A2878" t="s">
        <v>34</v>
      </c>
      <c r="B2878">
        <v>2078</v>
      </c>
      <c r="C2878" t="s">
        <v>363</v>
      </c>
      <c r="D2878" t="s">
        <v>262</v>
      </c>
      <c r="E2878" t="s">
        <v>182</v>
      </c>
      <c r="F2878" t="s">
        <v>139</v>
      </c>
      <c r="G2878" t="s">
        <v>152</v>
      </c>
      <c r="H2878" t="s">
        <v>113</v>
      </c>
      <c r="I2878" t="s">
        <v>143</v>
      </c>
      <c r="J2878" t="s">
        <v>70</v>
      </c>
      <c r="K2878" t="s">
        <v>277</v>
      </c>
      <c r="L2878" t="s">
        <v>482</v>
      </c>
      <c r="M2878" t="s">
        <v>138</v>
      </c>
      <c r="N2878" t="s">
        <v>206</v>
      </c>
      <c r="O2878" t="s">
        <v>579</v>
      </c>
      <c r="P2878" t="s">
        <v>120</v>
      </c>
      <c r="Q2878" t="s">
        <v>115</v>
      </c>
      <c r="R2878" t="s">
        <v>207</v>
      </c>
    </row>
    <row r="2879" spans="1:18" x14ac:dyDescent="0.3">
      <c r="A2879" t="s">
        <v>33</v>
      </c>
      <c r="B2879">
        <v>1937</v>
      </c>
      <c r="C2879" t="s">
        <v>144</v>
      </c>
      <c r="D2879" t="s">
        <v>664</v>
      </c>
      <c r="E2879" t="s">
        <v>468</v>
      </c>
      <c r="F2879" t="s">
        <v>111</v>
      </c>
      <c r="G2879" t="s">
        <v>128</v>
      </c>
      <c r="H2879" t="s">
        <v>147</v>
      </c>
      <c r="I2879" t="s">
        <v>117</v>
      </c>
      <c r="J2879" t="s">
        <v>147</v>
      </c>
      <c r="K2879" t="s">
        <v>130</v>
      </c>
      <c r="L2879" t="s">
        <v>689</v>
      </c>
      <c r="M2879" t="s">
        <v>110</v>
      </c>
      <c r="N2879" t="s">
        <v>222</v>
      </c>
      <c r="O2879" t="s">
        <v>1119</v>
      </c>
      <c r="P2879" t="s">
        <v>207</v>
      </c>
      <c r="Q2879" t="s">
        <v>115</v>
      </c>
      <c r="R2879" t="s">
        <v>198</v>
      </c>
    </row>
    <row r="2880" spans="1:18" x14ac:dyDescent="0.3">
      <c r="A2880" t="s">
        <v>49</v>
      </c>
      <c r="B2880">
        <v>13315</v>
      </c>
      <c r="C2880" t="s">
        <v>248</v>
      </c>
      <c r="D2880" t="s">
        <v>125</v>
      </c>
      <c r="E2880" t="s">
        <v>305</v>
      </c>
      <c r="F2880" t="s">
        <v>110</v>
      </c>
      <c r="G2880" t="s">
        <v>135</v>
      </c>
      <c r="H2880" t="s">
        <v>254</v>
      </c>
      <c r="I2880" t="s">
        <v>144</v>
      </c>
      <c r="J2880" t="s">
        <v>74</v>
      </c>
      <c r="K2880" t="s">
        <v>434</v>
      </c>
      <c r="L2880" t="s">
        <v>38</v>
      </c>
      <c r="M2880" t="s">
        <v>474</v>
      </c>
      <c r="N2880" t="s">
        <v>671</v>
      </c>
      <c r="O2880" t="s">
        <v>213</v>
      </c>
      <c r="P2880" t="s">
        <v>108</v>
      </c>
      <c r="Q2880" t="s">
        <v>319</v>
      </c>
      <c r="R2880" t="s">
        <v>207</v>
      </c>
    </row>
    <row r="2882" spans="1:19" x14ac:dyDescent="0.3">
      <c r="A2882" t="s">
        <v>1324</v>
      </c>
    </row>
    <row r="2883" spans="1:19" x14ac:dyDescent="0.3">
      <c r="A2883" t="s">
        <v>44</v>
      </c>
      <c r="B2883" t="s">
        <v>361</v>
      </c>
      <c r="C2883" t="s">
        <v>32</v>
      </c>
      <c r="D2883" t="s">
        <v>1311</v>
      </c>
      <c r="E2883" t="s">
        <v>1312</v>
      </c>
      <c r="F2883" t="s">
        <v>1313</v>
      </c>
      <c r="G2883" t="s">
        <v>1314</v>
      </c>
      <c r="H2883" t="s">
        <v>1315</v>
      </c>
      <c r="I2883" t="s">
        <v>1316</v>
      </c>
      <c r="J2883" t="s">
        <v>1317</v>
      </c>
      <c r="K2883" t="s">
        <v>1318</v>
      </c>
      <c r="L2883" t="s">
        <v>1319</v>
      </c>
      <c r="M2883" t="s">
        <v>1320</v>
      </c>
      <c r="N2883" t="s">
        <v>1321</v>
      </c>
      <c r="O2883" t="s">
        <v>1322</v>
      </c>
      <c r="P2883" t="s">
        <v>1323</v>
      </c>
      <c r="Q2883" t="s">
        <v>88</v>
      </c>
      <c r="R2883" t="s">
        <v>83</v>
      </c>
      <c r="S2883" t="s">
        <v>193</v>
      </c>
    </row>
    <row r="2884" spans="1:19" x14ac:dyDescent="0.3">
      <c r="A2884" t="s">
        <v>35</v>
      </c>
      <c r="B2884" t="s">
        <v>339</v>
      </c>
      <c r="C2884">
        <v>889</v>
      </c>
      <c r="D2884" t="s">
        <v>694</v>
      </c>
      <c r="E2884" t="s">
        <v>536</v>
      </c>
      <c r="F2884" t="s">
        <v>357</v>
      </c>
      <c r="G2884" t="s">
        <v>299</v>
      </c>
      <c r="H2884" t="s">
        <v>672</v>
      </c>
      <c r="I2884" t="s">
        <v>218</v>
      </c>
      <c r="J2884" t="s">
        <v>167</v>
      </c>
      <c r="K2884" t="s">
        <v>416</v>
      </c>
      <c r="L2884" t="s">
        <v>130</v>
      </c>
      <c r="M2884" t="s">
        <v>201</v>
      </c>
      <c r="N2884" t="s">
        <v>722</v>
      </c>
      <c r="O2884" t="s">
        <v>179</v>
      </c>
      <c r="P2884" t="s">
        <v>1116</v>
      </c>
      <c r="Q2884" t="s">
        <v>141</v>
      </c>
      <c r="R2884" t="s">
        <v>157</v>
      </c>
      <c r="S2884" t="s">
        <v>115</v>
      </c>
    </row>
    <row r="2885" spans="1:19" x14ac:dyDescent="0.3">
      <c r="A2885" t="s">
        <v>35</v>
      </c>
      <c r="B2885" t="s">
        <v>340</v>
      </c>
      <c r="C2885">
        <v>2215</v>
      </c>
      <c r="D2885" t="s">
        <v>122</v>
      </c>
      <c r="E2885" t="s">
        <v>152</v>
      </c>
      <c r="F2885" t="s">
        <v>70</v>
      </c>
      <c r="G2885" t="s">
        <v>105</v>
      </c>
      <c r="H2885" t="s">
        <v>474</v>
      </c>
      <c r="I2885" t="s">
        <v>68</v>
      </c>
      <c r="J2885" t="s">
        <v>130</v>
      </c>
      <c r="K2885" t="s">
        <v>129</v>
      </c>
      <c r="L2885" t="s">
        <v>120</v>
      </c>
      <c r="M2885" t="s">
        <v>262</v>
      </c>
      <c r="N2885" t="s">
        <v>316</v>
      </c>
      <c r="O2885" t="s">
        <v>68</v>
      </c>
      <c r="P2885" t="s">
        <v>1325</v>
      </c>
      <c r="Q2885" t="s">
        <v>115</v>
      </c>
      <c r="R2885" t="s">
        <v>101</v>
      </c>
      <c r="S2885" t="s">
        <v>198</v>
      </c>
    </row>
    <row r="2886" spans="1:19" x14ac:dyDescent="0.3">
      <c r="A2886" t="s">
        <v>35</v>
      </c>
      <c r="B2886" t="s">
        <v>365</v>
      </c>
      <c r="C2886">
        <v>40</v>
      </c>
      <c r="D2886" t="s">
        <v>151</v>
      </c>
      <c r="E2886" t="s">
        <v>157</v>
      </c>
      <c r="F2886" t="s">
        <v>103</v>
      </c>
      <c r="G2886" t="s">
        <v>99</v>
      </c>
      <c r="H2886" t="s">
        <v>108</v>
      </c>
      <c r="I2886" t="s">
        <v>128</v>
      </c>
      <c r="J2886" t="s">
        <v>99</v>
      </c>
      <c r="K2886" t="s">
        <v>151</v>
      </c>
      <c r="L2886" t="s">
        <v>108</v>
      </c>
      <c r="M2886" t="s">
        <v>248</v>
      </c>
      <c r="N2886" t="s">
        <v>99</v>
      </c>
      <c r="O2886" t="s">
        <v>99</v>
      </c>
      <c r="P2886" t="s">
        <v>1010</v>
      </c>
      <c r="Q2886" t="s">
        <v>99</v>
      </c>
      <c r="R2886" t="s">
        <v>99</v>
      </c>
      <c r="S2886" t="s">
        <v>99</v>
      </c>
    </row>
    <row r="2887" spans="1:19" x14ac:dyDescent="0.3">
      <c r="A2887" t="s">
        <v>37</v>
      </c>
      <c r="B2887" t="s">
        <v>339</v>
      </c>
      <c r="C2887">
        <v>1093</v>
      </c>
      <c r="D2887" t="s">
        <v>248</v>
      </c>
      <c r="E2887" t="s">
        <v>315</v>
      </c>
      <c r="F2887" t="s">
        <v>182</v>
      </c>
      <c r="G2887" t="s">
        <v>118</v>
      </c>
      <c r="H2887" t="s">
        <v>220</v>
      </c>
      <c r="I2887" t="s">
        <v>254</v>
      </c>
      <c r="J2887" t="s">
        <v>144</v>
      </c>
      <c r="K2887" t="s">
        <v>675</v>
      </c>
      <c r="L2887" t="s">
        <v>143</v>
      </c>
      <c r="M2887" t="s">
        <v>735</v>
      </c>
      <c r="N2887" t="s">
        <v>474</v>
      </c>
      <c r="O2887" t="s">
        <v>113</v>
      </c>
      <c r="P2887" t="s">
        <v>910</v>
      </c>
      <c r="Q2887" t="s">
        <v>114</v>
      </c>
      <c r="R2887" t="s">
        <v>215</v>
      </c>
      <c r="S2887" t="s">
        <v>253</v>
      </c>
    </row>
    <row r="2888" spans="1:19" x14ac:dyDescent="0.3">
      <c r="A2888" t="s">
        <v>37</v>
      </c>
      <c r="B2888" t="s">
        <v>340</v>
      </c>
      <c r="C2888">
        <v>2720</v>
      </c>
      <c r="D2888" t="s">
        <v>412</v>
      </c>
      <c r="E2888" t="s">
        <v>160</v>
      </c>
      <c r="F2888" t="s">
        <v>254</v>
      </c>
      <c r="G2888" t="s">
        <v>128</v>
      </c>
      <c r="H2888" t="s">
        <v>144</v>
      </c>
      <c r="I2888" t="s">
        <v>98</v>
      </c>
      <c r="J2888" t="s">
        <v>98</v>
      </c>
      <c r="K2888" t="s">
        <v>145</v>
      </c>
      <c r="L2888" t="s">
        <v>130</v>
      </c>
      <c r="M2888" t="s">
        <v>175</v>
      </c>
      <c r="N2888" t="s">
        <v>129</v>
      </c>
      <c r="O2888" t="s">
        <v>684</v>
      </c>
      <c r="P2888" t="s">
        <v>280</v>
      </c>
      <c r="Q2888" t="s">
        <v>207</v>
      </c>
      <c r="R2888" t="s">
        <v>111</v>
      </c>
      <c r="S2888" t="s">
        <v>207</v>
      </c>
    </row>
    <row r="2889" spans="1:19" x14ac:dyDescent="0.3">
      <c r="A2889" t="s">
        <v>37</v>
      </c>
      <c r="B2889" t="s">
        <v>365</v>
      </c>
      <c r="C2889">
        <v>41</v>
      </c>
      <c r="D2889" t="s">
        <v>215</v>
      </c>
      <c r="E2889" t="s">
        <v>215</v>
      </c>
      <c r="F2889" t="s">
        <v>671</v>
      </c>
      <c r="G2889" t="s">
        <v>215</v>
      </c>
      <c r="H2889" t="s">
        <v>311</v>
      </c>
      <c r="I2889" t="s">
        <v>296</v>
      </c>
      <c r="J2889" t="s">
        <v>112</v>
      </c>
      <c r="K2889" t="s">
        <v>145</v>
      </c>
      <c r="L2889" t="s">
        <v>127</v>
      </c>
      <c r="M2889" t="s">
        <v>233</v>
      </c>
      <c r="N2889" t="s">
        <v>165</v>
      </c>
      <c r="O2889" t="s">
        <v>129</v>
      </c>
      <c r="P2889" t="s">
        <v>997</v>
      </c>
      <c r="Q2889" t="s">
        <v>99</v>
      </c>
      <c r="R2889" t="s">
        <v>99</v>
      </c>
      <c r="S2889" t="s">
        <v>99</v>
      </c>
    </row>
    <row r="2890" spans="1:19" x14ac:dyDescent="0.3">
      <c r="A2890" t="s">
        <v>36</v>
      </c>
      <c r="B2890" t="s">
        <v>339</v>
      </c>
      <c r="C2890">
        <v>769</v>
      </c>
      <c r="D2890" t="s">
        <v>671</v>
      </c>
      <c r="E2890" t="s">
        <v>113</v>
      </c>
      <c r="F2890" t="s">
        <v>405</v>
      </c>
      <c r="G2890" t="s">
        <v>277</v>
      </c>
      <c r="H2890" t="s">
        <v>449</v>
      </c>
      <c r="I2890" t="s">
        <v>461</v>
      </c>
      <c r="J2890" t="s">
        <v>41</v>
      </c>
      <c r="K2890" t="s">
        <v>296</v>
      </c>
      <c r="L2890" t="s">
        <v>134</v>
      </c>
      <c r="M2890" t="s">
        <v>1057</v>
      </c>
      <c r="N2890" t="s">
        <v>144</v>
      </c>
      <c r="O2890" t="s">
        <v>311</v>
      </c>
      <c r="P2890" t="s">
        <v>1326</v>
      </c>
      <c r="Q2890" t="s">
        <v>132</v>
      </c>
      <c r="R2890" t="s">
        <v>198</v>
      </c>
      <c r="S2890" t="s">
        <v>141</v>
      </c>
    </row>
    <row r="2891" spans="1:19" x14ac:dyDescent="0.3">
      <c r="A2891" t="s">
        <v>36</v>
      </c>
      <c r="B2891" t="s">
        <v>340</v>
      </c>
      <c r="C2891">
        <v>1470</v>
      </c>
      <c r="D2891" t="s">
        <v>714</v>
      </c>
      <c r="E2891" t="s">
        <v>714</v>
      </c>
      <c r="F2891" t="s">
        <v>716</v>
      </c>
      <c r="G2891" t="s">
        <v>135</v>
      </c>
      <c r="H2891" t="s">
        <v>369</v>
      </c>
      <c r="I2891" t="s">
        <v>133</v>
      </c>
      <c r="J2891" t="s">
        <v>363</v>
      </c>
      <c r="K2891" t="s">
        <v>353</v>
      </c>
      <c r="L2891" t="s">
        <v>112</v>
      </c>
      <c r="M2891" t="s">
        <v>748</v>
      </c>
      <c r="N2891" t="s">
        <v>461</v>
      </c>
      <c r="O2891" t="s">
        <v>678</v>
      </c>
      <c r="P2891" t="s">
        <v>598</v>
      </c>
      <c r="Q2891" t="s">
        <v>198</v>
      </c>
      <c r="R2891" t="s">
        <v>101</v>
      </c>
      <c r="S2891" t="s">
        <v>141</v>
      </c>
    </row>
    <row r="2892" spans="1:19" x14ac:dyDescent="0.3">
      <c r="A2892" t="s">
        <v>36</v>
      </c>
      <c r="B2892" t="s">
        <v>365</v>
      </c>
      <c r="C2892">
        <v>63</v>
      </c>
      <c r="D2892" t="s">
        <v>248</v>
      </c>
      <c r="E2892" t="s">
        <v>78</v>
      </c>
      <c r="F2892" t="s">
        <v>152</v>
      </c>
      <c r="G2892" t="s">
        <v>124</v>
      </c>
      <c r="H2892" t="s">
        <v>679</v>
      </c>
      <c r="I2892" t="s">
        <v>163</v>
      </c>
      <c r="J2892" t="s">
        <v>152</v>
      </c>
      <c r="K2892" t="s">
        <v>248</v>
      </c>
      <c r="L2892" t="s">
        <v>294</v>
      </c>
      <c r="M2892" t="s">
        <v>831</v>
      </c>
      <c r="N2892" t="s">
        <v>332</v>
      </c>
      <c r="O2892" t="s">
        <v>184</v>
      </c>
      <c r="P2892" t="s">
        <v>1184</v>
      </c>
      <c r="Q2892" t="s">
        <v>100</v>
      </c>
      <c r="R2892" t="s">
        <v>99</v>
      </c>
      <c r="S2892" t="s">
        <v>99</v>
      </c>
    </row>
    <row r="2893" spans="1:19" x14ac:dyDescent="0.3">
      <c r="A2893" t="s">
        <v>34</v>
      </c>
      <c r="B2893" t="s">
        <v>339</v>
      </c>
      <c r="C2893">
        <v>555</v>
      </c>
      <c r="D2893" t="s">
        <v>311</v>
      </c>
      <c r="E2893" t="s">
        <v>688</v>
      </c>
      <c r="F2893" t="s">
        <v>405</v>
      </c>
      <c r="G2893" t="s">
        <v>112</v>
      </c>
      <c r="H2893" t="s">
        <v>262</v>
      </c>
      <c r="I2893" t="s">
        <v>179</v>
      </c>
      <c r="J2893" t="s">
        <v>671</v>
      </c>
      <c r="K2893" t="s">
        <v>163</v>
      </c>
      <c r="L2893" t="s">
        <v>299</v>
      </c>
      <c r="M2893" t="s">
        <v>437</v>
      </c>
      <c r="N2893" t="s">
        <v>412</v>
      </c>
      <c r="O2893" t="s">
        <v>264</v>
      </c>
      <c r="P2893" t="s">
        <v>1077</v>
      </c>
      <c r="Q2893" t="s">
        <v>105</v>
      </c>
      <c r="R2893" t="s">
        <v>101</v>
      </c>
      <c r="S2893" t="s">
        <v>136</v>
      </c>
    </row>
    <row r="2894" spans="1:19" x14ac:dyDescent="0.3">
      <c r="A2894" t="s">
        <v>34</v>
      </c>
      <c r="B2894" t="s">
        <v>340</v>
      </c>
      <c r="C2894">
        <v>1495</v>
      </c>
      <c r="D2894" t="s">
        <v>663</v>
      </c>
      <c r="E2894" t="s">
        <v>420</v>
      </c>
      <c r="F2894" t="s">
        <v>420</v>
      </c>
      <c r="G2894" t="s">
        <v>474</v>
      </c>
      <c r="H2894" t="s">
        <v>242</v>
      </c>
      <c r="I2894" t="s">
        <v>254</v>
      </c>
      <c r="J2894" t="s">
        <v>474</v>
      </c>
      <c r="K2894" t="s">
        <v>328</v>
      </c>
      <c r="L2894" t="s">
        <v>155</v>
      </c>
      <c r="M2894" t="s">
        <v>222</v>
      </c>
      <c r="N2894" t="s">
        <v>117</v>
      </c>
      <c r="O2894" t="s">
        <v>313</v>
      </c>
      <c r="P2894" t="s">
        <v>1160</v>
      </c>
      <c r="Q2894" t="s">
        <v>316</v>
      </c>
      <c r="R2894" t="s">
        <v>136</v>
      </c>
      <c r="S2894" t="s">
        <v>198</v>
      </c>
    </row>
    <row r="2895" spans="1:19" x14ac:dyDescent="0.3">
      <c r="A2895" t="s">
        <v>34</v>
      </c>
      <c r="B2895" t="s">
        <v>365</v>
      </c>
      <c r="C2895">
        <v>28</v>
      </c>
      <c r="D2895" t="s">
        <v>691</v>
      </c>
      <c r="E2895" t="s">
        <v>1107</v>
      </c>
      <c r="F2895" t="s">
        <v>691</v>
      </c>
      <c r="G2895" t="s">
        <v>222</v>
      </c>
      <c r="H2895" t="s">
        <v>678</v>
      </c>
      <c r="I2895" t="s">
        <v>305</v>
      </c>
      <c r="J2895" t="s">
        <v>468</v>
      </c>
      <c r="K2895" t="s">
        <v>222</v>
      </c>
      <c r="L2895" t="s">
        <v>405</v>
      </c>
      <c r="M2895" t="s">
        <v>204</v>
      </c>
      <c r="N2895" t="s">
        <v>468</v>
      </c>
      <c r="O2895" t="s">
        <v>990</v>
      </c>
      <c r="P2895" t="s">
        <v>948</v>
      </c>
      <c r="Q2895" t="s">
        <v>114</v>
      </c>
      <c r="R2895" t="s">
        <v>99</v>
      </c>
      <c r="S2895" t="s">
        <v>99</v>
      </c>
    </row>
    <row r="2896" spans="1:19" x14ac:dyDescent="0.3">
      <c r="A2896" t="s">
        <v>33</v>
      </c>
      <c r="B2896" t="s">
        <v>339</v>
      </c>
      <c r="C2896">
        <v>503</v>
      </c>
      <c r="D2896" t="s">
        <v>251</v>
      </c>
      <c r="E2896" t="s">
        <v>368</v>
      </c>
      <c r="F2896" t="s">
        <v>313</v>
      </c>
      <c r="G2896" t="s">
        <v>712</v>
      </c>
      <c r="H2896" t="s">
        <v>242</v>
      </c>
      <c r="I2896" t="s">
        <v>154</v>
      </c>
      <c r="J2896" t="s">
        <v>316</v>
      </c>
      <c r="K2896" t="s">
        <v>110</v>
      </c>
      <c r="L2896" t="s">
        <v>124</v>
      </c>
      <c r="M2896" t="s">
        <v>833</v>
      </c>
      <c r="N2896" t="s">
        <v>118</v>
      </c>
      <c r="O2896" t="s">
        <v>746</v>
      </c>
      <c r="P2896" t="s">
        <v>927</v>
      </c>
      <c r="Q2896" t="s">
        <v>198</v>
      </c>
      <c r="R2896" t="s">
        <v>108</v>
      </c>
      <c r="S2896" t="s">
        <v>99</v>
      </c>
    </row>
    <row r="2897" spans="1:19" x14ac:dyDescent="0.3">
      <c r="A2897" t="s">
        <v>33</v>
      </c>
      <c r="B2897" t="s">
        <v>340</v>
      </c>
      <c r="C2897">
        <v>1415</v>
      </c>
      <c r="D2897" t="s">
        <v>112</v>
      </c>
      <c r="E2897" t="s">
        <v>242</v>
      </c>
      <c r="F2897" t="s">
        <v>118</v>
      </c>
      <c r="G2897" t="s">
        <v>126</v>
      </c>
      <c r="H2897" t="s">
        <v>151</v>
      </c>
      <c r="I2897" t="s">
        <v>316</v>
      </c>
      <c r="J2897" t="s">
        <v>268</v>
      </c>
      <c r="K2897" t="s">
        <v>103</v>
      </c>
      <c r="L2897" t="s">
        <v>154</v>
      </c>
      <c r="M2897" t="s">
        <v>536</v>
      </c>
      <c r="N2897" t="s">
        <v>110</v>
      </c>
      <c r="O2897" t="s">
        <v>222</v>
      </c>
      <c r="P2897" t="s">
        <v>484</v>
      </c>
      <c r="Q2897" t="s">
        <v>136</v>
      </c>
      <c r="R2897" t="s">
        <v>253</v>
      </c>
      <c r="S2897" t="s">
        <v>207</v>
      </c>
    </row>
    <row r="2898" spans="1:19" x14ac:dyDescent="0.3">
      <c r="A2898" t="s">
        <v>33</v>
      </c>
      <c r="B2898" t="s">
        <v>365</v>
      </c>
      <c r="C2898">
        <v>19</v>
      </c>
      <c r="D2898" t="s">
        <v>328</v>
      </c>
      <c r="E2898" t="s">
        <v>328</v>
      </c>
      <c r="F2898" t="s">
        <v>99</v>
      </c>
      <c r="G2898" t="s">
        <v>99</v>
      </c>
      <c r="H2898" t="s">
        <v>99</v>
      </c>
      <c r="I2898" t="s">
        <v>74</v>
      </c>
      <c r="J2898" t="s">
        <v>74</v>
      </c>
      <c r="K2898" t="s">
        <v>74</v>
      </c>
      <c r="L2898" t="s">
        <v>328</v>
      </c>
      <c r="M2898" t="s">
        <v>671</v>
      </c>
      <c r="N2898" t="s">
        <v>74</v>
      </c>
      <c r="O2898" t="s">
        <v>74</v>
      </c>
      <c r="P2898" t="s">
        <v>509</v>
      </c>
      <c r="Q2898" t="s">
        <v>99</v>
      </c>
      <c r="R2898" t="s">
        <v>99</v>
      </c>
      <c r="S2898" t="s">
        <v>99</v>
      </c>
    </row>
    <row r="2899" spans="1:19" x14ac:dyDescent="0.3">
      <c r="A2899" t="s">
        <v>49</v>
      </c>
      <c r="B2899" t="s">
        <v>339</v>
      </c>
      <c r="C2899">
        <v>3809</v>
      </c>
      <c r="D2899" t="s">
        <v>311</v>
      </c>
      <c r="E2899" t="s">
        <v>218</v>
      </c>
      <c r="F2899" t="s">
        <v>179</v>
      </c>
      <c r="G2899" t="s">
        <v>158</v>
      </c>
      <c r="H2899" t="s">
        <v>233</v>
      </c>
      <c r="I2899" t="s">
        <v>671</v>
      </c>
      <c r="J2899" t="s">
        <v>133</v>
      </c>
      <c r="K2899" t="s">
        <v>461</v>
      </c>
      <c r="L2899" t="s">
        <v>468</v>
      </c>
      <c r="M2899" t="s">
        <v>706</v>
      </c>
      <c r="N2899" t="s">
        <v>144</v>
      </c>
      <c r="O2899" t="s">
        <v>416</v>
      </c>
      <c r="P2899" t="s">
        <v>886</v>
      </c>
      <c r="Q2899" t="s">
        <v>121</v>
      </c>
      <c r="R2899" t="s">
        <v>215</v>
      </c>
      <c r="S2899" t="s">
        <v>141</v>
      </c>
    </row>
    <row r="2900" spans="1:19" x14ac:dyDescent="0.3">
      <c r="A2900" t="s">
        <v>49</v>
      </c>
      <c r="B2900" t="s">
        <v>340</v>
      </c>
      <c r="C2900">
        <v>9315</v>
      </c>
      <c r="D2900" t="s">
        <v>675</v>
      </c>
      <c r="E2900" t="s">
        <v>184</v>
      </c>
      <c r="F2900" t="s">
        <v>150</v>
      </c>
      <c r="G2900" t="s">
        <v>138</v>
      </c>
      <c r="H2900" t="s">
        <v>412</v>
      </c>
      <c r="I2900" t="s">
        <v>158</v>
      </c>
      <c r="J2900" t="s">
        <v>139</v>
      </c>
      <c r="K2900" t="s">
        <v>277</v>
      </c>
      <c r="L2900" t="s">
        <v>154</v>
      </c>
      <c r="M2900" t="s">
        <v>267</v>
      </c>
      <c r="N2900" t="s">
        <v>134</v>
      </c>
      <c r="O2900" t="s">
        <v>363</v>
      </c>
      <c r="P2900" t="s">
        <v>63</v>
      </c>
      <c r="Q2900" t="s">
        <v>132</v>
      </c>
      <c r="R2900" t="s">
        <v>101</v>
      </c>
      <c r="S2900" t="s">
        <v>207</v>
      </c>
    </row>
    <row r="2901" spans="1:19" x14ac:dyDescent="0.3">
      <c r="A2901" t="s">
        <v>49</v>
      </c>
      <c r="B2901" t="s">
        <v>365</v>
      </c>
      <c r="C2901">
        <v>191</v>
      </c>
      <c r="D2901" t="s">
        <v>150</v>
      </c>
      <c r="E2901" t="s">
        <v>405</v>
      </c>
      <c r="F2901" t="s">
        <v>401</v>
      </c>
      <c r="G2901" t="s">
        <v>130</v>
      </c>
      <c r="H2901" t="s">
        <v>353</v>
      </c>
      <c r="I2901" t="s">
        <v>664</v>
      </c>
      <c r="J2901" t="s">
        <v>434</v>
      </c>
      <c r="K2901" t="s">
        <v>109</v>
      </c>
      <c r="L2901" t="s">
        <v>468</v>
      </c>
      <c r="M2901" t="s">
        <v>201</v>
      </c>
      <c r="N2901" t="s">
        <v>277</v>
      </c>
      <c r="O2901" t="s">
        <v>152</v>
      </c>
      <c r="P2901" t="s">
        <v>1327</v>
      </c>
      <c r="Q2901" t="s">
        <v>136</v>
      </c>
      <c r="R2901" t="s">
        <v>99</v>
      </c>
      <c r="S2901" t="s">
        <v>99</v>
      </c>
    </row>
    <row r="2903" spans="1:19" x14ac:dyDescent="0.3">
      <c r="A2903" t="s">
        <v>1328</v>
      </c>
    </row>
    <row r="2904" spans="1:19" x14ac:dyDescent="0.3">
      <c r="A2904" t="s">
        <v>44</v>
      </c>
      <c r="B2904" t="s">
        <v>209</v>
      </c>
      <c r="C2904" t="s">
        <v>32</v>
      </c>
      <c r="D2904" t="s">
        <v>1311</v>
      </c>
      <c r="E2904" t="s">
        <v>1312</v>
      </c>
      <c r="F2904" t="s">
        <v>1313</v>
      </c>
      <c r="G2904" t="s">
        <v>1314</v>
      </c>
      <c r="H2904" t="s">
        <v>1315</v>
      </c>
      <c r="I2904" t="s">
        <v>1316</v>
      </c>
      <c r="J2904" t="s">
        <v>1317</v>
      </c>
      <c r="K2904" t="s">
        <v>1318</v>
      </c>
      <c r="L2904" t="s">
        <v>1319</v>
      </c>
      <c r="M2904" t="s">
        <v>1320</v>
      </c>
      <c r="N2904" t="s">
        <v>1321</v>
      </c>
      <c r="O2904" t="s">
        <v>1322</v>
      </c>
      <c r="P2904" t="s">
        <v>1323</v>
      </c>
      <c r="Q2904" t="s">
        <v>88</v>
      </c>
      <c r="R2904" t="s">
        <v>83</v>
      </c>
      <c r="S2904" t="s">
        <v>193</v>
      </c>
    </row>
    <row r="2905" spans="1:19" x14ac:dyDescent="0.3">
      <c r="A2905" t="s">
        <v>35</v>
      </c>
      <c r="B2905" t="s">
        <v>210</v>
      </c>
      <c r="C2905">
        <v>136</v>
      </c>
      <c r="D2905" t="s">
        <v>990</v>
      </c>
      <c r="E2905" t="s">
        <v>691</v>
      </c>
      <c r="F2905" t="s">
        <v>517</v>
      </c>
      <c r="G2905" t="s">
        <v>710</v>
      </c>
      <c r="H2905" t="s">
        <v>144</v>
      </c>
      <c r="I2905" t="s">
        <v>175</v>
      </c>
      <c r="J2905" t="s">
        <v>291</v>
      </c>
      <c r="K2905" t="s">
        <v>311</v>
      </c>
      <c r="L2905" t="s">
        <v>99</v>
      </c>
      <c r="M2905" t="s">
        <v>165</v>
      </c>
      <c r="N2905" t="s">
        <v>149</v>
      </c>
      <c r="O2905" t="s">
        <v>74</v>
      </c>
      <c r="P2905" t="s">
        <v>1052</v>
      </c>
      <c r="Q2905" t="s">
        <v>132</v>
      </c>
      <c r="R2905" t="s">
        <v>292</v>
      </c>
      <c r="S2905" t="s">
        <v>99</v>
      </c>
    </row>
    <row r="2906" spans="1:19" x14ac:dyDescent="0.3">
      <c r="A2906" t="s">
        <v>35</v>
      </c>
      <c r="B2906" t="s">
        <v>212</v>
      </c>
      <c r="C2906">
        <v>2441</v>
      </c>
      <c r="D2906" t="s">
        <v>182</v>
      </c>
      <c r="E2906" t="s">
        <v>133</v>
      </c>
      <c r="F2906" t="s">
        <v>804</v>
      </c>
      <c r="G2906" t="s">
        <v>112</v>
      </c>
      <c r="H2906" t="s">
        <v>184</v>
      </c>
      <c r="I2906" t="s">
        <v>152</v>
      </c>
      <c r="J2906" t="s">
        <v>184</v>
      </c>
      <c r="K2906" t="s">
        <v>150</v>
      </c>
      <c r="L2906" t="s">
        <v>155</v>
      </c>
      <c r="M2906" t="s">
        <v>244</v>
      </c>
      <c r="N2906" t="s">
        <v>277</v>
      </c>
      <c r="O2906" t="s">
        <v>664</v>
      </c>
      <c r="P2906" t="s">
        <v>346</v>
      </c>
      <c r="Q2906" t="s">
        <v>136</v>
      </c>
      <c r="R2906" t="s">
        <v>117</v>
      </c>
      <c r="S2906" t="s">
        <v>136</v>
      </c>
    </row>
    <row r="2907" spans="1:19" x14ac:dyDescent="0.3">
      <c r="A2907" t="s">
        <v>35</v>
      </c>
      <c r="B2907" t="s">
        <v>216</v>
      </c>
      <c r="C2907">
        <v>567</v>
      </c>
      <c r="D2907" t="s">
        <v>461</v>
      </c>
      <c r="E2907" t="s">
        <v>353</v>
      </c>
      <c r="F2907" t="s">
        <v>461</v>
      </c>
      <c r="G2907" t="s">
        <v>107</v>
      </c>
      <c r="H2907" t="s">
        <v>145</v>
      </c>
      <c r="I2907" t="s">
        <v>144</v>
      </c>
      <c r="J2907" t="s">
        <v>160</v>
      </c>
      <c r="K2907" t="s">
        <v>147</v>
      </c>
      <c r="L2907" t="s">
        <v>105</v>
      </c>
      <c r="M2907" t="s">
        <v>143</v>
      </c>
      <c r="N2907" t="s">
        <v>107</v>
      </c>
      <c r="O2907" t="s">
        <v>124</v>
      </c>
      <c r="P2907" t="s">
        <v>486</v>
      </c>
      <c r="Q2907" t="s">
        <v>101</v>
      </c>
      <c r="R2907" t="s">
        <v>136</v>
      </c>
      <c r="S2907" t="s">
        <v>207</v>
      </c>
    </row>
    <row r="2908" spans="1:19" x14ac:dyDescent="0.3">
      <c r="A2908" t="s">
        <v>37</v>
      </c>
      <c r="B2908" t="s">
        <v>210</v>
      </c>
      <c r="C2908">
        <v>138</v>
      </c>
      <c r="D2908" t="s">
        <v>677</v>
      </c>
      <c r="E2908" t="s">
        <v>701</v>
      </c>
      <c r="F2908" t="s">
        <v>685</v>
      </c>
      <c r="G2908" t="s">
        <v>461</v>
      </c>
      <c r="H2908" t="s">
        <v>731</v>
      </c>
      <c r="I2908" t="s">
        <v>395</v>
      </c>
      <c r="J2908" t="s">
        <v>731</v>
      </c>
      <c r="K2908" t="s">
        <v>372</v>
      </c>
      <c r="L2908" t="s">
        <v>254</v>
      </c>
      <c r="M2908" t="s">
        <v>184</v>
      </c>
      <c r="N2908" t="s">
        <v>309</v>
      </c>
      <c r="O2908" t="s">
        <v>294</v>
      </c>
      <c r="P2908" t="s">
        <v>1190</v>
      </c>
      <c r="Q2908" t="s">
        <v>215</v>
      </c>
      <c r="R2908" t="s">
        <v>99</v>
      </c>
      <c r="S2908" t="s">
        <v>99</v>
      </c>
    </row>
    <row r="2909" spans="1:19" x14ac:dyDescent="0.3">
      <c r="A2909" t="s">
        <v>37</v>
      </c>
      <c r="B2909" t="s">
        <v>212</v>
      </c>
      <c r="C2909">
        <v>3605</v>
      </c>
      <c r="D2909" t="s">
        <v>158</v>
      </c>
      <c r="E2909" t="s">
        <v>248</v>
      </c>
      <c r="F2909" t="s">
        <v>152</v>
      </c>
      <c r="G2909" t="s">
        <v>120</v>
      </c>
      <c r="H2909" t="s">
        <v>109</v>
      </c>
      <c r="I2909" t="s">
        <v>684</v>
      </c>
      <c r="J2909" t="s">
        <v>684</v>
      </c>
      <c r="K2909" t="s">
        <v>143</v>
      </c>
      <c r="L2909" t="s">
        <v>112</v>
      </c>
      <c r="M2909" t="s">
        <v>373</v>
      </c>
      <c r="N2909" t="s">
        <v>155</v>
      </c>
      <c r="O2909" t="s">
        <v>468</v>
      </c>
      <c r="P2909" t="s">
        <v>949</v>
      </c>
      <c r="Q2909" t="s">
        <v>136</v>
      </c>
      <c r="R2909" t="s">
        <v>111</v>
      </c>
      <c r="S2909" t="s">
        <v>136</v>
      </c>
    </row>
    <row r="2910" spans="1:19" x14ac:dyDescent="0.3">
      <c r="A2910" t="s">
        <v>37</v>
      </c>
      <c r="B2910" t="s">
        <v>216</v>
      </c>
      <c r="C2910">
        <v>111</v>
      </c>
      <c r="D2910" t="s">
        <v>182</v>
      </c>
      <c r="E2910" t="s">
        <v>714</v>
      </c>
      <c r="F2910" t="s">
        <v>158</v>
      </c>
      <c r="G2910" t="s">
        <v>103</v>
      </c>
      <c r="H2910" t="s">
        <v>139</v>
      </c>
      <c r="I2910" t="s">
        <v>129</v>
      </c>
      <c r="J2910" t="s">
        <v>412</v>
      </c>
      <c r="K2910" t="s">
        <v>155</v>
      </c>
      <c r="L2910" t="s">
        <v>143</v>
      </c>
      <c r="M2910" t="s">
        <v>663</v>
      </c>
      <c r="N2910" t="s">
        <v>328</v>
      </c>
      <c r="O2910" t="s">
        <v>133</v>
      </c>
      <c r="P2910" t="s">
        <v>504</v>
      </c>
      <c r="Q2910" t="s">
        <v>132</v>
      </c>
      <c r="R2910" t="s">
        <v>99</v>
      </c>
      <c r="S2910" t="s">
        <v>99</v>
      </c>
    </row>
    <row r="2911" spans="1:19" x14ac:dyDescent="0.3">
      <c r="A2911" t="s">
        <v>36</v>
      </c>
      <c r="B2911" t="s">
        <v>210</v>
      </c>
      <c r="C2911">
        <v>165</v>
      </c>
      <c r="D2911" t="s">
        <v>491</v>
      </c>
      <c r="E2911" t="s">
        <v>734</v>
      </c>
      <c r="F2911" t="s">
        <v>39</v>
      </c>
      <c r="G2911" t="s">
        <v>321</v>
      </c>
      <c r="H2911" t="s">
        <v>423</v>
      </c>
      <c r="I2911" t="s">
        <v>465</v>
      </c>
      <c r="J2911" t="s">
        <v>177</v>
      </c>
      <c r="K2911" t="s">
        <v>315</v>
      </c>
      <c r="L2911" t="s">
        <v>107</v>
      </c>
      <c r="M2911" t="s">
        <v>721</v>
      </c>
      <c r="N2911" t="s">
        <v>188</v>
      </c>
      <c r="O2911" t="s">
        <v>1053</v>
      </c>
      <c r="P2911" t="s">
        <v>146</v>
      </c>
      <c r="Q2911" t="s">
        <v>99</v>
      </c>
      <c r="R2911" t="s">
        <v>115</v>
      </c>
      <c r="S2911" t="s">
        <v>115</v>
      </c>
    </row>
    <row r="2912" spans="1:19" x14ac:dyDescent="0.3">
      <c r="A2912" t="s">
        <v>36</v>
      </c>
      <c r="B2912" t="s">
        <v>212</v>
      </c>
      <c r="C2912">
        <v>1872</v>
      </c>
      <c r="D2912" t="s">
        <v>470</v>
      </c>
      <c r="E2912" t="s">
        <v>41</v>
      </c>
      <c r="F2912" t="s">
        <v>461</v>
      </c>
      <c r="G2912" t="s">
        <v>242</v>
      </c>
      <c r="H2912" t="s">
        <v>299</v>
      </c>
      <c r="I2912" t="s">
        <v>401</v>
      </c>
      <c r="J2912" t="s">
        <v>150</v>
      </c>
      <c r="K2912" t="s">
        <v>78</v>
      </c>
      <c r="L2912" t="s">
        <v>139</v>
      </c>
      <c r="M2912" t="s">
        <v>540</v>
      </c>
      <c r="N2912" t="s">
        <v>144</v>
      </c>
      <c r="O2912" t="s">
        <v>321</v>
      </c>
      <c r="P2912" t="s">
        <v>1256</v>
      </c>
      <c r="Q2912" t="s">
        <v>198</v>
      </c>
      <c r="R2912" t="s">
        <v>141</v>
      </c>
      <c r="S2912" t="s">
        <v>198</v>
      </c>
    </row>
    <row r="2913" spans="1:19" x14ac:dyDescent="0.3">
      <c r="A2913" t="s">
        <v>36</v>
      </c>
      <c r="B2913" t="s">
        <v>216</v>
      </c>
      <c r="C2913">
        <v>265</v>
      </c>
      <c r="D2913" t="s">
        <v>408</v>
      </c>
      <c r="E2913" t="s">
        <v>746</v>
      </c>
      <c r="F2913" t="s">
        <v>206</v>
      </c>
      <c r="G2913" t="s">
        <v>152</v>
      </c>
      <c r="H2913" t="s">
        <v>201</v>
      </c>
      <c r="I2913" t="s">
        <v>179</v>
      </c>
      <c r="J2913" t="s">
        <v>182</v>
      </c>
      <c r="K2913" t="s">
        <v>41</v>
      </c>
      <c r="L2913" t="s">
        <v>242</v>
      </c>
      <c r="M2913" t="s">
        <v>688</v>
      </c>
      <c r="N2913" t="s">
        <v>420</v>
      </c>
      <c r="O2913" t="s">
        <v>267</v>
      </c>
      <c r="P2913" t="s">
        <v>839</v>
      </c>
      <c r="Q2913" t="s">
        <v>292</v>
      </c>
      <c r="R2913" t="s">
        <v>712</v>
      </c>
      <c r="S2913" t="s">
        <v>292</v>
      </c>
    </row>
    <row r="2914" spans="1:19" x14ac:dyDescent="0.3">
      <c r="A2914" t="s">
        <v>34</v>
      </c>
      <c r="B2914" t="s">
        <v>210</v>
      </c>
      <c r="C2914">
        <v>256</v>
      </c>
      <c r="D2914" t="s">
        <v>264</v>
      </c>
      <c r="E2914" t="s">
        <v>393</v>
      </c>
      <c r="F2914" t="s">
        <v>739</v>
      </c>
      <c r="G2914" t="s">
        <v>379</v>
      </c>
      <c r="H2914" t="s">
        <v>201</v>
      </c>
      <c r="I2914" t="s">
        <v>740</v>
      </c>
      <c r="J2914" t="s">
        <v>222</v>
      </c>
      <c r="K2914" t="s">
        <v>701</v>
      </c>
      <c r="L2914" t="s">
        <v>204</v>
      </c>
      <c r="M2914" t="s">
        <v>318</v>
      </c>
      <c r="N2914" t="s">
        <v>133</v>
      </c>
      <c r="O2914" t="s">
        <v>410</v>
      </c>
      <c r="P2914" t="s">
        <v>619</v>
      </c>
      <c r="Q2914" t="s">
        <v>98</v>
      </c>
      <c r="R2914" t="s">
        <v>114</v>
      </c>
      <c r="S2914" t="s">
        <v>99</v>
      </c>
    </row>
    <row r="2915" spans="1:19" x14ac:dyDescent="0.3">
      <c r="A2915" t="s">
        <v>34</v>
      </c>
      <c r="B2915" t="s">
        <v>212</v>
      </c>
      <c r="C2915">
        <v>1581</v>
      </c>
      <c r="D2915" t="s">
        <v>204</v>
      </c>
      <c r="E2915" t="s">
        <v>679</v>
      </c>
      <c r="F2915" t="s">
        <v>143</v>
      </c>
      <c r="G2915" t="s">
        <v>128</v>
      </c>
      <c r="H2915" t="s">
        <v>129</v>
      </c>
      <c r="I2915" t="s">
        <v>68</v>
      </c>
      <c r="J2915" t="s">
        <v>332</v>
      </c>
      <c r="K2915" t="s">
        <v>139</v>
      </c>
      <c r="L2915" t="s">
        <v>332</v>
      </c>
      <c r="M2915" t="s">
        <v>264</v>
      </c>
      <c r="N2915" t="s">
        <v>127</v>
      </c>
      <c r="O2915" t="s">
        <v>299</v>
      </c>
      <c r="P2915" t="s">
        <v>306</v>
      </c>
      <c r="Q2915" t="s">
        <v>151</v>
      </c>
      <c r="R2915" t="s">
        <v>115</v>
      </c>
      <c r="S2915" t="s">
        <v>136</v>
      </c>
    </row>
    <row r="2916" spans="1:19" x14ac:dyDescent="0.3">
      <c r="A2916" t="s">
        <v>34</v>
      </c>
      <c r="B2916" t="s">
        <v>216</v>
      </c>
      <c r="C2916">
        <v>241</v>
      </c>
      <c r="D2916" t="s">
        <v>737</v>
      </c>
      <c r="E2916" t="s">
        <v>678</v>
      </c>
      <c r="F2916" t="s">
        <v>701</v>
      </c>
      <c r="G2916" t="s">
        <v>122</v>
      </c>
      <c r="H2916" t="s">
        <v>710</v>
      </c>
      <c r="I2916" t="s">
        <v>680</v>
      </c>
      <c r="J2916" t="s">
        <v>163</v>
      </c>
      <c r="K2916" t="s">
        <v>267</v>
      </c>
      <c r="L2916" t="s">
        <v>449</v>
      </c>
      <c r="M2916" t="s">
        <v>690</v>
      </c>
      <c r="N2916" t="s">
        <v>130</v>
      </c>
      <c r="O2916" t="s">
        <v>670</v>
      </c>
      <c r="P2916" t="s">
        <v>944</v>
      </c>
      <c r="Q2916" t="s">
        <v>332</v>
      </c>
      <c r="R2916" t="s">
        <v>207</v>
      </c>
      <c r="S2916" t="s">
        <v>99</v>
      </c>
    </row>
    <row r="2917" spans="1:19" x14ac:dyDescent="0.3">
      <c r="A2917" t="s">
        <v>33</v>
      </c>
      <c r="B2917" t="s">
        <v>210</v>
      </c>
      <c r="C2917">
        <v>68</v>
      </c>
      <c r="D2917" t="s">
        <v>255</v>
      </c>
      <c r="E2917" t="s">
        <v>231</v>
      </c>
      <c r="F2917" t="s">
        <v>688</v>
      </c>
      <c r="G2917" t="s">
        <v>804</v>
      </c>
      <c r="H2917" t="s">
        <v>142</v>
      </c>
      <c r="I2917" t="s">
        <v>1053</v>
      </c>
      <c r="J2917" t="s">
        <v>1044</v>
      </c>
      <c r="K2917" t="s">
        <v>372</v>
      </c>
      <c r="L2917" t="s">
        <v>449</v>
      </c>
      <c r="M2917" t="s">
        <v>482</v>
      </c>
      <c r="N2917" t="s">
        <v>451</v>
      </c>
      <c r="O2917" t="s">
        <v>686</v>
      </c>
      <c r="P2917" t="s">
        <v>698</v>
      </c>
      <c r="Q2917" t="s">
        <v>99</v>
      </c>
      <c r="R2917" t="s">
        <v>120</v>
      </c>
      <c r="S2917" t="s">
        <v>101</v>
      </c>
    </row>
    <row r="2918" spans="1:19" x14ac:dyDescent="0.3">
      <c r="A2918" t="s">
        <v>33</v>
      </c>
      <c r="B2918" t="s">
        <v>212</v>
      </c>
      <c r="C2918">
        <v>1800</v>
      </c>
      <c r="D2918" t="s">
        <v>468</v>
      </c>
      <c r="E2918" t="s">
        <v>152</v>
      </c>
      <c r="F2918" t="s">
        <v>158</v>
      </c>
      <c r="G2918" t="s">
        <v>151</v>
      </c>
      <c r="H2918" t="s">
        <v>316</v>
      </c>
      <c r="I2918" t="s">
        <v>292</v>
      </c>
      <c r="J2918" t="s">
        <v>127</v>
      </c>
      <c r="K2918" t="s">
        <v>268</v>
      </c>
      <c r="L2918" t="s">
        <v>118</v>
      </c>
      <c r="M2918" t="s">
        <v>478</v>
      </c>
      <c r="N2918" t="s">
        <v>157</v>
      </c>
      <c r="O2918" t="s">
        <v>294</v>
      </c>
      <c r="P2918" t="s">
        <v>278</v>
      </c>
      <c r="Q2918" t="s">
        <v>207</v>
      </c>
      <c r="R2918" t="s">
        <v>253</v>
      </c>
      <c r="S2918" t="s">
        <v>198</v>
      </c>
    </row>
    <row r="2919" spans="1:19" x14ac:dyDescent="0.3">
      <c r="A2919" t="s">
        <v>33</v>
      </c>
      <c r="B2919" t="s">
        <v>216</v>
      </c>
      <c r="C2919">
        <v>69</v>
      </c>
      <c r="D2919" t="s">
        <v>325</v>
      </c>
      <c r="E2919" t="s">
        <v>74</v>
      </c>
      <c r="F2919" t="s">
        <v>144</v>
      </c>
      <c r="G2919" t="s">
        <v>99</v>
      </c>
      <c r="H2919" t="s">
        <v>99</v>
      </c>
      <c r="I2919" t="s">
        <v>382</v>
      </c>
      <c r="J2919" t="s">
        <v>382</v>
      </c>
      <c r="K2919" t="s">
        <v>143</v>
      </c>
      <c r="L2919" t="s">
        <v>474</v>
      </c>
      <c r="M2919" t="s">
        <v>369</v>
      </c>
      <c r="N2919" t="s">
        <v>157</v>
      </c>
      <c r="O2919" t="s">
        <v>289</v>
      </c>
      <c r="P2919" t="s">
        <v>343</v>
      </c>
      <c r="Q2919" t="s">
        <v>99</v>
      </c>
      <c r="R2919" t="s">
        <v>99</v>
      </c>
      <c r="S2919" t="s">
        <v>99</v>
      </c>
    </row>
    <row r="2920" spans="1:19" x14ac:dyDescent="0.3">
      <c r="A2920" t="s">
        <v>49</v>
      </c>
      <c r="B2920" t="s">
        <v>210</v>
      </c>
      <c r="C2920">
        <v>763</v>
      </c>
      <c r="D2920" t="s">
        <v>482</v>
      </c>
      <c r="E2920" t="s">
        <v>357</v>
      </c>
      <c r="F2920" t="s">
        <v>811</v>
      </c>
      <c r="G2920" t="s">
        <v>313</v>
      </c>
      <c r="H2920" t="s">
        <v>731</v>
      </c>
      <c r="I2920" t="s">
        <v>811</v>
      </c>
      <c r="J2920" t="s">
        <v>244</v>
      </c>
      <c r="K2920" t="s">
        <v>685</v>
      </c>
      <c r="L2920" t="s">
        <v>68</v>
      </c>
      <c r="M2920" t="s">
        <v>222</v>
      </c>
      <c r="N2920" t="s">
        <v>708</v>
      </c>
      <c r="O2920" t="s">
        <v>687</v>
      </c>
      <c r="P2920" t="s">
        <v>957</v>
      </c>
      <c r="Q2920" t="s">
        <v>128</v>
      </c>
      <c r="R2920" t="s">
        <v>121</v>
      </c>
      <c r="S2920" t="s">
        <v>198</v>
      </c>
    </row>
    <row r="2921" spans="1:19" x14ac:dyDescent="0.3">
      <c r="A2921" t="s">
        <v>49</v>
      </c>
      <c r="B2921" t="s">
        <v>212</v>
      </c>
      <c r="C2921">
        <v>11299</v>
      </c>
      <c r="D2921" t="s">
        <v>109</v>
      </c>
      <c r="E2921" t="s">
        <v>401</v>
      </c>
      <c r="F2921" t="s">
        <v>122</v>
      </c>
      <c r="G2921" t="s">
        <v>105</v>
      </c>
      <c r="H2921" t="s">
        <v>204</v>
      </c>
      <c r="I2921" t="s">
        <v>684</v>
      </c>
      <c r="J2921" t="s">
        <v>412</v>
      </c>
      <c r="K2921" t="s">
        <v>124</v>
      </c>
      <c r="L2921" t="s">
        <v>129</v>
      </c>
      <c r="M2921" t="s">
        <v>440</v>
      </c>
      <c r="N2921" t="s">
        <v>134</v>
      </c>
      <c r="O2921" t="s">
        <v>113</v>
      </c>
      <c r="P2921" t="s">
        <v>1329</v>
      </c>
      <c r="Q2921" t="s">
        <v>253</v>
      </c>
      <c r="R2921" t="s">
        <v>382</v>
      </c>
      <c r="S2921" t="s">
        <v>207</v>
      </c>
    </row>
    <row r="2922" spans="1:19" x14ac:dyDescent="0.3">
      <c r="A2922" t="s">
        <v>49</v>
      </c>
      <c r="B2922" t="s">
        <v>216</v>
      </c>
      <c r="C2922">
        <v>1253</v>
      </c>
      <c r="D2922" t="s">
        <v>220</v>
      </c>
      <c r="E2922" t="s">
        <v>233</v>
      </c>
      <c r="F2922" t="s">
        <v>369</v>
      </c>
      <c r="G2922" t="s">
        <v>130</v>
      </c>
      <c r="H2922" t="s">
        <v>248</v>
      </c>
      <c r="I2922" t="s">
        <v>184</v>
      </c>
      <c r="J2922" t="s">
        <v>78</v>
      </c>
      <c r="K2922" t="s">
        <v>325</v>
      </c>
      <c r="L2922" t="s">
        <v>98</v>
      </c>
      <c r="M2922" t="s">
        <v>171</v>
      </c>
      <c r="N2922" t="s">
        <v>118</v>
      </c>
      <c r="O2922" t="s">
        <v>171</v>
      </c>
      <c r="P2922" t="s">
        <v>55</v>
      </c>
      <c r="Q2922" t="s">
        <v>215</v>
      </c>
      <c r="R2922" t="s">
        <v>115</v>
      </c>
      <c r="S2922" t="s">
        <v>207</v>
      </c>
    </row>
    <row r="2924" spans="1:19" x14ac:dyDescent="0.3">
      <c r="A2924" t="s">
        <v>1330</v>
      </c>
    </row>
    <row r="2925" spans="1:19" x14ac:dyDescent="0.3">
      <c r="A2925" t="s">
        <v>44</v>
      </c>
      <c r="B2925" t="s">
        <v>388</v>
      </c>
      <c r="C2925" t="s">
        <v>32</v>
      </c>
      <c r="D2925" t="s">
        <v>1311</v>
      </c>
      <c r="E2925" t="s">
        <v>1312</v>
      </c>
      <c r="F2925" t="s">
        <v>1313</v>
      </c>
      <c r="G2925" t="s">
        <v>1314</v>
      </c>
      <c r="H2925" t="s">
        <v>1315</v>
      </c>
      <c r="I2925" t="s">
        <v>1316</v>
      </c>
      <c r="J2925" t="s">
        <v>1317</v>
      </c>
      <c r="K2925" t="s">
        <v>1318</v>
      </c>
      <c r="L2925" t="s">
        <v>1319</v>
      </c>
      <c r="M2925" t="s">
        <v>1320</v>
      </c>
      <c r="N2925" t="s">
        <v>1321</v>
      </c>
      <c r="O2925" t="s">
        <v>1322</v>
      </c>
      <c r="P2925" t="s">
        <v>1323</v>
      </c>
      <c r="Q2925" t="s">
        <v>88</v>
      </c>
      <c r="R2925" t="s">
        <v>83</v>
      </c>
      <c r="S2925" t="s">
        <v>193</v>
      </c>
    </row>
    <row r="2926" spans="1:19" x14ac:dyDescent="0.3">
      <c r="A2926" t="s">
        <v>35</v>
      </c>
      <c r="B2926" t="s">
        <v>389</v>
      </c>
      <c r="C2926">
        <v>2140</v>
      </c>
      <c r="D2926" t="s">
        <v>41</v>
      </c>
      <c r="E2926" t="s">
        <v>41</v>
      </c>
      <c r="F2926" t="s">
        <v>804</v>
      </c>
      <c r="G2926" t="s">
        <v>110</v>
      </c>
      <c r="H2926" t="s">
        <v>160</v>
      </c>
      <c r="I2926" t="s">
        <v>679</v>
      </c>
      <c r="J2926" t="s">
        <v>184</v>
      </c>
      <c r="K2926" t="s">
        <v>254</v>
      </c>
      <c r="L2926" t="s">
        <v>268</v>
      </c>
      <c r="M2926" t="s">
        <v>449</v>
      </c>
      <c r="N2926" t="s">
        <v>474</v>
      </c>
      <c r="O2926" t="s">
        <v>158</v>
      </c>
      <c r="P2926" t="s">
        <v>1245</v>
      </c>
      <c r="Q2926" t="s">
        <v>108</v>
      </c>
      <c r="R2926" t="s">
        <v>101</v>
      </c>
      <c r="S2926" t="s">
        <v>207</v>
      </c>
    </row>
    <row r="2927" spans="1:19" x14ac:dyDescent="0.3">
      <c r="A2927" t="s">
        <v>35</v>
      </c>
      <c r="B2927" t="s">
        <v>390</v>
      </c>
      <c r="C2927">
        <v>875</v>
      </c>
      <c r="D2927" t="s">
        <v>710</v>
      </c>
      <c r="E2927" t="s">
        <v>289</v>
      </c>
      <c r="F2927" t="s">
        <v>708</v>
      </c>
      <c r="G2927" t="s">
        <v>675</v>
      </c>
      <c r="H2927" t="s">
        <v>248</v>
      </c>
      <c r="I2927" t="s">
        <v>135</v>
      </c>
      <c r="J2927" t="s">
        <v>72</v>
      </c>
      <c r="K2927" t="s">
        <v>144</v>
      </c>
      <c r="L2927" t="s">
        <v>328</v>
      </c>
      <c r="M2927" t="s">
        <v>416</v>
      </c>
      <c r="N2927" t="s">
        <v>684</v>
      </c>
      <c r="O2927" t="s">
        <v>165</v>
      </c>
      <c r="P2927" t="s">
        <v>1331</v>
      </c>
      <c r="Q2927" t="s">
        <v>104</v>
      </c>
      <c r="R2927" t="s">
        <v>155</v>
      </c>
      <c r="S2927" t="s">
        <v>136</v>
      </c>
    </row>
    <row r="2928" spans="1:19" x14ac:dyDescent="0.3">
      <c r="A2928" t="s">
        <v>35</v>
      </c>
      <c r="B2928" t="s">
        <v>365</v>
      </c>
      <c r="C2928">
        <v>129</v>
      </c>
      <c r="D2928" t="s">
        <v>154</v>
      </c>
      <c r="E2928" t="s">
        <v>134</v>
      </c>
      <c r="F2928" t="s">
        <v>130</v>
      </c>
      <c r="G2928" t="s">
        <v>123</v>
      </c>
      <c r="H2928" t="s">
        <v>127</v>
      </c>
      <c r="I2928" t="s">
        <v>126</v>
      </c>
      <c r="J2928" t="s">
        <v>126</v>
      </c>
      <c r="K2928" t="s">
        <v>292</v>
      </c>
      <c r="L2928" t="s">
        <v>292</v>
      </c>
      <c r="M2928" t="s">
        <v>150</v>
      </c>
      <c r="N2928" t="s">
        <v>126</v>
      </c>
      <c r="O2928" t="s">
        <v>129</v>
      </c>
      <c r="P2928" t="s">
        <v>290</v>
      </c>
      <c r="Q2928" t="s">
        <v>99</v>
      </c>
      <c r="R2928" t="s">
        <v>99</v>
      </c>
      <c r="S2928" t="s">
        <v>99</v>
      </c>
    </row>
    <row r="2929" spans="1:19" x14ac:dyDescent="0.3">
      <c r="A2929" t="s">
        <v>37</v>
      </c>
      <c r="B2929" t="s">
        <v>389</v>
      </c>
      <c r="C2929">
        <v>2304</v>
      </c>
      <c r="D2929" t="s">
        <v>144</v>
      </c>
      <c r="E2929" t="s">
        <v>401</v>
      </c>
      <c r="F2929" t="s">
        <v>248</v>
      </c>
      <c r="G2929" t="s">
        <v>138</v>
      </c>
      <c r="H2929" t="s">
        <v>122</v>
      </c>
      <c r="I2929" t="s">
        <v>664</v>
      </c>
      <c r="J2929" t="s">
        <v>679</v>
      </c>
      <c r="K2929" t="s">
        <v>184</v>
      </c>
      <c r="L2929" t="s">
        <v>412</v>
      </c>
      <c r="M2929" t="s">
        <v>167</v>
      </c>
      <c r="N2929" t="s">
        <v>130</v>
      </c>
      <c r="O2929" t="s">
        <v>277</v>
      </c>
      <c r="P2929" t="s">
        <v>1329</v>
      </c>
      <c r="Q2929" t="s">
        <v>253</v>
      </c>
      <c r="R2929" t="s">
        <v>123</v>
      </c>
      <c r="S2929" t="s">
        <v>136</v>
      </c>
    </row>
    <row r="2930" spans="1:19" x14ac:dyDescent="0.3">
      <c r="A2930" t="s">
        <v>37</v>
      </c>
      <c r="B2930" t="s">
        <v>390</v>
      </c>
      <c r="C2930">
        <v>1309</v>
      </c>
      <c r="D2930" t="s">
        <v>242</v>
      </c>
      <c r="E2930" t="s">
        <v>70</v>
      </c>
      <c r="F2930" t="s">
        <v>145</v>
      </c>
      <c r="G2930" t="s">
        <v>292</v>
      </c>
      <c r="H2930" t="s">
        <v>663</v>
      </c>
      <c r="I2930" t="s">
        <v>332</v>
      </c>
      <c r="J2930" t="s">
        <v>107</v>
      </c>
      <c r="K2930" t="s">
        <v>149</v>
      </c>
      <c r="L2930" t="s">
        <v>68</v>
      </c>
      <c r="M2930" t="s">
        <v>705</v>
      </c>
      <c r="N2930" t="s">
        <v>242</v>
      </c>
      <c r="O2930" t="s">
        <v>150</v>
      </c>
      <c r="P2930" t="s">
        <v>949</v>
      </c>
      <c r="Q2930" t="s">
        <v>141</v>
      </c>
      <c r="R2930" t="s">
        <v>117</v>
      </c>
      <c r="S2930" t="s">
        <v>198</v>
      </c>
    </row>
    <row r="2931" spans="1:19" x14ac:dyDescent="0.3">
      <c r="A2931" t="s">
        <v>37</v>
      </c>
      <c r="B2931" t="s">
        <v>365</v>
      </c>
      <c r="C2931">
        <v>241</v>
      </c>
      <c r="D2931" t="s">
        <v>679</v>
      </c>
      <c r="E2931" t="s">
        <v>746</v>
      </c>
      <c r="F2931" t="s">
        <v>145</v>
      </c>
      <c r="G2931" t="s">
        <v>68</v>
      </c>
      <c r="H2931" t="s">
        <v>663</v>
      </c>
      <c r="I2931" t="s">
        <v>474</v>
      </c>
      <c r="J2931" t="s">
        <v>292</v>
      </c>
      <c r="K2931" t="s">
        <v>675</v>
      </c>
      <c r="L2931" t="s">
        <v>108</v>
      </c>
      <c r="M2931" t="s">
        <v>676</v>
      </c>
      <c r="N2931" t="s">
        <v>382</v>
      </c>
      <c r="O2931" t="s">
        <v>182</v>
      </c>
      <c r="P2931" t="s">
        <v>949</v>
      </c>
      <c r="Q2931" t="s">
        <v>99</v>
      </c>
      <c r="R2931" t="s">
        <v>127</v>
      </c>
      <c r="S2931" t="s">
        <v>207</v>
      </c>
    </row>
    <row r="2932" spans="1:19" x14ac:dyDescent="0.3">
      <c r="A2932" t="s">
        <v>36</v>
      </c>
      <c r="B2932" t="s">
        <v>389</v>
      </c>
      <c r="C2932">
        <v>1577</v>
      </c>
      <c r="D2932" t="s">
        <v>405</v>
      </c>
      <c r="E2932" t="s">
        <v>722</v>
      </c>
      <c r="F2932" t="s">
        <v>470</v>
      </c>
      <c r="G2932" t="s">
        <v>712</v>
      </c>
      <c r="H2932" t="s">
        <v>369</v>
      </c>
      <c r="I2932" t="s">
        <v>296</v>
      </c>
      <c r="J2932" t="s">
        <v>78</v>
      </c>
      <c r="K2932" t="s">
        <v>160</v>
      </c>
      <c r="L2932" t="s">
        <v>130</v>
      </c>
      <c r="M2932" t="s">
        <v>137</v>
      </c>
      <c r="N2932" t="s">
        <v>401</v>
      </c>
      <c r="O2932" t="s">
        <v>76</v>
      </c>
      <c r="P2932" t="s">
        <v>793</v>
      </c>
      <c r="Q2932" t="s">
        <v>141</v>
      </c>
      <c r="R2932" t="s">
        <v>100</v>
      </c>
      <c r="S2932" t="s">
        <v>253</v>
      </c>
    </row>
    <row r="2933" spans="1:19" x14ac:dyDescent="0.3">
      <c r="A2933" t="s">
        <v>36</v>
      </c>
      <c r="B2933" t="s">
        <v>390</v>
      </c>
      <c r="C2933">
        <v>625</v>
      </c>
      <c r="D2933" t="s">
        <v>721</v>
      </c>
      <c r="E2933" t="s">
        <v>222</v>
      </c>
      <c r="F2933" t="s">
        <v>379</v>
      </c>
      <c r="G2933" t="s">
        <v>470</v>
      </c>
      <c r="H2933" t="s">
        <v>311</v>
      </c>
      <c r="I2933" t="s">
        <v>722</v>
      </c>
      <c r="J2933" t="s">
        <v>220</v>
      </c>
      <c r="K2933" t="s">
        <v>716</v>
      </c>
      <c r="L2933" t="s">
        <v>118</v>
      </c>
      <c r="M2933" t="s">
        <v>188</v>
      </c>
      <c r="N2933" t="s">
        <v>74</v>
      </c>
      <c r="O2933" t="s">
        <v>255</v>
      </c>
      <c r="P2933" t="s">
        <v>559</v>
      </c>
      <c r="Q2933" t="s">
        <v>198</v>
      </c>
      <c r="R2933" t="s">
        <v>115</v>
      </c>
      <c r="S2933" t="s">
        <v>198</v>
      </c>
    </row>
    <row r="2934" spans="1:19" x14ac:dyDescent="0.3">
      <c r="A2934" t="s">
        <v>36</v>
      </c>
      <c r="B2934" t="s">
        <v>365</v>
      </c>
      <c r="C2934">
        <v>100</v>
      </c>
      <c r="D2934" t="s">
        <v>373</v>
      </c>
      <c r="E2934" t="s">
        <v>406</v>
      </c>
      <c r="F2934" t="s">
        <v>672</v>
      </c>
      <c r="G2934" t="s">
        <v>722</v>
      </c>
      <c r="H2934" t="s">
        <v>355</v>
      </c>
      <c r="I2934" t="s">
        <v>315</v>
      </c>
      <c r="J2934" t="s">
        <v>233</v>
      </c>
      <c r="K2934" t="s">
        <v>379</v>
      </c>
      <c r="L2934" t="s">
        <v>233</v>
      </c>
      <c r="M2934" t="s">
        <v>372</v>
      </c>
      <c r="N2934" t="s">
        <v>405</v>
      </c>
      <c r="O2934" t="s">
        <v>1059</v>
      </c>
      <c r="P2934" t="s">
        <v>1058</v>
      </c>
      <c r="Q2934" t="s">
        <v>104</v>
      </c>
      <c r="R2934" t="s">
        <v>99</v>
      </c>
      <c r="S2934" t="s">
        <v>99</v>
      </c>
    </row>
    <row r="2935" spans="1:19" x14ac:dyDescent="0.3">
      <c r="A2935" t="s">
        <v>34</v>
      </c>
      <c r="B2935" t="s">
        <v>389</v>
      </c>
      <c r="C2935">
        <v>1383</v>
      </c>
      <c r="D2935" t="s">
        <v>671</v>
      </c>
      <c r="E2935" t="s">
        <v>291</v>
      </c>
      <c r="F2935" t="s">
        <v>287</v>
      </c>
      <c r="G2935" t="s">
        <v>277</v>
      </c>
      <c r="H2935" t="s">
        <v>679</v>
      </c>
      <c r="I2935" t="s">
        <v>171</v>
      </c>
      <c r="J2935" t="s">
        <v>401</v>
      </c>
      <c r="K2935" t="s">
        <v>142</v>
      </c>
      <c r="L2935" t="s">
        <v>74</v>
      </c>
      <c r="M2935" t="s">
        <v>167</v>
      </c>
      <c r="N2935" t="s">
        <v>129</v>
      </c>
      <c r="O2935" t="s">
        <v>465</v>
      </c>
      <c r="P2935" t="s">
        <v>1095</v>
      </c>
      <c r="Q2935" t="s">
        <v>155</v>
      </c>
      <c r="R2935" t="s">
        <v>132</v>
      </c>
      <c r="S2935" t="s">
        <v>99</v>
      </c>
    </row>
    <row r="2936" spans="1:19" x14ac:dyDescent="0.3">
      <c r="A2936" t="s">
        <v>34</v>
      </c>
      <c r="B2936" t="s">
        <v>390</v>
      </c>
      <c r="C2936">
        <v>615</v>
      </c>
      <c r="D2936" t="s">
        <v>325</v>
      </c>
      <c r="E2936" t="s">
        <v>363</v>
      </c>
      <c r="F2936" t="s">
        <v>325</v>
      </c>
      <c r="G2936" t="s">
        <v>155</v>
      </c>
      <c r="H2936" t="s">
        <v>124</v>
      </c>
      <c r="I2936" t="s">
        <v>134</v>
      </c>
      <c r="J2936" t="s">
        <v>215</v>
      </c>
      <c r="K2936" t="s">
        <v>118</v>
      </c>
      <c r="L2936" t="s">
        <v>103</v>
      </c>
      <c r="M2936" t="s">
        <v>685</v>
      </c>
      <c r="N2936" t="s">
        <v>215</v>
      </c>
      <c r="O2936" t="s">
        <v>248</v>
      </c>
      <c r="P2936" t="s">
        <v>1144</v>
      </c>
      <c r="Q2936" t="s">
        <v>123</v>
      </c>
      <c r="R2936" t="s">
        <v>115</v>
      </c>
      <c r="S2936" t="s">
        <v>108</v>
      </c>
    </row>
    <row r="2937" spans="1:19" x14ac:dyDescent="0.3">
      <c r="A2937" t="s">
        <v>34</v>
      </c>
      <c r="B2937" t="s">
        <v>365</v>
      </c>
      <c r="C2937">
        <v>80</v>
      </c>
      <c r="D2937" t="s">
        <v>233</v>
      </c>
      <c r="E2937" t="s">
        <v>251</v>
      </c>
      <c r="F2937" t="s">
        <v>122</v>
      </c>
      <c r="G2937" t="s">
        <v>105</v>
      </c>
      <c r="H2937" t="s">
        <v>74</v>
      </c>
      <c r="I2937" t="s">
        <v>143</v>
      </c>
      <c r="J2937" t="s">
        <v>144</v>
      </c>
      <c r="K2937" t="s">
        <v>684</v>
      </c>
      <c r="L2937" t="s">
        <v>149</v>
      </c>
      <c r="M2937" t="s">
        <v>393</v>
      </c>
      <c r="N2937" t="s">
        <v>105</v>
      </c>
      <c r="O2937" t="s">
        <v>68</v>
      </c>
      <c r="P2937" t="s">
        <v>306</v>
      </c>
      <c r="Q2937" t="s">
        <v>99</v>
      </c>
      <c r="R2937" t="s">
        <v>104</v>
      </c>
      <c r="S2937" t="s">
        <v>99</v>
      </c>
    </row>
    <row r="2938" spans="1:19" x14ac:dyDescent="0.3">
      <c r="A2938" t="s">
        <v>33</v>
      </c>
      <c r="B2938" t="s">
        <v>389</v>
      </c>
      <c r="C2938">
        <v>1090</v>
      </c>
      <c r="D2938" t="s">
        <v>74</v>
      </c>
      <c r="E2938" t="s">
        <v>299</v>
      </c>
      <c r="F2938" t="s">
        <v>98</v>
      </c>
      <c r="G2938" t="s">
        <v>151</v>
      </c>
      <c r="H2938" t="s">
        <v>107</v>
      </c>
      <c r="I2938" t="s">
        <v>155</v>
      </c>
      <c r="J2938" t="s">
        <v>316</v>
      </c>
      <c r="K2938" t="s">
        <v>105</v>
      </c>
      <c r="L2938" t="s">
        <v>474</v>
      </c>
      <c r="M2938" t="s">
        <v>807</v>
      </c>
      <c r="N2938" t="s">
        <v>139</v>
      </c>
      <c r="O2938" t="s">
        <v>714</v>
      </c>
      <c r="P2938" t="s">
        <v>649</v>
      </c>
      <c r="Q2938" t="s">
        <v>198</v>
      </c>
      <c r="R2938" t="s">
        <v>207</v>
      </c>
      <c r="S2938" t="s">
        <v>207</v>
      </c>
    </row>
    <row r="2939" spans="1:19" x14ac:dyDescent="0.3">
      <c r="A2939" t="s">
        <v>33</v>
      </c>
      <c r="B2939" t="s">
        <v>390</v>
      </c>
      <c r="C2939">
        <v>708</v>
      </c>
      <c r="D2939" t="s">
        <v>68</v>
      </c>
      <c r="E2939" t="s">
        <v>684</v>
      </c>
      <c r="F2939" t="s">
        <v>68</v>
      </c>
      <c r="G2939" t="s">
        <v>151</v>
      </c>
      <c r="H2939" t="s">
        <v>268</v>
      </c>
      <c r="I2939" t="s">
        <v>117</v>
      </c>
      <c r="J2939" t="s">
        <v>268</v>
      </c>
      <c r="K2939" t="s">
        <v>103</v>
      </c>
      <c r="L2939" t="s">
        <v>118</v>
      </c>
      <c r="M2939" t="s">
        <v>700</v>
      </c>
      <c r="N2939" t="s">
        <v>332</v>
      </c>
      <c r="O2939" t="s">
        <v>416</v>
      </c>
      <c r="P2939" t="s">
        <v>627</v>
      </c>
      <c r="Q2939" t="s">
        <v>141</v>
      </c>
      <c r="R2939" t="s">
        <v>114</v>
      </c>
      <c r="S2939" t="s">
        <v>198</v>
      </c>
    </row>
    <row r="2940" spans="1:19" x14ac:dyDescent="0.3">
      <c r="A2940" t="s">
        <v>33</v>
      </c>
      <c r="B2940" t="s">
        <v>365</v>
      </c>
      <c r="C2940">
        <v>139</v>
      </c>
      <c r="D2940" t="s">
        <v>233</v>
      </c>
      <c r="E2940" t="s">
        <v>291</v>
      </c>
      <c r="F2940" t="s">
        <v>708</v>
      </c>
      <c r="G2940" t="s">
        <v>684</v>
      </c>
      <c r="H2940" t="s">
        <v>316</v>
      </c>
      <c r="I2940" t="s">
        <v>382</v>
      </c>
      <c r="J2940" t="s">
        <v>100</v>
      </c>
      <c r="K2940" t="s">
        <v>157</v>
      </c>
      <c r="L2940" t="s">
        <v>118</v>
      </c>
      <c r="M2940" t="s">
        <v>309</v>
      </c>
      <c r="N2940" t="s">
        <v>253</v>
      </c>
      <c r="O2940" t="s">
        <v>702</v>
      </c>
      <c r="P2940" t="s">
        <v>1180</v>
      </c>
      <c r="Q2940" t="s">
        <v>99</v>
      </c>
      <c r="R2940" t="s">
        <v>117</v>
      </c>
      <c r="S2940" t="s">
        <v>99</v>
      </c>
    </row>
    <row r="2941" spans="1:19" x14ac:dyDescent="0.3">
      <c r="A2941" t="s">
        <v>49</v>
      </c>
      <c r="B2941" t="s">
        <v>389</v>
      </c>
      <c r="C2941">
        <v>8494</v>
      </c>
      <c r="D2941" t="s">
        <v>353</v>
      </c>
      <c r="E2941" t="s">
        <v>182</v>
      </c>
      <c r="F2941" t="s">
        <v>296</v>
      </c>
      <c r="G2941" t="s">
        <v>118</v>
      </c>
      <c r="H2941" t="s">
        <v>150</v>
      </c>
      <c r="I2941" t="s">
        <v>679</v>
      </c>
      <c r="J2941" t="s">
        <v>152</v>
      </c>
      <c r="K2941" t="s">
        <v>152</v>
      </c>
      <c r="L2941" t="s">
        <v>434</v>
      </c>
      <c r="M2941" t="s">
        <v>393</v>
      </c>
      <c r="N2941" t="s">
        <v>139</v>
      </c>
      <c r="O2941" t="s">
        <v>296</v>
      </c>
      <c r="P2941" t="s">
        <v>935</v>
      </c>
      <c r="Q2941" t="s">
        <v>121</v>
      </c>
      <c r="R2941" t="s">
        <v>121</v>
      </c>
      <c r="S2941" t="s">
        <v>207</v>
      </c>
    </row>
    <row r="2942" spans="1:19" x14ac:dyDescent="0.3">
      <c r="A2942" t="s">
        <v>49</v>
      </c>
      <c r="B2942" t="s">
        <v>390</v>
      </c>
      <c r="C2942">
        <v>4132</v>
      </c>
      <c r="D2942" t="s">
        <v>184</v>
      </c>
      <c r="E2942" t="s">
        <v>72</v>
      </c>
      <c r="F2942" t="s">
        <v>78</v>
      </c>
      <c r="G2942" t="s">
        <v>129</v>
      </c>
      <c r="H2942" t="s">
        <v>74</v>
      </c>
      <c r="I2942" t="s">
        <v>139</v>
      </c>
      <c r="J2942" t="s">
        <v>112</v>
      </c>
      <c r="K2942" t="s">
        <v>242</v>
      </c>
      <c r="L2942" t="s">
        <v>712</v>
      </c>
      <c r="M2942" t="s">
        <v>704</v>
      </c>
      <c r="N2942" t="s">
        <v>434</v>
      </c>
      <c r="O2942" t="s">
        <v>722</v>
      </c>
      <c r="P2942" t="s">
        <v>1193</v>
      </c>
      <c r="Q2942" t="s">
        <v>253</v>
      </c>
      <c r="R2942" t="s">
        <v>123</v>
      </c>
      <c r="S2942" t="s">
        <v>136</v>
      </c>
    </row>
    <row r="2943" spans="1:19" x14ac:dyDescent="0.3">
      <c r="A2943" t="s">
        <v>49</v>
      </c>
      <c r="B2943" t="s">
        <v>365</v>
      </c>
      <c r="C2943">
        <v>689</v>
      </c>
      <c r="D2943" t="s">
        <v>296</v>
      </c>
      <c r="E2943" t="s">
        <v>287</v>
      </c>
      <c r="F2943" t="s">
        <v>401</v>
      </c>
      <c r="G2943" t="s">
        <v>139</v>
      </c>
      <c r="H2943" t="s">
        <v>124</v>
      </c>
      <c r="I2943" t="s">
        <v>712</v>
      </c>
      <c r="J2943" t="s">
        <v>138</v>
      </c>
      <c r="K2943" t="s">
        <v>277</v>
      </c>
      <c r="L2943" t="s">
        <v>138</v>
      </c>
      <c r="M2943" t="s">
        <v>173</v>
      </c>
      <c r="N2943" t="s">
        <v>103</v>
      </c>
      <c r="O2943" t="s">
        <v>449</v>
      </c>
      <c r="P2943" t="s">
        <v>1144</v>
      </c>
      <c r="Q2943" t="s">
        <v>99</v>
      </c>
      <c r="R2943" t="s">
        <v>100</v>
      </c>
      <c r="S2943" t="s">
        <v>104</v>
      </c>
    </row>
    <row r="2945" spans="1:19" x14ac:dyDescent="0.3">
      <c r="A2945" t="s">
        <v>1332</v>
      </c>
    </row>
    <row r="2946" spans="1:19" x14ac:dyDescent="0.3">
      <c r="A2946" t="s">
        <v>44</v>
      </c>
      <c r="B2946" t="s">
        <v>235</v>
      </c>
      <c r="C2946" t="s">
        <v>32</v>
      </c>
      <c r="D2946" t="s">
        <v>1311</v>
      </c>
      <c r="E2946" t="s">
        <v>1312</v>
      </c>
      <c r="F2946" t="s">
        <v>1313</v>
      </c>
      <c r="G2946" t="s">
        <v>1314</v>
      </c>
      <c r="H2946" t="s">
        <v>1315</v>
      </c>
      <c r="I2946" t="s">
        <v>1316</v>
      </c>
      <c r="J2946" t="s">
        <v>1317</v>
      </c>
      <c r="K2946" t="s">
        <v>1318</v>
      </c>
      <c r="L2946" t="s">
        <v>1319</v>
      </c>
      <c r="M2946" t="s">
        <v>1320</v>
      </c>
      <c r="N2946" t="s">
        <v>1321</v>
      </c>
      <c r="O2946" t="s">
        <v>1322</v>
      </c>
      <c r="P2946" t="s">
        <v>1323</v>
      </c>
      <c r="Q2946" t="s">
        <v>88</v>
      </c>
      <c r="R2946" t="s">
        <v>83</v>
      </c>
      <c r="S2946" t="s">
        <v>193</v>
      </c>
    </row>
    <row r="2947" spans="1:19" x14ac:dyDescent="0.3">
      <c r="A2947" t="s">
        <v>35</v>
      </c>
      <c r="B2947" t="s">
        <v>236</v>
      </c>
      <c r="C2947">
        <v>1610</v>
      </c>
      <c r="D2947" t="s">
        <v>412</v>
      </c>
      <c r="E2947" t="s">
        <v>254</v>
      </c>
      <c r="F2947" t="s">
        <v>109</v>
      </c>
      <c r="G2947" t="s">
        <v>128</v>
      </c>
      <c r="H2947" t="s">
        <v>474</v>
      </c>
      <c r="I2947" t="s">
        <v>474</v>
      </c>
      <c r="J2947" t="s">
        <v>316</v>
      </c>
      <c r="K2947" t="s">
        <v>68</v>
      </c>
      <c r="L2947" t="s">
        <v>316</v>
      </c>
      <c r="M2947" t="s">
        <v>734</v>
      </c>
      <c r="N2947" t="s">
        <v>138</v>
      </c>
      <c r="O2947" t="s">
        <v>412</v>
      </c>
      <c r="P2947" t="s">
        <v>648</v>
      </c>
      <c r="Q2947" t="s">
        <v>115</v>
      </c>
      <c r="R2947" t="s">
        <v>127</v>
      </c>
      <c r="S2947" t="s">
        <v>115</v>
      </c>
    </row>
    <row r="2948" spans="1:19" x14ac:dyDescent="0.3">
      <c r="A2948" t="s">
        <v>35</v>
      </c>
      <c r="B2948" t="s">
        <v>238</v>
      </c>
      <c r="C2948">
        <v>1534</v>
      </c>
      <c r="D2948" t="s">
        <v>315</v>
      </c>
      <c r="E2948" t="s">
        <v>287</v>
      </c>
      <c r="F2948" t="s">
        <v>449</v>
      </c>
      <c r="G2948" t="s">
        <v>158</v>
      </c>
      <c r="H2948" t="s">
        <v>363</v>
      </c>
      <c r="I2948" t="s">
        <v>363</v>
      </c>
      <c r="J2948" t="s">
        <v>722</v>
      </c>
      <c r="K2948" t="s">
        <v>135</v>
      </c>
      <c r="L2948" t="s">
        <v>155</v>
      </c>
      <c r="M2948" t="s">
        <v>664</v>
      </c>
      <c r="N2948" t="s">
        <v>412</v>
      </c>
      <c r="O2948" t="s">
        <v>184</v>
      </c>
      <c r="P2948" t="s">
        <v>445</v>
      </c>
      <c r="Q2948" t="s">
        <v>253</v>
      </c>
      <c r="R2948" t="s">
        <v>127</v>
      </c>
      <c r="S2948" t="s">
        <v>198</v>
      </c>
    </row>
    <row r="2949" spans="1:19" x14ac:dyDescent="0.3">
      <c r="A2949" t="s">
        <v>37</v>
      </c>
      <c r="B2949" t="s">
        <v>236</v>
      </c>
      <c r="C2949">
        <v>2210</v>
      </c>
      <c r="D2949" t="s">
        <v>412</v>
      </c>
      <c r="E2949" t="s">
        <v>184</v>
      </c>
      <c r="F2949" t="s">
        <v>160</v>
      </c>
      <c r="G2949" t="s">
        <v>107</v>
      </c>
      <c r="H2949" t="s">
        <v>152</v>
      </c>
      <c r="I2949" t="s">
        <v>143</v>
      </c>
      <c r="J2949" t="s">
        <v>144</v>
      </c>
      <c r="K2949" t="s">
        <v>135</v>
      </c>
      <c r="L2949" t="s">
        <v>468</v>
      </c>
      <c r="M2949" t="s">
        <v>959</v>
      </c>
      <c r="N2949" t="s">
        <v>138</v>
      </c>
      <c r="O2949" t="s">
        <v>144</v>
      </c>
      <c r="P2949" t="s">
        <v>562</v>
      </c>
      <c r="Q2949" t="s">
        <v>207</v>
      </c>
      <c r="R2949" t="s">
        <v>117</v>
      </c>
      <c r="S2949" t="s">
        <v>136</v>
      </c>
    </row>
    <row r="2950" spans="1:19" x14ac:dyDescent="0.3">
      <c r="A2950" t="s">
        <v>37</v>
      </c>
      <c r="B2950" t="s">
        <v>238</v>
      </c>
      <c r="C2950">
        <v>1644</v>
      </c>
      <c r="D2950" t="s">
        <v>135</v>
      </c>
      <c r="E2950" t="s">
        <v>133</v>
      </c>
      <c r="F2950" t="s">
        <v>122</v>
      </c>
      <c r="G2950" t="s">
        <v>107</v>
      </c>
      <c r="H2950" t="s">
        <v>664</v>
      </c>
      <c r="I2950" t="s">
        <v>684</v>
      </c>
      <c r="J2950" t="s">
        <v>242</v>
      </c>
      <c r="K2950" t="s">
        <v>144</v>
      </c>
      <c r="L2950" t="s">
        <v>155</v>
      </c>
      <c r="M2950" t="s">
        <v>124</v>
      </c>
      <c r="N2950" t="s">
        <v>158</v>
      </c>
      <c r="O2950" t="s">
        <v>144</v>
      </c>
      <c r="P2950" t="s">
        <v>773</v>
      </c>
      <c r="Q2950" t="s">
        <v>115</v>
      </c>
      <c r="R2950" t="s">
        <v>382</v>
      </c>
      <c r="S2950" t="s">
        <v>198</v>
      </c>
    </row>
    <row r="2951" spans="1:19" x14ac:dyDescent="0.3">
      <c r="A2951" t="s">
        <v>36</v>
      </c>
      <c r="B2951" t="s">
        <v>236</v>
      </c>
      <c r="C2951">
        <v>1565</v>
      </c>
      <c r="D2951" t="s">
        <v>125</v>
      </c>
      <c r="E2951" t="s">
        <v>461</v>
      </c>
      <c r="F2951" t="s">
        <v>220</v>
      </c>
      <c r="G2951" t="s">
        <v>124</v>
      </c>
      <c r="H2951" t="s">
        <v>405</v>
      </c>
      <c r="I2951" t="s">
        <v>296</v>
      </c>
      <c r="J2951" t="s">
        <v>160</v>
      </c>
      <c r="K2951" t="s">
        <v>353</v>
      </c>
      <c r="L2951" t="s">
        <v>74</v>
      </c>
      <c r="M2951" t="s">
        <v>653</v>
      </c>
      <c r="N2951" t="s">
        <v>109</v>
      </c>
      <c r="O2951" t="s">
        <v>255</v>
      </c>
      <c r="P2951" t="s">
        <v>913</v>
      </c>
      <c r="Q2951" t="s">
        <v>253</v>
      </c>
      <c r="R2951" t="s">
        <v>253</v>
      </c>
      <c r="S2951" t="s">
        <v>207</v>
      </c>
    </row>
    <row r="2952" spans="1:19" x14ac:dyDescent="0.3">
      <c r="A2952" t="s">
        <v>36</v>
      </c>
      <c r="B2952" t="s">
        <v>238</v>
      </c>
      <c r="C2952">
        <v>737</v>
      </c>
      <c r="D2952" t="s">
        <v>688</v>
      </c>
      <c r="E2952" t="s">
        <v>294</v>
      </c>
      <c r="F2952" t="s">
        <v>313</v>
      </c>
      <c r="G2952" t="s">
        <v>663</v>
      </c>
      <c r="H2952" t="s">
        <v>163</v>
      </c>
      <c r="I2952" t="s">
        <v>142</v>
      </c>
      <c r="J2952" t="s">
        <v>142</v>
      </c>
      <c r="K2952" t="s">
        <v>420</v>
      </c>
      <c r="L2952" t="s">
        <v>105</v>
      </c>
      <c r="M2952" t="s">
        <v>142</v>
      </c>
      <c r="N2952" t="s">
        <v>363</v>
      </c>
      <c r="O2952" t="s">
        <v>255</v>
      </c>
      <c r="P2952" t="s">
        <v>589</v>
      </c>
      <c r="Q2952" t="s">
        <v>207</v>
      </c>
      <c r="R2952" t="s">
        <v>121</v>
      </c>
      <c r="S2952" t="s">
        <v>253</v>
      </c>
    </row>
    <row r="2953" spans="1:19" x14ac:dyDescent="0.3">
      <c r="A2953" t="s">
        <v>34</v>
      </c>
      <c r="B2953" t="s">
        <v>236</v>
      </c>
      <c r="C2953">
        <v>716</v>
      </c>
      <c r="D2953" t="s">
        <v>220</v>
      </c>
      <c r="E2953" t="s">
        <v>262</v>
      </c>
      <c r="F2953" t="s">
        <v>671</v>
      </c>
      <c r="G2953" t="s">
        <v>434</v>
      </c>
      <c r="H2953" t="s">
        <v>109</v>
      </c>
      <c r="I2953" t="s">
        <v>663</v>
      </c>
      <c r="J2953" t="s">
        <v>468</v>
      </c>
      <c r="K2953" t="s">
        <v>143</v>
      </c>
      <c r="L2953" t="s">
        <v>664</v>
      </c>
      <c r="M2953" t="s">
        <v>1105</v>
      </c>
      <c r="N2953" t="s">
        <v>292</v>
      </c>
      <c r="O2953" t="s">
        <v>179</v>
      </c>
      <c r="P2953" t="s">
        <v>596</v>
      </c>
      <c r="Q2953" t="s">
        <v>215</v>
      </c>
      <c r="R2953" t="s">
        <v>115</v>
      </c>
      <c r="S2953" t="s">
        <v>108</v>
      </c>
    </row>
    <row r="2954" spans="1:19" x14ac:dyDescent="0.3">
      <c r="A2954" t="s">
        <v>34</v>
      </c>
      <c r="B2954" t="s">
        <v>238</v>
      </c>
      <c r="C2954">
        <v>1362</v>
      </c>
      <c r="D2954" t="s">
        <v>70</v>
      </c>
      <c r="E2954" t="s">
        <v>262</v>
      </c>
      <c r="F2954" t="s">
        <v>182</v>
      </c>
      <c r="G2954" t="s">
        <v>149</v>
      </c>
      <c r="H2954" t="s">
        <v>152</v>
      </c>
      <c r="I2954" t="s">
        <v>125</v>
      </c>
      <c r="J2954" t="s">
        <v>74</v>
      </c>
      <c r="K2954" t="s">
        <v>113</v>
      </c>
      <c r="L2954" t="s">
        <v>434</v>
      </c>
      <c r="M2954" t="s">
        <v>262</v>
      </c>
      <c r="N2954" t="s">
        <v>110</v>
      </c>
      <c r="O2954" t="s">
        <v>714</v>
      </c>
      <c r="P2954" t="s">
        <v>1224</v>
      </c>
      <c r="Q2954" t="s">
        <v>105</v>
      </c>
      <c r="R2954" t="s">
        <v>115</v>
      </c>
      <c r="S2954" t="s">
        <v>99</v>
      </c>
    </row>
    <row r="2955" spans="1:19" x14ac:dyDescent="0.3">
      <c r="A2955" t="s">
        <v>33</v>
      </c>
      <c r="B2955" t="s">
        <v>236</v>
      </c>
      <c r="C2955">
        <v>1116</v>
      </c>
      <c r="D2955" t="s">
        <v>152</v>
      </c>
      <c r="E2955" t="s">
        <v>296</v>
      </c>
      <c r="F2955" t="s">
        <v>135</v>
      </c>
      <c r="G2955" t="s">
        <v>147</v>
      </c>
      <c r="H2955" t="s">
        <v>155</v>
      </c>
      <c r="I2955" t="s">
        <v>107</v>
      </c>
      <c r="J2955" t="s">
        <v>111</v>
      </c>
      <c r="K2955" t="s">
        <v>157</v>
      </c>
      <c r="L2955" t="s">
        <v>144</v>
      </c>
      <c r="M2955" t="s">
        <v>1157</v>
      </c>
      <c r="N2955" t="s">
        <v>129</v>
      </c>
      <c r="O2955" t="s">
        <v>672</v>
      </c>
      <c r="P2955" t="s">
        <v>958</v>
      </c>
      <c r="Q2955" t="s">
        <v>141</v>
      </c>
      <c r="R2955" t="s">
        <v>108</v>
      </c>
      <c r="S2955" t="s">
        <v>198</v>
      </c>
    </row>
    <row r="2956" spans="1:19" x14ac:dyDescent="0.3">
      <c r="A2956" t="s">
        <v>33</v>
      </c>
      <c r="B2956" t="s">
        <v>238</v>
      </c>
      <c r="C2956">
        <v>821</v>
      </c>
      <c r="D2956" t="s">
        <v>277</v>
      </c>
      <c r="E2956" t="s">
        <v>124</v>
      </c>
      <c r="F2956" t="s">
        <v>139</v>
      </c>
      <c r="G2956" t="s">
        <v>126</v>
      </c>
      <c r="H2956" t="s">
        <v>292</v>
      </c>
      <c r="I2956" t="s">
        <v>120</v>
      </c>
      <c r="J2956" t="s">
        <v>316</v>
      </c>
      <c r="K2956" t="s">
        <v>128</v>
      </c>
      <c r="L2956" t="s">
        <v>111</v>
      </c>
      <c r="M2956" t="s">
        <v>74</v>
      </c>
      <c r="N2956" t="s">
        <v>118</v>
      </c>
      <c r="O2956" t="s">
        <v>315</v>
      </c>
      <c r="P2956" t="s">
        <v>1333</v>
      </c>
      <c r="Q2956" t="s">
        <v>104</v>
      </c>
      <c r="R2956" t="s">
        <v>136</v>
      </c>
      <c r="S2956" t="s">
        <v>198</v>
      </c>
    </row>
    <row r="2957" spans="1:19" x14ac:dyDescent="0.3">
      <c r="A2957" t="s">
        <v>49</v>
      </c>
      <c r="B2957" t="s">
        <v>236</v>
      </c>
      <c r="C2957">
        <v>7217</v>
      </c>
      <c r="D2957" t="s">
        <v>254</v>
      </c>
      <c r="E2957" t="s">
        <v>401</v>
      </c>
      <c r="F2957" t="s">
        <v>184</v>
      </c>
      <c r="G2957" t="s">
        <v>138</v>
      </c>
      <c r="H2957" t="s">
        <v>204</v>
      </c>
      <c r="I2957" t="s">
        <v>124</v>
      </c>
      <c r="J2957" t="s">
        <v>149</v>
      </c>
      <c r="K2957" t="s">
        <v>468</v>
      </c>
      <c r="L2957" t="s">
        <v>158</v>
      </c>
      <c r="M2957" t="s">
        <v>156</v>
      </c>
      <c r="N2957" t="s">
        <v>154</v>
      </c>
      <c r="O2957" t="s">
        <v>41</v>
      </c>
      <c r="P2957" t="s">
        <v>589</v>
      </c>
      <c r="Q2957" t="s">
        <v>253</v>
      </c>
      <c r="R2957" t="s">
        <v>382</v>
      </c>
      <c r="S2957" t="s">
        <v>141</v>
      </c>
    </row>
    <row r="2958" spans="1:19" x14ac:dyDescent="0.3">
      <c r="A2958" t="s">
        <v>49</v>
      </c>
      <c r="B2958" t="s">
        <v>238</v>
      </c>
      <c r="C2958">
        <v>6098</v>
      </c>
      <c r="D2958" t="s">
        <v>296</v>
      </c>
      <c r="E2958" t="s">
        <v>405</v>
      </c>
      <c r="F2958" t="s">
        <v>671</v>
      </c>
      <c r="G2958" t="s">
        <v>712</v>
      </c>
      <c r="H2958" t="s">
        <v>664</v>
      </c>
      <c r="I2958" t="s">
        <v>160</v>
      </c>
      <c r="J2958" t="s">
        <v>152</v>
      </c>
      <c r="K2958" t="s">
        <v>675</v>
      </c>
      <c r="L2958" t="s">
        <v>155</v>
      </c>
      <c r="M2958" t="s">
        <v>70</v>
      </c>
      <c r="N2958" t="s">
        <v>242</v>
      </c>
      <c r="O2958" t="s">
        <v>142</v>
      </c>
      <c r="P2958" t="s">
        <v>593</v>
      </c>
      <c r="Q2958" t="s">
        <v>100</v>
      </c>
      <c r="R2958" t="s">
        <v>101</v>
      </c>
      <c r="S2958" t="s">
        <v>198</v>
      </c>
    </row>
    <row r="2960" spans="1:19" x14ac:dyDescent="0.3">
      <c r="A2960" t="s">
        <v>1334</v>
      </c>
    </row>
    <row r="2961" spans="1:19" x14ac:dyDescent="0.3">
      <c r="A2961" t="s">
        <v>44</v>
      </c>
      <c r="B2961" t="s">
        <v>1335</v>
      </c>
      <c r="C2961" t="s">
        <v>32</v>
      </c>
      <c r="D2961" t="s">
        <v>1311</v>
      </c>
      <c r="E2961" t="s">
        <v>1312</v>
      </c>
      <c r="F2961" t="s">
        <v>1313</v>
      </c>
      <c r="G2961" t="s">
        <v>1314</v>
      </c>
      <c r="H2961" t="s">
        <v>1315</v>
      </c>
      <c r="I2961" t="s">
        <v>1316</v>
      </c>
      <c r="J2961" t="s">
        <v>1317</v>
      </c>
      <c r="K2961" t="s">
        <v>1318</v>
      </c>
      <c r="L2961" t="s">
        <v>1319</v>
      </c>
      <c r="M2961" t="s">
        <v>1320</v>
      </c>
      <c r="N2961" t="s">
        <v>1321</v>
      </c>
      <c r="O2961" t="s">
        <v>1322</v>
      </c>
      <c r="P2961" t="s">
        <v>1323</v>
      </c>
      <c r="Q2961" t="s">
        <v>88</v>
      </c>
      <c r="R2961" t="s">
        <v>83</v>
      </c>
      <c r="S2961" t="s">
        <v>193</v>
      </c>
    </row>
    <row r="2962" spans="1:19" x14ac:dyDescent="0.3">
      <c r="A2962" t="s">
        <v>35</v>
      </c>
      <c r="B2962" t="s">
        <v>1336</v>
      </c>
      <c r="C2962">
        <v>2093</v>
      </c>
      <c r="D2962" t="s">
        <v>679</v>
      </c>
      <c r="E2962" t="s">
        <v>248</v>
      </c>
      <c r="F2962" t="s">
        <v>401</v>
      </c>
      <c r="G2962" t="s">
        <v>154</v>
      </c>
      <c r="H2962" t="s">
        <v>254</v>
      </c>
      <c r="I2962" t="s">
        <v>143</v>
      </c>
      <c r="J2962" t="s">
        <v>144</v>
      </c>
      <c r="K2962" t="s">
        <v>149</v>
      </c>
      <c r="L2962" t="s">
        <v>123</v>
      </c>
      <c r="M2962" t="s">
        <v>804</v>
      </c>
      <c r="N2962" t="s">
        <v>107</v>
      </c>
      <c r="O2962" t="s">
        <v>68</v>
      </c>
      <c r="P2962" t="s">
        <v>1337</v>
      </c>
      <c r="Q2962" t="s">
        <v>132</v>
      </c>
      <c r="R2962" t="s">
        <v>123</v>
      </c>
      <c r="S2962" t="s">
        <v>198</v>
      </c>
    </row>
    <row r="2963" spans="1:19" x14ac:dyDescent="0.3">
      <c r="A2963" t="s">
        <v>35</v>
      </c>
      <c r="B2963" t="s">
        <v>1338</v>
      </c>
      <c r="C2963">
        <v>246</v>
      </c>
      <c r="D2963" t="s">
        <v>814</v>
      </c>
      <c r="E2963" t="s">
        <v>746</v>
      </c>
      <c r="F2963" t="s">
        <v>372</v>
      </c>
      <c r="G2963" t="s">
        <v>248</v>
      </c>
      <c r="H2963" t="s">
        <v>220</v>
      </c>
      <c r="I2963" t="s">
        <v>296</v>
      </c>
      <c r="J2963" t="s">
        <v>78</v>
      </c>
      <c r="K2963" t="s">
        <v>420</v>
      </c>
      <c r="L2963" t="s">
        <v>138</v>
      </c>
      <c r="M2963" t="s">
        <v>690</v>
      </c>
      <c r="N2963" t="s">
        <v>434</v>
      </c>
      <c r="O2963" t="s">
        <v>461</v>
      </c>
      <c r="P2963" t="s">
        <v>528</v>
      </c>
      <c r="Q2963" t="s">
        <v>121</v>
      </c>
      <c r="R2963" t="s">
        <v>99</v>
      </c>
      <c r="S2963" t="s">
        <v>99</v>
      </c>
    </row>
    <row r="2964" spans="1:19" x14ac:dyDescent="0.3">
      <c r="A2964" t="s">
        <v>35</v>
      </c>
      <c r="B2964" t="s">
        <v>1339</v>
      </c>
      <c r="C2964">
        <v>805</v>
      </c>
      <c r="D2964" t="s">
        <v>731</v>
      </c>
      <c r="E2964" t="s">
        <v>737</v>
      </c>
      <c r="F2964" t="s">
        <v>264</v>
      </c>
      <c r="G2964" t="s">
        <v>204</v>
      </c>
      <c r="H2964" t="s">
        <v>299</v>
      </c>
      <c r="I2964" t="s">
        <v>125</v>
      </c>
      <c r="J2964" t="s">
        <v>165</v>
      </c>
      <c r="K2964" t="s">
        <v>125</v>
      </c>
      <c r="L2964" t="s">
        <v>143</v>
      </c>
      <c r="M2964" t="s">
        <v>746</v>
      </c>
      <c r="N2964" t="s">
        <v>299</v>
      </c>
      <c r="O2964" t="s">
        <v>287</v>
      </c>
      <c r="P2964" t="s">
        <v>1180</v>
      </c>
      <c r="Q2964" t="s">
        <v>198</v>
      </c>
      <c r="R2964" t="s">
        <v>292</v>
      </c>
      <c r="S2964" t="s">
        <v>253</v>
      </c>
    </row>
    <row r="2965" spans="1:19" x14ac:dyDescent="0.3">
      <c r="A2965" t="s">
        <v>37</v>
      </c>
      <c r="B2965" t="s">
        <v>1336</v>
      </c>
      <c r="C2965">
        <v>2494</v>
      </c>
      <c r="D2965" t="s">
        <v>328</v>
      </c>
      <c r="E2965" t="s">
        <v>184</v>
      </c>
      <c r="F2965" t="s">
        <v>74</v>
      </c>
      <c r="G2965" t="s">
        <v>103</v>
      </c>
      <c r="H2965" t="s">
        <v>143</v>
      </c>
      <c r="I2965" t="s">
        <v>242</v>
      </c>
      <c r="J2965" t="s">
        <v>242</v>
      </c>
      <c r="K2965" t="s">
        <v>328</v>
      </c>
      <c r="L2965" t="s">
        <v>712</v>
      </c>
      <c r="M2965" t="s">
        <v>318</v>
      </c>
      <c r="N2965" t="s">
        <v>154</v>
      </c>
      <c r="O2965" t="s">
        <v>254</v>
      </c>
      <c r="P2965" t="s">
        <v>445</v>
      </c>
      <c r="Q2965" t="s">
        <v>136</v>
      </c>
      <c r="R2965" t="s">
        <v>151</v>
      </c>
      <c r="S2965" t="s">
        <v>207</v>
      </c>
    </row>
    <row r="2966" spans="1:19" x14ac:dyDescent="0.3">
      <c r="A2966" t="s">
        <v>37</v>
      </c>
      <c r="B2966" t="s">
        <v>1338</v>
      </c>
      <c r="C2966">
        <v>432</v>
      </c>
      <c r="D2966" t="s">
        <v>254</v>
      </c>
      <c r="E2966" t="s">
        <v>251</v>
      </c>
      <c r="F2966" t="s">
        <v>671</v>
      </c>
      <c r="G2966" t="s">
        <v>139</v>
      </c>
      <c r="H2966" t="s">
        <v>113</v>
      </c>
      <c r="I2966" t="s">
        <v>122</v>
      </c>
      <c r="J2966" t="s">
        <v>152</v>
      </c>
      <c r="K2966" t="s">
        <v>248</v>
      </c>
      <c r="L2966" t="s">
        <v>112</v>
      </c>
      <c r="M2966" t="s">
        <v>700</v>
      </c>
      <c r="N2966" t="s">
        <v>118</v>
      </c>
      <c r="O2966" t="s">
        <v>474</v>
      </c>
      <c r="P2966" t="s">
        <v>1153</v>
      </c>
      <c r="Q2966" t="s">
        <v>136</v>
      </c>
      <c r="R2966" t="s">
        <v>128</v>
      </c>
      <c r="S2966" t="s">
        <v>253</v>
      </c>
    </row>
    <row r="2967" spans="1:19" x14ac:dyDescent="0.3">
      <c r="A2967" t="s">
        <v>37</v>
      </c>
      <c r="B2967" t="s">
        <v>1339</v>
      </c>
      <c r="C2967">
        <v>928</v>
      </c>
      <c r="D2967" t="s">
        <v>468</v>
      </c>
      <c r="E2967" t="s">
        <v>804</v>
      </c>
      <c r="F2967" t="s">
        <v>41</v>
      </c>
      <c r="G2967" t="s">
        <v>154</v>
      </c>
      <c r="H2967" t="s">
        <v>125</v>
      </c>
      <c r="I2967" t="s">
        <v>160</v>
      </c>
      <c r="J2967" t="s">
        <v>663</v>
      </c>
      <c r="K2967" t="s">
        <v>70</v>
      </c>
      <c r="L2967" t="s">
        <v>325</v>
      </c>
      <c r="M2967" t="s">
        <v>933</v>
      </c>
      <c r="N2967" t="s">
        <v>143</v>
      </c>
      <c r="O2967" t="s">
        <v>468</v>
      </c>
      <c r="P2967" t="s">
        <v>1236</v>
      </c>
      <c r="Q2967" t="s">
        <v>115</v>
      </c>
      <c r="R2967" t="s">
        <v>127</v>
      </c>
      <c r="S2967" t="s">
        <v>207</v>
      </c>
    </row>
    <row r="2968" spans="1:19" x14ac:dyDescent="0.3">
      <c r="A2968" t="s">
        <v>36</v>
      </c>
      <c r="B2968" t="s">
        <v>1336</v>
      </c>
      <c r="C2968">
        <v>1514</v>
      </c>
      <c r="D2968" t="s">
        <v>220</v>
      </c>
      <c r="E2968" t="s">
        <v>470</v>
      </c>
      <c r="F2968" t="s">
        <v>125</v>
      </c>
      <c r="G2968" t="s">
        <v>412</v>
      </c>
      <c r="H2968" t="s">
        <v>182</v>
      </c>
      <c r="I2968" t="s">
        <v>122</v>
      </c>
      <c r="J2968" t="s">
        <v>109</v>
      </c>
      <c r="K2968" t="s">
        <v>144</v>
      </c>
      <c r="L2968" t="s">
        <v>118</v>
      </c>
      <c r="M2968" t="s">
        <v>534</v>
      </c>
      <c r="N2968" t="s">
        <v>152</v>
      </c>
      <c r="O2968" t="s">
        <v>677</v>
      </c>
      <c r="P2968" t="s">
        <v>1340</v>
      </c>
      <c r="Q2968" t="s">
        <v>207</v>
      </c>
      <c r="R2968" t="s">
        <v>115</v>
      </c>
      <c r="S2968" t="s">
        <v>115</v>
      </c>
    </row>
    <row r="2969" spans="1:19" x14ac:dyDescent="0.3">
      <c r="A2969" t="s">
        <v>36</v>
      </c>
      <c r="B2969" t="s">
        <v>1338</v>
      </c>
      <c r="C2969">
        <v>235</v>
      </c>
      <c r="D2969" t="s">
        <v>708</v>
      </c>
      <c r="E2969" t="s">
        <v>222</v>
      </c>
      <c r="F2969" t="s">
        <v>173</v>
      </c>
      <c r="G2969" t="s">
        <v>135</v>
      </c>
      <c r="H2969" t="s">
        <v>416</v>
      </c>
      <c r="I2969" t="s">
        <v>218</v>
      </c>
      <c r="J2969" t="s">
        <v>165</v>
      </c>
      <c r="K2969" t="s">
        <v>708</v>
      </c>
      <c r="L2969" t="s">
        <v>70</v>
      </c>
      <c r="M2969" t="s">
        <v>1167</v>
      </c>
      <c r="N2969" t="s">
        <v>328</v>
      </c>
      <c r="O2969" t="s">
        <v>457</v>
      </c>
      <c r="P2969" t="s">
        <v>580</v>
      </c>
      <c r="Q2969" t="s">
        <v>121</v>
      </c>
      <c r="R2969" t="s">
        <v>316</v>
      </c>
      <c r="S2969" t="s">
        <v>104</v>
      </c>
    </row>
    <row r="2970" spans="1:19" x14ac:dyDescent="0.3">
      <c r="A2970" t="s">
        <v>36</v>
      </c>
      <c r="B2970" t="s">
        <v>1339</v>
      </c>
      <c r="C2970">
        <v>553</v>
      </c>
      <c r="D2970" t="s">
        <v>318</v>
      </c>
      <c r="E2970" t="s">
        <v>294</v>
      </c>
      <c r="F2970" t="s">
        <v>408</v>
      </c>
      <c r="G2970" t="s">
        <v>461</v>
      </c>
      <c r="H2970" t="s">
        <v>814</v>
      </c>
      <c r="I2970" t="s">
        <v>737</v>
      </c>
      <c r="J2970" t="s">
        <v>416</v>
      </c>
      <c r="K2970" t="s">
        <v>294</v>
      </c>
      <c r="L2970" t="s">
        <v>412</v>
      </c>
      <c r="M2970" t="s">
        <v>301</v>
      </c>
      <c r="N2970" t="s">
        <v>171</v>
      </c>
      <c r="O2970" t="s">
        <v>705</v>
      </c>
      <c r="P2970" t="s">
        <v>614</v>
      </c>
      <c r="Q2970" t="s">
        <v>141</v>
      </c>
      <c r="R2970" t="s">
        <v>114</v>
      </c>
      <c r="S2970" t="s">
        <v>198</v>
      </c>
    </row>
    <row r="2971" spans="1:19" x14ac:dyDescent="0.3">
      <c r="A2971" t="s">
        <v>34</v>
      </c>
      <c r="B2971" t="s">
        <v>1336</v>
      </c>
      <c r="C2971">
        <v>1345</v>
      </c>
      <c r="D2971" t="s">
        <v>722</v>
      </c>
      <c r="E2971" t="s">
        <v>289</v>
      </c>
      <c r="F2971" t="s">
        <v>171</v>
      </c>
      <c r="G2971" t="s">
        <v>98</v>
      </c>
      <c r="H2971" t="s">
        <v>122</v>
      </c>
      <c r="I2971" t="s">
        <v>679</v>
      </c>
      <c r="J2971" t="s">
        <v>254</v>
      </c>
      <c r="K2971" t="s">
        <v>152</v>
      </c>
      <c r="L2971" t="s">
        <v>158</v>
      </c>
      <c r="M2971" t="s">
        <v>536</v>
      </c>
      <c r="N2971" t="s">
        <v>138</v>
      </c>
      <c r="O2971" t="s">
        <v>264</v>
      </c>
      <c r="P2971" t="s">
        <v>634</v>
      </c>
      <c r="Q2971" t="s">
        <v>147</v>
      </c>
      <c r="R2971" t="s">
        <v>115</v>
      </c>
      <c r="S2971" t="s">
        <v>136</v>
      </c>
    </row>
    <row r="2972" spans="1:19" x14ac:dyDescent="0.3">
      <c r="A2972" t="s">
        <v>34</v>
      </c>
      <c r="B2972" t="s">
        <v>1338</v>
      </c>
      <c r="C2972">
        <v>134</v>
      </c>
      <c r="D2972" t="s">
        <v>716</v>
      </c>
      <c r="E2972" t="s">
        <v>355</v>
      </c>
      <c r="F2972" t="s">
        <v>201</v>
      </c>
      <c r="G2972" t="s">
        <v>474</v>
      </c>
      <c r="H2972" t="s">
        <v>933</v>
      </c>
      <c r="I2972" t="s">
        <v>738</v>
      </c>
      <c r="J2972" t="s">
        <v>321</v>
      </c>
      <c r="K2972" t="s">
        <v>802</v>
      </c>
      <c r="L2972" t="s">
        <v>294</v>
      </c>
      <c r="M2972" t="s">
        <v>810</v>
      </c>
      <c r="N2972" t="s">
        <v>722</v>
      </c>
      <c r="O2972" t="s">
        <v>508</v>
      </c>
      <c r="P2972" t="s">
        <v>580</v>
      </c>
      <c r="Q2972" t="s">
        <v>328</v>
      </c>
      <c r="R2972" t="s">
        <v>268</v>
      </c>
      <c r="S2972" t="s">
        <v>99</v>
      </c>
    </row>
    <row r="2973" spans="1:19" x14ac:dyDescent="0.3">
      <c r="A2973" t="s">
        <v>34</v>
      </c>
      <c r="B2973" t="s">
        <v>1339</v>
      </c>
      <c r="C2973">
        <v>599</v>
      </c>
      <c r="D2973" t="s">
        <v>474</v>
      </c>
      <c r="E2973" t="s">
        <v>74</v>
      </c>
      <c r="F2973" t="s">
        <v>712</v>
      </c>
      <c r="G2973" t="s">
        <v>117</v>
      </c>
      <c r="H2973" t="s">
        <v>215</v>
      </c>
      <c r="I2973" t="s">
        <v>160</v>
      </c>
      <c r="J2973" t="s">
        <v>107</v>
      </c>
      <c r="K2973" t="s">
        <v>468</v>
      </c>
      <c r="L2973" t="s">
        <v>316</v>
      </c>
      <c r="M2973" t="s">
        <v>171</v>
      </c>
      <c r="N2973" t="s">
        <v>382</v>
      </c>
      <c r="O2973" t="s">
        <v>129</v>
      </c>
      <c r="P2973" t="s">
        <v>1162</v>
      </c>
      <c r="Q2973" t="s">
        <v>127</v>
      </c>
      <c r="R2973" t="s">
        <v>136</v>
      </c>
      <c r="S2973" t="s">
        <v>99</v>
      </c>
    </row>
    <row r="2974" spans="1:19" x14ac:dyDescent="0.3">
      <c r="A2974" t="s">
        <v>33</v>
      </c>
      <c r="B2974" t="s">
        <v>1336</v>
      </c>
      <c r="C2974">
        <v>1392</v>
      </c>
      <c r="D2974" t="s">
        <v>325</v>
      </c>
      <c r="E2974" t="s">
        <v>675</v>
      </c>
      <c r="F2974" t="s">
        <v>328</v>
      </c>
      <c r="G2974" t="s">
        <v>127</v>
      </c>
      <c r="H2974" t="s">
        <v>103</v>
      </c>
      <c r="I2974" t="s">
        <v>268</v>
      </c>
      <c r="J2974" t="s">
        <v>127</v>
      </c>
      <c r="K2974" t="s">
        <v>128</v>
      </c>
      <c r="L2974" t="s">
        <v>155</v>
      </c>
      <c r="M2974" t="s">
        <v>536</v>
      </c>
      <c r="N2974" t="s">
        <v>118</v>
      </c>
      <c r="O2974" t="s">
        <v>76</v>
      </c>
      <c r="P2974" t="s">
        <v>278</v>
      </c>
      <c r="Q2974" t="s">
        <v>136</v>
      </c>
      <c r="R2974" t="s">
        <v>132</v>
      </c>
      <c r="S2974" t="s">
        <v>198</v>
      </c>
    </row>
    <row r="2975" spans="1:19" x14ac:dyDescent="0.3">
      <c r="A2975" t="s">
        <v>33</v>
      </c>
      <c r="B2975" t="s">
        <v>1338</v>
      </c>
      <c r="C2975">
        <v>88</v>
      </c>
      <c r="D2975" t="s">
        <v>267</v>
      </c>
      <c r="E2975" t="s">
        <v>321</v>
      </c>
      <c r="F2975" t="s">
        <v>368</v>
      </c>
      <c r="G2975" t="s">
        <v>363</v>
      </c>
      <c r="H2975" t="s">
        <v>248</v>
      </c>
      <c r="I2975" t="s">
        <v>163</v>
      </c>
      <c r="J2975" t="s">
        <v>688</v>
      </c>
      <c r="K2975" t="s">
        <v>804</v>
      </c>
      <c r="L2975" t="s">
        <v>72</v>
      </c>
      <c r="M2975" t="s">
        <v>119</v>
      </c>
      <c r="N2975" t="s">
        <v>420</v>
      </c>
      <c r="O2975" t="s">
        <v>222</v>
      </c>
      <c r="P2975" t="s">
        <v>563</v>
      </c>
      <c r="Q2975" t="s">
        <v>99</v>
      </c>
      <c r="R2975" t="s">
        <v>99</v>
      </c>
      <c r="S2975" t="s">
        <v>99</v>
      </c>
    </row>
    <row r="2976" spans="1:19" x14ac:dyDescent="0.3">
      <c r="A2976" t="s">
        <v>33</v>
      </c>
      <c r="B2976" t="s">
        <v>1339</v>
      </c>
      <c r="C2976">
        <v>457</v>
      </c>
      <c r="D2976" t="s">
        <v>684</v>
      </c>
      <c r="E2976" t="s">
        <v>248</v>
      </c>
      <c r="F2976" t="s">
        <v>110</v>
      </c>
      <c r="G2976" t="s">
        <v>111</v>
      </c>
      <c r="H2976" t="s">
        <v>268</v>
      </c>
      <c r="I2976" t="s">
        <v>107</v>
      </c>
      <c r="J2976" t="s">
        <v>268</v>
      </c>
      <c r="K2976" t="s">
        <v>111</v>
      </c>
      <c r="L2976" t="s">
        <v>684</v>
      </c>
      <c r="M2976" t="s">
        <v>131</v>
      </c>
      <c r="N2976" t="s">
        <v>155</v>
      </c>
      <c r="O2976" t="s">
        <v>305</v>
      </c>
      <c r="P2976" t="s">
        <v>1341</v>
      </c>
      <c r="Q2976" t="s">
        <v>198</v>
      </c>
      <c r="R2976" t="s">
        <v>141</v>
      </c>
      <c r="S2976" t="s">
        <v>207</v>
      </c>
    </row>
    <row r="2977" spans="1:19" x14ac:dyDescent="0.3">
      <c r="A2977" t="s">
        <v>49</v>
      </c>
      <c r="B2977" t="s">
        <v>1336</v>
      </c>
      <c r="C2977">
        <v>8838</v>
      </c>
      <c r="D2977" t="s">
        <v>122</v>
      </c>
      <c r="E2977" t="s">
        <v>305</v>
      </c>
      <c r="F2977" t="s">
        <v>78</v>
      </c>
      <c r="G2977" t="s">
        <v>332</v>
      </c>
      <c r="H2977" t="s">
        <v>143</v>
      </c>
      <c r="I2977" t="s">
        <v>124</v>
      </c>
      <c r="J2977" t="s">
        <v>277</v>
      </c>
      <c r="K2977" t="s">
        <v>684</v>
      </c>
      <c r="L2977" t="s">
        <v>154</v>
      </c>
      <c r="M2977" t="s">
        <v>201</v>
      </c>
      <c r="N2977" t="s">
        <v>134</v>
      </c>
      <c r="O2977" t="s">
        <v>133</v>
      </c>
      <c r="P2977" t="s">
        <v>949</v>
      </c>
      <c r="Q2977" t="s">
        <v>114</v>
      </c>
      <c r="R2977" t="s">
        <v>319</v>
      </c>
      <c r="S2977" t="s">
        <v>207</v>
      </c>
    </row>
    <row r="2978" spans="1:19" x14ac:dyDescent="0.3">
      <c r="A2978" t="s">
        <v>49</v>
      </c>
      <c r="B2978" t="s">
        <v>1338</v>
      </c>
      <c r="C2978">
        <v>1135</v>
      </c>
      <c r="D2978" t="s">
        <v>369</v>
      </c>
      <c r="E2978" t="s">
        <v>680</v>
      </c>
      <c r="F2978" t="s">
        <v>222</v>
      </c>
      <c r="G2978" t="s">
        <v>204</v>
      </c>
      <c r="H2978" t="s">
        <v>315</v>
      </c>
      <c r="I2978" t="s">
        <v>716</v>
      </c>
      <c r="J2978" t="s">
        <v>133</v>
      </c>
      <c r="K2978" t="s">
        <v>311</v>
      </c>
      <c r="L2978" t="s">
        <v>145</v>
      </c>
      <c r="M2978" t="s">
        <v>281</v>
      </c>
      <c r="N2978" t="s">
        <v>124</v>
      </c>
      <c r="O2978" t="s">
        <v>311</v>
      </c>
      <c r="P2978" t="s">
        <v>1165</v>
      </c>
      <c r="Q2978" t="s">
        <v>382</v>
      </c>
      <c r="R2978" t="s">
        <v>127</v>
      </c>
      <c r="S2978" t="s">
        <v>198</v>
      </c>
    </row>
    <row r="2979" spans="1:19" x14ac:dyDescent="0.3">
      <c r="A2979" t="s">
        <v>49</v>
      </c>
      <c r="B2979" t="s">
        <v>1339</v>
      </c>
      <c r="C2979">
        <v>3342</v>
      </c>
      <c r="D2979" t="s">
        <v>420</v>
      </c>
      <c r="E2979" t="s">
        <v>405</v>
      </c>
      <c r="F2979" t="s">
        <v>671</v>
      </c>
      <c r="G2979" t="s">
        <v>712</v>
      </c>
      <c r="H2979" t="s">
        <v>135</v>
      </c>
      <c r="I2979" t="s">
        <v>679</v>
      </c>
      <c r="J2979" t="s">
        <v>150</v>
      </c>
      <c r="K2979" t="s">
        <v>664</v>
      </c>
      <c r="L2979" t="s">
        <v>277</v>
      </c>
      <c r="M2979" t="s">
        <v>700</v>
      </c>
      <c r="N2979" t="s">
        <v>204</v>
      </c>
      <c r="O2979" t="s">
        <v>113</v>
      </c>
      <c r="P2979" t="s">
        <v>533</v>
      </c>
      <c r="Q2979" t="s">
        <v>115</v>
      </c>
      <c r="R2979" t="s">
        <v>101</v>
      </c>
      <c r="S2979" t="s">
        <v>207</v>
      </c>
    </row>
    <row r="2981" spans="1:19" x14ac:dyDescent="0.3">
      <c r="A2981" t="s">
        <v>1342</v>
      </c>
    </row>
    <row r="2982" spans="1:19" x14ac:dyDescent="0.3">
      <c r="A2982" t="s">
        <v>44</v>
      </c>
      <c r="B2982" t="s">
        <v>1343</v>
      </c>
      <c r="C2982" t="s">
        <v>32</v>
      </c>
      <c r="D2982" t="s">
        <v>1311</v>
      </c>
      <c r="E2982" t="s">
        <v>1312</v>
      </c>
      <c r="F2982" t="s">
        <v>1313</v>
      </c>
      <c r="G2982" t="s">
        <v>1314</v>
      </c>
      <c r="H2982" t="s">
        <v>1315</v>
      </c>
      <c r="I2982" t="s">
        <v>1316</v>
      </c>
      <c r="J2982" t="s">
        <v>1317</v>
      </c>
      <c r="K2982" t="s">
        <v>1318</v>
      </c>
      <c r="L2982" t="s">
        <v>1319</v>
      </c>
      <c r="M2982" t="s">
        <v>1320</v>
      </c>
      <c r="N2982" t="s">
        <v>1321</v>
      </c>
      <c r="O2982" t="s">
        <v>1322</v>
      </c>
      <c r="P2982" t="s">
        <v>1323</v>
      </c>
      <c r="Q2982" t="s">
        <v>88</v>
      </c>
      <c r="R2982" t="s">
        <v>83</v>
      </c>
      <c r="S2982" t="s">
        <v>193</v>
      </c>
    </row>
    <row r="2983" spans="1:19" x14ac:dyDescent="0.3">
      <c r="A2983" t="s">
        <v>35</v>
      </c>
      <c r="B2983" t="s">
        <v>1344</v>
      </c>
      <c r="C2983">
        <v>263</v>
      </c>
      <c r="D2983" t="s">
        <v>125</v>
      </c>
      <c r="E2983" t="s">
        <v>113</v>
      </c>
      <c r="F2983" t="s">
        <v>299</v>
      </c>
      <c r="G2983" t="s">
        <v>105</v>
      </c>
      <c r="H2983" t="s">
        <v>110</v>
      </c>
      <c r="I2983" t="s">
        <v>277</v>
      </c>
      <c r="J2983" t="s">
        <v>130</v>
      </c>
      <c r="K2983" t="s">
        <v>120</v>
      </c>
      <c r="L2983" t="s">
        <v>121</v>
      </c>
      <c r="M2983" t="s">
        <v>287</v>
      </c>
      <c r="N2983" t="s">
        <v>123</v>
      </c>
      <c r="O2983" t="s">
        <v>124</v>
      </c>
      <c r="P2983" t="s">
        <v>874</v>
      </c>
      <c r="Q2983" t="s">
        <v>136</v>
      </c>
      <c r="R2983" t="s">
        <v>121</v>
      </c>
      <c r="S2983" t="s">
        <v>99</v>
      </c>
    </row>
    <row r="2984" spans="1:19" x14ac:dyDescent="0.3">
      <c r="A2984" t="s">
        <v>35</v>
      </c>
      <c r="B2984" t="s">
        <v>1345</v>
      </c>
      <c r="C2984">
        <v>2881</v>
      </c>
      <c r="D2984" t="s">
        <v>722</v>
      </c>
      <c r="E2984" t="s">
        <v>722</v>
      </c>
      <c r="F2984" t="s">
        <v>233</v>
      </c>
      <c r="G2984" t="s">
        <v>149</v>
      </c>
      <c r="H2984" t="s">
        <v>184</v>
      </c>
      <c r="I2984" t="s">
        <v>122</v>
      </c>
      <c r="J2984" t="s">
        <v>353</v>
      </c>
      <c r="K2984" t="s">
        <v>675</v>
      </c>
      <c r="L2984" t="s">
        <v>138</v>
      </c>
      <c r="M2984" t="s">
        <v>416</v>
      </c>
      <c r="N2984" t="s">
        <v>68</v>
      </c>
      <c r="O2984" t="s">
        <v>109</v>
      </c>
      <c r="P2984" t="s">
        <v>284</v>
      </c>
      <c r="Q2984" t="s">
        <v>115</v>
      </c>
      <c r="R2984" t="s">
        <v>123</v>
      </c>
      <c r="S2984" t="s">
        <v>136</v>
      </c>
    </row>
    <row r="2985" spans="1:19" x14ac:dyDescent="0.3">
      <c r="A2985" t="s">
        <v>37</v>
      </c>
      <c r="B2985" t="s">
        <v>1344</v>
      </c>
      <c r="C2985">
        <v>370</v>
      </c>
      <c r="D2985" t="s">
        <v>145</v>
      </c>
      <c r="E2985" t="s">
        <v>182</v>
      </c>
      <c r="F2985" t="s">
        <v>363</v>
      </c>
      <c r="G2985" t="s">
        <v>120</v>
      </c>
      <c r="H2985" t="s">
        <v>68</v>
      </c>
      <c r="I2985" t="s">
        <v>124</v>
      </c>
      <c r="J2985" t="s">
        <v>675</v>
      </c>
      <c r="K2985" t="s">
        <v>663</v>
      </c>
      <c r="L2985" t="s">
        <v>138</v>
      </c>
      <c r="M2985" t="s">
        <v>710</v>
      </c>
      <c r="N2985" t="s">
        <v>130</v>
      </c>
      <c r="O2985" t="s">
        <v>143</v>
      </c>
      <c r="P2985" t="s">
        <v>1196</v>
      </c>
      <c r="Q2985" t="s">
        <v>99</v>
      </c>
      <c r="R2985" t="s">
        <v>128</v>
      </c>
      <c r="S2985" t="s">
        <v>198</v>
      </c>
    </row>
    <row r="2986" spans="1:19" x14ac:dyDescent="0.3">
      <c r="A2986" t="s">
        <v>37</v>
      </c>
      <c r="B2986" t="s">
        <v>1345</v>
      </c>
      <c r="C2986">
        <v>3484</v>
      </c>
      <c r="D2986" t="s">
        <v>328</v>
      </c>
      <c r="E2986" t="s">
        <v>299</v>
      </c>
      <c r="F2986" t="s">
        <v>150</v>
      </c>
      <c r="G2986" t="s">
        <v>107</v>
      </c>
      <c r="H2986" t="s">
        <v>122</v>
      </c>
      <c r="I2986" t="s">
        <v>328</v>
      </c>
      <c r="J2986" t="s">
        <v>98</v>
      </c>
      <c r="K2986" t="s">
        <v>254</v>
      </c>
      <c r="L2986" t="s">
        <v>68</v>
      </c>
      <c r="M2986" t="s">
        <v>395</v>
      </c>
      <c r="N2986" t="s">
        <v>434</v>
      </c>
      <c r="O2986" t="s">
        <v>144</v>
      </c>
      <c r="P2986" t="s">
        <v>648</v>
      </c>
      <c r="Q2986" t="s">
        <v>253</v>
      </c>
      <c r="R2986" t="s">
        <v>151</v>
      </c>
      <c r="S2986" t="s">
        <v>136</v>
      </c>
    </row>
    <row r="2987" spans="1:19" x14ac:dyDescent="0.3">
      <c r="A2987" t="s">
        <v>36</v>
      </c>
      <c r="B2987" t="s">
        <v>1344</v>
      </c>
      <c r="C2987">
        <v>242</v>
      </c>
      <c r="D2987" t="s">
        <v>294</v>
      </c>
      <c r="E2987" t="s">
        <v>714</v>
      </c>
      <c r="F2987" t="s">
        <v>694</v>
      </c>
      <c r="G2987" t="s">
        <v>412</v>
      </c>
      <c r="H2987" t="s">
        <v>143</v>
      </c>
      <c r="I2987" t="s">
        <v>254</v>
      </c>
      <c r="J2987" t="s">
        <v>254</v>
      </c>
      <c r="K2987" t="s">
        <v>98</v>
      </c>
      <c r="L2987" t="s">
        <v>118</v>
      </c>
      <c r="M2987" t="s">
        <v>730</v>
      </c>
      <c r="N2987" t="s">
        <v>154</v>
      </c>
      <c r="O2987" t="s">
        <v>218</v>
      </c>
      <c r="P2987" t="s">
        <v>572</v>
      </c>
      <c r="Q2987" t="s">
        <v>100</v>
      </c>
      <c r="R2987" t="s">
        <v>117</v>
      </c>
      <c r="S2987" t="s">
        <v>104</v>
      </c>
    </row>
    <row r="2988" spans="1:19" x14ac:dyDescent="0.3">
      <c r="A2988" t="s">
        <v>36</v>
      </c>
      <c r="B2988" t="s">
        <v>1345</v>
      </c>
      <c r="C2988">
        <v>2060</v>
      </c>
      <c r="D2988" t="s">
        <v>311</v>
      </c>
      <c r="E2988" t="s">
        <v>716</v>
      </c>
      <c r="F2988" t="s">
        <v>804</v>
      </c>
      <c r="G2988" t="s">
        <v>145</v>
      </c>
      <c r="H2988" t="s">
        <v>163</v>
      </c>
      <c r="I2988" t="s">
        <v>722</v>
      </c>
      <c r="J2988" t="s">
        <v>461</v>
      </c>
      <c r="K2988" t="s">
        <v>72</v>
      </c>
      <c r="L2988" t="s">
        <v>112</v>
      </c>
      <c r="M2988" t="s">
        <v>473</v>
      </c>
      <c r="N2988" t="s">
        <v>299</v>
      </c>
      <c r="O2988" t="s">
        <v>704</v>
      </c>
      <c r="P2988" t="s">
        <v>599</v>
      </c>
      <c r="Q2988" t="s">
        <v>207</v>
      </c>
      <c r="R2988" t="s">
        <v>132</v>
      </c>
      <c r="S2988" t="s">
        <v>141</v>
      </c>
    </row>
    <row r="2989" spans="1:19" x14ac:dyDescent="0.3">
      <c r="A2989" t="s">
        <v>34</v>
      </c>
      <c r="B2989" t="s">
        <v>1344</v>
      </c>
      <c r="C2989">
        <v>149</v>
      </c>
      <c r="D2989" t="s">
        <v>990</v>
      </c>
      <c r="E2989" t="s">
        <v>720</v>
      </c>
      <c r="F2989" t="s">
        <v>686</v>
      </c>
      <c r="G2989" t="s">
        <v>470</v>
      </c>
      <c r="H2989" t="s">
        <v>714</v>
      </c>
      <c r="I2989" t="s">
        <v>171</v>
      </c>
      <c r="J2989" t="s">
        <v>710</v>
      </c>
      <c r="K2989" t="s">
        <v>255</v>
      </c>
      <c r="L2989" t="s">
        <v>675</v>
      </c>
      <c r="M2989" t="s">
        <v>705</v>
      </c>
      <c r="N2989" t="s">
        <v>184</v>
      </c>
      <c r="O2989" t="s">
        <v>807</v>
      </c>
      <c r="P2989" t="s">
        <v>955</v>
      </c>
      <c r="Q2989" t="s">
        <v>215</v>
      </c>
      <c r="R2989" t="s">
        <v>107</v>
      </c>
      <c r="S2989" t="s">
        <v>99</v>
      </c>
    </row>
    <row r="2990" spans="1:19" x14ac:dyDescent="0.3">
      <c r="A2990" t="s">
        <v>34</v>
      </c>
      <c r="B2990" t="s">
        <v>1345</v>
      </c>
      <c r="C2990">
        <v>1929</v>
      </c>
      <c r="D2990" t="s">
        <v>70</v>
      </c>
      <c r="E2990" t="s">
        <v>220</v>
      </c>
      <c r="F2990" t="s">
        <v>363</v>
      </c>
      <c r="G2990" t="s">
        <v>434</v>
      </c>
      <c r="H2990" t="s">
        <v>675</v>
      </c>
      <c r="I2990" t="s">
        <v>299</v>
      </c>
      <c r="J2990" t="s">
        <v>328</v>
      </c>
      <c r="K2990" t="s">
        <v>160</v>
      </c>
      <c r="L2990" t="s">
        <v>412</v>
      </c>
      <c r="M2990" t="s">
        <v>173</v>
      </c>
      <c r="N2990" t="s">
        <v>157</v>
      </c>
      <c r="O2990" t="s">
        <v>449</v>
      </c>
      <c r="P2990" t="s">
        <v>1180</v>
      </c>
      <c r="Q2990" t="s">
        <v>147</v>
      </c>
      <c r="R2990" t="s">
        <v>253</v>
      </c>
      <c r="S2990" t="s">
        <v>207</v>
      </c>
    </row>
    <row r="2991" spans="1:19" x14ac:dyDescent="0.3">
      <c r="A2991" t="s">
        <v>33</v>
      </c>
      <c r="B2991" t="s">
        <v>1344</v>
      </c>
      <c r="C2991">
        <v>166</v>
      </c>
      <c r="D2991" t="s">
        <v>722</v>
      </c>
      <c r="E2991" t="s">
        <v>165</v>
      </c>
      <c r="F2991" t="s">
        <v>262</v>
      </c>
      <c r="G2991" t="s">
        <v>98</v>
      </c>
      <c r="H2991" t="s">
        <v>684</v>
      </c>
      <c r="I2991" t="s">
        <v>663</v>
      </c>
      <c r="J2991" t="s">
        <v>160</v>
      </c>
      <c r="K2991" t="s">
        <v>684</v>
      </c>
      <c r="L2991" t="s">
        <v>474</v>
      </c>
      <c r="M2991" t="s">
        <v>814</v>
      </c>
      <c r="N2991" t="s">
        <v>204</v>
      </c>
      <c r="O2991" t="s">
        <v>746</v>
      </c>
      <c r="P2991" t="s">
        <v>617</v>
      </c>
      <c r="Q2991" t="s">
        <v>99</v>
      </c>
      <c r="R2991" t="s">
        <v>115</v>
      </c>
      <c r="S2991" t="s">
        <v>141</v>
      </c>
    </row>
    <row r="2992" spans="1:19" x14ac:dyDescent="0.3">
      <c r="A2992" t="s">
        <v>33</v>
      </c>
      <c r="B2992" t="s">
        <v>1345</v>
      </c>
      <c r="C2992">
        <v>1771</v>
      </c>
      <c r="D2992" t="s">
        <v>468</v>
      </c>
      <c r="E2992" t="s">
        <v>109</v>
      </c>
      <c r="F2992" t="s">
        <v>684</v>
      </c>
      <c r="G2992" t="s">
        <v>123</v>
      </c>
      <c r="H2992" t="s">
        <v>103</v>
      </c>
      <c r="I2992" t="s">
        <v>103</v>
      </c>
      <c r="J2992" t="s">
        <v>123</v>
      </c>
      <c r="K2992" t="s">
        <v>128</v>
      </c>
      <c r="L2992" t="s">
        <v>130</v>
      </c>
      <c r="M2992" t="s">
        <v>478</v>
      </c>
      <c r="N2992" t="s">
        <v>134</v>
      </c>
      <c r="O2992" t="s">
        <v>222</v>
      </c>
      <c r="P2992" t="s">
        <v>1327</v>
      </c>
      <c r="Q2992" t="s">
        <v>207</v>
      </c>
      <c r="R2992" t="s">
        <v>115</v>
      </c>
      <c r="S2992" t="s">
        <v>198</v>
      </c>
    </row>
    <row r="2993" spans="1:19" x14ac:dyDescent="0.3">
      <c r="A2993" t="s">
        <v>49</v>
      </c>
      <c r="B2993" t="s">
        <v>1344</v>
      </c>
      <c r="C2993">
        <v>1190</v>
      </c>
      <c r="D2993" t="s">
        <v>405</v>
      </c>
      <c r="E2993" t="s">
        <v>165</v>
      </c>
      <c r="F2993" t="s">
        <v>311</v>
      </c>
      <c r="G2993" t="s">
        <v>112</v>
      </c>
      <c r="H2993" t="s">
        <v>328</v>
      </c>
      <c r="I2993" t="s">
        <v>145</v>
      </c>
      <c r="J2993" t="s">
        <v>675</v>
      </c>
      <c r="K2993" t="s">
        <v>143</v>
      </c>
      <c r="L2993" t="s">
        <v>138</v>
      </c>
      <c r="M2993" t="s">
        <v>244</v>
      </c>
      <c r="N2993" t="s">
        <v>130</v>
      </c>
      <c r="O2993" t="s">
        <v>133</v>
      </c>
      <c r="P2993" t="s">
        <v>1153</v>
      </c>
      <c r="Q2993" t="s">
        <v>141</v>
      </c>
      <c r="R2993" t="s">
        <v>123</v>
      </c>
      <c r="S2993" t="s">
        <v>198</v>
      </c>
    </row>
    <row r="2994" spans="1:19" x14ac:dyDescent="0.3">
      <c r="A2994" t="s">
        <v>49</v>
      </c>
      <c r="B2994" t="s">
        <v>1345</v>
      </c>
      <c r="C2994">
        <v>12125</v>
      </c>
      <c r="D2994" t="s">
        <v>70</v>
      </c>
      <c r="E2994" t="s">
        <v>296</v>
      </c>
      <c r="F2994" t="s">
        <v>363</v>
      </c>
      <c r="G2994" t="s">
        <v>118</v>
      </c>
      <c r="H2994" t="s">
        <v>135</v>
      </c>
      <c r="I2994" t="s">
        <v>675</v>
      </c>
      <c r="J2994" t="s">
        <v>204</v>
      </c>
      <c r="K2994" t="s">
        <v>74</v>
      </c>
      <c r="L2994" t="s">
        <v>712</v>
      </c>
      <c r="M2994" t="s">
        <v>393</v>
      </c>
      <c r="N2994" t="s">
        <v>474</v>
      </c>
      <c r="O2994" t="s">
        <v>671</v>
      </c>
      <c r="P2994" t="s">
        <v>928</v>
      </c>
      <c r="Q2994" t="s">
        <v>114</v>
      </c>
      <c r="R2994" t="s">
        <v>319</v>
      </c>
      <c r="S2994" t="s">
        <v>207</v>
      </c>
    </row>
    <row r="2996" spans="1:19" x14ac:dyDescent="0.3">
      <c r="A2996" t="s">
        <v>1346</v>
      </c>
    </row>
    <row r="2997" spans="1:19" x14ac:dyDescent="0.3">
      <c r="A2997" t="s">
        <v>44</v>
      </c>
      <c r="B2997" t="s">
        <v>1347</v>
      </c>
      <c r="C2997" t="s">
        <v>32</v>
      </c>
      <c r="D2997" t="s">
        <v>1311</v>
      </c>
      <c r="E2997" t="s">
        <v>1312</v>
      </c>
      <c r="F2997" t="s">
        <v>1313</v>
      </c>
      <c r="G2997" t="s">
        <v>1314</v>
      </c>
      <c r="H2997" t="s">
        <v>1315</v>
      </c>
      <c r="I2997" t="s">
        <v>1316</v>
      </c>
      <c r="J2997" t="s">
        <v>1317</v>
      </c>
      <c r="K2997" t="s">
        <v>1318</v>
      </c>
      <c r="L2997" t="s">
        <v>1319</v>
      </c>
      <c r="M2997" t="s">
        <v>1320</v>
      </c>
      <c r="N2997" t="s">
        <v>1321</v>
      </c>
      <c r="O2997" t="s">
        <v>1322</v>
      </c>
      <c r="P2997" t="s">
        <v>1323</v>
      </c>
      <c r="Q2997" t="s">
        <v>88</v>
      </c>
      <c r="R2997" t="s">
        <v>83</v>
      </c>
      <c r="S2997" t="s">
        <v>193</v>
      </c>
    </row>
    <row r="2998" spans="1:19" x14ac:dyDescent="0.3">
      <c r="A2998" t="s">
        <v>35</v>
      </c>
      <c r="B2998" t="s">
        <v>1348</v>
      </c>
      <c r="C2998">
        <v>162</v>
      </c>
      <c r="D2998" t="s">
        <v>328</v>
      </c>
      <c r="E2998" t="s">
        <v>109</v>
      </c>
      <c r="F2998" t="s">
        <v>408</v>
      </c>
      <c r="G2998" t="s">
        <v>684</v>
      </c>
      <c r="H2998" t="s">
        <v>663</v>
      </c>
      <c r="I2998" t="s">
        <v>305</v>
      </c>
      <c r="J2998" t="s">
        <v>401</v>
      </c>
      <c r="K2998" t="s">
        <v>712</v>
      </c>
      <c r="L2998" t="s">
        <v>253</v>
      </c>
      <c r="M2998" t="s">
        <v>242</v>
      </c>
      <c r="N2998" t="s">
        <v>316</v>
      </c>
      <c r="O2998" t="s">
        <v>103</v>
      </c>
      <c r="P2998" t="s">
        <v>1064</v>
      </c>
      <c r="Q2998" t="s">
        <v>101</v>
      </c>
      <c r="R2998" t="s">
        <v>99</v>
      </c>
      <c r="S2998" t="s">
        <v>99</v>
      </c>
    </row>
    <row r="2999" spans="1:19" x14ac:dyDescent="0.3">
      <c r="A2999" t="s">
        <v>35</v>
      </c>
      <c r="B2999" t="s">
        <v>1349</v>
      </c>
      <c r="C2999">
        <v>2957</v>
      </c>
      <c r="D2999" t="s">
        <v>405</v>
      </c>
      <c r="E2999" t="s">
        <v>804</v>
      </c>
      <c r="F2999" t="s">
        <v>262</v>
      </c>
      <c r="G2999" t="s">
        <v>112</v>
      </c>
      <c r="H2999" t="s">
        <v>160</v>
      </c>
      <c r="I2999" t="s">
        <v>150</v>
      </c>
      <c r="J2999" t="s">
        <v>122</v>
      </c>
      <c r="K2999" t="s">
        <v>145</v>
      </c>
      <c r="L2999" t="s">
        <v>138</v>
      </c>
      <c r="M2999" t="s">
        <v>680</v>
      </c>
      <c r="N2999" t="s">
        <v>149</v>
      </c>
      <c r="O2999" t="s">
        <v>160</v>
      </c>
      <c r="P2999" t="s">
        <v>345</v>
      </c>
      <c r="Q2999" t="s">
        <v>253</v>
      </c>
      <c r="R2999" t="s">
        <v>123</v>
      </c>
      <c r="S2999" t="s">
        <v>136</v>
      </c>
    </row>
    <row r="3000" spans="1:19" x14ac:dyDescent="0.3">
      <c r="A3000" t="s">
        <v>35</v>
      </c>
      <c r="B3000" t="s">
        <v>365</v>
      </c>
      <c r="C3000">
        <v>25</v>
      </c>
      <c r="D3000" t="s">
        <v>114</v>
      </c>
      <c r="E3000" t="s">
        <v>114</v>
      </c>
      <c r="F3000" t="s">
        <v>99</v>
      </c>
      <c r="G3000" t="s">
        <v>99</v>
      </c>
      <c r="H3000" t="s">
        <v>158</v>
      </c>
      <c r="I3000" t="s">
        <v>99</v>
      </c>
      <c r="J3000" t="s">
        <v>301</v>
      </c>
      <c r="K3000" t="s">
        <v>99</v>
      </c>
      <c r="L3000" t="s">
        <v>107</v>
      </c>
      <c r="M3000" t="s">
        <v>369</v>
      </c>
      <c r="N3000" t="s">
        <v>99</v>
      </c>
      <c r="O3000" t="s">
        <v>114</v>
      </c>
      <c r="P3000" t="s">
        <v>983</v>
      </c>
      <c r="Q3000" t="s">
        <v>99</v>
      </c>
      <c r="R3000" t="s">
        <v>434</v>
      </c>
      <c r="S3000" t="s">
        <v>99</v>
      </c>
    </row>
    <row r="3001" spans="1:19" x14ac:dyDescent="0.3">
      <c r="A3001" t="s">
        <v>37</v>
      </c>
      <c r="B3001" t="s">
        <v>1348</v>
      </c>
      <c r="C3001">
        <v>233</v>
      </c>
      <c r="D3001" t="s">
        <v>332</v>
      </c>
      <c r="E3001" t="s">
        <v>220</v>
      </c>
      <c r="F3001" t="s">
        <v>70</v>
      </c>
      <c r="G3001" t="s">
        <v>111</v>
      </c>
      <c r="H3001" t="s">
        <v>675</v>
      </c>
      <c r="I3001" t="s">
        <v>663</v>
      </c>
      <c r="J3001" t="s">
        <v>74</v>
      </c>
      <c r="K3001" t="s">
        <v>160</v>
      </c>
      <c r="L3001" t="s">
        <v>118</v>
      </c>
      <c r="M3001" t="s">
        <v>416</v>
      </c>
      <c r="N3001" t="s">
        <v>434</v>
      </c>
      <c r="O3001" t="s">
        <v>68</v>
      </c>
      <c r="P3001" t="s">
        <v>1065</v>
      </c>
      <c r="Q3001" t="s">
        <v>121</v>
      </c>
      <c r="R3001" t="s">
        <v>157</v>
      </c>
      <c r="S3001" t="s">
        <v>115</v>
      </c>
    </row>
    <row r="3002" spans="1:19" x14ac:dyDescent="0.3">
      <c r="A3002" t="s">
        <v>37</v>
      </c>
      <c r="B3002" t="s">
        <v>1349</v>
      </c>
      <c r="C3002">
        <v>3612</v>
      </c>
      <c r="D3002" t="s">
        <v>204</v>
      </c>
      <c r="E3002" t="s">
        <v>299</v>
      </c>
      <c r="F3002" t="s">
        <v>160</v>
      </c>
      <c r="G3002" t="s">
        <v>157</v>
      </c>
      <c r="H3002" t="s">
        <v>150</v>
      </c>
      <c r="I3002" t="s">
        <v>328</v>
      </c>
      <c r="J3002" t="s">
        <v>124</v>
      </c>
      <c r="K3002" t="s">
        <v>254</v>
      </c>
      <c r="L3002" t="s">
        <v>149</v>
      </c>
      <c r="M3002" t="s">
        <v>357</v>
      </c>
      <c r="N3002" t="s">
        <v>434</v>
      </c>
      <c r="O3002" t="s">
        <v>143</v>
      </c>
      <c r="P3002" t="s">
        <v>1103</v>
      </c>
      <c r="Q3002" t="s">
        <v>141</v>
      </c>
      <c r="R3002" t="s">
        <v>151</v>
      </c>
      <c r="S3002" t="s">
        <v>207</v>
      </c>
    </row>
    <row r="3003" spans="1:19" x14ac:dyDescent="0.3">
      <c r="A3003" t="s">
        <v>37</v>
      </c>
      <c r="B3003" t="s">
        <v>365</v>
      </c>
      <c r="C3003">
        <v>9</v>
      </c>
      <c r="D3003" t="s">
        <v>99</v>
      </c>
      <c r="E3003" t="s">
        <v>99</v>
      </c>
      <c r="F3003" t="s">
        <v>99</v>
      </c>
      <c r="G3003" t="s">
        <v>99</v>
      </c>
      <c r="H3003" t="s">
        <v>410</v>
      </c>
      <c r="I3003" t="s">
        <v>99</v>
      </c>
      <c r="J3003" t="s">
        <v>99</v>
      </c>
      <c r="K3003" t="s">
        <v>99</v>
      </c>
      <c r="L3003" t="s">
        <v>99</v>
      </c>
      <c r="M3003" t="s">
        <v>410</v>
      </c>
      <c r="N3003" t="s">
        <v>99</v>
      </c>
      <c r="O3003" t="s">
        <v>182</v>
      </c>
      <c r="P3003" t="s">
        <v>514</v>
      </c>
      <c r="Q3003" t="s">
        <v>99</v>
      </c>
      <c r="R3003" t="s">
        <v>99</v>
      </c>
      <c r="S3003" t="s">
        <v>99</v>
      </c>
    </row>
    <row r="3004" spans="1:19" x14ac:dyDescent="0.3">
      <c r="A3004" t="s">
        <v>36</v>
      </c>
      <c r="B3004" t="s">
        <v>1348</v>
      </c>
      <c r="C3004">
        <v>128</v>
      </c>
      <c r="D3004" t="s">
        <v>687</v>
      </c>
      <c r="E3004" t="s">
        <v>700</v>
      </c>
      <c r="F3004" t="s">
        <v>201</v>
      </c>
      <c r="G3004" t="s">
        <v>133</v>
      </c>
      <c r="H3004" t="s">
        <v>113</v>
      </c>
      <c r="I3004" t="s">
        <v>710</v>
      </c>
      <c r="J3004" t="s">
        <v>206</v>
      </c>
      <c r="K3004" t="s">
        <v>287</v>
      </c>
      <c r="L3004" t="s">
        <v>111</v>
      </c>
      <c r="M3004" t="s">
        <v>177</v>
      </c>
      <c r="N3004" t="s">
        <v>420</v>
      </c>
      <c r="O3004" t="s">
        <v>499</v>
      </c>
      <c r="P3004" t="s">
        <v>826</v>
      </c>
      <c r="Q3004" t="s">
        <v>198</v>
      </c>
      <c r="R3004" t="s">
        <v>332</v>
      </c>
      <c r="S3004" t="s">
        <v>99</v>
      </c>
    </row>
    <row r="3005" spans="1:19" x14ac:dyDescent="0.3">
      <c r="A3005" t="s">
        <v>36</v>
      </c>
      <c r="B3005" t="s">
        <v>1349</v>
      </c>
      <c r="C3005">
        <v>2155</v>
      </c>
      <c r="D3005" t="s">
        <v>313</v>
      </c>
      <c r="E3005" t="s">
        <v>262</v>
      </c>
      <c r="F3005" t="s">
        <v>251</v>
      </c>
      <c r="G3005" t="s">
        <v>204</v>
      </c>
      <c r="H3005" t="s">
        <v>287</v>
      </c>
      <c r="I3005" t="s">
        <v>41</v>
      </c>
      <c r="J3005" t="s">
        <v>299</v>
      </c>
      <c r="K3005" t="s">
        <v>401</v>
      </c>
      <c r="L3005" t="s">
        <v>149</v>
      </c>
      <c r="M3005" t="s">
        <v>517</v>
      </c>
      <c r="N3005" t="s">
        <v>70</v>
      </c>
      <c r="O3005" t="s">
        <v>726</v>
      </c>
      <c r="P3005" t="s">
        <v>1116</v>
      </c>
      <c r="Q3005" t="s">
        <v>136</v>
      </c>
      <c r="R3005" t="s">
        <v>132</v>
      </c>
      <c r="S3005" t="s">
        <v>141</v>
      </c>
    </row>
    <row r="3006" spans="1:19" x14ac:dyDescent="0.3">
      <c r="A3006" t="s">
        <v>36</v>
      </c>
      <c r="B3006" t="s">
        <v>365</v>
      </c>
      <c r="C3006">
        <v>19</v>
      </c>
      <c r="D3006" t="s">
        <v>149</v>
      </c>
      <c r="E3006" t="s">
        <v>149</v>
      </c>
      <c r="F3006" t="s">
        <v>319</v>
      </c>
      <c r="G3006" t="s">
        <v>319</v>
      </c>
      <c r="H3006" t="s">
        <v>98</v>
      </c>
      <c r="I3006" t="s">
        <v>722</v>
      </c>
      <c r="J3006" t="s">
        <v>98</v>
      </c>
      <c r="K3006" t="s">
        <v>722</v>
      </c>
      <c r="L3006" t="s">
        <v>292</v>
      </c>
      <c r="M3006" t="s">
        <v>536</v>
      </c>
      <c r="N3006" t="s">
        <v>98</v>
      </c>
      <c r="O3006" t="s">
        <v>332</v>
      </c>
      <c r="P3006" t="s">
        <v>346</v>
      </c>
      <c r="Q3006" t="s">
        <v>76</v>
      </c>
      <c r="R3006" t="s">
        <v>99</v>
      </c>
      <c r="S3006" t="s">
        <v>99</v>
      </c>
    </row>
    <row r="3007" spans="1:19" x14ac:dyDescent="0.3">
      <c r="A3007" t="s">
        <v>34</v>
      </c>
      <c r="B3007" t="s">
        <v>1348</v>
      </c>
      <c r="C3007">
        <v>85</v>
      </c>
      <c r="D3007" t="s">
        <v>734</v>
      </c>
      <c r="E3007" t="s">
        <v>842</v>
      </c>
      <c r="F3007" t="s">
        <v>106</v>
      </c>
      <c r="G3007" t="s">
        <v>76</v>
      </c>
      <c r="H3007" t="s">
        <v>311</v>
      </c>
      <c r="I3007" t="s">
        <v>353</v>
      </c>
      <c r="J3007" t="s">
        <v>182</v>
      </c>
      <c r="K3007" t="s">
        <v>677</v>
      </c>
      <c r="L3007" t="s">
        <v>368</v>
      </c>
      <c r="M3007" t="s">
        <v>357</v>
      </c>
      <c r="N3007" t="s">
        <v>254</v>
      </c>
      <c r="O3007" t="s">
        <v>542</v>
      </c>
      <c r="P3007" t="s">
        <v>607</v>
      </c>
      <c r="Q3007" t="s">
        <v>111</v>
      </c>
      <c r="R3007" t="s">
        <v>99</v>
      </c>
      <c r="S3007" t="s">
        <v>99</v>
      </c>
    </row>
    <row r="3008" spans="1:19" x14ac:dyDescent="0.3">
      <c r="A3008" t="s">
        <v>34</v>
      </c>
      <c r="B3008" t="s">
        <v>1349</v>
      </c>
      <c r="C3008">
        <v>1976</v>
      </c>
      <c r="D3008" t="s">
        <v>70</v>
      </c>
      <c r="E3008" t="s">
        <v>804</v>
      </c>
      <c r="F3008" t="s">
        <v>420</v>
      </c>
      <c r="G3008" t="s">
        <v>434</v>
      </c>
      <c r="H3008" t="s">
        <v>135</v>
      </c>
      <c r="I3008" t="s">
        <v>113</v>
      </c>
      <c r="J3008" t="s">
        <v>144</v>
      </c>
      <c r="K3008" t="s">
        <v>679</v>
      </c>
      <c r="L3008" t="s">
        <v>149</v>
      </c>
      <c r="M3008" t="s">
        <v>372</v>
      </c>
      <c r="N3008" t="s">
        <v>105</v>
      </c>
      <c r="O3008" t="s">
        <v>179</v>
      </c>
      <c r="P3008" t="s">
        <v>1223</v>
      </c>
      <c r="Q3008" t="s">
        <v>120</v>
      </c>
      <c r="R3008" t="s">
        <v>115</v>
      </c>
      <c r="S3008" t="s">
        <v>207</v>
      </c>
    </row>
    <row r="3009" spans="1:19" x14ac:dyDescent="0.3">
      <c r="A3009" t="s">
        <v>34</v>
      </c>
      <c r="B3009" t="s">
        <v>365</v>
      </c>
      <c r="C3009">
        <v>17</v>
      </c>
      <c r="D3009" t="s">
        <v>694</v>
      </c>
      <c r="E3009" t="s">
        <v>694</v>
      </c>
      <c r="F3009" t="s">
        <v>292</v>
      </c>
      <c r="G3009" t="s">
        <v>292</v>
      </c>
      <c r="H3009" t="s">
        <v>233</v>
      </c>
      <c r="I3009" t="s">
        <v>434</v>
      </c>
      <c r="J3009" t="s">
        <v>99</v>
      </c>
      <c r="K3009" t="s">
        <v>292</v>
      </c>
      <c r="L3009" t="s">
        <v>145</v>
      </c>
      <c r="M3009" t="s">
        <v>795</v>
      </c>
      <c r="N3009" t="s">
        <v>242</v>
      </c>
      <c r="O3009" t="s">
        <v>990</v>
      </c>
      <c r="P3009" t="s">
        <v>936</v>
      </c>
      <c r="Q3009" t="s">
        <v>99</v>
      </c>
      <c r="R3009" t="s">
        <v>99</v>
      </c>
      <c r="S3009" t="s">
        <v>99</v>
      </c>
    </row>
    <row r="3010" spans="1:19" x14ac:dyDescent="0.3">
      <c r="A3010" t="s">
        <v>33</v>
      </c>
      <c r="B3010" t="s">
        <v>1348</v>
      </c>
      <c r="C3010">
        <v>58</v>
      </c>
      <c r="D3010" t="s">
        <v>680</v>
      </c>
      <c r="E3010" t="s">
        <v>694</v>
      </c>
      <c r="F3010" t="s">
        <v>694</v>
      </c>
      <c r="G3010" t="s">
        <v>401</v>
      </c>
      <c r="H3010" t="s">
        <v>311</v>
      </c>
      <c r="I3010" t="s">
        <v>395</v>
      </c>
      <c r="J3010" t="s">
        <v>231</v>
      </c>
      <c r="K3010" t="s">
        <v>814</v>
      </c>
      <c r="L3010" t="s">
        <v>663</v>
      </c>
      <c r="M3010" t="s">
        <v>683</v>
      </c>
      <c r="N3010" t="s">
        <v>287</v>
      </c>
      <c r="O3010" t="s">
        <v>704</v>
      </c>
      <c r="P3010" t="s">
        <v>887</v>
      </c>
      <c r="Q3010" t="s">
        <v>99</v>
      </c>
      <c r="R3010" t="s">
        <v>99</v>
      </c>
      <c r="S3010" t="s">
        <v>99</v>
      </c>
    </row>
    <row r="3011" spans="1:19" x14ac:dyDescent="0.3">
      <c r="A3011" t="s">
        <v>33</v>
      </c>
      <c r="B3011" t="s">
        <v>1349</v>
      </c>
      <c r="C3011">
        <v>1877</v>
      </c>
      <c r="D3011" t="s">
        <v>325</v>
      </c>
      <c r="E3011" t="s">
        <v>152</v>
      </c>
      <c r="F3011" t="s">
        <v>158</v>
      </c>
      <c r="G3011" t="s">
        <v>151</v>
      </c>
      <c r="H3011" t="s">
        <v>103</v>
      </c>
      <c r="I3011" t="s">
        <v>117</v>
      </c>
      <c r="J3011" t="s">
        <v>151</v>
      </c>
      <c r="K3011" t="s">
        <v>316</v>
      </c>
      <c r="L3011" t="s">
        <v>129</v>
      </c>
      <c r="M3011" t="s">
        <v>432</v>
      </c>
      <c r="N3011" t="s">
        <v>134</v>
      </c>
      <c r="O3011" t="s">
        <v>222</v>
      </c>
      <c r="P3011" t="s">
        <v>1144</v>
      </c>
      <c r="Q3011" t="s">
        <v>207</v>
      </c>
      <c r="R3011" t="s">
        <v>115</v>
      </c>
      <c r="S3011" t="s">
        <v>198</v>
      </c>
    </row>
    <row r="3012" spans="1:19" x14ac:dyDescent="0.3">
      <c r="A3012" t="s">
        <v>33</v>
      </c>
      <c r="B3012" t="s">
        <v>365</v>
      </c>
      <c r="C3012">
        <v>2</v>
      </c>
      <c r="D3012" t="s">
        <v>99</v>
      </c>
      <c r="E3012" t="s">
        <v>99</v>
      </c>
      <c r="F3012" t="s">
        <v>99</v>
      </c>
      <c r="G3012" t="s">
        <v>99</v>
      </c>
      <c r="H3012" t="s">
        <v>99</v>
      </c>
      <c r="I3012" t="s">
        <v>99</v>
      </c>
      <c r="J3012" t="s">
        <v>99</v>
      </c>
      <c r="K3012" t="s">
        <v>99</v>
      </c>
      <c r="L3012" t="s">
        <v>99</v>
      </c>
      <c r="M3012" t="s">
        <v>99</v>
      </c>
      <c r="N3012" t="s">
        <v>99</v>
      </c>
      <c r="O3012" t="s">
        <v>99</v>
      </c>
      <c r="P3012" t="s">
        <v>211</v>
      </c>
      <c r="Q3012" t="s">
        <v>99</v>
      </c>
      <c r="R3012" t="s">
        <v>99</v>
      </c>
      <c r="S3012" t="s">
        <v>99</v>
      </c>
    </row>
    <row r="3013" spans="1:19" x14ac:dyDescent="0.3">
      <c r="A3013" t="s">
        <v>49</v>
      </c>
      <c r="B3013" t="s">
        <v>1348</v>
      </c>
      <c r="C3013">
        <v>666</v>
      </c>
      <c r="D3013" t="s">
        <v>41</v>
      </c>
      <c r="E3013" t="s">
        <v>680</v>
      </c>
      <c r="F3013" t="s">
        <v>688</v>
      </c>
      <c r="G3013" t="s">
        <v>74</v>
      </c>
      <c r="H3013" t="s">
        <v>248</v>
      </c>
      <c r="I3013" t="s">
        <v>125</v>
      </c>
      <c r="J3013" t="s">
        <v>461</v>
      </c>
      <c r="K3013" t="s">
        <v>353</v>
      </c>
      <c r="L3013" t="s">
        <v>129</v>
      </c>
      <c r="M3013" t="s">
        <v>416</v>
      </c>
      <c r="N3013" t="s">
        <v>277</v>
      </c>
      <c r="O3013" t="s">
        <v>305</v>
      </c>
      <c r="P3013" t="s">
        <v>1350</v>
      </c>
      <c r="Q3013" t="s">
        <v>100</v>
      </c>
      <c r="R3013" t="s">
        <v>319</v>
      </c>
      <c r="S3013" t="s">
        <v>198</v>
      </c>
    </row>
    <row r="3014" spans="1:19" x14ac:dyDescent="0.3">
      <c r="A3014" t="s">
        <v>49</v>
      </c>
      <c r="B3014" t="s">
        <v>1349</v>
      </c>
      <c r="C3014">
        <v>12577</v>
      </c>
      <c r="D3014" t="s">
        <v>248</v>
      </c>
      <c r="E3014" t="s">
        <v>41</v>
      </c>
      <c r="F3014" t="s">
        <v>363</v>
      </c>
      <c r="G3014" t="s">
        <v>118</v>
      </c>
      <c r="H3014" t="s">
        <v>663</v>
      </c>
      <c r="I3014" t="s">
        <v>145</v>
      </c>
      <c r="J3014" t="s">
        <v>325</v>
      </c>
      <c r="K3014" t="s">
        <v>143</v>
      </c>
      <c r="L3014" t="s">
        <v>434</v>
      </c>
      <c r="M3014" t="s">
        <v>393</v>
      </c>
      <c r="N3014" t="s">
        <v>474</v>
      </c>
      <c r="O3014" t="s">
        <v>671</v>
      </c>
      <c r="P3014" t="s">
        <v>55</v>
      </c>
      <c r="Q3014" t="s">
        <v>108</v>
      </c>
      <c r="R3014" t="s">
        <v>319</v>
      </c>
      <c r="S3014" t="s">
        <v>207</v>
      </c>
    </row>
    <row r="3015" spans="1:19" x14ac:dyDescent="0.3">
      <c r="A3015" t="s">
        <v>49</v>
      </c>
      <c r="B3015" t="s">
        <v>365</v>
      </c>
      <c r="C3015">
        <v>72</v>
      </c>
      <c r="D3015" t="s">
        <v>468</v>
      </c>
      <c r="E3015" t="s">
        <v>468</v>
      </c>
      <c r="F3015" t="s">
        <v>132</v>
      </c>
      <c r="G3015" t="s">
        <v>132</v>
      </c>
      <c r="H3015" t="s">
        <v>113</v>
      </c>
      <c r="I3015" t="s">
        <v>292</v>
      </c>
      <c r="J3015" t="s">
        <v>722</v>
      </c>
      <c r="K3015" t="s">
        <v>126</v>
      </c>
      <c r="L3015" t="s">
        <v>154</v>
      </c>
      <c r="M3015" t="s">
        <v>440</v>
      </c>
      <c r="N3015" t="s">
        <v>151</v>
      </c>
      <c r="O3015" t="s">
        <v>184</v>
      </c>
      <c r="P3015" t="s">
        <v>1104</v>
      </c>
      <c r="Q3015" t="s">
        <v>121</v>
      </c>
      <c r="R3015" t="s">
        <v>123</v>
      </c>
      <c r="S3015" t="s">
        <v>99</v>
      </c>
    </row>
    <row r="3017" spans="1:19" x14ac:dyDescent="0.3">
      <c r="A3017" t="s">
        <v>1351</v>
      </c>
    </row>
    <row r="3018" spans="1:19" x14ac:dyDescent="0.3">
      <c r="A3018" t="s">
        <v>44</v>
      </c>
      <c r="B3018" t="s">
        <v>32</v>
      </c>
      <c r="C3018" t="s">
        <v>1352</v>
      </c>
      <c r="D3018" t="s">
        <v>1353</v>
      </c>
      <c r="E3018" t="s">
        <v>1354</v>
      </c>
      <c r="F3018" t="s">
        <v>1355</v>
      </c>
      <c r="G3018" t="s">
        <v>1356</v>
      </c>
      <c r="H3018" t="s">
        <v>193</v>
      </c>
      <c r="I3018" t="s">
        <v>1357</v>
      </c>
      <c r="J3018" t="s">
        <v>1358</v>
      </c>
      <c r="K3018" t="s">
        <v>1359</v>
      </c>
      <c r="L3018" t="s">
        <v>88</v>
      </c>
    </row>
    <row r="3019" spans="1:19" x14ac:dyDescent="0.3">
      <c r="A3019" t="s">
        <v>35</v>
      </c>
      <c r="B3019">
        <v>3143</v>
      </c>
      <c r="C3019" t="s">
        <v>198</v>
      </c>
      <c r="D3019" t="s">
        <v>104</v>
      </c>
      <c r="E3019" t="s">
        <v>108</v>
      </c>
      <c r="F3019" t="s">
        <v>382</v>
      </c>
      <c r="G3019" t="s">
        <v>189</v>
      </c>
      <c r="H3019" t="s">
        <v>99</v>
      </c>
      <c r="I3019" t="s">
        <v>113</v>
      </c>
      <c r="J3019" t="s">
        <v>145</v>
      </c>
      <c r="K3019" t="s">
        <v>132</v>
      </c>
      <c r="L3019" t="s">
        <v>104</v>
      </c>
    </row>
    <row r="3020" spans="1:19" x14ac:dyDescent="0.3">
      <c r="A3020" t="s">
        <v>37</v>
      </c>
      <c r="B3020">
        <v>3850</v>
      </c>
      <c r="C3020" t="s">
        <v>136</v>
      </c>
      <c r="D3020" t="s">
        <v>99</v>
      </c>
      <c r="E3020" t="s">
        <v>253</v>
      </c>
      <c r="F3020" t="s">
        <v>100</v>
      </c>
      <c r="G3020" t="s">
        <v>1308</v>
      </c>
      <c r="H3020" t="s">
        <v>99</v>
      </c>
      <c r="I3020" t="s">
        <v>118</v>
      </c>
      <c r="J3020" t="s">
        <v>120</v>
      </c>
      <c r="K3020" t="s">
        <v>99</v>
      </c>
      <c r="L3020" t="s">
        <v>99</v>
      </c>
    </row>
    <row r="3021" spans="1:19" x14ac:dyDescent="0.3">
      <c r="A3021" t="s">
        <v>36</v>
      </c>
      <c r="B3021">
        <v>2301</v>
      </c>
      <c r="C3021" t="s">
        <v>132</v>
      </c>
      <c r="D3021" t="s">
        <v>104</v>
      </c>
      <c r="E3021" t="s">
        <v>268</v>
      </c>
      <c r="F3021" t="s">
        <v>107</v>
      </c>
      <c r="G3021" t="s">
        <v>1064</v>
      </c>
      <c r="H3021" t="s">
        <v>99</v>
      </c>
      <c r="I3021" t="s">
        <v>122</v>
      </c>
      <c r="J3021" t="s">
        <v>296</v>
      </c>
      <c r="K3021" t="s">
        <v>99</v>
      </c>
      <c r="L3021" t="s">
        <v>207</v>
      </c>
    </row>
    <row r="3022" spans="1:19" x14ac:dyDescent="0.3">
      <c r="A3022" t="s">
        <v>34</v>
      </c>
      <c r="B3022">
        <v>2077</v>
      </c>
      <c r="C3022" t="s">
        <v>136</v>
      </c>
      <c r="D3022" t="s">
        <v>104</v>
      </c>
      <c r="E3022" t="s">
        <v>292</v>
      </c>
      <c r="F3022" t="s">
        <v>68</v>
      </c>
      <c r="G3022" t="s">
        <v>1360</v>
      </c>
      <c r="H3022" t="s">
        <v>136</v>
      </c>
      <c r="I3022" t="s">
        <v>74</v>
      </c>
      <c r="J3022" t="s">
        <v>287</v>
      </c>
      <c r="K3022" t="s">
        <v>198</v>
      </c>
      <c r="L3022" t="s">
        <v>99</v>
      </c>
    </row>
    <row r="3023" spans="1:19" x14ac:dyDescent="0.3">
      <c r="A3023" t="s">
        <v>33</v>
      </c>
      <c r="B3023">
        <v>1935</v>
      </c>
      <c r="C3023" t="s">
        <v>141</v>
      </c>
      <c r="D3023" t="s">
        <v>99</v>
      </c>
      <c r="E3023" t="s">
        <v>115</v>
      </c>
      <c r="F3023" t="s">
        <v>115</v>
      </c>
      <c r="G3023" t="s">
        <v>323</v>
      </c>
      <c r="H3023" t="s">
        <v>104</v>
      </c>
      <c r="I3023" t="s">
        <v>474</v>
      </c>
      <c r="J3023" t="s">
        <v>123</v>
      </c>
      <c r="K3023" t="s">
        <v>104</v>
      </c>
      <c r="L3023" t="s">
        <v>99</v>
      </c>
    </row>
    <row r="3024" spans="1:19" x14ac:dyDescent="0.3">
      <c r="A3024" t="s">
        <v>49</v>
      </c>
      <c r="B3024">
        <v>13306</v>
      </c>
      <c r="C3024" t="s">
        <v>136</v>
      </c>
      <c r="D3024" t="s">
        <v>104</v>
      </c>
      <c r="E3024" t="s">
        <v>100</v>
      </c>
      <c r="F3024" t="s">
        <v>151</v>
      </c>
      <c r="G3024" t="s">
        <v>464</v>
      </c>
      <c r="H3024" t="s">
        <v>104</v>
      </c>
      <c r="I3024" t="s">
        <v>204</v>
      </c>
      <c r="J3024" t="s">
        <v>328</v>
      </c>
      <c r="K3024" t="s">
        <v>207</v>
      </c>
      <c r="L3024" t="s">
        <v>104</v>
      </c>
    </row>
    <row r="3026" spans="1:13" x14ac:dyDescent="0.3">
      <c r="A3026" t="s">
        <v>1361</v>
      </c>
    </row>
    <row r="3027" spans="1:13" x14ac:dyDescent="0.3">
      <c r="A3027" t="s">
        <v>44</v>
      </c>
      <c r="B3027" t="s">
        <v>361</v>
      </c>
      <c r="C3027" t="s">
        <v>32</v>
      </c>
      <c r="D3027" t="s">
        <v>1352</v>
      </c>
      <c r="E3027" t="s">
        <v>1354</v>
      </c>
      <c r="F3027" t="s">
        <v>1355</v>
      </c>
      <c r="G3027" t="s">
        <v>1356</v>
      </c>
      <c r="H3027" t="s">
        <v>193</v>
      </c>
      <c r="I3027" t="s">
        <v>1357</v>
      </c>
      <c r="J3027" t="s">
        <v>1358</v>
      </c>
      <c r="K3027" t="s">
        <v>1353</v>
      </c>
      <c r="L3027" t="s">
        <v>1359</v>
      </c>
      <c r="M3027" t="s">
        <v>88</v>
      </c>
    </row>
    <row r="3028" spans="1:13" x14ac:dyDescent="0.3">
      <c r="A3028" t="s">
        <v>35</v>
      </c>
      <c r="B3028" t="s">
        <v>339</v>
      </c>
      <c r="C3028">
        <v>890</v>
      </c>
      <c r="D3028" t="s">
        <v>198</v>
      </c>
      <c r="E3028" t="s">
        <v>141</v>
      </c>
      <c r="F3028" t="s">
        <v>101</v>
      </c>
      <c r="G3028" t="s">
        <v>854</v>
      </c>
      <c r="H3028" t="s">
        <v>99</v>
      </c>
      <c r="I3028" t="s">
        <v>412</v>
      </c>
      <c r="J3028" t="s">
        <v>434</v>
      </c>
      <c r="K3028" t="s">
        <v>99</v>
      </c>
      <c r="L3028" t="s">
        <v>132</v>
      </c>
      <c r="M3028" t="s">
        <v>198</v>
      </c>
    </row>
    <row r="3029" spans="1:13" x14ac:dyDescent="0.3">
      <c r="A3029" t="s">
        <v>35</v>
      </c>
      <c r="B3029" t="s">
        <v>340</v>
      </c>
      <c r="C3029">
        <v>2213</v>
      </c>
      <c r="D3029" t="s">
        <v>198</v>
      </c>
      <c r="E3029" t="s">
        <v>108</v>
      </c>
      <c r="F3029" t="s">
        <v>127</v>
      </c>
      <c r="G3029" t="s">
        <v>1362</v>
      </c>
      <c r="H3029" t="s">
        <v>99</v>
      </c>
      <c r="I3029" t="s">
        <v>142</v>
      </c>
      <c r="J3029" t="s">
        <v>152</v>
      </c>
      <c r="K3029" t="s">
        <v>104</v>
      </c>
      <c r="L3029" t="s">
        <v>132</v>
      </c>
      <c r="M3029" t="s">
        <v>99</v>
      </c>
    </row>
    <row r="3030" spans="1:13" x14ac:dyDescent="0.3">
      <c r="A3030" t="s">
        <v>35</v>
      </c>
      <c r="B3030" t="s">
        <v>365</v>
      </c>
      <c r="C3030">
        <v>40</v>
      </c>
      <c r="D3030" t="s">
        <v>99</v>
      </c>
      <c r="E3030" t="s">
        <v>277</v>
      </c>
      <c r="F3030" t="s">
        <v>99</v>
      </c>
      <c r="G3030" t="s">
        <v>942</v>
      </c>
      <c r="H3030" t="s">
        <v>99</v>
      </c>
      <c r="I3030" t="s">
        <v>673</v>
      </c>
      <c r="J3030" t="s">
        <v>735</v>
      </c>
      <c r="K3030" t="s">
        <v>99</v>
      </c>
      <c r="L3030" t="s">
        <v>99</v>
      </c>
      <c r="M3030" t="s">
        <v>99</v>
      </c>
    </row>
    <row r="3031" spans="1:13" x14ac:dyDescent="0.3">
      <c r="A3031" t="s">
        <v>37</v>
      </c>
      <c r="B3031" t="s">
        <v>339</v>
      </c>
      <c r="C3031">
        <v>1091</v>
      </c>
      <c r="D3031" t="s">
        <v>141</v>
      </c>
      <c r="E3031" t="s">
        <v>115</v>
      </c>
      <c r="F3031" t="s">
        <v>108</v>
      </c>
      <c r="G3031" t="s">
        <v>237</v>
      </c>
      <c r="H3031" t="s">
        <v>99</v>
      </c>
      <c r="I3031" t="s">
        <v>253</v>
      </c>
      <c r="J3031" t="s">
        <v>319</v>
      </c>
      <c r="K3031" t="s">
        <v>99</v>
      </c>
      <c r="L3031" t="s">
        <v>99</v>
      </c>
      <c r="M3031" t="s">
        <v>104</v>
      </c>
    </row>
    <row r="3032" spans="1:13" x14ac:dyDescent="0.3">
      <c r="A3032" t="s">
        <v>37</v>
      </c>
      <c r="B3032" t="s">
        <v>340</v>
      </c>
      <c r="C3032">
        <v>2718</v>
      </c>
      <c r="D3032" t="s">
        <v>198</v>
      </c>
      <c r="E3032" t="s">
        <v>253</v>
      </c>
      <c r="F3032" t="s">
        <v>100</v>
      </c>
      <c r="G3032" t="s">
        <v>873</v>
      </c>
      <c r="H3032" t="s">
        <v>99</v>
      </c>
      <c r="I3032" t="s">
        <v>277</v>
      </c>
      <c r="J3032" t="s">
        <v>155</v>
      </c>
      <c r="K3032" t="s">
        <v>99</v>
      </c>
      <c r="L3032" t="s">
        <v>104</v>
      </c>
      <c r="M3032" t="s">
        <v>99</v>
      </c>
    </row>
    <row r="3033" spans="1:13" x14ac:dyDescent="0.3">
      <c r="A3033" t="s">
        <v>37</v>
      </c>
      <c r="B3033" t="s">
        <v>365</v>
      </c>
      <c r="C3033">
        <v>41</v>
      </c>
      <c r="D3033" t="s">
        <v>663</v>
      </c>
      <c r="E3033" t="s">
        <v>99</v>
      </c>
      <c r="F3033" t="s">
        <v>128</v>
      </c>
      <c r="G3033" t="s">
        <v>219</v>
      </c>
      <c r="H3033" t="s">
        <v>99</v>
      </c>
      <c r="I3033" t="s">
        <v>99</v>
      </c>
      <c r="J3033" t="s">
        <v>292</v>
      </c>
      <c r="K3033" t="s">
        <v>99</v>
      </c>
      <c r="L3033" t="s">
        <v>99</v>
      </c>
      <c r="M3033" t="s">
        <v>99</v>
      </c>
    </row>
    <row r="3034" spans="1:13" x14ac:dyDescent="0.3">
      <c r="A3034" t="s">
        <v>36</v>
      </c>
      <c r="B3034" t="s">
        <v>339</v>
      </c>
      <c r="C3034">
        <v>769</v>
      </c>
      <c r="D3034" t="s">
        <v>132</v>
      </c>
      <c r="E3034" t="s">
        <v>107</v>
      </c>
      <c r="F3034" t="s">
        <v>103</v>
      </c>
      <c r="G3034" t="s">
        <v>407</v>
      </c>
      <c r="H3034" t="s">
        <v>99</v>
      </c>
      <c r="I3034" t="s">
        <v>138</v>
      </c>
      <c r="J3034" t="s">
        <v>325</v>
      </c>
      <c r="K3034" t="s">
        <v>99</v>
      </c>
      <c r="L3034" t="s">
        <v>99</v>
      </c>
      <c r="M3034" t="s">
        <v>132</v>
      </c>
    </row>
    <row r="3035" spans="1:13" x14ac:dyDescent="0.3">
      <c r="A3035" t="s">
        <v>36</v>
      </c>
      <c r="B3035" t="s">
        <v>340</v>
      </c>
      <c r="C3035">
        <v>1469</v>
      </c>
      <c r="D3035" t="s">
        <v>108</v>
      </c>
      <c r="E3035" t="s">
        <v>292</v>
      </c>
      <c r="F3035" t="s">
        <v>120</v>
      </c>
      <c r="G3035" t="s">
        <v>869</v>
      </c>
      <c r="H3035" t="s">
        <v>99</v>
      </c>
      <c r="I3035" t="s">
        <v>722</v>
      </c>
      <c r="J3035" t="s">
        <v>251</v>
      </c>
      <c r="K3035" t="s">
        <v>104</v>
      </c>
      <c r="L3035" t="s">
        <v>104</v>
      </c>
      <c r="M3035" t="s">
        <v>104</v>
      </c>
    </row>
    <row r="3036" spans="1:13" x14ac:dyDescent="0.3">
      <c r="A3036" t="s">
        <v>36</v>
      </c>
      <c r="B3036" t="s">
        <v>365</v>
      </c>
      <c r="C3036">
        <v>63</v>
      </c>
      <c r="D3036" t="s">
        <v>99</v>
      </c>
      <c r="E3036" t="s">
        <v>108</v>
      </c>
      <c r="F3036" t="s">
        <v>38</v>
      </c>
      <c r="G3036" t="s">
        <v>1363</v>
      </c>
      <c r="H3036" t="s">
        <v>99</v>
      </c>
      <c r="I3036" t="s">
        <v>99</v>
      </c>
      <c r="J3036" t="s">
        <v>726</v>
      </c>
      <c r="K3036" t="s">
        <v>99</v>
      </c>
      <c r="L3036" t="s">
        <v>99</v>
      </c>
      <c r="M3036" t="s">
        <v>99</v>
      </c>
    </row>
    <row r="3037" spans="1:13" x14ac:dyDescent="0.3">
      <c r="A3037" t="s">
        <v>34</v>
      </c>
      <c r="B3037" t="s">
        <v>339</v>
      </c>
      <c r="C3037">
        <v>554</v>
      </c>
      <c r="D3037" t="s">
        <v>141</v>
      </c>
      <c r="E3037" t="s">
        <v>121</v>
      </c>
      <c r="F3037" t="s">
        <v>204</v>
      </c>
      <c r="G3037" t="s">
        <v>1027</v>
      </c>
      <c r="H3037" t="s">
        <v>104</v>
      </c>
      <c r="I3037" t="s">
        <v>138</v>
      </c>
      <c r="J3037" t="s">
        <v>231</v>
      </c>
      <c r="K3037" t="s">
        <v>99</v>
      </c>
      <c r="L3037" t="s">
        <v>253</v>
      </c>
      <c r="M3037" t="s">
        <v>99</v>
      </c>
    </row>
    <row r="3038" spans="1:13" x14ac:dyDescent="0.3">
      <c r="A3038" t="s">
        <v>34</v>
      </c>
      <c r="B3038" t="s">
        <v>340</v>
      </c>
      <c r="C3038">
        <v>1495</v>
      </c>
      <c r="D3038" t="s">
        <v>207</v>
      </c>
      <c r="E3038" t="s">
        <v>103</v>
      </c>
      <c r="F3038" t="s">
        <v>130</v>
      </c>
      <c r="G3038" t="s">
        <v>1364</v>
      </c>
      <c r="H3038" t="s">
        <v>141</v>
      </c>
      <c r="I3038" t="s">
        <v>70</v>
      </c>
      <c r="J3038" t="s">
        <v>305</v>
      </c>
      <c r="K3038" t="s">
        <v>198</v>
      </c>
      <c r="L3038" t="s">
        <v>99</v>
      </c>
      <c r="M3038" t="s">
        <v>99</v>
      </c>
    </row>
    <row r="3039" spans="1:13" x14ac:dyDescent="0.3">
      <c r="A3039" t="s">
        <v>34</v>
      </c>
      <c r="B3039" t="s">
        <v>365</v>
      </c>
      <c r="C3039">
        <v>28</v>
      </c>
      <c r="D3039" t="s">
        <v>99</v>
      </c>
      <c r="E3039" t="s">
        <v>138</v>
      </c>
      <c r="F3039" t="s">
        <v>125</v>
      </c>
      <c r="G3039" t="s">
        <v>1122</v>
      </c>
      <c r="H3039" t="s">
        <v>99</v>
      </c>
      <c r="I3039" t="s">
        <v>405</v>
      </c>
      <c r="J3039" t="s">
        <v>318</v>
      </c>
      <c r="K3039" t="s">
        <v>99</v>
      </c>
      <c r="L3039" t="s">
        <v>99</v>
      </c>
      <c r="M3039" t="s">
        <v>99</v>
      </c>
    </row>
    <row r="3040" spans="1:13" x14ac:dyDescent="0.3">
      <c r="A3040" t="s">
        <v>33</v>
      </c>
      <c r="B3040" t="s">
        <v>339</v>
      </c>
      <c r="C3040">
        <v>503</v>
      </c>
      <c r="D3040" t="s">
        <v>101</v>
      </c>
      <c r="E3040" t="s">
        <v>253</v>
      </c>
      <c r="F3040" t="s">
        <v>136</v>
      </c>
      <c r="G3040" t="s">
        <v>333</v>
      </c>
      <c r="H3040" t="s">
        <v>198</v>
      </c>
      <c r="I3040" t="s">
        <v>108</v>
      </c>
      <c r="J3040" t="s">
        <v>198</v>
      </c>
      <c r="K3040" t="s">
        <v>99</v>
      </c>
      <c r="L3040" t="s">
        <v>99</v>
      </c>
      <c r="M3040" t="s">
        <v>99</v>
      </c>
    </row>
    <row r="3041" spans="1:13" x14ac:dyDescent="0.3">
      <c r="A3041" t="s">
        <v>33</v>
      </c>
      <c r="B3041" t="s">
        <v>340</v>
      </c>
      <c r="C3041">
        <v>1413</v>
      </c>
      <c r="D3041" t="s">
        <v>198</v>
      </c>
      <c r="E3041" t="s">
        <v>115</v>
      </c>
      <c r="F3041" t="s">
        <v>132</v>
      </c>
      <c r="G3041" t="s">
        <v>392</v>
      </c>
      <c r="H3041" t="s">
        <v>99</v>
      </c>
      <c r="I3041" t="s">
        <v>328</v>
      </c>
      <c r="J3041" t="s">
        <v>316</v>
      </c>
      <c r="K3041" t="s">
        <v>104</v>
      </c>
      <c r="L3041" t="s">
        <v>104</v>
      </c>
      <c r="M3041" t="s">
        <v>99</v>
      </c>
    </row>
    <row r="3042" spans="1:13" x14ac:dyDescent="0.3">
      <c r="A3042" t="s">
        <v>33</v>
      </c>
      <c r="B3042" t="s">
        <v>365</v>
      </c>
      <c r="C3042">
        <v>19</v>
      </c>
      <c r="D3042" t="s">
        <v>99</v>
      </c>
      <c r="E3042" t="s">
        <v>99</v>
      </c>
      <c r="F3042" t="s">
        <v>99</v>
      </c>
      <c r="G3042" t="s">
        <v>75</v>
      </c>
      <c r="H3042" t="s">
        <v>99</v>
      </c>
      <c r="I3042" t="s">
        <v>74</v>
      </c>
      <c r="J3042" t="s">
        <v>99</v>
      </c>
      <c r="K3042" t="s">
        <v>99</v>
      </c>
      <c r="L3042" t="s">
        <v>99</v>
      </c>
      <c r="M3042" t="s">
        <v>99</v>
      </c>
    </row>
    <row r="3043" spans="1:13" x14ac:dyDescent="0.3">
      <c r="A3043" t="s">
        <v>49</v>
      </c>
      <c r="B3043" t="s">
        <v>339</v>
      </c>
      <c r="C3043">
        <v>3807</v>
      </c>
      <c r="D3043" t="s">
        <v>141</v>
      </c>
      <c r="E3043" t="s">
        <v>114</v>
      </c>
      <c r="F3043" t="s">
        <v>111</v>
      </c>
      <c r="G3043" t="s">
        <v>762</v>
      </c>
      <c r="H3043" t="s">
        <v>104</v>
      </c>
      <c r="I3043" t="s">
        <v>128</v>
      </c>
      <c r="J3043" t="s">
        <v>98</v>
      </c>
      <c r="K3043" t="s">
        <v>99</v>
      </c>
      <c r="L3043" t="s">
        <v>207</v>
      </c>
      <c r="M3043" t="s">
        <v>104</v>
      </c>
    </row>
    <row r="3044" spans="1:13" x14ac:dyDescent="0.3">
      <c r="A3044" t="s">
        <v>49</v>
      </c>
      <c r="B3044" t="s">
        <v>340</v>
      </c>
      <c r="C3044">
        <v>9308</v>
      </c>
      <c r="D3044" t="s">
        <v>207</v>
      </c>
      <c r="E3044" t="s">
        <v>121</v>
      </c>
      <c r="F3044" t="s">
        <v>123</v>
      </c>
      <c r="G3044" t="s">
        <v>1292</v>
      </c>
      <c r="H3044" t="s">
        <v>104</v>
      </c>
      <c r="I3044" t="s">
        <v>122</v>
      </c>
      <c r="J3044" t="s">
        <v>328</v>
      </c>
      <c r="K3044" t="s">
        <v>104</v>
      </c>
      <c r="L3044" t="s">
        <v>207</v>
      </c>
      <c r="M3044" t="s">
        <v>99</v>
      </c>
    </row>
    <row r="3045" spans="1:13" x14ac:dyDescent="0.3">
      <c r="A3045" t="s">
        <v>49</v>
      </c>
      <c r="B3045" t="s">
        <v>365</v>
      </c>
      <c r="C3045">
        <v>191</v>
      </c>
      <c r="D3045" t="s">
        <v>126</v>
      </c>
      <c r="E3045" t="s">
        <v>111</v>
      </c>
      <c r="F3045" t="s">
        <v>158</v>
      </c>
      <c r="G3045" t="s">
        <v>627</v>
      </c>
      <c r="H3045" t="s">
        <v>99</v>
      </c>
      <c r="I3045" t="s">
        <v>248</v>
      </c>
      <c r="J3045" t="s">
        <v>714</v>
      </c>
      <c r="K3045" t="s">
        <v>99</v>
      </c>
      <c r="L3045" t="s">
        <v>99</v>
      </c>
      <c r="M3045" t="s">
        <v>99</v>
      </c>
    </row>
    <row r="3047" spans="1:13" x14ac:dyDescent="0.3">
      <c r="A3047" t="s">
        <v>1365</v>
      </c>
    </row>
    <row r="3048" spans="1:13" x14ac:dyDescent="0.3">
      <c r="A3048" t="s">
        <v>44</v>
      </c>
      <c r="B3048" t="s">
        <v>209</v>
      </c>
      <c r="C3048" t="s">
        <v>32</v>
      </c>
      <c r="D3048" t="s">
        <v>1352</v>
      </c>
      <c r="E3048" t="s">
        <v>1354</v>
      </c>
      <c r="F3048" t="s">
        <v>1355</v>
      </c>
      <c r="G3048" t="s">
        <v>1356</v>
      </c>
      <c r="H3048" t="s">
        <v>1357</v>
      </c>
      <c r="I3048" t="s">
        <v>1358</v>
      </c>
      <c r="J3048" t="s">
        <v>1359</v>
      </c>
      <c r="K3048" t="s">
        <v>1353</v>
      </c>
      <c r="L3048" t="s">
        <v>193</v>
      </c>
      <c r="M3048" t="s">
        <v>88</v>
      </c>
    </row>
    <row r="3049" spans="1:13" x14ac:dyDescent="0.3">
      <c r="A3049" t="s">
        <v>35</v>
      </c>
      <c r="B3049" t="s">
        <v>210</v>
      </c>
      <c r="C3049">
        <v>136</v>
      </c>
      <c r="D3049" t="s">
        <v>101</v>
      </c>
      <c r="E3049" t="s">
        <v>468</v>
      </c>
      <c r="F3049" t="s">
        <v>328</v>
      </c>
      <c r="G3049" t="s">
        <v>408</v>
      </c>
      <c r="H3049" t="s">
        <v>1058</v>
      </c>
      <c r="I3049" t="s">
        <v>1057</v>
      </c>
      <c r="J3049" t="s">
        <v>99</v>
      </c>
      <c r="K3049" t="s">
        <v>99</v>
      </c>
      <c r="L3049" t="s">
        <v>99</v>
      </c>
      <c r="M3049" t="s">
        <v>136</v>
      </c>
    </row>
    <row r="3050" spans="1:13" x14ac:dyDescent="0.3">
      <c r="A3050" t="s">
        <v>35</v>
      </c>
      <c r="B3050" t="s">
        <v>212</v>
      </c>
      <c r="C3050">
        <v>2440</v>
      </c>
      <c r="D3050" t="s">
        <v>198</v>
      </c>
      <c r="E3050" t="s">
        <v>198</v>
      </c>
      <c r="F3050" t="s">
        <v>115</v>
      </c>
      <c r="G3050" t="s">
        <v>183</v>
      </c>
      <c r="H3050" t="s">
        <v>105</v>
      </c>
      <c r="I3050" t="s">
        <v>110</v>
      </c>
      <c r="J3050" t="s">
        <v>108</v>
      </c>
      <c r="K3050" t="s">
        <v>104</v>
      </c>
      <c r="L3050" t="s">
        <v>99</v>
      </c>
      <c r="M3050" t="s">
        <v>99</v>
      </c>
    </row>
    <row r="3051" spans="1:13" x14ac:dyDescent="0.3">
      <c r="A3051" t="s">
        <v>35</v>
      </c>
      <c r="B3051" t="s">
        <v>216</v>
      </c>
      <c r="C3051">
        <v>567</v>
      </c>
      <c r="D3051" t="s">
        <v>99</v>
      </c>
      <c r="E3051" t="s">
        <v>319</v>
      </c>
      <c r="F3051" t="s">
        <v>157</v>
      </c>
      <c r="G3051" t="s">
        <v>1366</v>
      </c>
      <c r="H3051" t="s">
        <v>721</v>
      </c>
      <c r="I3051" t="s">
        <v>299</v>
      </c>
      <c r="J3051" t="s">
        <v>115</v>
      </c>
      <c r="K3051" t="s">
        <v>99</v>
      </c>
      <c r="L3051" t="s">
        <v>99</v>
      </c>
      <c r="M3051" t="s">
        <v>104</v>
      </c>
    </row>
    <row r="3052" spans="1:13" x14ac:dyDescent="0.3">
      <c r="A3052" t="s">
        <v>37</v>
      </c>
      <c r="B3052" t="s">
        <v>210</v>
      </c>
      <c r="C3052">
        <v>136</v>
      </c>
      <c r="D3052" t="s">
        <v>663</v>
      </c>
      <c r="E3052" t="s">
        <v>412</v>
      </c>
      <c r="F3052" t="s">
        <v>449</v>
      </c>
      <c r="G3052" t="s">
        <v>679</v>
      </c>
      <c r="H3052" t="s">
        <v>1068</v>
      </c>
      <c r="I3052" t="s">
        <v>574</v>
      </c>
      <c r="J3052" t="s">
        <v>99</v>
      </c>
      <c r="K3052" t="s">
        <v>99</v>
      </c>
      <c r="L3052" t="s">
        <v>99</v>
      </c>
      <c r="M3052" t="s">
        <v>99</v>
      </c>
    </row>
    <row r="3053" spans="1:13" x14ac:dyDescent="0.3">
      <c r="A3053" t="s">
        <v>37</v>
      </c>
      <c r="B3053" t="s">
        <v>212</v>
      </c>
      <c r="C3053">
        <v>3603</v>
      </c>
      <c r="D3053" t="s">
        <v>104</v>
      </c>
      <c r="E3053" t="s">
        <v>136</v>
      </c>
      <c r="F3053" t="s">
        <v>253</v>
      </c>
      <c r="G3053" t="s">
        <v>375</v>
      </c>
      <c r="H3053" t="s">
        <v>292</v>
      </c>
      <c r="I3053" t="s">
        <v>126</v>
      </c>
      <c r="J3053" t="s">
        <v>99</v>
      </c>
      <c r="K3053" t="s">
        <v>99</v>
      </c>
      <c r="L3053" t="s">
        <v>99</v>
      </c>
      <c r="M3053" t="s">
        <v>99</v>
      </c>
    </row>
    <row r="3054" spans="1:13" x14ac:dyDescent="0.3">
      <c r="A3054" t="s">
        <v>37</v>
      </c>
      <c r="B3054" t="s">
        <v>216</v>
      </c>
      <c r="C3054">
        <v>111</v>
      </c>
      <c r="D3054" t="s">
        <v>99</v>
      </c>
      <c r="E3054" t="s">
        <v>253</v>
      </c>
      <c r="F3054" t="s">
        <v>99</v>
      </c>
      <c r="G3054" t="s">
        <v>205</v>
      </c>
      <c r="H3054" t="s">
        <v>296</v>
      </c>
      <c r="I3054" t="s">
        <v>712</v>
      </c>
      <c r="J3054" t="s">
        <v>99</v>
      </c>
      <c r="K3054" t="s">
        <v>99</v>
      </c>
      <c r="L3054" t="s">
        <v>99</v>
      </c>
      <c r="M3054" t="s">
        <v>99</v>
      </c>
    </row>
    <row r="3055" spans="1:13" x14ac:dyDescent="0.3">
      <c r="A3055" t="s">
        <v>36</v>
      </c>
      <c r="B3055" t="s">
        <v>210</v>
      </c>
      <c r="C3055">
        <v>164</v>
      </c>
      <c r="D3055" t="s">
        <v>112</v>
      </c>
      <c r="E3055" t="s">
        <v>663</v>
      </c>
      <c r="F3055" t="s">
        <v>254</v>
      </c>
      <c r="G3055" t="s">
        <v>372</v>
      </c>
      <c r="H3055" t="s">
        <v>525</v>
      </c>
      <c r="I3055" t="s">
        <v>1222</v>
      </c>
      <c r="J3055" t="s">
        <v>99</v>
      </c>
      <c r="K3055" t="s">
        <v>99</v>
      </c>
      <c r="L3055" t="s">
        <v>99</v>
      </c>
      <c r="M3055" t="s">
        <v>99</v>
      </c>
    </row>
    <row r="3056" spans="1:13" x14ac:dyDescent="0.3">
      <c r="A3056" t="s">
        <v>36</v>
      </c>
      <c r="B3056" t="s">
        <v>212</v>
      </c>
      <c r="C3056">
        <v>1872</v>
      </c>
      <c r="D3056" t="s">
        <v>136</v>
      </c>
      <c r="E3056" t="s">
        <v>382</v>
      </c>
      <c r="F3056" t="s">
        <v>151</v>
      </c>
      <c r="G3056" t="s">
        <v>312</v>
      </c>
      <c r="H3056" t="s">
        <v>332</v>
      </c>
      <c r="I3056" t="s">
        <v>130</v>
      </c>
      <c r="J3056" t="s">
        <v>104</v>
      </c>
      <c r="K3056" t="s">
        <v>104</v>
      </c>
      <c r="L3056" t="s">
        <v>99</v>
      </c>
      <c r="M3056" t="s">
        <v>136</v>
      </c>
    </row>
    <row r="3057" spans="1:13" x14ac:dyDescent="0.3">
      <c r="A3057" t="s">
        <v>36</v>
      </c>
      <c r="B3057" t="s">
        <v>216</v>
      </c>
      <c r="C3057">
        <v>265</v>
      </c>
      <c r="D3057" t="s">
        <v>136</v>
      </c>
      <c r="E3057" t="s">
        <v>120</v>
      </c>
      <c r="F3057" t="s">
        <v>144</v>
      </c>
      <c r="G3057" t="s">
        <v>1196</v>
      </c>
      <c r="H3057" t="s">
        <v>405</v>
      </c>
      <c r="I3057" t="s">
        <v>680</v>
      </c>
      <c r="J3057" t="s">
        <v>99</v>
      </c>
      <c r="K3057" t="s">
        <v>99</v>
      </c>
      <c r="L3057" t="s">
        <v>99</v>
      </c>
      <c r="M3057" t="s">
        <v>99</v>
      </c>
    </row>
    <row r="3058" spans="1:13" x14ac:dyDescent="0.3">
      <c r="A3058" t="s">
        <v>34</v>
      </c>
      <c r="B3058" t="s">
        <v>210</v>
      </c>
      <c r="C3058">
        <v>254</v>
      </c>
      <c r="D3058" t="s">
        <v>108</v>
      </c>
      <c r="E3058" t="s">
        <v>113</v>
      </c>
      <c r="F3058" t="s">
        <v>294</v>
      </c>
      <c r="G3058" t="s">
        <v>305</v>
      </c>
      <c r="H3058" t="s">
        <v>423</v>
      </c>
      <c r="I3058" t="s">
        <v>621</v>
      </c>
      <c r="J3058" t="s">
        <v>319</v>
      </c>
      <c r="K3058" t="s">
        <v>99</v>
      </c>
      <c r="L3058" t="s">
        <v>99</v>
      </c>
      <c r="M3058" t="s">
        <v>99</v>
      </c>
    </row>
    <row r="3059" spans="1:13" x14ac:dyDescent="0.3">
      <c r="A3059" t="s">
        <v>34</v>
      </c>
      <c r="B3059" t="s">
        <v>212</v>
      </c>
      <c r="C3059">
        <v>1581</v>
      </c>
      <c r="D3059" t="s">
        <v>198</v>
      </c>
      <c r="E3059" t="s">
        <v>115</v>
      </c>
      <c r="F3059" t="s">
        <v>111</v>
      </c>
      <c r="G3059" t="s">
        <v>354</v>
      </c>
      <c r="H3059" t="s">
        <v>111</v>
      </c>
      <c r="I3059" t="s">
        <v>111</v>
      </c>
      <c r="J3059" t="s">
        <v>99</v>
      </c>
      <c r="K3059" t="s">
        <v>104</v>
      </c>
      <c r="L3059" t="s">
        <v>136</v>
      </c>
      <c r="M3059" t="s">
        <v>99</v>
      </c>
    </row>
    <row r="3060" spans="1:13" x14ac:dyDescent="0.3">
      <c r="A3060" t="s">
        <v>34</v>
      </c>
      <c r="B3060" t="s">
        <v>216</v>
      </c>
      <c r="C3060">
        <v>242</v>
      </c>
      <c r="D3060" t="s">
        <v>253</v>
      </c>
      <c r="E3060" t="s">
        <v>319</v>
      </c>
      <c r="F3060" t="s">
        <v>296</v>
      </c>
      <c r="G3060" t="s">
        <v>455</v>
      </c>
      <c r="H3060" t="s">
        <v>152</v>
      </c>
      <c r="I3060" t="s">
        <v>714</v>
      </c>
      <c r="J3060" t="s">
        <v>99</v>
      </c>
      <c r="K3060" t="s">
        <v>99</v>
      </c>
      <c r="L3060" t="s">
        <v>108</v>
      </c>
      <c r="M3060" t="s">
        <v>99</v>
      </c>
    </row>
    <row r="3061" spans="1:13" x14ac:dyDescent="0.3">
      <c r="A3061" t="s">
        <v>33</v>
      </c>
      <c r="B3061" t="s">
        <v>210</v>
      </c>
      <c r="C3061">
        <v>67</v>
      </c>
      <c r="D3061" t="s">
        <v>142</v>
      </c>
      <c r="E3061" t="s">
        <v>420</v>
      </c>
      <c r="F3061" t="s">
        <v>731</v>
      </c>
      <c r="G3061" t="s">
        <v>416</v>
      </c>
      <c r="H3061" t="s">
        <v>698</v>
      </c>
      <c r="I3061" t="s">
        <v>705</v>
      </c>
      <c r="J3061" t="s">
        <v>100</v>
      </c>
      <c r="K3061" t="s">
        <v>99</v>
      </c>
      <c r="L3061" t="s">
        <v>99</v>
      </c>
      <c r="M3061" t="s">
        <v>99</v>
      </c>
    </row>
    <row r="3062" spans="1:13" x14ac:dyDescent="0.3">
      <c r="A3062" t="s">
        <v>33</v>
      </c>
      <c r="B3062" t="s">
        <v>212</v>
      </c>
      <c r="C3062">
        <v>1799</v>
      </c>
      <c r="D3062" t="s">
        <v>99</v>
      </c>
      <c r="E3062" t="s">
        <v>136</v>
      </c>
      <c r="F3062" t="s">
        <v>198</v>
      </c>
      <c r="G3062" t="s">
        <v>69</v>
      </c>
      <c r="H3062" t="s">
        <v>128</v>
      </c>
      <c r="I3062" t="s">
        <v>101</v>
      </c>
      <c r="J3062" t="s">
        <v>99</v>
      </c>
      <c r="K3062" t="s">
        <v>104</v>
      </c>
      <c r="L3062" t="s">
        <v>104</v>
      </c>
      <c r="M3062" t="s">
        <v>99</v>
      </c>
    </row>
    <row r="3063" spans="1:13" x14ac:dyDescent="0.3">
      <c r="A3063" t="s">
        <v>33</v>
      </c>
      <c r="B3063" t="s">
        <v>216</v>
      </c>
      <c r="C3063">
        <v>69</v>
      </c>
      <c r="D3063" t="s">
        <v>107</v>
      </c>
      <c r="E3063" t="s">
        <v>114</v>
      </c>
      <c r="F3063" t="s">
        <v>99</v>
      </c>
      <c r="G3063" t="s">
        <v>230</v>
      </c>
      <c r="H3063" t="s">
        <v>291</v>
      </c>
      <c r="I3063" t="s">
        <v>127</v>
      </c>
      <c r="J3063" t="s">
        <v>99</v>
      </c>
      <c r="K3063" t="s">
        <v>99</v>
      </c>
      <c r="L3063" t="s">
        <v>99</v>
      </c>
      <c r="M3063" t="s">
        <v>99</v>
      </c>
    </row>
    <row r="3064" spans="1:13" x14ac:dyDescent="0.3">
      <c r="A3064" t="s">
        <v>49</v>
      </c>
      <c r="B3064" t="s">
        <v>210</v>
      </c>
      <c r="C3064">
        <v>757</v>
      </c>
      <c r="D3064" t="s">
        <v>157</v>
      </c>
      <c r="E3064" t="s">
        <v>150</v>
      </c>
      <c r="F3064" t="s">
        <v>251</v>
      </c>
      <c r="G3064" t="s">
        <v>369</v>
      </c>
      <c r="H3064" t="s">
        <v>1209</v>
      </c>
      <c r="I3064" t="s">
        <v>62</v>
      </c>
      <c r="J3064" t="s">
        <v>253</v>
      </c>
      <c r="K3064" t="s">
        <v>99</v>
      </c>
      <c r="L3064" t="s">
        <v>99</v>
      </c>
      <c r="M3064" t="s">
        <v>104</v>
      </c>
    </row>
    <row r="3065" spans="1:13" x14ac:dyDescent="0.3">
      <c r="A3065" t="s">
        <v>49</v>
      </c>
      <c r="B3065" t="s">
        <v>212</v>
      </c>
      <c r="C3065">
        <v>11295</v>
      </c>
      <c r="D3065" t="s">
        <v>104</v>
      </c>
      <c r="E3065" t="s">
        <v>141</v>
      </c>
      <c r="F3065" t="s">
        <v>114</v>
      </c>
      <c r="G3065" t="s">
        <v>161</v>
      </c>
      <c r="H3065" t="s">
        <v>316</v>
      </c>
      <c r="I3065" t="s">
        <v>117</v>
      </c>
      <c r="J3065" t="s">
        <v>198</v>
      </c>
      <c r="K3065" t="s">
        <v>104</v>
      </c>
      <c r="L3065" t="s">
        <v>104</v>
      </c>
      <c r="M3065" t="s">
        <v>99</v>
      </c>
    </row>
    <row r="3066" spans="1:13" x14ac:dyDescent="0.3">
      <c r="A3066" t="s">
        <v>49</v>
      </c>
      <c r="B3066" t="s">
        <v>216</v>
      </c>
      <c r="C3066">
        <v>1254</v>
      </c>
      <c r="D3066" t="s">
        <v>207</v>
      </c>
      <c r="E3066" t="s">
        <v>126</v>
      </c>
      <c r="F3066" t="s">
        <v>434</v>
      </c>
      <c r="G3066" t="s">
        <v>1366</v>
      </c>
      <c r="H3066" t="s">
        <v>163</v>
      </c>
      <c r="I3066" t="s">
        <v>296</v>
      </c>
      <c r="J3066" t="s">
        <v>136</v>
      </c>
      <c r="K3066" t="s">
        <v>99</v>
      </c>
      <c r="L3066" t="s">
        <v>198</v>
      </c>
      <c r="M3066" t="s">
        <v>104</v>
      </c>
    </row>
    <row r="3068" spans="1:13" x14ac:dyDescent="0.3">
      <c r="A3068" t="s">
        <v>1367</v>
      </c>
    </row>
    <row r="3069" spans="1:13" x14ac:dyDescent="0.3">
      <c r="A3069" t="s">
        <v>44</v>
      </c>
      <c r="B3069" t="s">
        <v>388</v>
      </c>
      <c r="C3069" t="s">
        <v>32</v>
      </c>
      <c r="D3069" t="s">
        <v>1352</v>
      </c>
      <c r="E3069" t="s">
        <v>1353</v>
      </c>
      <c r="F3069" t="s">
        <v>1354</v>
      </c>
      <c r="G3069" t="s">
        <v>1355</v>
      </c>
      <c r="H3069" t="s">
        <v>1356</v>
      </c>
      <c r="I3069" t="s">
        <v>1357</v>
      </c>
      <c r="J3069" t="s">
        <v>1358</v>
      </c>
      <c r="K3069" t="s">
        <v>1359</v>
      </c>
      <c r="L3069" t="s">
        <v>193</v>
      </c>
      <c r="M3069" t="s">
        <v>88</v>
      </c>
    </row>
    <row r="3070" spans="1:13" x14ac:dyDescent="0.3">
      <c r="A3070" t="s">
        <v>35</v>
      </c>
      <c r="B3070" t="s">
        <v>389</v>
      </c>
      <c r="C3070">
        <v>2140</v>
      </c>
      <c r="D3070" t="s">
        <v>198</v>
      </c>
      <c r="E3070" t="s">
        <v>104</v>
      </c>
      <c r="F3070" t="s">
        <v>115</v>
      </c>
      <c r="G3070" t="s">
        <v>382</v>
      </c>
      <c r="H3070" t="s">
        <v>178</v>
      </c>
      <c r="I3070" t="s">
        <v>299</v>
      </c>
      <c r="J3070" t="s">
        <v>135</v>
      </c>
      <c r="K3070" t="s">
        <v>99</v>
      </c>
      <c r="L3070" t="s">
        <v>99</v>
      </c>
      <c r="M3070" t="s">
        <v>99</v>
      </c>
    </row>
    <row r="3071" spans="1:13" x14ac:dyDescent="0.3">
      <c r="A3071" t="s">
        <v>35</v>
      </c>
      <c r="B3071" t="s">
        <v>390</v>
      </c>
      <c r="C3071">
        <v>874</v>
      </c>
      <c r="D3071" t="s">
        <v>104</v>
      </c>
      <c r="E3071" t="s">
        <v>99</v>
      </c>
      <c r="F3071" t="s">
        <v>115</v>
      </c>
      <c r="G3071" t="s">
        <v>319</v>
      </c>
      <c r="H3071" t="s">
        <v>763</v>
      </c>
      <c r="I3071" t="s">
        <v>72</v>
      </c>
      <c r="J3071" t="s">
        <v>124</v>
      </c>
      <c r="K3071" t="s">
        <v>107</v>
      </c>
      <c r="L3071" t="s">
        <v>99</v>
      </c>
      <c r="M3071" t="s">
        <v>104</v>
      </c>
    </row>
    <row r="3072" spans="1:13" x14ac:dyDescent="0.3">
      <c r="A3072" t="s">
        <v>35</v>
      </c>
      <c r="B3072" t="s">
        <v>365</v>
      </c>
      <c r="C3072">
        <v>129</v>
      </c>
      <c r="D3072" t="s">
        <v>99</v>
      </c>
      <c r="E3072" t="s">
        <v>99</v>
      </c>
      <c r="F3072" t="s">
        <v>124</v>
      </c>
      <c r="G3072" t="s">
        <v>147</v>
      </c>
      <c r="H3072" t="s">
        <v>912</v>
      </c>
      <c r="I3072" t="s">
        <v>401</v>
      </c>
      <c r="J3072" t="s">
        <v>149</v>
      </c>
      <c r="K3072" t="s">
        <v>99</v>
      </c>
      <c r="L3072" t="s">
        <v>99</v>
      </c>
      <c r="M3072" t="s">
        <v>99</v>
      </c>
    </row>
    <row r="3073" spans="1:13" x14ac:dyDescent="0.3">
      <c r="A3073" t="s">
        <v>37</v>
      </c>
      <c r="B3073" t="s">
        <v>389</v>
      </c>
      <c r="C3073">
        <v>2301</v>
      </c>
      <c r="D3073" t="s">
        <v>207</v>
      </c>
      <c r="E3073" t="s">
        <v>99</v>
      </c>
      <c r="F3073" t="s">
        <v>253</v>
      </c>
      <c r="G3073" t="s">
        <v>114</v>
      </c>
      <c r="H3073" t="s">
        <v>203</v>
      </c>
      <c r="I3073" t="s">
        <v>332</v>
      </c>
      <c r="J3073" t="s">
        <v>120</v>
      </c>
      <c r="K3073" t="s">
        <v>99</v>
      </c>
      <c r="L3073" t="s">
        <v>99</v>
      </c>
      <c r="M3073" t="s">
        <v>99</v>
      </c>
    </row>
    <row r="3074" spans="1:13" x14ac:dyDescent="0.3">
      <c r="A3074" t="s">
        <v>37</v>
      </c>
      <c r="B3074" t="s">
        <v>390</v>
      </c>
      <c r="C3074">
        <v>1308</v>
      </c>
      <c r="D3074" t="s">
        <v>141</v>
      </c>
      <c r="E3074" t="s">
        <v>99</v>
      </c>
      <c r="F3074" t="s">
        <v>253</v>
      </c>
      <c r="G3074" t="s">
        <v>101</v>
      </c>
      <c r="H3074" t="s">
        <v>392</v>
      </c>
      <c r="I3074" t="s">
        <v>474</v>
      </c>
      <c r="J3074" t="s">
        <v>138</v>
      </c>
      <c r="K3074" t="s">
        <v>104</v>
      </c>
      <c r="L3074" t="s">
        <v>99</v>
      </c>
      <c r="M3074" t="s">
        <v>99</v>
      </c>
    </row>
    <row r="3075" spans="1:13" x14ac:dyDescent="0.3">
      <c r="A3075" t="s">
        <v>37</v>
      </c>
      <c r="B3075" t="s">
        <v>365</v>
      </c>
      <c r="C3075">
        <v>241</v>
      </c>
      <c r="D3075" t="s">
        <v>198</v>
      </c>
      <c r="E3075" t="s">
        <v>99</v>
      </c>
      <c r="F3075" t="s">
        <v>114</v>
      </c>
      <c r="G3075" t="s">
        <v>115</v>
      </c>
      <c r="H3075" t="s">
        <v>358</v>
      </c>
      <c r="I3075" t="s">
        <v>147</v>
      </c>
      <c r="J3075" t="s">
        <v>132</v>
      </c>
      <c r="K3075" t="s">
        <v>99</v>
      </c>
      <c r="L3075" t="s">
        <v>99</v>
      </c>
      <c r="M3075" t="s">
        <v>99</v>
      </c>
    </row>
    <row r="3076" spans="1:13" x14ac:dyDescent="0.3">
      <c r="A3076" t="s">
        <v>36</v>
      </c>
      <c r="B3076" t="s">
        <v>389</v>
      </c>
      <c r="C3076">
        <v>1575</v>
      </c>
      <c r="D3076" t="s">
        <v>121</v>
      </c>
      <c r="E3076" t="s">
        <v>104</v>
      </c>
      <c r="F3076" t="s">
        <v>127</v>
      </c>
      <c r="G3076" t="s">
        <v>154</v>
      </c>
      <c r="H3076" t="s">
        <v>424</v>
      </c>
      <c r="I3076" t="s">
        <v>70</v>
      </c>
      <c r="J3076" t="s">
        <v>72</v>
      </c>
      <c r="K3076" t="s">
        <v>104</v>
      </c>
      <c r="L3076" t="s">
        <v>99</v>
      </c>
      <c r="M3076" t="s">
        <v>99</v>
      </c>
    </row>
    <row r="3077" spans="1:13" x14ac:dyDescent="0.3">
      <c r="A3077" t="s">
        <v>36</v>
      </c>
      <c r="B3077" t="s">
        <v>390</v>
      </c>
      <c r="C3077">
        <v>626</v>
      </c>
      <c r="D3077" t="s">
        <v>198</v>
      </c>
      <c r="E3077" t="s">
        <v>99</v>
      </c>
      <c r="F3077" t="s">
        <v>117</v>
      </c>
      <c r="G3077" t="s">
        <v>127</v>
      </c>
      <c r="H3077" t="s">
        <v>509</v>
      </c>
      <c r="I3077" t="s">
        <v>204</v>
      </c>
      <c r="J3077" t="s">
        <v>722</v>
      </c>
      <c r="K3077" t="s">
        <v>99</v>
      </c>
      <c r="L3077" t="s">
        <v>99</v>
      </c>
      <c r="M3077" t="s">
        <v>121</v>
      </c>
    </row>
    <row r="3078" spans="1:13" x14ac:dyDescent="0.3">
      <c r="A3078" t="s">
        <v>36</v>
      </c>
      <c r="B3078" t="s">
        <v>365</v>
      </c>
      <c r="C3078">
        <v>100</v>
      </c>
      <c r="D3078" t="s">
        <v>99</v>
      </c>
      <c r="E3078" t="s">
        <v>99</v>
      </c>
      <c r="F3078" t="s">
        <v>353</v>
      </c>
      <c r="G3078" t="s">
        <v>111</v>
      </c>
      <c r="H3078" t="s">
        <v>520</v>
      </c>
      <c r="I3078" t="s">
        <v>405</v>
      </c>
      <c r="J3078" t="s">
        <v>78</v>
      </c>
      <c r="K3078" t="s">
        <v>104</v>
      </c>
      <c r="L3078" t="s">
        <v>99</v>
      </c>
      <c r="M3078" t="s">
        <v>99</v>
      </c>
    </row>
    <row r="3079" spans="1:13" x14ac:dyDescent="0.3">
      <c r="A3079" t="s">
        <v>34</v>
      </c>
      <c r="B3079" t="s">
        <v>389</v>
      </c>
      <c r="C3079">
        <v>1382</v>
      </c>
      <c r="D3079" t="s">
        <v>141</v>
      </c>
      <c r="E3079" t="s">
        <v>104</v>
      </c>
      <c r="F3079" t="s">
        <v>268</v>
      </c>
      <c r="G3079" t="s">
        <v>68</v>
      </c>
      <c r="H3079" t="s">
        <v>239</v>
      </c>
      <c r="I3079" t="s">
        <v>135</v>
      </c>
      <c r="J3079" t="s">
        <v>165</v>
      </c>
      <c r="K3079" t="s">
        <v>207</v>
      </c>
      <c r="L3079" t="s">
        <v>253</v>
      </c>
      <c r="M3079" t="s">
        <v>99</v>
      </c>
    </row>
    <row r="3080" spans="1:13" x14ac:dyDescent="0.3">
      <c r="A3080" t="s">
        <v>34</v>
      </c>
      <c r="B3080" t="s">
        <v>390</v>
      </c>
      <c r="C3080">
        <v>615</v>
      </c>
      <c r="D3080" t="s">
        <v>104</v>
      </c>
      <c r="E3080" t="s">
        <v>99</v>
      </c>
      <c r="F3080" t="s">
        <v>126</v>
      </c>
      <c r="G3080" t="s">
        <v>412</v>
      </c>
      <c r="H3080" t="s">
        <v>1023</v>
      </c>
      <c r="I3080" t="s">
        <v>434</v>
      </c>
      <c r="J3080" t="s">
        <v>41</v>
      </c>
      <c r="K3080" t="s">
        <v>99</v>
      </c>
      <c r="L3080" t="s">
        <v>99</v>
      </c>
      <c r="M3080" t="s">
        <v>99</v>
      </c>
    </row>
    <row r="3081" spans="1:13" x14ac:dyDescent="0.3">
      <c r="A3081" t="s">
        <v>34</v>
      </c>
      <c r="B3081" t="s">
        <v>365</v>
      </c>
      <c r="C3081">
        <v>80</v>
      </c>
      <c r="D3081" t="s">
        <v>99</v>
      </c>
      <c r="E3081" t="s">
        <v>99</v>
      </c>
      <c r="F3081" t="s">
        <v>117</v>
      </c>
      <c r="G3081" t="s">
        <v>105</v>
      </c>
      <c r="H3081" t="s">
        <v>1368</v>
      </c>
      <c r="I3081" t="s">
        <v>289</v>
      </c>
      <c r="J3081" t="s">
        <v>197</v>
      </c>
      <c r="K3081" t="s">
        <v>99</v>
      </c>
      <c r="L3081" t="s">
        <v>99</v>
      </c>
      <c r="M3081" t="s">
        <v>99</v>
      </c>
    </row>
    <row r="3082" spans="1:13" x14ac:dyDescent="0.3">
      <c r="A3082" t="s">
        <v>33</v>
      </c>
      <c r="B3082" t="s">
        <v>389</v>
      </c>
      <c r="C3082">
        <v>1089</v>
      </c>
      <c r="D3082" t="s">
        <v>253</v>
      </c>
      <c r="E3082" t="s">
        <v>104</v>
      </c>
      <c r="F3082" t="s">
        <v>141</v>
      </c>
      <c r="G3082" t="s">
        <v>132</v>
      </c>
      <c r="H3082" t="s">
        <v>73</v>
      </c>
      <c r="I3082" t="s">
        <v>242</v>
      </c>
      <c r="J3082" t="s">
        <v>382</v>
      </c>
      <c r="K3082" t="s">
        <v>104</v>
      </c>
      <c r="L3082" t="s">
        <v>99</v>
      </c>
      <c r="M3082" t="s">
        <v>99</v>
      </c>
    </row>
    <row r="3083" spans="1:13" x14ac:dyDescent="0.3">
      <c r="A3083" t="s">
        <v>33</v>
      </c>
      <c r="B3083" t="s">
        <v>390</v>
      </c>
      <c r="C3083">
        <v>707</v>
      </c>
      <c r="D3083" t="s">
        <v>207</v>
      </c>
      <c r="E3083" t="s">
        <v>99</v>
      </c>
      <c r="F3083" t="s">
        <v>115</v>
      </c>
      <c r="G3083" t="s">
        <v>115</v>
      </c>
      <c r="H3083" t="s">
        <v>421</v>
      </c>
      <c r="I3083" t="s">
        <v>712</v>
      </c>
      <c r="J3083" t="s">
        <v>128</v>
      </c>
      <c r="K3083" t="s">
        <v>104</v>
      </c>
      <c r="L3083" t="s">
        <v>198</v>
      </c>
      <c r="M3083" t="s">
        <v>99</v>
      </c>
    </row>
    <row r="3084" spans="1:13" x14ac:dyDescent="0.3">
      <c r="A3084" t="s">
        <v>33</v>
      </c>
      <c r="B3084" t="s">
        <v>365</v>
      </c>
      <c r="C3084">
        <v>139</v>
      </c>
      <c r="D3084" t="s">
        <v>99</v>
      </c>
      <c r="E3084" t="s">
        <v>99</v>
      </c>
      <c r="F3084" t="s">
        <v>151</v>
      </c>
      <c r="G3084" t="s">
        <v>99</v>
      </c>
      <c r="H3084" t="s">
        <v>780</v>
      </c>
      <c r="I3084" t="s">
        <v>115</v>
      </c>
      <c r="J3084" t="s">
        <v>99</v>
      </c>
      <c r="K3084" t="s">
        <v>99</v>
      </c>
      <c r="L3084" t="s">
        <v>99</v>
      </c>
      <c r="M3084" t="s">
        <v>99</v>
      </c>
    </row>
    <row r="3085" spans="1:13" x14ac:dyDescent="0.3">
      <c r="A3085" t="s">
        <v>49</v>
      </c>
      <c r="B3085" t="s">
        <v>389</v>
      </c>
      <c r="C3085">
        <v>8487</v>
      </c>
      <c r="D3085" t="s">
        <v>136</v>
      </c>
      <c r="E3085" t="s">
        <v>104</v>
      </c>
      <c r="F3085" t="s">
        <v>100</v>
      </c>
      <c r="G3085" t="s">
        <v>111</v>
      </c>
      <c r="H3085" t="s">
        <v>443</v>
      </c>
      <c r="I3085" t="s">
        <v>74</v>
      </c>
      <c r="J3085" t="s">
        <v>144</v>
      </c>
      <c r="K3085" t="s">
        <v>104</v>
      </c>
      <c r="L3085" t="s">
        <v>104</v>
      </c>
      <c r="M3085" t="s">
        <v>99</v>
      </c>
    </row>
    <row r="3086" spans="1:13" x14ac:dyDescent="0.3">
      <c r="A3086" t="s">
        <v>49</v>
      </c>
      <c r="B3086" t="s">
        <v>390</v>
      </c>
      <c r="C3086">
        <v>4130</v>
      </c>
      <c r="D3086" t="s">
        <v>207</v>
      </c>
      <c r="E3086" t="s">
        <v>99</v>
      </c>
      <c r="F3086" t="s">
        <v>108</v>
      </c>
      <c r="G3086" t="s">
        <v>123</v>
      </c>
      <c r="H3086" t="s">
        <v>1135</v>
      </c>
      <c r="I3086" t="s">
        <v>124</v>
      </c>
      <c r="J3086" t="s">
        <v>684</v>
      </c>
      <c r="K3086" t="s">
        <v>132</v>
      </c>
      <c r="L3086" t="s">
        <v>99</v>
      </c>
      <c r="M3086" t="s">
        <v>104</v>
      </c>
    </row>
    <row r="3087" spans="1:13" x14ac:dyDescent="0.3">
      <c r="A3087" t="s">
        <v>49</v>
      </c>
      <c r="B3087" t="s">
        <v>365</v>
      </c>
      <c r="C3087">
        <v>689</v>
      </c>
      <c r="D3087" t="s">
        <v>104</v>
      </c>
      <c r="E3087" t="s">
        <v>99</v>
      </c>
      <c r="F3087" t="s">
        <v>157</v>
      </c>
      <c r="G3087" t="s">
        <v>382</v>
      </c>
      <c r="H3087" t="s">
        <v>320</v>
      </c>
      <c r="I3087" t="s">
        <v>124</v>
      </c>
      <c r="J3087" t="s">
        <v>412</v>
      </c>
      <c r="K3087" t="s">
        <v>99</v>
      </c>
      <c r="L3087" t="s">
        <v>99</v>
      </c>
      <c r="M3087" t="s">
        <v>99</v>
      </c>
    </row>
    <row r="3089" spans="1:13" x14ac:dyDescent="0.3">
      <c r="A3089" t="s">
        <v>1369</v>
      </c>
    </row>
    <row r="3090" spans="1:13" x14ac:dyDescent="0.3">
      <c r="A3090" t="s">
        <v>44</v>
      </c>
      <c r="B3090" t="s">
        <v>235</v>
      </c>
      <c r="C3090" t="s">
        <v>32</v>
      </c>
      <c r="D3090" t="s">
        <v>1352</v>
      </c>
      <c r="E3090" t="s">
        <v>1353</v>
      </c>
      <c r="F3090" t="s">
        <v>1354</v>
      </c>
      <c r="G3090" t="s">
        <v>1355</v>
      </c>
      <c r="H3090" t="s">
        <v>1356</v>
      </c>
      <c r="I3090" t="s">
        <v>1357</v>
      </c>
      <c r="J3090" t="s">
        <v>1358</v>
      </c>
      <c r="K3090" t="s">
        <v>1359</v>
      </c>
      <c r="L3090" t="s">
        <v>193</v>
      </c>
      <c r="M3090" t="s">
        <v>88</v>
      </c>
    </row>
    <row r="3091" spans="1:13" x14ac:dyDescent="0.3">
      <c r="A3091" t="s">
        <v>35</v>
      </c>
      <c r="B3091" t="s">
        <v>236</v>
      </c>
      <c r="C3091">
        <v>1609</v>
      </c>
      <c r="D3091" t="s">
        <v>198</v>
      </c>
      <c r="E3091" t="s">
        <v>99</v>
      </c>
      <c r="F3091" t="s">
        <v>141</v>
      </c>
      <c r="G3091" t="s">
        <v>101</v>
      </c>
      <c r="H3091" t="s">
        <v>419</v>
      </c>
      <c r="I3091" t="s">
        <v>127</v>
      </c>
      <c r="J3091" t="s">
        <v>110</v>
      </c>
      <c r="K3091" t="s">
        <v>104</v>
      </c>
      <c r="L3091" t="s">
        <v>99</v>
      </c>
      <c r="M3091" t="s">
        <v>104</v>
      </c>
    </row>
    <row r="3092" spans="1:13" x14ac:dyDescent="0.3">
      <c r="A3092" t="s">
        <v>35</v>
      </c>
      <c r="B3092" t="s">
        <v>238</v>
      </c>
      <c r="C3092">
        <v>1534</v>
      </c>
      <c r="D3092" t="s">
        <v>198</v>
      </c>
      <c r="E3092" t="s">
        <v>104</v>
      </c>
      <c r="F3092" t="s">
        <v>114</v>
      </c>
      <c r="G3092" t="s">
        <v>215</v>
      </c>
      <c r="H3092" t="s">
        <v>901</v>
      </c>
      <c r="I3092" t="s">
        <v>311</v>
      </c>
      <c r="J3092" t="s">
        <v>122</v>
      </c>
      <c r="K3092" t="s">
        <v>100</v>
      </c>
      <c r="L3092" t="s">
        <v>99</v>
      </c>
      <c r="M3092" t="s">
        <v>99</v>
      </c>
    </row>
    <row r="3093" spans="1:13" x14ac:dyDescent="0.3">
      <c r="A3093" t="s">
        <v>37</v>
      </c>
      <c r="B3093" t="s">
        <v>236</v>
      </c>
      <c r="C3093">
        <v>2209</v>
      </c>
      <c r="D3093" t="s">
        <v>198</v>
      </c>
      <c r="E3093" t="s">
        <v>99</v>
      </c>
      <c r="F3093" t="s">
        <v>132</v>
      </c>
      <c r="G3093" t="s">
        <v>121</v>
      </c>
      <c r="H3093" t="s">
        <v>779</v>
      </c>
      <c r="I3093" t="s">
        <v>207</v>
      </c>
      <c r="J3093" t="s">
        <v>101</v>
      </c>
      <c r="K3093" t="s">
        <v>99</v>
      </c>
      <c r="L3093" t="s">
        <v>99</v>
      </c>
      <c r="M3093" t="s">
        <v>99</v>
      </c>
    </row>
    <row r="3094" spans="1:13" x14ac:dyDescent="0.3">
      <c r="A3094" t="s">
        <v>37</v>
      </c>
      <c r="B3094" t="s">
        <v>238</v>
      </c>
      <c r="C3094">
        <v>1641</v>
      </c>
      <c r="D3094" t="s">
        <v>253</v>
      </c>
      <c r="E3094" t="s">
        <v>99</v>
      </c>
      <c r="F3094" t="s">
        <v>136</v>
      </c>
      <c r="G3094" t="s">
        <v>114</v>
      </c>
      <c r="H3094" t="s">
        <v>612</v>
      </c>
      <c r="I3094" t="s">
        <v>305</v>
      </c>
      <c r="J3094" t="s">
        <v>242</v>
      </c>
      <c r="K3094" t="s">
        <v>99</v>
      </c>
      <c r="L3094" t="s">
        <v>99</v>
      </c>
      <c r="M3094" t="s">
        <v>104</v>
      </c>
    </row>
    <row r="3095" spans="1:13" x14ac:dyDescent="0.3">
      <c r="A3095" t="s">
        <v>36</v>
      </c>
      <c r="B3095" t="s">
        <v>236</v>
      </c>
      <c r="C3095">
        <v>1562</v>
      </c>
      <c r="D3095" t="s">
        <v>198</v>
      </c>
      <c r="E3095" t="s">
        <v>99</v>
      </c>
      <c r="F3095" t="s">
        <v>215</v>
      </c>
      <c r="G3095" t="s">
        <v>434</v>
      </c>
      <c r="H3095" t="s">
        <v>430</v>
      </c>
      <c r="I3095" t="s">
        <v>292</v>
      </c>
      <c r="J3095" t="s">
        <v>98</v>
      </c>
      <c r="K3095" t="s">
        <v>104</v>
      </c>
      <c r="L3095" t="s">
        <v>99</v>
      </c>
      <c r="M3095" t="s">
        <v>99</v>
      </c>
    </row>
    <row r="3096" spans="1:13" x14ac:dyDescent="0.3">
      <c r="A3096" t="s">
        <v>36</v>
      </c>
      <c r="B3096" t="s">
        <v>238</v>
      </c>
      <c r="C3096">
        <v>739</v>
      </c>
      <c r="D3096" t="s">
        <v>101</v>
      </c>
      <c r="E3096" t="s">
        <v>104</v>
      </c>
      <c r="F3096" t="s">
        <v>120</v>
      </c>
      <c r="G3096" t="s">
        <v>292</v>
      </c>
      <c r="H3096" t="s">
        <v>428</v>
      </c>
      <c r="I3096" t="s">
        <v>311</v>
      </c>
      <c r="J3096" t="s">
        <v>291</v>
      </c>
      <c r="K3096" t="s">
        <v>99</v>
      </c>
      <c r="L3096" t="s">
        <v>99</v>
      </c>
      <c r="M3096" t="s">
        <v>253</v>
      </c>
    </row>
    <row r="3097" spans="1:13" x14ac:dyDescent="0.3">
      <c r="A3097" t="s">
        <v>34</v>
      </c>
      <c r="B3097" t="s">
        <v>236</v>
      </c>
      <c r="C3097">
        <v>715</v>
      </c>
      <c r="D3097" t="s">
        <v>99</v>
      </c>
      <c r="E3097" t="s">
        <v>99</v>
      </c>
      <c r="F3097" t="s">
        <v>111</v>
      </c>
      <c r="G3097" t="s">
        <v>663</v>
      </c>
      <c r="H3097" t="s">
        <v>469</v>
      </c>
      <c r="I3097" t="s">
        <v>268</v>
      </c>
      <c r="J3097" t="s">
        <v>242</v>
      </c>
      <c r="K3097" t="s">
        <v>136</v>
      </c>
      <c r="L3097" t="s">
        <v>99</v>
      </c>
      <c r="M3097" t="s">
        <v>99</v>
      </c>
    </row>
    <row r="3098" spans="1:13" x14ac:dyDescent="0.3">
      <c r="A3098" t="s">
        <v>34</v>
      </c>
      <c r="B3098" t="s">
        <v>238</v>
      </c>
      <c r="C3098">
        <v>1362</v>
      </c>
      <c r="D3098" t="s">
        <v>141</v>
      </c>
      <c r="E3098" t="s">
        <v>104</v>
      </c>
      <c r="F3098" t="s">
        <v>151</v>
      </c>
      <c r="G3098" t="s">
        <v>129</v>
      </c>
      <c r="H3098" t="s">
        <v>1370</v>
      </c>
      <c r="I3098" t="s">
        <v>353</v>
      </c>
      <c r="J3098" t="s">
        <v>368</v>
      </c>
      <c r="K3098" t="s">
        <v>104</v>
      </c>
      <c r="L3098" t="s">
        <v>253</v>
      </c>
      <c r="M3098" t="s">
        <v>99</v>
      </c>
    </row>
    <row r="3099" spans="1:13" x14ac:dyDescent="0.3">
      <c r="A3099" t="s">
        <v>33</v>
      </c>
      <c r="B3099" t="s">
        <v>236</v>
      </c>
      <c r="C3099">
        <v>1115</v>
      </c>
      <c r="D3099" t="s">
        <v>136</v>
      </c>
      <c r="E3099" t="s">
        <v>104</v>
      </c>
      <c r="F3099" t="s">
        <v>108</v>
      </c>
      <c r="G3099" t="s">
        <v>115</v>
      </c>
      <c r="H3099" t="s">
        <v>1017</v>
      </c>
      <c r="I3099" t="s">
        <v>132</v>
      </c>
      <c r="J3099" t="s">
        <v>121</v>
      </c>
      <c r="K3099" t="s">
        <v>198</v>
      </c>
      <c r="L3099" t="s">
        <v>99</v>
      </c>
      <c r="M3099" t="s">
        <v>99</v>
      </c>
    </row>
    <row r="3100" spans="1:13" x14ac:dyDescent="0.3">
      <c r="A3100" t="s">
        <v>33</v>
      </c>
      <c r="B3100" t="s">
        <v>238</v>
      </c>
      <c r="C3100">
        <v>820</v>
      </c>
      <c r="D3100" t="s">
        <v>141</v>
      </c>
      <c r="E3100" t="s">
        <v>99</v>
      </c>
      <c r="F3100" t="s">
        <v>136</v>
      </c>
      <c r="G3100" t="s">
        <v>115</v>
      </c>
      <c r="H3100" t="s">
        <v>1007</v>
      </c>
      <c r="I3100" t="s">
        <v>299</v>
      </c>
      <c r="J3100" t="s">
        <v>316</v>
      </c>
      <c r="K3100" t="s">
        <v>99</v>
      </c>
      <c r="L3100" t="s">
        <v>104</v>
      </c>
      <c r="M3100" t="s">
        <v>99</v>
      </c>
    </row>
    <row r="3101" spans="1:13" x14ac:dyDescent="0.3">
      <c r="A3101" t="s">
        <v>49</v>
      </c>
      <c r="B3101" t="s">
        <v>236</v>
      </c>
      <c r="C3101">
        <v>7210</v>
      </c>
      <c r="D3101" t="s">
        <v>198</v>
      </c>
      <c r="E3101" t="s">
        <v>99</v>
      </c>
      <c r="F3101" t="s">
        <v>114</v>
      </c>
      <c r="G3101" t="s">
        <v>292</v>
      </c>
      <c r="H3101" t="s">
        <v>329</v>
      </c>
      <c r="I3101" t="s">
        <v>100</v>
      </c>
      <c r="J3101" t="s">
        <v>128</v>
      </c>
      <c r="K3101" t="s">
        <v>104</v>
      </c>
      <c r="L3101" t="s">
        <v>99</v>
      </c>
      <c r="M3101" t="s">
        <v>99</v>
      </c>
    </row>
    <row r="3102" spans="1:13" x14ac:dyDescent="0.3">
      <c r="A3102" t="s">
        <v>49</v>
      </c>
      <c r="B3102" t="s">
        <v>238</v>
      </c>
      <c r="C3102">
        <v>6096</v>
      </c>
      <c r="D3102" t="s">
        <v>141</v>
      </c>
      <c r="E3102" t="s">
        <v>104</v>
      </c>
      <c r="F3102" t="s">
        <v>121</v>
      </c>
      <c r="G3102" t="s">
        <v>151</v>
      </c>
      <c r="H3102" t="s">
        <v>436</v>
      </c>
      <c r="I3102" t="s">
        <v>142</v>
      </c>
      <c r="J3102" t="s">
        <v>353</v>
      </c>
      <c r="K3102" t="s">
        <v>136</v>
      </c>
      <c r="L3102" t="s">
        <v>198</v>
      </c>
      <c r="M3102" t="s">
        <v>104</v>
      </c>
    </row>
    <row r="3104" spans="1:13" x14ac:dyDescent="0.3">
      <c r="A3104" t="s">
        <v>1371</v>
      </c>
    </row>
    <row r="3105" spans="1:14" x14ac:dyDescent="0.3">
      <c r="A3105" t="s">
        <v>44</v>
      </c>
      <c r="B3105" t="s">
        <v>32</v>
      </c>
      <c r="C3105" t="s">
        <v>1372</v>
      </c>
      <c r="D3105" t="s">
        <v>1373</v>
      </c>
      <c r="E3105" t="s">
        <v>1374</v>
      </c>
      <c r="F3105" t="s">
        <v>1375</v>
      </c>
      <c r="G3105" t="s">
        <v>1353</v>
      </c>
      <c r="H3105" t="s">
        <v>1376</v>
      </c>
      <c r="I3105" t="s">
        <v>1377</v>
      </c>
      <c r="J3105" t="s">
        <v>1378</v>
      </c>
      <c r="K3105" t="s">
        <v>1379</v>
      </c>
      <c r="L3105" t="s">
        <v>1380</v>
      </c>
      <c r="M3105" t="s">
        <v>88</v>
      </c>
    </row>
    <row r="3106" spans="1:14" x14ac:dyDescent="0.3">
      <c r="A3106" t="s">
        <v>35</v>
      </c>
      <c r="B3106">
        <v>3143</v>
      </c>
      <c r="C3106" t="s">
        <v>99</v>
      </c>
      <c r="D3106" t="s">
        <v>1214</v>
      </c>
      <c r="E3106" t="s">
        <v>673</v>
      </c>
      <c r="F3106" t="s">
        <v>104</v>
      </c>
      <c r="G3106" t="s">
        <v>207</v>
      </c>
      <c r="H3106" t="s">
        <v>328</v>
      </c>
      <c r="I3106" t="s">
        <v>167</v>
      </c>
      <c r="J3106" t="s">
        <v>136</v>
      </c>
      <c r="K3106" t="s">
        <v>749</v>
      </c>
      <c r="L3106" t="s">
        <v>99</v>
      </c>
      <c r="M3106" t="s">
        <v>99</v>
      </c>
    </row>
    <row r="3107" spans="1:14" x14ac:dyDescent="0.3">
      <c r="A3107" t="s">
        <v>37</v>
      </c>
      <c r="B3107">
        <v>3855</v>
      </c>
      <c r="C3107" t="s">
        <v>198</v>
      </c>
      <c r="D3107" t="s">
        <v>393</v>
      </c>
      <c r="E3107" t="s">
        <v>691</v>
      </c>
      <c r="F3107" t="s">
        <v>104</v>
      </c>
      <c r="G3107" t="s">
        <v>104</v>
      </c>
      <c r="H3107" t="s">
        <v>117</v>
      </c>
      <c r="I3107" t="s">
        <v>681</v>
      </c>
      <c r="J3107" t="s">
        <v>198</v>
      </c>
      <c r="K3107" t="s">
        <v>719</v>
      </c>
      <c r="L3107" t="s">
        <v>99</v>
      </c>
      <c r="M3107" t="s">
        <v>99</v>
      </c>
    </row>
    <row r="3108" spans="1:14" x14ac:dyDescent="0.3">
      <c r="A3108" t="s">
        <v>36</v>
      </c>
      <c r="B3108">
        <v>2300</v>
      </c>
      <c r="C3108" t="s">
        <v>253</v>
      </c>
      <c r="D3108" t="s">
        <v>864</v>
      </c>
      <c r="E3108" t="s">
        <v>747</v>
      </c>
      <c r="F3108" t="s">
        <v>316</v>
      </c>
      <c r="G3108" t="s">
        <v>207</v>
      </c>
      <c r="H3108" t="s">
        <v>248</v>
      </c>
      <c r="I3108" t="s">
        <v>264</v>
      </c>
      <c r="J3108" t="s">
        <v>100</v>
      </c>
      <c r="K3108" t="s">
        <v>341</v>
      </c>
      <c r="L3108" t="s">
        <v>198</v>
      </c>
      <c r="M3108" t="s">
        <v>99</v>
      </c>
    </row>
    <row r="3109" spans="1:14" x14ac:dyDescent="0.3">
      <c r="A3109" t="s">
        <v>34</v>
      </c>
      <c r="B3109">
        <v>2074</v>
      </c>
      <c r="C3109" t="s">
        <v>253</v>
      </c>
      <c r="D3109" t="s">
        <v>116</v>
      </c>
      <c r="E3109" t="s">
        <v>805</v>
      </c>
      <c r="F3109" t="s">
        <v>100</v>
      </c>
      <c r="G3109" t="s">
        <v>207</v>
      </c>
      <c r="H3109" t="s">
        <v>145</v>
      </c>
      <c r="I3109" t="s">
        <v>406</v>
      </c>
      <c r="J3109" t="s">
        <v>115</v>
      </c>
      <c r="K3109" t="s">
        <v>747</v>
      </c>
      <c r="L3109" t="s">
        <v>104</v>
      </c>
      <c r="M3109" t="s">
        <v>99</v>
      </c>
    </row>
    <row r="3110" spans="1:14" x14ac:dyDescent="0.3">
      <c r="A3110" t="s">
        <v>33</v>
      </c>
      <c r="B3110">
        <v>1937</v>
      </c>
      <c r="C3110" t="s">
        <v>99</v>
      </c>
      <c r="D3110" t="s">
        <v>186</v>
      </c>
      <c r="E3110" t="s">
        <v>701</v>
      </c>
      <c r="F3110" t="s">
        <v>198</v>
      </c>
      <c r="G3110" t="s">
        <v>104</v>
      </c>
      <c r="H3110" t="s">
        <v>68</v>
      </c>
      <c r="I3110" t="s">
        <v>40</v>
      </c>
      <c r="J3110" t="s">
        <v>207</v>
      </c>
      <c r="K3110" t="s">
        <v>283</v>
      </c>
      <c r="L3110" t="s">
        <v>99</v>
      </c>
      <c r="M3110" t="s">
        <v>99</v>
      </c>
    </row>
    <row r="3111" spans="1:14" x14ac:dyDescent="0.3">
      <c r="A3111" t="s">
        <v>49</v>
      </c>
      <c r="B3111">
        <v>13309</v>
      </c>
      <c r="C3111" t="s">
        <v>198</v>
      </c>
      <c r="D3111" t="s">
        <v>1053</v>
      </c>
      <c r="E3111" t="s">
        <v>410</v>
      </c>
      <c r="F3111" t="s">
        <v>141</v>
      </c>
      <c r="G3111" t="s">
        <v>198</v>
      </c>
      <c r="H3111" t="s">
        <v>412</v>
      </c>
      <c r="I3111" t="s">
        <v>131</v>
      </c>
      <c r="J3111" t="s">
        <v>136</v>
      </c>
      <c r="K3111" t="s">
        <v>519</v>
      </c>
      <c r="L3111" t="s">
        <v>99</v>
      </c>
      <c r="M3111" t="s">
        <v>99</v>
      </c>
    </row>
    <row r="3113" spans="1:14" x14ac:dyDescent="0.3">
      <c r="A3113" t="s">
        <v>1381</v>
      </c>
    </row>
    <row r="3114" spans="1:14" x14ac:dyDescent="0.3">
      <c r="A3114" t="s">
        <v>44</v>
      </c>
      <c r="B3114" t="s">
        <v>361</v>
      </c>
      <c r="C3114" t="s">
        <v>32</v>
      </c>
      <c r="D3114" t="s">
        <v>1373</v>
      </c>
      <c r="E3114" t="s">
        <v>1374</v>
      </c>
      <c r="F3114" t="s">
        <v>1376</v>
      </c>
      <c r="G3114" t="s">
        <v>1377</v>
      </c>
      <c r="H3114" t="s">
        <v>1378</v>
      </c>
      <c r="I3114" t="s">
        <v>1379</v>
      </c>
      <c r="J3114" t="s">
        <v>1372</v>
      </c>
      <c r="K3114" t="s">
        <v>1375</v>
      </c>
      <c r="L3114" t="s">
        <v>1353</v>
      </c>
      <c r="M3114" t="s">
        <v>1380</v>
      </c>
      <c r="N3114" t="s">
        <v>88</v>
      </c>
    </row>
    <row r="3115" spans="1:14" x14ac:dyDescent="0.3">
      <c r="A3115" t="s">
        <v>35</v>
      </c>
      <c r="B3115" t="s">
        <v>339</v>
      </c>
      <c r="C3115">
        <v>890</v>
      </c>
      <c r="D3115" t="s">
        <v>527</v>
      </c>
      <c r="E3115" t="s">
        <v>432</v>
      </c>
      <c r="F3115" t="s">
        <v>123</v>
      </c>
      <c r="G3115" t="s">
        <v>244</v>
      </c>
      <c r="H3115" t="s">
        <v>198</v>
      </c>
      <c r="I3115" t="s">
        <v>240</v>
      </c>
      <c r="J3115" t="s">
        <v>99</v>
      </c>
      <c r="K3115" t="s">
        <v>198</v>
      </c>
      <c r="L3115" t="s">
        <v>104</v>
      </c>
      <c r="M3115" t="s">
        <v>99</v>
      </c>
      <c r="N3115" t="s">
        <v>99</v>
      </c>
    </row>
    <row r="3116" spans="1:14" x14ac:dyDescent="0.3">
      <c r="A3116" t="s">
        <v>35</v>
      </c>
      <c r="B3116" t="s">
        <v>340</v>
      </c>
      <c r="C3116">
        <v>2213</v>
      </c>
      <c r="D3116" t="s">
        <v>662</v>
      </c>
      <c r="E3116" t="s">
        <v>301</v>
      </c>
      <c r="F3116" t="s">
        <v>122</v>
      </c>
      <c r="G3116" t="s">
        <v>373</v>
      </c>
      <c r="H3116" t="s">
        <v>141</v>
      </c>
      <c r="I3116" t="s">
        <v>499</v>
      </c>
      <c r="J3116" t="s">
        <v>99</v>
      </c>
      <c r="K3116" t="s">
        <v>104</v>
      </c>
      <c r="L3116" t="s">
        <v>136</v>
      </c>
      <c r="M3116" t="s">
        <v>99</v>
      </c>
      <c r="N3116" t="s">
        <v>99</v>
      </c>
    </row>
    <row r="3117" spans="1:14" x14ac:dyDescent="0.3">
      <c r="A3117" t="s">
        <v>35</v>
      </c>
      <c r="B3117" t="s">
        <v>365</v>
      </c>
      <c r="C3117">
        <v>40</v>
      </c>
      <c r="D3117" t="s">
        <v>957</v>
      </c>
      <c r="E3117" t="s">
        <v>704</v>
      </c>
      <c r="F3117" t="s">
        <v>155</v>
      </c>
      <c r="G3117" t="s">
        <v>264</v>
      </c>
      <c r="H3117" t="s">
        <v>99</v>
      </c>
      <c r="I3117" t="s">
        <v>309</v>
      </c>
      <c r="J3117" t="s">
        <v>99</v>
      </c>
      <c r="K3117" t="s">
        <v>99</v>
      </c>
      <c r="L3117" t="s">
        <v>99</v>
      </c>
      <c r="M3117" t="s">
        <v>99</v>
      </c>
      <c r="N3117" t="s">
        <v>99</v>
      </c>
    </row>
    <row r="3118" spans="1:14" x14ac:dyDescent="0.3">
      <c r="A3118" t="s">
        <v>37</v>
      </c>
      <c r="B3118" t="s">
        <v>339</v>
      </c>
      <c r="C3118">
        <v>1093</v>
      </c>
      <c r="D3118" t="s">
        <v>171</v>
      </c>
      <c r="E3118" t="s">
        <v>39</v>
      </c>
      <c r="F3118" t="s">
        <v>215</v>
      </c>
      <c r="G3118" t="s">
        <v>58</v>
      </c>
      <c r="H3118" t="s">
        <v>207</v>
      </c>
      <c r="I3118" t="s">
        <v>817</v>
      </c>
      <c r="J3118" t="s">
        <v>136</v>
      </c>
      <c r="K3118" t="s">
        <v>99</v>
      </c>
      <c r="L3118" t="s">
        <v>99</v>
      </c>
      <c r="M3118" t="s">
        <v>99</v>
      </c>
      <c r="N3118" t="s">
        <v>104</v>
      </c>
    </row>
    <row r="3119" spans="1:14" x14ac:dyDescent="0.3">
      <c r="A3119" t="s">
        <v>37</v>
      </c>
      <c r="B3119" t="s">
        <v>340</v>
      </c>
      <c r="C3119">
        <v>2721</v>
      </c>
      <c r="D3119" t="s">
        <v>691</v>
      </c>
      <c r="E3119" t="s">
        <v>990</v>
      </c>
      <c r="F3119" t="s">
        <v>120</v>
      </c>
      <c r="G3119" t="s">
        <v>119</v>
      </c>
      <c r="H3119" t="s">
        <v>104</v>
      </c>
      <c r="I3119" t="s">
        <v>812</v>
      </c>
      <c r="J3119" t="s">
        <v>104</v>
      </c>
      <c r="K3119" t="s">
        <v>104</v>
      </c>
      <c r="L3119" t="s">
        <v>104</v>
      </c>
      <c r="M3119" t="s">
        <v>104</v>
      </c>
      <c r="N3119" t="s">
        <v>99</v>
      </c>
    </row>
    <row r="3120" spans="1:14" x14ac:dyDescent="0.3">
      <c r="A3120" t="s">
        <v>37</v>
      </c>
      <c r="B3120" t="s">
        <v>365</v>
      </c>
      <c r="C3120">
        <v>41</v>
      </c>
      <c r="D3120" t="s">
        <v>251</v>
      </c>
      <c r="E3120" t="s">
        <v>406</v>
      </c>
      <c r="F3120" t="s">
        <v>99</v>
      </c>
      <c r="G3120" t="s">
        <v>650</v>
      </c>
      <c r="H3120" t="s">
        <v>99</v>
      </c>
      <c r="I3120" t="s">
        <v>822</v>
      </c>
      <c r="J3120" t="s">
        <v>99</v>
      </c>
      <c r="K3120" t="s">
        <v>99</v>
      </c>
      <c r="L3120" t="s">
        <v>99</v>
      </c>
      <c r="M3120" t="s">
        <v>99</v>
      </c>
      <c r="N3120" t="s">
        <v>99</v>
      </c>
    </row>
    <row r="3121" spans="1:14" x14ac:dyDescent="0.3">
      <c r="A3121" t="s">
        <v>36</v>
      </c>
      <c r="B3121" t="s">
        <v>339</v>
      </c>
      <c r="C3121">
        <v>768</v>
      </c>
      <c r="D3121" t="s">
        <v>425</v>
      </c>
      <c r="E3121" t="s">
        <v>517</v>
      </c>
      <c r="F3121" t="s">
        <v>113</v>
      </c>
      <c r="G3121" t="s">
        <v>737</v>
      </c>
      <c r="H3121" t="s">
        <v>253</v>
      </c>
      <c r="I3121" t="s">
        <v>349</v>
      </c>
      <c r="J3121" t="s">
        <v>132</v>
      </c>
      <c r="K3121" t="s">
        <v>129</v>
      </c>
      <c r="L3121" t="s">
        <v>141</v>
      </c>
      <c r="M3121" t="s">
        <v>198</v>
      </c>
      <c r="N3121" t="s">
        <v>99</v>
      </c>
    </row>
    <row r="3122" spans="1:14" x14ac:dyDescent="0.3">
      <c r="A3122" t="s">
        <v>36</v>
      </c>
      <c r="B3122" t="s">
        <v>340</v>
      </c>
      <c r="C3122">
        <v>1470</v>
      </c>
      <c r="D3122" t="s">
        <v>833</v>
      </c>
      <c r="E3122" t="s">
        <v>437</v>
      </c>
      <c r="F3122" t="s">
        <v>353</v>
      </c>
      <c r="G3122" t="s">
        <v>173</v>
      </c>
      <c r="H3122" t="s">
        <v>126</v>
      </c>
      <c r="I3122" t="s">
        <v>711</v>
      </c>
      <c r="J3122" t="s">
        <v>141</v>
      </c>
      <c r="K3122" t="s">
        <v>123</v>
      </c>
      <c r="L3122" t="s">
        <v>207</v>
      </c>
      <c r="M3122" t="s">
        <v>198</v>
      </c>
      <c r="N3122" t="s">
        <v>104</v>
      </c>
    </row>
    <row r="3123" spans="1:14" x14ac:dyDescent="0.3">
      <c r="A3123" t="s">
        <v>36</v>
      </c>
      <c r="B3123" t="s">
        <v>365</v>
      </c>
      <c r="C3123">
        <v>62</v>
      </c>
      <c r="D3123" t="s">
        <v>121</v>
      </c>
      <c r="E3123" t="s">
        <v>298</v>
      </c>
      <c r="F3123" t="s">
        <v>108</v>
      </c>
      <c r="G3123" t="s">
        <v>68</v>
      </c>
      <c r="H3123" t="s">
        <v>99</v>
      </c>
      <c r="I3123" t="s">
        <v>63</v>
      </c>
      <c r="J3123" t="s">
        <v>114</v>
      </c>
      <c r="K3123" t="s">
        <v>332</v>
      </c>
      <c r="L3123" t="s">
        <v>99</v>
      </c>
      <c r="M3123" t="s">
        <v>99</v>
      </c>
      <c r="N3123" t="s">
        <v>99</v>
      </c>
    </row>
    <row r="3124" spans="1:14" x14ac:dyDescent="0.3">
      <c r="A3124" t="s">
        <v>34</v>
      </c>
      <c r="B3124" t="s">
        <v>339</v>
      </c>
      <c r="C3124">
        <v>552</v>
      </c>
      <c r="D3124" t="s">
        <v>137</v>
      </c>
      <c r="E3124" t="s">
        <v>1045</v>
      </c>
      <c r="F3124" t="s">
        <v>679</v>
      </c>
      <c r="G3124" t="s">
        <v>379</v>
      </c>
      <c r="H3124" t="s">
        <v>108</v>
      </c>
      <c r="I3124" t="s">
        <v>347</v>
      </c>
      <c r="J3124" t="s">
        <v>121</v>
      </c>
      <c r="K3124" t="s">
        <v>108</v>
      </c>
      <c r="L3124" t="s">
        <v>207</v>
      </c>
      <c r="M3124" t="s">
        <v>99</v>
      </c>
      <c r="N3124" t="s">
        <v>99</v>
      </c>
    </row>
    <row r="3125" spans="1:14" x14ac:dyDescent="0.3">
      <c r="A3125" t="s">
        <v>34</v>
      </c>
      <c r="B3125" t="s">
        <v>340</v>
      </c>
      <c r="C3125">
        <v>1494</v>
      </c>
      <c r="D3125" t="s">
        <v>834</v>
      </c>
      <c r="E3125" t="s">
        <v>457</v>
      </c>
      <c r="F3125" t="s">
        <v>98</v>
      </c>
      <c r="G3125" t="s">
        <v>463</v>
      </c>
      <c r="H3125" t="s">
        <v>141</v>
      </c>
      <c r="I3125" t="s">
        <v>197</v>
      </c>
      <c r="J3125" t="s">
        <v>207</v>
      </c>
      <c r="K3125" t="s">
        <v>100</v>
      </c>
      <c r="L3125" t="s">
        <v>207</v>
      </c>
      <c r="M3125" t="s">
        <v>104</v>
      </c>
      <c r="N3125" t="s">
        <v>99</v>
      </c>
    </row>
    <row r="3126" spans="1:14" x14ac:dyDescent="0.3">
      <c r="A3126" t="s">
        <v>34</v>
      </c>
      <c r="B3126" t="s">
        <v>365</v>
      </c>
      <c r="C3126">
        <v>28</v>
      </c>
      <c r="D3126" t="s">
        <v>924</v>
      </c>
      <c r="E3126" t="s">
        <v>444</v>
      </c>
      <c r="F3126" t="s">
        <v>499</v>
      </c>
      <c r="G3126" t="s">
        <v>536</v>
      </c>
      <c r="H3126" t="s">
        <v>99</v>
      </c>
      <c r="I3126" t="s">
        <v>461</v>
      </c>
      <c r="J3126" t="s">
        <v>99</v>
      </c>
      <c r="K3126" t="s">
        <v>99</v>
      </c>
      <c r="L3126" t="s">
        <v>319</v>
      </c>
      <c r="M3126" t="s">
        <v>138</v>
      </c>
      <c r="N3126" t="s">
        <v>99</v>
      </c>
    </row>
    <row r="3127" spans="1:14" x14ac:dyDescent="0.3">
      <c r="A3127" t="s">
        <v>33</v>
      </c>
      <c r="B3127" t="s">
        <v>339</v>
      </c>
      <c r="C3127">
        <v>503</v>
      </c>
      <c r="D3127" t="s">
        <v>694</v>
      </c>
      <c r="E3127" t="s">
        <v>315</v>
      </c>
      <c r="F3127" t="s">
        <v>157</v>
      </c>
      <c r="G3127" t="s">
        <v>668</v>
      </c>
      <c r="H3127" t="s">
        <v>198</v>
      </c>
      <c r="I3127" t="s">
        <v>588</v>
      </c>
      <c r="J3127" t="s">
        <v>99</v>
      </c>
      <c r="K3127" t="s">
        <v>99</v>
      </c>
      <c r="L3127" t="s">
        <v>99</v>
      </c>
      <c r="M3127" t="s">
        <v>99</v>
      </c>
      <c r="N3127" t="s">
        <v>99</v>
      </c>
    </row>
    <row r="3128" spans="1:14" x14ac:dyDescent="0.3">
      <c r="A3128" t="s">
        <v>33</v>
      </c>
      <c r="B3128" t="s">
        <v>340</v>
      </c>
      <c r="C3128">
        <v>1415</v>
      </c>
      <c r="D3128" t="s">
        <v>687</v>
      </c>
      <c r="E3128" t="s">
        <v>440</v>
      </c>
      <c r="F3128" t="s">
        <v>158</v>
      </c>
      <c r="G3128" t="s">
        <v>116</v>
      </c>
      <c r="H3128" t="s">
        <v>207</v>
      </c>
      <c r="I3128" t="s">
        <v>574</v>
      </c>
      <c r="J3128" t="s">
        <v>99</v>
      </c>
      <c r="K3128" t="s">
        <v>207</v>
      </c>
      <c r="L3128" t="s">
        <v>104</v>
      </c>
      <c r="M3128" t="s">
        <v>99</v>
      </c>
      <c r="N3128" t="s">
        <v>99</v>
      </c>
    </row>
    <row r="3129" spans="1:14" x14ac:dyDescent="0.3">
      <c r="A3129" t="s">
        <v>33</v>
      </c>
      <c r="B3129" t="s">
        <v>365</v>
      </c>
      <c r="C3129">
        <v>19</v>
      </c>
      <c r="D3129" t="s">
        <v>74</v>
      </c>
      <c r="E3129" t="s">
        <v>804</v>
      </c>
      <c r="F3129" t="s">
        <v>395</v>
      </c>
      <c r="G3129" t="s">
        <v>940</v>
      </c>
      <c r="H3129" t="s">
        <v>99</v>
      </c>
      <c r="I3129" t="s">
        <v>574</v>
      </c>
      <c r="J3129" t="s">
        <v>99</v>
      </c>
      <c r="K3129" t="s">
        <v>99</v>
      </c>
      <c r="L3129" t="s">
        <v>99</v>
      </c>
      <c r="M3129" t="s">
        <v>99</v>
      </c>
      <c r="N3129" t="s">
        <v>99</v>
      </c>
    </row>
    <row r="3130" spans="1:14" x14ac:dyDescent="0.3">
      <c r="A3130" t="s">
        <v>49</v>
      </c>
      <c r="B3130" t="s">
        <v>339</v>
      </c>
      <c r="C3130">
        <v>3806</v>
      </c>
      <c r="D3130" t="s">
        <v>534</v>
      </c>
      <c r="E3130" t="s">
        <v>410</v>
      </c>
      <c r="F3130" t="s">
        <v>118</v>
      </c>
      <c r="G3130" t="s">
        <v>39</v>
      </c>
      <c r="H3130" t="s">
        <v>136</v>
      </c>
      <c r="I3130" t="s">
        <v>960</v>
      </c>
      <c r="J3130" t="s">
        <v>136</v>
      </c>
      <c r="K3130" t="s">
        <v>253</v>
      </c>
      <c r="L3130" t="s">
        <v>104</v>
      </c>
      <c r="M3130" t="s">
        <v>99</v>
      </c>
      <c r="N3130" t="s">
        <v>99</v>
      </c>
    </row>
    <row r="3131" spans="1:14" x14ac:dyDescent="0.3">
      <c r="A3131" t="s">
        <v>49</v>
      </c>
      <c r="B3131" t="s">
        <v>340</v>
      </c>
      <c r="C3131">
        <v>9313</v>
      </c>
      <c r="D3131" t="s">
        <v>106</v>
      </c>
      <c r="E3131" t="s">
        <v>410</v>
      </c>
      <c r="F3131" t="s">
        <v>98</v>
      </c>
      <c r="G3131" t="s">
        <v>702</v>
      </c>
      <c r="H3131" t="s">
        <v>136</v>
      </c>
      <c r="I3131" t="s">
        <v>1045</v>
      </c>
      <c r="J3131" t="s">
        <v>198</v>
      </c>
      <c r="K3131" t="s">
        <v>141</v>
      </c>
      <c r="L3131" t="s">
        <v>198</v>
      </c>
      <c r="M3131" t="s">
        <v>99</v>
      </c>
      <c r="N3131" t="s">
        <v>99</v>
      </c>
    </row>
    <row r="3132" spans="1:14" x14ac:dyDescent="0.3">
      <c r="A3132" t="s">
        <v>49</v>
      </c>
      <c r="B3132" t="s">
        <v>365</v>
      </c>
      <c r="C3132">
        <v>190</v>
      </c>
      <c r="D3132" t="s">
        <v>692</v>
      </c>
      <c r="E3132" t="s">
        <v>38</v>
      </c>
      <c r="F3132" t="s">
        <v>248</v>
      </c>
      <c r="G3132" t="s">
        <v>683</v>
      </c>
      <c r="H3132" t="s">
        <v>99</v>
      </c>
      <c r="I3132" t="s">
        <v>809</v>
      </c>
      <c r="J3132" t="s">
        <v>198</v>
      </c>
      <c r="K3132" t="s">
        <v>253</v>
      </c>
      <c r="L3132" t="s">
        <v>207</v>
      </c>
      <c r="M3132" t="s">
        <v>115</v>
      </c>
      <c r="N3132" t="s">
        <v>99</v>
      </c>
    </row>
    <row r="3134" spans="1:14" x14ac:dyDescent="0.3">
      <c r="A3134" t="s">
        <v>1382</v>
      </c>
    </row>
    <row r="3135" spans="1:14" x14ac:dyDescent="0.3">
      <c r="A3135" t="s">
        <v>44</v>
      </c>
      <c r="B3135" t="s">
        <v>209</v>
      </c>
      <c r="C3135" t="s">
        <v>32</v>
      </c>
      <c r="D3135" t="s">
        <v>1373</v>
      </c>
      <c r="E3135" t="s">
        <v>1374</v>
      </c>
      <c r="F3135" t="s">
        <v>1376</v>
      </c>
      <c r="G3135" t="s">
        <v>1377</v>
      </c>
      <c r="H3135" t="s">
        <v>1379</v>
      </c>
      <c r="I3135" t="s">
        <v>1372</v>
      </c>
      <c r="J3135" t="s">
        <v>1375</v>
      </c>
      <c r="K3135" t="s">
        <v>1378</v>
      </c>
      <c r="L3135" t="s">
        <v>1353</v>
      </c>
      <c r="M3135" t="s">
        <v>1380</v>
      </c>
      <c r="N3135" t="s">
        <v>88</v>
      </c>
    </row>
    <row r="3136" spans="1:14" x14ac:dyDescent="0.3">
      <c r="A3136" t="s">
        <v>35</v>
      </c>
      <c r="B3136" t="s">
        <v>210</v>
      </c>
      <c r="C3136">
        <v>136</v>
      </c>
      <c r="D3136" t="s">
        <v>822</v>
      </c>
      <c r="E3136" t="s">
        <v>736</v>
      </c>
      <c r="F3136" t="s">
        <v>328</v>
      </c>
      <c r="G3136" t="s">
        <v>233</v>
      </c>
      <c r="H3136" t="s">
        <v>672</v>
      </c>
      <c r="I3136" t="s">
        <v>99</v>
      </c>
      <c r="J3136" t="s">
        <v>99</v>
      </c>
      <c r="K3136" t="s">
        <v>99</v>
      </c>
      <c r="L3136" t="s">
        <v>207</v>
      </c>
      <c r="M3136" t="s">
        <v>99</v>
      </c>
      <c r="N3136" t="s">
        <v>99</v>
      </c>
    </row>
    <row r="3137" spans="1:14" x14ac:dyDescent="0.3">
      <c r="A3137" t="s">
        <v>35</v>
      </c>
      <c r="B3137" t="s">
        <v>212</v>
      </c>
      <c r="C3137">
        <v>2441</v>
      </c>
      <c r="D3137" t="s">
        <v>713</v>
      </c>
      <c r="E3137" t="s">
        <v>432</v>
      </c>
      <c r="F3137" t="s">
        <v>105</v>
      </c>
      <c r="G3137" t="s">
        <v>811</v>
      </c>
      <c r="H3137" t="s">
        <v>717</v>
      </c>
      <c r="I3137" t="s">
        <v>99</v>
      </c>
      <c r="J3137" t="s">
        <v>104</v>
      </c>
      <c r="K3137" t="s">
        <v>141</v>
      </c>
      <c r="L3137" t="s">
        <v>136</v>
      </c>
      <c r="M3137" t="s">
        <v>99</v>
      </c>
      <c r="N3137" t="s">
        <v>99</v>
      </c>
    </row>
    <row r="3138" spans="1:14" x14ac:dyDescent="0.3">
      <c r="A3138" t="s">
        <v>35</v>
      </c>
      <c r="B3138" t="s">
        <v>216</v>
      </c>
      <c r="C3138">
        <v>566</v>
      </c>
      <c r="D3138" t="s">
        <v>824</v>
      </c>
      <c r="E3138" t="s">
        <v>370</v>
      </c>
      <c r="F3138" t="s">
        <v>206</v>
      </c>
      <c r="G3138" t="s">
        <v>685</v>
      </c>
      <c r="H3138" t="s">
        <v>179</v>
      </c>
      <c r="I3138" t="s">
        <v>99</v>
      </c>
      <c r="J3138" t="s">
        <v>104</v>
      </c>
      <c r="K3138" t="s">
        <v>198</v>
      </c>
      <c r="L3138" t="s">
        <v>99</v>
      </c>
      <c r="M3138" t="s">
        <v>99</v>
      </c>
      <c r="N3138" t="s">
        <v>99</v>
      </c>
    </row>
    <row r="3139" spans="1:14" x14ac:dyDescent="0.3">
      <c r="A3139" t="s">
        <v>37</v>
      </c>
      <c r="B3139" t="s">
        <v>210</v>
      </c>
      <c r="C3139">
        <v>138</v>
      </c>
      <c r="D3139" t="s">
        <v>697</v>
      </c>
      <c r="E3139" t="s">
        <v>368</v>
      </c>
      <c r="F3139" t="s">
        <v>299</v>
      </c>
      <c r="G3139" t="s">
        <v>64</v>
      </c>
      <c r="H3139" t="s">
        <v>39</v>
      </c>
      <c r="I3139" t="s">
        <v>136</v>
      </c>
      <c r="J3139" t="s">
        <v>99</v>
      </c>
      <c r="K3139" t="s">
        <v>141</v>
      </c>
      <c r="L3139" t="s">
        <v>100</v>
      </c>
      <c r="M3139" t="s">
        <v>99</v>
      </c>
      <c r="N3139" t="s">
        <v>99</v>
      </c>
    </row>
    <row r="3140" spans="1:14" x14ac:dyDescent="0.3">
      <c r="A3140" t="s">
        <v>37</v>
      </c>
      <c r="B3140" t="s">
        <v>212</v>
      </c>
      <c r="C3140">
        <v>3606</v>
      </c>
      <c r="D3140" t="s">
        <v>482</v>
      </c>
      <c r="E3140" t="s">
        <v>807</v>
      </c>
      <c r="F3140" t="s">
        <v>292</v>
      </c>
      <c r="G3140" t="s">
        <v>429</v>
      </c>
      <c r="H3140" t="s">
        <v>934</v>
      </c>
      <c r="I3140" t="s">
        <v>198</v>
      </c>
      <c r="J3140" t="s">
        <v>104</v>
      </c>
      <c r="K3140" t="s">
        <v>104</v>
      </c>
      <c r="L3140" t="s">
        <v>99</v>
      </c>
      <c r="M3140" t="s">
        <v>99</v>
      </c>
      <c r="N3140" t="s">
        <v>99</v>
      </c>
    </row>
    <row r="3141" spans="1:14" x14ac:dyDescent="0.3">
      <c r="A3141" t="s">
        <v>37</v>
      </c>
      <c r="B3141" t="s">
        <v>216</v>
      </c>
      <c r="C3141">
        <v>111</v>
      </c>
      <c r="D3141" t="s">
        <v>672</v>
      </c>
      <c r="E3141" t="s">
        <v>38</v>
      </c>
      <c r="F3141" t="s">
        <v>139</v>
      </c>
      <c r="G3141" t="s">
        <v>584</v>
      </c>
      <c r="H3141" t="s">
        <v>864</v>
      </c>
      <c r="I3141" t="s">
        <v>99</v>
      </c>
      <c r="J3141" t="s">
        <v>99</v>
      </c>
      <c r="K3141" t="s">
        <v>99</v>
      </c>
      <c r="L3141" t="s">
        <v>99</v>
      </c>
      <c r="M3141" t="s">
        <v>99</v>
      </c>
      <c r="N3141" t="s">
        <v>99</v>
      </c>
    </row>
    <row r="3142" spans="1:14" x14ac:dyDescent="0.3">
      <c r="A3142" t="s">
        <v>36</v>
      </c>
      <c r="B3142" t="s">
        <v>210</v>
      </c>
      <c r="C3142">
        <v>164</v>
      </c>
      <c r="D3142" t="s">
        <v>965</v>
      </c>
      <c r="E3142" t="s">
        <v>724</v>
      </c>
      <c r="F3142" t="s">
        <v>138</v>
      </c>
      <c r="G3142" t="s">
        <v>311</v>
      </c>
      <c r="H3142" t="s">
        <v>449</v>
      </c>
      <c r="I3142" t="s">
        <v>198</v>
      </c>
      <c r="J3142" t="s">
        <v>215</v>
      </c>
      <c r="K3142" t="s">
        <v>115</v>
      </c>
      <c r="L3142" t="s">
        <v>292</v>
      </c>
      <c r="M3142" t="s">
        <v>115</v>
      </c>
      <c r="N3142" t="s">
        <v>104</v>
      </c>
    </row>
    <row r="3143" spans="1:14" x14ac:dyDescent="0.3">
      <c r="A3143" t="s">
        <v>36</v>
      </c>
      <c r="B3143" t="s">
        <v>212</v>
      </c>
      <c r="C3143">
        <v>1874</v>
      </c>
      <c r="D3143" t="s">
        <v>811</v>
      </c>
      <c r="E3143" t="s">
        <v>734</v>
      </c>
      <c r="F3143" t="s">
        <v>305</v>
      </c>
      <c r="G3143" t="s">
        <v>318</v>
      </c>
      <c r="H3143" t="s">
        <v>214</v>
      </c>
      <c r="I3143" t="s">
        <v>115</v>
      </c>
      <c r="J3143" t="s">
        <v>107</v>
      </c>
      <c r="K3143" t="s">
        <v>101</v>
      </c>
      <c r="L3143" t="s">
        <v>99</v>
      </c>
      <c r="M3143" t="s">
        <v>104</v>
      </c>
      <c r="N3143" t="s">
        <v>99</v>
      </c>
    </row>
    <row r="3144" spans="1:14" x14ac:dyDescent="0.3">
      <c r="A3144" t="s">
        <v>36</v>
      </c>
      <c r="B3144" t="s">
        <v>216</v>
      </c>
      <c r="C3144">
        <v>262</v>
      </c>
      <c r="D3144" t="s">
        <v>456</v>
      </c>
      <c r="E3144" t="s">
        <v>534</v>
      </c>
      <c r="F3144" t="s">
        <v>461</v>
      </c>
      <c r="G3144" t="s">
        <v>726</v>
      </c>
      <c r="H3144" t="s">
        <v>523</v>
      </c>
      <c r="I3144" t="s">
        <v>136</v>
      </c>
      <c r="J3144" t="s">
        <v>101</v>
      </c>
      <c r="K3144" t="s">
        <v>115</v>
      </c>
      <c r="L3144" t="s">
        <v>108</v>
      </c>
      <c r="M3144" t="s">
        <v>99</v>
      </c>
      <c r="N3144" t="s">
        <v>99</v>
      </c>
    </row>
    <row r="3145" spans="1:14" x14ac:dyDescent="0.3">
      <c r="A3145" t="s">
        <v>34</v>
      </c>
      <c r="B3145" t="s">
        <v>210</v>
      </c>
      <c r="C3145">
        <v>255</v>
      </c>
      <c r="D3145" t="s">
        <v>1383</v>
      </c>
      <c r="E3145" t="s">
        <v>686</v>
      </c>
      <c r="F3145" t="s">
        <v>712</v>
      </c>
      <c r="G3145" t="s">
        <v>110</v>
      </c>
      <c r="H3145" t="s">
        <v>175</v>
      </c>
      <c r="I3145" t="s">
        <v>104</v>
      </c>
      <c r="J3145" t="s">
        <v>126</v>
      </c>
      <c r="K3145" t="s">
        <v>99</v>
      </c>
      <c r="L3145" t="s">
        <v>115</v>
      </c>
      <c r="M3145" t="s">
        <v>99</v>
      </c>
      <c r="N3145" t="s">
        <v>99</v>
      </c>
    </row>
    <row r="3146" spans="1:14" x14ac:dyDescent="0.3">
      <c r="A3146" t="s">
        <v>34</v>
      </c>
      <c r="B3146" t="s">
        <v>212</v>
      </c>
      <c r="C3146">
        <v>1580</v>
      </c>
      <c r="D3146" t="s">
        <v>933</v>
      </c>
      <c r="E3146" t="s">
        <v>246</v>
      </c>
      <c r="F3146" t="s">
        <v>468</v>
      </c>
      <c r="G3146" t="s">
        <v>751</v>
      </c>
      <c r="H3146" t="s">
        <v>894</v>
      </c>
      <c r="I3146" t="s">
        <v>108</v>
      </c>
      <c r="J3146" t="s">
        <v>132</v>
      </c>
      <c r="K3146" t="s">
        <v>141</v>
      </c>
      <c r="L3146" t="s">
        <v>198</v>
      </c>
      <c r="M3146" t="s">
        <v>104</v>
      </c>
      <c r="N3146" t="s">
        <v>99</v>
      </c>
    </row>
    <row r="3147" spans="1:14" x14ac:dyDescent="0.3">
      <c r="A3147" t="s">
        <v>34</v>
      </c>
      <c r="B3147" t="s">
        <v>216</v>
      </c>
      <c r="C3147">
        <v>239</v>
      </c>
      <c r="D3147" t="s">
        <v>934</v>
      </c>
      <c r="E3147" t="s">
        <v>508</v>
      </c>
      <c r="F3147" t="s">
        <v>206</v>
      </c>
      <c r="G3147" t="s">
        <v>124</v>
      </c>
      <c r="H3147" t="s">
        <v>670</v>
      </c>
      <c r="I3147" t="s">
        <v>99</v>
      </c>
      <c r="J3147" t="s">
        <v>215</v>
      </c>
      <c r="K3147" t="s">
        <v>268</v>
      </c>
      <c r="L3147" t="s">
        <v>207</v>
      </c>
      <c r="M3147" t="s">
        <v>99</v>
      </c>
      <c r="N3147" t="s">
        <v>99</v>
      </c>
    </row>
    <row r="3148" spans="1:14" x14ac:dyDescent="0.3">
      <c r="A3148" t="s">
        <v>33</v>
      </c>
      <c r="B3148" t="s">
        <v>210</v>
      </c>
      <c r="C3148">
        <v>68</v>
      </c>
      <c r="D3148" t="s">
        <v>711</v>
      </c>
      <c r="E3148" t="s">
        <v>676</v>
      </c>
      <c r="F3148" t="s">
        <v>100</v>
      </c>
      <c r="G3148" t="s">
        <v>429</v>
      </c>
      <c r="H3148" t="s">
        <v>1045</v>
      </c>
      <c r="I3148" t="s">
        <v>99</v>
      </c>
      <c r="J3148" t="s">
        <v>99</v>
      </c>
      <c r="K3148" t="s">
        <v>99</v>
      </c>
      <c r="L3148" t="s">
        <v>99</v>
      </c>
      <c r="M3148" t="s">
        <v>99</v>
      </c>
      <c r="N3148" t="s">
        <v>99</v>
      </c>
    </row>
    <row r="3149" spans="1:14" x14ac:dyDescent="0.3">
      <c r="A3149" t="s">
        <v>33</v>
      </c>
      <c r="B3149" t="s">
        <v>212</v>
      </c>
      <c r="C3149">
        <v>1800</v>
      </c>
      <c r="D3149" t="s">
        <v>798</v>
      </c>
      <c r="E3149" t="s">
        <v>704</v>
      </c>
      <c r="F3149" t="s">
        <v>68</v>
      </c>
      <c r="G3149" t="s">
        <v>429</v>
      </c>
      <c r="H3149" t="s">
        <v>707</v>
      </c>
      <c r="I3149" t="s">
        <v>99</v>
      </c>
      <c r="J3149" t="s">
        <v>198</v>
      </c>
      <c r="K3149" t="s">
        <v>207</v>
      </c>
      <c r="L3149" t="s">
        <v>99</v>
      </c>
      <c r="M3149" t="s">
        <v>99</v>
      </c>
      <c r="N3149" t="s">
        <v>99</v>
      </c>
    </row>
    <row r="3150" spans="1:14" x14ac:dyDescent="0.3">
      <c r="A3150" t="s">
        <v>33</v>
      </c>
      <c r="B3150" t="s">
        <v>216</v>
      </c>
      <c r="C3150">
        <v>69</v>
      </c>
      <c r="D3150" t="s">
        <v>699</v>
      </c>
      <c r="E3150" t="s">
        <v>798</v>
      </c>
      <c r="F3150" t="s">
        <v>220</v>
      </c>
      <c r="G3150" t="s">
        <v>742</v>
      </c>
      <c r="H3150" t="s">
        <v>478</v>
      </c>
      <c r="I3150" t="s">
        <v>99</v>
      </c>
      <c r="J3150" t="s">
        <v>99</v>
      </c>
      <c r="K3150" t="s">
        <v>99</v>
      </c>
      <c r="L3150" t="s">
        <v>382</v>
      </c>
      <c r="M3150" t="s">
        <v>99</v>
      </c>
      <c r="N3150" t="s">
        <v>99</v>
      </c>
    </row>
    <row r="3151" spans="1:14" x14ac:dyDescent="0.3">
      <c r="A3151" t="s">
        <v>49</v>
      </c>
      <c r="B3151" t="s">
        <v>210</v>
      </c>
      <c r="C3151">
        <v>761</v>
      </c>
      <c r="D3151" t="s">
        <v>588</v>
      </c>
      <c r="E3151" t="s">
        <v>670</v>
      </c>
      <c r="F3151" t="s">
        <v>68</v>
      </c>
      <c r="G3151" t="s">
        <v>222</v>
      </c>
      <c r="H3151" t="s">
        <v>372</v>
      </c>
      <c r="I3151" t="s">
        <v>104</v>
      </c>
      <c r="J3151" t="s">
        <v>132</v>
      </c>
      <c r="K3151" t="s">
        <v>198</v>
      </c>
      <c r="L3151" t="s">
        <v>132</v>
      </c>
      <c r="M3151" t="s">
        <v>104</v>
      </c>
      <c r="N3151" t="s">
        <v>99</v>
      </c>
    </row>
    <row r="3152" spans="1:14" x14ac:dyDescent="0.3">
      <c r="A3152" t="s">
        <v>49</v>
      </c>
      <c r="B3152" t="s">
        <v>212</v>
      </c>
      <c r="C3152">
        <v>11301</v>
      </c>
      <c r="D3152" t="s">
        <v>911</v>
      </c>
      <c r="E3152" t="s">
        <v>738</v>
      </c>
      <c r="F3152" t="s">
        <v>129</v>
      </c>
      <c r="G3152" t="s">
        <v>805</v>
      </c>
      <c r="H3152" t="s">
        <v>916</v>
      </c>
      <c r="I3152" t="s">
        <v>207</v>
      </c>
      <c r="J3152" t="s">
        <v>141</v>
      </c>
      <c r="K3152" t="s">
        <v>136</v>
      </c>
      <c r="L3152" t="s">
        <v>104</v>
      </c>
      <c r="M3152" t="s">
        <v>99</v>
      </c>
      <c r="N3152" t="s">
        <v>99</v>
      </c>
    </row>
    <row r="3153" spans="1:14" x14ac:dyDescent="0.3">
      <c r="A3153" t="s">
        <v>49</v>
      </c>
      <c r="B3153" t="s">
        <v>216</v>
      </c>
      <c r="C3153">
        <v>1247</v>
      </c>
      <c r="D3153" t="s">
        <v>1068</v>
      </c>
      <c r="E3153" t="s">
        <v>298</v>
      </c>
      <c r="F3153" t="s">
        <v>291</v>
      </c>
      <c r="G3153" t="s">
        <v>201</v>
      </c>
      <c r="H3153" t="s">
        <v>482</v>
      </c>
      <c r="I3153" t="s">
        <v>99</v>
      </c>
      <c r="J3153" t="s">
        <v>141</v>
      </c>
      <c r="K3153" t="s">
        <v>115</v>
      </c>
      <c r="L3153" t="s">
        <v>198</v>
      </c>
      <c r="M3153" t="s">
        <v>99</v>
      </c>
      <c r="N3153" t="s">
        <v>99</v>
      </c>
    </row>
    <row r="3155" spans="1:14" x14ac:dyDescent="0.3">
      <c r="A3155" t="s">
        <v>1384</v>
      </c>
    </row>
    <row r="3156" spans="1:14" x14ac:dyDescent="0.3">
      <c r="A3156" t="s">
        <v>44</v>
      </c>
      <c r="B3156" t="s">
        <v>388</v>
      </c>
      <c r="C3156" t="s">
        <v>32</v>
      </c>
      <c r="D3156" t="s">
        <v>1372</v>
      </c>
      <c r="E3156" t="s">
        <v>1373</v>
      </c>
      <c r="F3156" t="s">
        <v>1374</v>
      </c>
      <c r="G3156" t="s">
        <v>1375</v>
      </c>
      <c r="H3156" t="s">
        <v>1376</v>
      </c>
      <c r="I3156" t="s">
        <v>1377</v>
      </c>
      <c r="J3156" t="s">
        <v>1378</v>
      </c>
      <c r="K3156" t="s">
        <v>1379</v>
      </c>
      <c r="L3156" t="s">
        <v>1353</v>
      </c>
      <c r="M3156" t="s">
        <v>1380</v>
      </c>
      <c r="N3156" t="s">
        <v>88</v>
      </c>
    </row>
    <row r="3157" spans="1:14" x14ac:dyDescent="0.3">
      <c r="A3157" t="s">
        <v>35</v>
      </c>
      <c r="B3157" t="s">
        <v>389</v>
      </c>
      <c r="C3157">
        <v>2141</v>
      </c>
      <c r="D3157" t="s">
        <v>99</v>
      </c>
      <c r="E3157" t="s">
        <v>600</v>
      </c>
      <c r="F3157" t="s">
        <v>727</v>
      </c>
      <c r="G3157" t="s">
        <v>104</v>
      </c>
      <c r="H3157" t="s">
        <v>144</v>
      </c>
      <c r="I3157" t="s">
        <v>186</v>
      </c>
      <c r="J3157" t="s">
        <v>207</v>
      </c>
      <c r="K3157" t="s">
        <v>727</v>
      </c>
      <c r="L3157" t="s">
        <v>104</v>
      </c>
      <c r="M3157" t="s">
        <v>99</v>
      </c>
      <c r="N3157" t="s">
        <v>99</v>
      </c>
    </row>
    <row r="3158" spans="1:14" x14ac:dyDescent="0.3">
      <c r="A3158" t="s">
        <v>35</v>
      </c>
      <c r="B3158" t="s">
        <v>390</v>
      </c>
      <c r="C3158">
        <v>873</v>
      </c>
      <c r="D3158" t="s">
        <v>99</v>
      </c>
      <c r="E3158" t="s">
        <v>827</v>
      </c>
      <c r="F3158" t="s">
        <v>714</v>
      </c>
      <c r="G3158" t="s">
        <v>198</v>
      </c>
      <c r="H3158" t="s">
        <v>149</v>
      </c>
      <c r="I3158" t="s">
        <v>678</v>
      </c>
      <c r="J3158" t="s">
        <v>115</v>
      </c>
      <c r="K3158" t="s">
        <v>246</v>
      </c>
      <c r="L3158" t="s">
        <v>115</v>
      </c>
      <c r="M3158" t="s">
        <v>99</v>
      </c>
      <c r="N3158" t="s">
        <v>99</v>
      </c>
    </row>
    <row r="3159" spans="1:14" x14ac:dyDescent="0.3">
      <c r="A3159" t="s">
        <v>35</v>
      </c>
      <c r="B3159" t="s">
        <v>365</v>
      </c>
      <c r="C3159">
        <v>129</v>
      </c>
      <c r="D3159" t="s">
        <v>99</v>
      </c>
      <c r="E3159" t="s">
        <v>749</v>
      </c>
      <c r="F3159" t="s">
        <v>666</v>
      </c>
      <c r="G3159" t="s">
        <v>99</v>
      </c>
      <c r="H3159" t="s">
        <v>150</v>
      </c>
      <c r="I3159" t="s">
        <v>38</v>
      </c>
      <c r="J3159" t="s">
        <v>99</v>
      </c>
      <c r="K3159" t="s">
        <v>690</v>
      </c>
      <c r="L3159" t="s">
        <v>99</v>
      </c>
      <c r="M3159" t="s">
        <v>99</v>
      </c>
      <c r="N3159" t="s">
        <v>99</v>
      </c>
    </row>
    <row r="3160" spans="1:14" x14ac:dyDescent="0.3">
      <c r="A3160" t="s">
        <v>37</v>
      </c>
      <c r="B3160" t="s">
        <v>389</v>
      </c>
      <c r="C3160">
        <v>2305</v>
      </c>
      <c r="D3160" t="s">
        <v>104</v>
      </c>
      <c r="E3160" t="s">
        <v>255</v>
      </c>
      <c r="F3160" t="s">
        <v>990</v>
      </c>
      <c r="G3160" t="s">
        <v>104</v>
      </c>
      <c r="H3160" t="s">
        <v>268</v>
      </c>
      <c r="I3160" t="s">
        <v>840</v>
      </c>
      <c r="J3160" t="s">
        <v>198</v>
      </c>
      <c r="K3160" t="s">
        <v>1102</v>
      </c>
      <c r="L3160" t="s">
        <v>99</v>
      </c>
      <c r="M3160" t="s">
        <v>104</v>
      </c>
      <c r="N3160" t="s">
        <v>99</v>
      </c>
    </row>
    <row r="3161" spans="1:14" x14ac:dyDescent="0.3">
      <c r="A3161" t="s">
        <v>37</v>
      </c>
      <c r="B3161" t="s">
        <v>390</v>
      </c>
      <c r="C3161">
        <v>1309</v>
      </c>
      <c r="D3161" t="s">
        <v>207</v>
      </c>
      <c r="E3161" t="s">
        <v>373</v>
      </c>
      <c r="F3161" t="s">
        <v>432</v>
      </c>
      <c r="G3161" t="s">
        <v>104</v>
      </c>
      <c r="H3161" t="s">
        <v>120</v>
      </c>
      <c r="I3161" t="s">
        <v>54</v>
      </c>
      <c r="J3161" t="s">
        <v>104</v>
      </c>
      <c r="K3161" t="s">
        <v>580</v>
      </c>
      <c r="L3161" t="s">
        <v>104</v>
      </c>
      <c r="M3161" t="s">
        <v>99</v>
      </c>
      <c r="N3161" t="s">
        <v>99</v>
      </c>
    </row>
    <row r="3162" spans="1:14" x14ac:dyDescent="0.3">
      <c r="A3162" t="s">
        <v>37</v>
      </c>
      <c r="B3162" t="s">
        <v>365</v>
      </c>
      <c r="C3162">
        <v>241</v>
      </c>
      <c r="D3162" t="s">
        <v>108</v>
      </c>
      <c r="E3162" t="s">
        <v>395</v>
      </c>
      <c r="F3162" t="s">
        <v>749</v>
      </c>
      <c r="G3162" t="s">
        <v>99</v>
      </c>
      <c r="H3162" t="s">
        <v>117</v>
      </c>
      <c r="I3162" t="s">
        <v>1057</v>
      </c>
      <c r="J3162" t="s">
        <v>99</v>
      </c>
      <c r="K3162" t="s">
        <v>224</v>
      </c>
      <c r="L3162" t="s">
        <v>99</v>
      </c>
      <c r="M3162" t="s">
        <v>99</v>
      </c>
      <c r="N3162" t="s">
        <v>99</v>
      </c>
    </row>
    <row r="3163" spans="1:14" x14ac:dyDescent="0.3">
      <c r="A3163" t="s">
        <v>36</v>
      </c>
      <c r="B3163" t="s">
        <v>389</v>
      </c>
      <c r="C3163">
        <v>1575</v>
      </c>
      <c r="D3163" t="s">
        <v>141</v>
      </c>
      <c r="E3163" t="s">
        <v>738</v>
      </c>
      <c r="F3163" t="s">
        <v>702</v>
      </c>
      <c r="G3163" t="s">
        <v>147</v>
      </c>
      <c r="H3163" t="s">
        <v>248</v>
      </c>
      <c r="I3163" t="s">
        <v>201</v>
      </c>
      <c r="J3163" t="s">
        <v>136</v>
      </c>
      <c r="K3163" t="s">
        <v>153</v>
      </c>
      <c r="L3163" t="s">
        <v>141</v>
      </c>
      <c r="M3163" t="s">
        <v>198</v>
      </c>
      <c r="N3163" t="s">
        <v>104</v>
      </c>
    </row>
    <row r="3164" spans="1:14" x14ac:dyDescent="0.3">
      <c r="A3164" t="s">
        <v>36</v>
      </c>
      <c r="B3164" t="s">
        <v>390</v>
      </c>
      <c r="C3164">
        <v>626</v>
      </c>
      <c r="D3164" t="s">
        <v>108</v>
      </c>
      <c r="E3164" t="s">
        <v>812</v>
      </c>
      <c r="F3164" t="s">
        <v>39</v>
      </c>
      <c r="G3164" t="s">
        <v>117</v>
      </c>
      <c r="H3164" t="s">
        <v>328</v>
      </c>
      <c r="I3164" t="s">
        <v>318</v>
      </c>
      <c r="J3164" t="s">
        <v>111</v>
      </c>
      <c r="K3164" t="s">
        <v>665</v>
      </c>
      <c r="L3164" t="s">
        <v>99</v>
      </c>
      <c r="M3164" t="s">
        <v>207</v>
      </c>
      <c r="N3164" t="s">
        <v>99</v>
      </c>
    </row>
    <row r="3165" spans="1:14" x14ac:dyDescent="0.3">
      <c r="A3165" t="s">
        <v>36</v>
      </c>
      <c r="B3165" t="s">
        <v>365</v>
      </c>
      <c r="C3165">
        <v>99</v>
      </c>
      <c r="D3165" t="s">
        <v>104</v>
      </c>
      <c r="E3165" t="s">
        <v>990</v>
      </c>
      <c r="F3165" t="s">
        <v>525</v>
      </c>
      <c r="G3165" t="s">
        <v>101</v>
      </c>
      <c r="H3165" t="s">
        <v>395</v>
      </c>
      <c r="I3165" t="s">
        <v>405</v>
      </c>
      <c r="J3165" t="s">
        <v>110</v>
      </c>
      <c r="K3165" t="s">
        <v>370</v>
      </c>
      <c r="L3165" t="s">
        <v>99</v>
      </c>
      <c r="M3165" t="s">
        <v>99</v>
      </c>
      <c r="N3165" t="s">
        <v>99</v>
      </c>
    </row>
    <row r="3166" spans="1:14" x14ac:dyDescent="0.3">
      <c r="A3166" t="s">
        <v>34</v>
      </c>
      <c r="B3166" t="s">
        <v>389</v>
      </c>
      <c r="C3166">
        <v>1379</v>
      </c>
      <c r="D3166" t="s">
        <v>136</v>
      </c>
      <c r="E3166" t="s">
        <v>920</v>
      </c>
      <c r="F3166" t="s">
        <v>473</v>
      </c>
      <c r="G3166" t="s">
        <v>114</v>
      </c>
      <c r="H3166" t="s">
        <v>74</v>
      </c>
      <c r="I3166" t="s">
        <v>173</v>
      </c>
      <c r="J3166" t="s">
        <v>108</v>
      </c>
      <c r="K3166" t="s">
        <v>307</v>
      </c>
      <c r="L3166" t="s">
        <v>136</v>
      </c>
      <c r="M3166" t="s">
        <v>99</v>
      </c>
      <c r="N3166" t="s">
        <v>99</v>
      </c>
    </row>
    <row r="3167" spans="1:14" x14ac:dyDescent="0.3">
      <c r="A3167" t="s">
        <v>34</v>
      </c>
      <c r="B3167" t="s">
        <v>390</v>
      </c>
      <c r="C3167">
        <v>615</v>
      </c>
      <c r="D3167" t="s">
        <v>121</v>
      </c>
      <c r="E3167" t="s">
        <v>456</v>
      </c>
      <c r="F3167" t="s">
        <v>742</v>
      </c>
      <c r="G3167" t="s">
        <v>121</v>
      </c>
      <c r="H3167" t="s">
        <v>663</v>
      </c>
      <c r="I3167" t="s">
        <v>186</v>
      </c>
      <c r="J3167" t="s">
        <v>104</v>
      </c>
      <c r="K3167" t="s">
        <v>463</v>
      </c>
      <c r="L3167" t="s">
        <v>198</v>
      </c>
      <c r="M3167" t="s">
        <v>207</v>
      </c>
      <c r="N3167" t="s">
        <v>99</v>
      </c>
    </row>
    <row r="3168" spans="1:14" x14ac:dyDescent="0.3">
      <c r="A3168" t="s">
        <v>34</v>
      </c>
      <c r="B3168" t="s">
        <v>365</v>
      </c>
      <c r="C3168">
        <v>80</v>
      </c>
      <c r="D3168" t="s">
        <v>99</v>
      </c>
      <c r="E3168" t="s">
        <v>281</v>
      </c>
      <c r="F3168" t="s">
        <v>911</v>
      </c>
      <c r="G3168" t="s">
        <v>207</v>
      </c>
      <c r="H3168" t="s">
        <v>144</v>
      </c>
      <c r="I3168" t="s">
        <v>715</v>
      </c>
      <c r="J3168" t="s">
        <v>141</v>
      </c>
      <c r="K3168" t="s">
        <v>473</v>
      </c>
      <c r="L3168" t="s">
        <v>99</v>
      </c>
      <c r="M3168" t="s">
        <v>99</v>
      </c>
      <c r="N3168" t="s">
        <v>99</v>
      </c>
    </row>
    <row r="3169" spans="1:14" x14ac:dyDescent="0.3">
      <c r="A3169" t="s">
        <v>33</v>
      </c>
      <c r="B3169" t="s">
        <v>389</v>
      </c>
      <c r="C3169">
        <v>1090</v>
      </c>
      <c r="D3169" t="s">
        <v>104</v>
      </c>
      <c r="E3169" t="s">
        <v>482</v>
      </c>
      <c r="F3169" t="s">
        <v>701</v>
      </c>
      <c r="G3169" t="s">
        <v>104</v>
      </c>
      <c r="H3169" t="s">
        <v>112</v>
      </c>
      <c r="I3169" t="s">
        <v>626</v>
      </c>
      <c r="J3169" t="s">
        <v>104</v>
      </c>
      <c r="K3169" t="s">
        <v>489</v>
      </c>
      <c r="L3169" t="s">
        <v>99</v>
      </c>
      <c r="M3169" t="s">
        <v>99</v>
      </c>
      <c r="N3169" t="s">
        <v>99</v>
      </c>
    </row>
    <row r="3170" spans="1:14" x14ac:dyDescent="0.3">
      <c r="A3170" t="s">
        <v>33</v>
      </c>
      <c r="B3170" t="s">
        <v>390</v>
      </c>
      <c r="C3170">
        <v>708</v>
      </c>
      <c r="D3170" t="s">
        <v>99</v>
      </c>
      <c r="E3170" t="s">
        <v>444</v>
      </c>
      <c r="F3170" t="s">
        <v>705</v>
      </c>
      <c r="G3170" t="s">
        <v>207</v>
      </c>
      <c r="H3170" t="s">
        <v>130</v>
      </c>
      <c r="I3170" t="s">
        <v>58</v>
      </c>
      <c r="J3170" t="s">
        <v>253</v>
      </c>
      <c r="K3170" t="s">
        <v>745</v>
      </c>
      <c r="L3170" t="s">
        <v>198</v>
      </c>
      <c r="M3170" t="s">
        <v>99</v>
      </c>
      <c r="N3170" t="s">
        <v>99</v>
      </c>
    </row>
    <row r="3171" spans="1:14" x14ac:dyDescent="0.3">
      <c r="A3171" t="s">
        <v>33</v>
      </c>
      <c r="B3171" t="s">
        <v>365</v>
      </c>
      <c r="C3171">
        <v>139</v>
      </c>
      <c r="D3171" t="s">
        <v>99</v>
      </c>
      <c r="E3171" t="s">
        <v>357</v>
      </c>
      <c r="F3171" t="s">
        <v>149</v>
      </c>
      <c r="G3171" t="s">
        <v>108</v>
      </c>
      <c r="H3171" t="s">
        <v>291</v>
      </c>
      <c r="I3171" t="s">
        <v>834</v>
      </c>
      <c r="J3171" t="s">
        <v>99</v>
      </c>
      <c r="K3171" t="s">
        <v>1048</v>
      </c>
      <c r="L3171" t="s">
        <v>99</v>
      </c>
      <c r="M3171" t="s">
        <v>99</v>
      </c>
      <c r="N3171" t="s">
        <v>99</v>
      </c>
    </row>
    <row r="3172" spans="1:14" x14ac:dyDescent="0.3">
      <c r="A3172" t="s">
        <v>49</v>
      </c>
      <c r="B3172" t="s">
        <v>389</v>
      </c>
      <c r="C3172">
        <v>8490</v>
      </c>
      <c r="D3172" t="s">
        <v>198</v>
      </c>
      <c r="E3172" t="s">
        <v>1053</v>
      </c>
      <c r="F3172" t="s">
        <v>197</v>
      </c>
      <c r="G3172" t="s">
        <v>141</v>
      </c>
      <c r="H3172" t="s">
        <v>412</v>
      </c>
      <c r="I3172" t="s">
        <v>437</v>
      </c>
      <c r="J3172" t="s">
        <v>136</v>
      </c>
      <c r="K3172" t="s">
        <v>682</v>
      </c>
      <c r="L3172" t="s">
        <v>198</v>
      </c>
      <c r="M3172" t="s">
        <v>99</v>
      </c>
      <c r="N3172" t="s">
        <v>99</v>
      </c>
    </row>
    <row r="3173" spans="1:14" x14ac:dyDescent="0.3">
      <c r="A3173" t="s">
        <v>49</v>
      </c>
      <c r="B3173" t="s">
        <v>390</v>
      </c>
      <c r="C3173">
        <v>4131</v>
      </c>
      <c r="D3173" t="s">
        <v>136</v>
      </c>
      <c r="E3173" t="s">
        <v>488</v>
      </c>
      <c r="F3173" t="s">
        <v>676</v>
      </c>
      <c r="G3173" t="s">
        <v>141</v>
      </c>
      <c r="H3173" t="s">
        <v>474</v>
      </c>
      <c r="I3173" t="s">
        <v>131</v>
      </c>
      <c r="J3173" t="s">
        <v>141</v>
      </c>
      <c r="K3173" t="s">
        <v>341</v>
      </c>
      <c r="L3173" t="s">
        <v>207</v>
      </c>
      <c r="M3173" t="s">
        <v>104</v>
      </c>
      <c r="N3173" t="s">
        <v>99</v>
      </c>
    </row>
    <row r="3174" spans="1:14" x14ac:dyDescent="0.3">
      <c r="A3174" t="s">
        <v>49</v>
      </c>
      <c r="B3174" t="s">
        <v>365</v>
      </c>
      <c r="C3174">
        <v>688</v>
      </c>
      <c r="D3174" t="s">
        <v>207</v>
      </c>
      <c r="E3174" t="s">
        <v>463</v>
      </c>
      <c r="F3174" t="s">
        <v>437</v>
      </c>
      <c r="G3174" t="s">
        <v>136</v>
      </c>
      <c r="H3174" t="s">
        <v>160</v>
      </c>
      <c r="I3174" t="s">
        <v>473</v>
      </c>
      <c r="J3174" t="s">
        <v>141</v>
      </c>
      <c r="K3174" t="s">
        <v>519</v>
      </c>
      <c r="L3174" t="s">
        <v>99</v>
      </c>
      <c r="M3174" t="s">
        <v>99</v>
      </c>
      <c r="N3174" t="s">
        <v>99</v>
      </c>
    </row>
    <row r="3176" spans="1:14" x14ac:dyDescent="0.3">
      <c r="A3176" t="s">
        <v>1385</v>
      </c>
    </row>
    <row r="3177" spans="1:14" x14ac:dyDescent="0.3">
      <c r="A3177" t="s">
        <v>44</v>
      </c>
      <c r="B3177" t="s">
        <v>235</v>
      </c>
      <c r="C3177" t="s">
        <v>32</v>
      </c>
      <c r="D3177" t="s">
        <v>1372</v>
      </c>
      <c r="E3177" t="s">
        <v>1373</v>
      </c>
      <c r="F3177" t="s">
        <v>1374</v>
      </c>
      <c r="G3177" t="s">
        <v>1375</v>
      </c>
      <c r="H3177" t="s">
        <v>1376</v>
      </c>
      <c r="I3177" t="s">
        <v>1377</v>
      </c>
      <c r="J3177" t="s">
        <v>1379</v>
      </c>
      <c r="K3177" t="s">
        <v>1353</v>
      </c>
      <c r="L3177" t="s">
        <v>1378</v>
      </c>
      <c r="M3177" t="s">
        <v>1380</v>
      </c>
      <c r="N3177" t="s">
        <v>88</v>
      </c>
    </row>
    <row r="3178" spans="1:14" x14ac:dyDescent="0.3">
      <c r="A3178" t="s">
        <v>35</v>
      </c>
      <c r="B3178" t="s">
        <v>236</v>
      </c>
      <c r="C3178">
        <v>1609</v>
      </c>
      <c r="D3178" t="s">
        <v>99</v>
      </c>
      <c r="E3178" t="s">
        <v>125</v>
      </c>
      <c r="F3178" t="s">
        <v>714</v>
      </c>
      <c r="G3178" t="s">
        <v>198</v>
      </c>
      <c r="H3178" t="s">
        <v>147</v>
      </c>
      <c r="I3178" t="s">
        <v>342</v>
      </c>
      <c r="J3178" t="s">
        <v>602</v>
      </c>
      <c r="K3178" t="s">
        <v>99</v>
      </c>
      <c r="L3178" t="s">
        <v>198</v>
      </c>
      <c r="M3178" t="s">
        <v>99</v>
      </c>
      <c r="N3178" t="s">
        <v>99</v>
      </c>
    </row>
    <row r="3179" spans="1:14" x14ac:dyDescent="0.3">
      <c r="A3179" t="s">
        <v>35</v>
      </c>
      <c r="B3179" t="s">
        <v>238</v>
      </c>
      <c r="C3179">
        <v>1534</v>
      </c>
      <c r="D3179" t="s">
        <v>99</v>
      </c>
      <c r="E3179" t="s">
        <v>577</v>
      </c>
      <c r="F3179" t="s">
        <v>1008</v>
      </c>
      <c r="G3179" t="s">
        <v>104</v>
      </c>
      <c r="H3179" t="s">
        <v>109</v>
      </c>
      <c r="I3179" t="s">
        <v>408</v>
      </c>
      <c r="J3179" t="s">
        <v>163</v>
      </c>
      <c r="K3179" t="s">
        <v>136</v>
      </c>
      <c r="L3179" t="s">
        <v>141</v>
      </c>
      <c r="M3179" t="s">
        <v>99</v>
      </c>
      <c r="N3179" t="s">
        <v>99</v>
      </c>
    </row>
    <row r="3180" spans="1:14" x14ac:dyDescent="0.3">
      <c r="A3180" t="s">
        <v>37</v>
      </c>
      <c r="B3180" t="s">
        <v>236</v>
      </c>
      <c r="C3180">
        <v>2211</v>
      </c>
      <c r="D3180" t="s">
        <v>198</v>
      </c>
      <c r="E3180" t="s">
        <v>268</v>
      </c>
      <c r="F3180" t="s">
        <v>432</v>
      </c>
      <c r="G3180" t="s">
        <v>99</v>
      </c>
      <c r="H3180" t="s">
        <v>319</v>
      </c>
      <c r="I3180" t="s">
        <v>42</v>
      </c>
      <c r="J3180" t="s">
        <v>1188</v>
      </c>
      <c r="K3180" t="s">
        <v>104</v>
      </c>
      <c r="L3180" t="s">
        <v>104</v>
      </c>
      <c r="M3180" t="s">
        <v>99</v>
      </c>
      <c r="N3180" t="s">
        <v>99</v>
      </c>
    </row>
    <row r="3181" spans="1:14" x14ac:dyDescent="0.3">
      <c r="A3181" t="s">
        <v>37</v>
      </c>
      <c r="B3181" t="s">
        <v>238</v>
      </c>
      <c r="C3181">
        <v>1644</v>
      </c>
      <c r="D3181" t="s">
        <v>198</v>
      </c>
      <c r="E3181" t="s">
        <v>924</v>
      </c>
      <c r="F3181" t="s">
        <v>523</v>
      </c>
      <c r="G3181" t="s">
        <v>104</v>
      </c>
      <c r="H3181" t="s">
        <v>110</v>
      </c>
      <c r="I3181" t="s">
        <v>1046</v>
      </c>
      <c r="J3181" t="s">
        <v>416</v>
      </c>
      <c r="K3181" t="s">
        <v>99</v>
      </c>
      <c r="L3181" t="s">
        <v>207</v>
      </c>
      <c r="M3181" t="s">
        <v>99</v>
      </c>
      <c r="N3181" t="s">
        <v>104</v>
      </c>
    </row>
    <row r="3182" spans="1:14" x14ac:dyDescent="0.3">
      <c r="A3182" t="s">
        <v>36</v>
      </c>
      <c r="B3182" t="s">
        <v>236</v>
      </c>
      <c r="C3182">
        <v>1563</v>
      </c>
      <c r="D3182" t="s">
        <v>121</v>
      </c>
      <c r="E3182" t="s">
        <v>332</v>
      </c>
      <c r="F3182" t="s">
        <v>676</v>
      </c>
      <c r="G3182" t="s">
        <v>434</v>
      </c>
      <c r="H3182" t="s">
        <v>675</v>
      </c>
      <c r="I3182" t="s">
        <v>321</v>
      </c>
      <c r="J3182" t="s">
        <v>1386</v>
      </c>
      <c r="K3182" t="s">
        <v>99</v>
      </c>
      <c r="L3182" t="s">
        <v>207</v>
      </c>
      <c r="M3182" t="s">
        <v>136</v>
      </c>
      <c r="N3182" t="s">
        <v>104</v>
      </c>
    </row>
    <row r="3183" spans="1:14" x14ac:dyDescent="0.3">
      <c r="A3183" t="s">
        <v>36</v>
      </c>
      <c r="B3183" t="s">
        <v>238</v>
      </c>
      <c r="C3183">
        <v>737</v>
      </c>
      <c r="D3183" t="s">
        <v>198</v>
      </c>
      <c r="E3183" t="s">
        <v>580</v>
      </c>
      <c r="F3183" t="s">
        <v>1045</v>
      </c>
      <c r="G3183" t="s">
        <v>126</v>
      </c>
      <c r="H3183" t="s">
        <v>296</v>
      </c>
      <c r="I3183" t="s">
        <v>726</v>
      </c>
      <c r="J3183" t="s">
        <v>416</v>
      </c>
      <c r="K3183" t="s">
        <v>253</v>
      </c>
      <c r="L3183" t="s">
        <v>127</v>
      </c>
      <c r="M3183" t="s">
        <v>104</v>
      </c>
      <c r="N3183" t="s">
        <v>99</v>
      </c>
    </row>
    <row r="3184" spans="1:14" x14ac:dyDescent="0.3">
      <c r="A3184" t="s">
        <v>34</v>
      </c>
      <c r="B3184" t="s">
        <v>236</v>
      </c>
      <c r="C3184">
        <v>716</v>
      </c>
      <c r="D3184" t="s">
        <v>121</v>
      </c>
      <c r="E3184" t="s">
        <v>722</v>
      </c>
      <c r="F3184" t="s">
        <v>457</v>
      </c>
      <c r="G3184" t="s">
        <v>121</v>
      </c>
      <c r="H3184" t="s">
        <v>145</v>
      </c>
      <c r="I3184" t="s">
        <v>708</v>
      </c>
      <c r="J3184" t="s">
        <v>823</v>
      </c>
      <c r="K3184" t="s">
        <v>104</v>
      </c>
      <c r="L3184" t="s">
        <v>101</v>
      </c>
      <c r="M3184" t="s">
        <v>99</v>
      </c>
      <c r="N3184" t="s">
        <v>99</v>
      </c>
    </row>
    <row r="3185" spans="1:14" x14ac:dyDescent="0.3">
      <c r="A3185" t="s">
        <v>34</v>
      </c>
      <c r="B3185" t="s">
        <v>238</v>
      </c>
      <c r="C3185">
        <v>1358</v>
      </c>
      <c r="D3185" t="s">
        <v>136</v>
      </c>
      <c r="E3185" t="s">
        <v>1068</v>
      </c>
      <c r="F3185" t="s">
        <v>534</v>
      </c>
      <c r="G3185" t="s">
        <v>114</v>
      </c>
      <c r="H3185" t="s">
        <v>145</v>
      </c>
      <c r="I3185" t="s">
        <v>676</v>
      </c>
      <c r="J3185" t="s">
        <v>294</v>
      </c>
      <c r="K3185" t="s">
        <v>136</v>
      </c>
      <c r="L3185" t="s">
        <v>136</v>
      </c>
      <c r="M3185" t="s">
        <v>104</v>
      </c>
      <c r="N3185" t="s">
        <v>99</v>
      </c>
    </row>
    <row r="3186" spans="1:14" x14ac:dyDescent="0.3">
      <c r="A3186" t="s">
        <v>33</v>
      </c>
      <c r="B3186" t="s">
        <v>236</v>
      </c>
      <c r="C3186">
        <v>1116</v>
      </c>
      <c r="D3186" t="s">
        <v>104</v>
      </c>
      <c r="E3186" t="s">
        <v>114</v>
      </c>
      <c r="F3186" t="s">
        <v>244</v>
      </c>
      <c r="G3186" t="s">
        <v>104</v>
      </c>
      <c r="H3186" t="s">
        <v>332</v>
      </c>
      <c r="I3186" t="s">
        <v>517</v>
      </c>
      <c r="J3186" t="s">
        <v>641</v>
      </c>
      <c r="K3186" t="s">
        <v>99</v>
      </c>
      <c r="L3186" t="s">
        <v>99</v>
      </c>
      <c r="M3186" t="s">
        <v>99</v>
      </c>
      <c r="N3186" t="s">
        <v>99</v>
      </c>
    </row>
    <row r="3187" spans="1:14" x14ac:dyDescent="0.3">
      <c r="A3187" t="s">
        <v>33</v>
      </c>
      <c r="B3187" t="s">
        <v>238</v>
      </c>
      <c r="C3187">
        <v>821</v>
      </c>
      <c r="D3187" t="s">
        <v>99</v>
      </c>
      <c r="E3187" t="s">
        <v>838</v>
      </c>
      <c r="F3187" t="s">
        <v>357</v>
      </c>
      <c r="G3187" t="s">
        <v>136</v>
      </c>
      <c r="H3187" t="s">
        <v>74</v>
      </c>
      <c r="I3187" t="s">
        <v>713</v>
      </c>
      <c r="J3187" t="s">
        <v>716</v>
      </c>
      <c r="K3187" t="s">
        <v>104</v>
      </c>
      <c r="L3187" t="s">
        <v>253</v>
      </c>
      <c r="M3187" t="s">
        <v>99</v>
      </c>
      <c r="N3187" t="s">
        <v>99</v>
      </c>
    </row>
    <row r="3188" spans="1:14" x14ac:dyDescent="0.3">
      <c r="A3188" t="s">
        <v>49</v>
      </c>
      <c r="B3188" t="s">
        <v>236</v>
      </c>
      <c r="C3188">
        <v>7215</v>
      </c>
      <c r="D3188" t="s">
        <v>136</v>
      </c>
      <c r="E3188" t="s">
        <v>112</v>
      </c>
      <c r="F3188" t="s">
        <v>739</v>
      </c>
      <c r="G3188" t="s">
        <v>253</v>
      </c>
      <c r="H3188" t="s">
        <v>105</v>
      </c>
      <c r="I3188" t="s">
        <v>517</v>
      </c>
      <c r="J3188" t="s">
        <v>598</v>
      </c>
      <c r="K3188" t="s">
        <v>104</v>
      </c>
      <c r="L3188" t="s">
        <v>207</v>
      </c>
      <c r="M3188" t="s">
        <v>99</v>
      </c>
      <c r="N3188" t="s">
        <v>99</v>
      </c>
    </row>
    <row r="3189" spans="1:14" x14ac:dyDescent="0.3">
      <c r="A3189" t="s">
        <v>49</v>
      </c>
      <c r="B3189" t="s">
        <v>238</v>
      </c>
      <c r="C3189">
        <v>6094</v>
      </c>
      <c r="D3189" t="s">
        <v>104</v>
      </c>
      <c r="E3189" t="s">
        <v>1154</v>
      </c>
      <c r="F3189" t="s">
        <v>802</v>
      </c>
      <c r="G3189" t="s">
        <v>141</v>
      </c>
      <c r="H3189" t="s">
        <v>74</v>
      </c>
      <c r="I3189" t="s">
        <v>720</v>
      </c>
      <c r="J3189" t="s">
        <v>408</v>
      </c>
      <c r="K3189" t="s">
        <v>207</v>
      </c>
      <c r="L3189" t="s">
        <v>141</v>
      </c>
      <c r="M3189" t="s">
        <v>99</v>
      </c>
      <c r="N3189" t="s">
        <v>99</v>
      </c>
    </row>
    <row r="3191" spans="1:14" x14ac:dyDescent="0.3">
      <c r="A3191" t="s">
        <v>1387</v>
      </c>
    </row>
    <row r="3192" spans="1:14" x14ac:dyDescent="0.3">
      <c r="A3192" t="s">
        <v>44</v>
      </c>
      <c r="B3192" t="s">
        <v>257</v>
      </c>
      <c r="C3192" t="s">
        <v>32</v>
      </c>
      <c r="D3192" t="s">
        <v>1372</v>
      </c>
      <c r="E3192" t="s">
        <v>1373</v>
      </c>
      <c r="F3192" t="s">
        <v>1374</v>
      </c>
      <c r="G3192" t="s">
        <v>1375</v>
      </c>
      <c r="H3192" t="s">
        <v>1353</v>
      </c>
      <c r="I3192" t="s">
        <v>1376</v>
      </c>
      <c r="J3192" t="s">
        <v>1377</v>
      </c>
      <c r="K3192" t="s">
        <v>1378</v>
      </c>
      <c r="L3192" t="s">
        <v>1379</v>
      </c>
      <c r="M3192" t="s">
        <v>1380</v>
      </c>
      <c r="N3192" t="s">
        <v>88</v>
      </c>
    </row>
    <row r="3193" spans="1:14" x14ac:dyDescent="0.3">
      <c r="A3193" t="s">
        <v>35</v>
      </c>
      <c r="B3193" t="s">
        <v>258</v>
      </c>
      <c r="C3193">
        <v>2871</v>
      </c>
      <c r="D3193" t="s">
        <v>99</v>
      </c>
      <c r="E3193" t="s">
        <v>1148</v>
      </c>
      <c r="F3193" t="s">
        <v>478</v>
      </c>
      <c r="G3193" t="s">
        <v>104</v>
      </c>
      <c r="H3193" t="s">
        <v>198</v>
      </c>
      <c r="I3193" t="s">
        <v>145</v>
      </c>
      <c r="J3193" t="s">
        <v>678</v>
      </c>
      <c r="K3193" t="s">
        <v>136</v>
      </c>
      <c r="L3193" t="s">
        <v>491</v>
      </c>
      <c r="M3193" t="s">
        <v>99</v>
      </c>
      <c r="N3193" t="s">
        <v>99</v>
      </c>
    </row>
    <row r="3194" spans="1:14" x14ac:dyDescent="0.3">
      <c r="A3194" t="s">
        <v>35</v>
      </c>
      <c r="B3194" t="s">
        <v>260</v>
      </c>
      <c r="C3194">
        <v>272</v>
      </c>
      <c r="D3194" t="s">
        <v>99</v>
      </c>
      <c r="E3194" t="s">
        <v>864</v>
      </c>
      <c r="F3194" t="s">
        <v>276</v>
      </c>
      <c r="G3194" t="s">
        <v>207</v>
      </c>
      <c r="H3194" t="s">
        <v>132</v>
      </c>
      <c r="I3194" t="s">
        <v>132</v>
      </c>
      <c r="J3194" t="s">
        <v>184</v>
      </c>
      <c r="K3194" t="s">
        <v>99</v>
      </c>
      <c r="L3194" t="s">
        <v>652</v>
      </c>
      <c r="M3194" t="s">
        <v>99</v>
      </c>
      <c r="N3194" t="s">
        <v>99</v>
      </c>
    </row>
    <row r="3195" spans="1:14" x14ac:dyDescent="0.3">
      <c r="A3195" t="s">
        <v>37</v>
      </c>
      <c r="B3195" t="s">
        <v>258</v>
      </c>
      <c r="C3195">
        <v>3855</v>
      </c>
      <c r="D3195" t="s">
        <v>198</v>
      </c>
      <c r="E3195" t="s">
        <v>393</v>
      </c>
      <c r="F3195" t="s">
        <v>691</v>
      </c>
      <c r="G3195" t="s">
        <v>104</v>
      </c>
      <c r="H3195" t="s">
        <v>104</v>
      </c>
      <c r="I3195" t="s">
        <v>117</v>
      </c>
      <c r="J3195" t="s">
        <v>681</v>
      </c>
      <c r="K3195" t="s">
        <v>198</v>
      </c>
      <c r="L3195" t="s">
        <v>719</v>
      </c>
      <c r="M3195" t="s">
        <v>99</v>
      </c>
      <c r="N3195" t="s">
        <v>99</v>
      </c>
    </row>
    <row r="3196" spans="1:14" x14ac:dyDescent="0.3">
      <c r="A3196" t="s">
        <v>36</v>
      </c>
      <c r="B3196" t="s">
        <v>258</v>
      </c>
      <c r="C3196">
        <v>2096</v>
      </c>
      <c r="D3196" t="s">
        <v>141</v>
      </c>
      <c r="E3196" t="s">
        <v>933</v>
      </c>
      <c r="F3196" t="s">
        <v>747</v>
      </c>
      <c r="G3196" t="s">
        <v>316</v>
      </c>
      <c r="H3196" t="s">
        <v>207</v>
      </c>
      <c r="I3196" t="s">
        <v>248</v>
      </c>
      <c r="J3196" t="s">
        <v>264</v>
      </c>
      <c r="K3196" t="s">
        <v>100</v>
      </c>
      <c r="L3196" t="s">
        <v>920</v>
      </c>
      <c r="M3196" t="s">
        <v>198</v>
      </c>
      <c r="N3196" t="s">
        <v>99</v>
      </c>
    </row>
    <row r="3197" spans="1:14" x14ac:dyDescent="0.3">
      <c r="A3197" t="s">
        <v>36</v>
      </c>
      <c r="B3197" t="s">
        <v>260</v>
      </c>
      <c r="C3197">
        <v>204</v>
      </c>
      <c r="D3197" t="s">
        <v>98</v>
      </c>
      <c r="E3197" t="s">
        <v>184</v>
      </c>
      <c r="F3197" t="s">
        <v>731</v>
      </c>
      <c r="G3197" t="s">
        <v>98</v>
      </c>
      <c r="H3197" t="s">
        <v>99</v>
      </c>
      <c r="I3197" t="s">
        <v>254</v>
      </c>
      <c r="J3197" t="s">
        <v>147</v>
      </c>
      <c r="K3197" t="s">
        <v>126</v>
      </c>
      <c r="L3197" t="s">
        <v>589</v>
      </c>
      <c r="M3197" t="s">
        <v>141</v>
      </c>
      <c r="N3197" t="s">
        <v>99</v>
      </c>
    </row>
    <row r="3198" spans="1:14" x14ac:dyDescent="0.3">
      <c r="A3198" t="s">
        <v>34</v>
      </c>
      <c r="B3198" t="s">
        <v>258</v>
      </c>
      <c r="C3198">
        <v>1221</v>
      </c>
      <c r="D3198" t="s">
        <v>99</v>
      </c>
      <c r="E3198" t="s">
        <v>1157</v>
      </c>
      <c r="F3198" t="s">
        <v>357</v>
      </c>
      <c r="G3198" t="s">
        <v>121</v>
      </c>
      <c r="H3198" t="s">
        <v>104</v>
      </c>
      <c r="I3198" t="s">
        <v>117</v>
      </c>
      <c r="J3198" t="s">
        <v>146</v>
      </c>
      <c r="K3198" t="s">
        <v>136</v>
      </c>
      <c r="L3198" t="s">
        <v>175</v>
      </c>
      <c r="M3198" t="s">
        <v>99</v>
      </c>
      <c r="N3198" t="s">
        <v>99</v>
      </c>
    </row>
    <row r="3199" spans="1:14" x14ac:dyDescent="0.3">
      <c r="A3199" t="s">
        <v>34</v>
      </c>
      <c r="B3199" t="s">
        <v>260</v>
      </c>
      <c r="C3199">
        <v>853</v>
      </c>
      <c r="D3199" t="s">
        <v>114</v>
      </c>
      <c r="E3199" t="s">
        <v>832</v>
      </c>
      <c r="F3199" t="s">
        <v>795</v>
      </c>
      <c r="G3199" t="s">
        <v>114</v>
      </c>
      <c r="H3199" t="s">
        <v>141</v>
      </c>
      <c r="I3199" t="s">
        <v>461</v>
      </c>
      <c r="J3199" t="s">
        <v>434</v>
      </c>
      <c r="K3199" t="s">
        <v>132</v>
      </c>
      <c r="L3199" t="s">
        <v>347</v>
      </c>
      <c r="M3199" t="s">
        <v>198</v>
      </c>
      <c r="N3199" t="s">
        <v>99</v>
      </c>
    </row>
    <row r="3200" spans="1:14" x14ac:dyDescent="0.3">
      <c r="A3200" t="s">
        <v>33</v>
      </c>
      <c r="B3200" t="s">
        <v>258</v>
      </c>
      <c r="C3200">
        <v>1937</v>
      </c>
      <c r="D3200" t="s">
        <v>99</v>
      </c>
      <c r="E3200" t="s">
        <v>186</v>
      </c>
      <c r="F3200" t="s">
        <v>701</v>
      </c>
      <c r="G3200" t="s">
        <v>198</v>
      </c>
      <c r="H3200" t="s">
        <v>104</v>
      </c>
      <c r="I3200" t="s">
        <v>68</v>
      </c>
      <c r="J3200" t="s">
        <v>40</v>
      </c>
      <c r="K3200" t="s">
        <v>207</v>
      </c>
      <c r="L3200" t="s">
        <v>283</v>
      </c>
      <c r="M3200" t="s">
        <v>99</v>
      </c>
      <c r="N3200" t="s">
        <v>99</v>
      </c>
    </row>
    <row r="3201" spans="1:14" x14ac:dyDescent="0.3">
      <c r="A3201" t="s">
        <v>49</v>
      </c>
      <c r="B3201" t="s">
        <v>258</v>
      </c>
      <c r="C3201">
        <v>11980</v>
      </c>
      <c r="D3201" t="s">
        <v>104</v>
      </c>
      <c r="E3201" t="s">
        <v>665</v>
      </c>
      <c r="F3201" t="s">
        <v>990</v>
      </c>
      <c r="G3201" t="s">
        <v>141</v>
      </c>
      <c r="H3201" t="s">
        <v>104</v>
      </c>
      <c r="I3201" t="s">
        <v>139</v>
      </c>
      <c r="J3201" t="s">
        <v>246</v>
      </c>
      <c r="K3201" t="s">
        <v>136</v>
      </c>
      <c r="L3201" t="s">
        <v>347</v>
      </c>
      <c r="M3201" t="s">
        <v>99</v>
      </c>
      <c r="N3201" t="s">
        <v>99</v>
      </c>
    </row>
    <row r="3202" spans="1:14" x14ac:dyDescent="0.3">
      <c r="A3202" t="s">
        <v>49</v>
      </c>
      <c r="B3202" t="s">
        <v>260</v>
      </c>
      <c r="C3202">
        <v>1329</v>
      </c>
      <c r="D3202" t="s">
        <v>132</v>
      </c>
      <c r="E3202" t="s">
        <v>156</v>
      </c>
      <c r="F3202" t="s">
        <v>347</v>
      </c>
      <c r="G3202" t="s">
        <v>108</v>
      </c>
      <c r="H3202" t="s">
        <v>141</v>
      </c>
      <c r="I3202" t="s">
        <v>160</v>
      </c>
      <c r="J3202" t="s">
        <v>242</v>
      </c>
      <c r="K3202" t="s">
        <v>115</v>
      </c>
      <c r="L3202" t="s">
        <v>456</v>
      </c>
      <c r="M3202" t="s">
        <v>104</v>
      </c>
      <c r="N3202" t="s">
        <v>99</v>
      </c>
    </row>
    <row r="3204" spans="1:14" x14ac:dyDescent="0.3">
      <c r="A3204" t="s">
        <v>1388</v>
      </c>
    </row>
    <row r="3205" spans="1:14" x14ac:dyDescent="0.3">
      <c r="A3205" t="s">
        <v>44</v>
      </c>
      <c r="B3205" t="s">
        <v>1389</v>
      </c>
      <c r="C3205" t="s">
        <v>32</v>
      </c>
      <c r="D3205" t="s">
        <v>1373</v>
      </c>
      <c r="E3205" t="s">
        <v>1374</v>
      </c>
      <c r="F3205" t="s">
        <v>1377</v>
      </c>
      <c r="G3205" t="s">
        <v>1379</v>
      </c>
      <c r="H3205" t="s">
        <v>1372</v>
      </c>
      <c r="I3205" t="s">
        <v>1375</v>
      </c>
      <c r="J3205" t="s">
        <v>1353</v>
      </c>
      <c r="K3205" t="s">
        <v>1376</v>
      </c>
      <c r="L3205" t="s">
        <v>1378</v>
      </c>
      <c r="M3205" t="s">
        <v>1380</v>
      </c>
      <c r="N3205" t="s">
        <v>88</v>
      </c>
    </row>
    <row r="3206" spans="1:14" x14ac:dyDescent="0.3">
      <c r="A3206" t="s">
        <v>35</v>
      </c>
      <c r="B3206" t="s">
        <v>1390</v>
      </c>
      <c r="C3206">
        <v>276</v>
      </c>
      <c r="D3206" t="s">
        <v>837</v>
      </c>
      <c r="E3206" t="s">
        <v>722</v>
      </c>
      <c r="F3206" t="s">
        <v>287</v>
      </c>
      <c r="G3206" t="s">
        <v>682</v>
      </c>
      <c r="H3206" t="s">
        <v>99</v>
      </c>
      <c r="I3206" t="s">
        <v>207</v>
      </c>
      <c r="J3206" t="s">
        <v>99</v>
      </c>
      <c r="K3206" t="s">
        <v>369</v>
      </c>
      <c r="L3206" t="s">
        <v>117</v>
      </c>
      <c r="M3206" t="s">
        <v>99</v>
      </c>
      <c r="N3206" t="s">
        <v>104</v>
      </c>
    </row>
    <row r="3207" spans="1:14" x14ac:dyDescent="0.3">
      <c r="A3207" t="s">
        <v>35</v>
      </c>
      <c r="B3207" t="s">
        <v>1391</v>
      </c>
      <c r="C3207">
        <v>2865</v>
      </c>
      <c r="D3207" t="s">
        <v>843</v>
      </c>
      <c r="E3207" t="s">
        <v>309</v>
      </c>
      <c r="F3207" t="s">
        <v>705</v>
      </c>
      <c r="G3207" t="s">
        <v>706</v>
      </c>
      <c r="H3207" t="s">
        <v>99</v>
      </c>
      <c r="I3207" t="s">
        <v>104</v>
      </c>
      <c r="J3207" t="s">
        <v>207</v>
      </c>
      <c r="K3207" t="s">
        <v>277</v>
      </c>
      <c r="L3207" t="s">
        <v>104</v>
      </c>
      <c r="M3207" t="s">
        <v>99</v>
      </c>
      <c r="N3207" t="s">
        <v>99</v>
      </c>
    </row>
    <row r="3208" spans="1:14" x14ac:dyDescent="0.3">
      <c r="A3208" t="s">
        <v>35</v>
      </c>
      <c r="B3208" t="s">
        <v>365</v>
      </c>
      <c r="C3208">
        <v>2</v>
      </c>
      <c r="D3208" t="s">
        <v>211</v>
      </c>
      <c r="E3208" t="s">
        <v>99</v>
      </c>
      <c r="F3208" t="s">
        <v>99</v>
      </c>
      <c r="G3208" t="s">
        <v>99</v>
      </c>
      <c r="H3208" t="s">
        <v>99</v>
      </c>
      <c r="I3208" t="s">
        <v>99</v>
      </c>
      <c r="J3208" t="s">
        <v>99</v>
      </c>
      <c r="K3208" t="s">
        <v>99</v>
      </c>
      <c r="L3208" t="s">
        <v>99</v>
      </c>
      <c r="M3208" t="s">
        <v>99</v>
      </c>
      <c r="N3208" t="s">
        <v>99</v>
      </c>
    </row>
    <row r="3209" spans="1:14" x14ac:dyDescent="0.3">
      <c r="A3209" t="s">
        <v>37</v>
      </c>
      <c r="B3209" t="s">
        <v>1390</v>
      </c>
      <c r="C3209">
        <v>269</v>
      </c>
      <c r="D3209" t="s">
        <v>287</v>
      </c>
      <c r="E3209" t="s">
        <v>1008</v>
      </c>
      <c r="F3209" t="s">
        <v>175</v>
      </c>
      <c r="G3209" t="s">
        <v>599</v>
      </c>
      <c r="H3209" t="s">
        <v>253</v>
      </c>
      <c r="I3209" t="s">
        <v>99</v>
      </c>
      <c r="J3209" t="s">
        <v>99</v>
      </c>
      <c r="K3209" t="s">
        <v>103</v>
      </c>
      <c r="L3209" t="s">
        <v>253</v>
      </c>
      <c r="M3209" t="s">
        <v>99</v>
      </c>
      <c r="N3209" t="s">
        <v>99</v>
      </c>
    </row>
    <row r="3210" spans="1:14" x14ac:dyDescent="0.3">
      <c r="A3210" t="s">
        <v>37</v>
      </c>
      <c r="B3210" t="s">
        <v>1391</v>
      </c>
      <c r="C3210">
        <v>3572</v>
      </c>
      <c r="D3210" t="s">
        <v>687</v>
      </c>
      <c r="E3210" t="s">
        <v>432</v>
      </c>
      <c r="F3210" t="s">
        <v>916</v>
      </c>
      <c r="G3210" t="s">
        <v>592</v>
      </c>
      <c r="H3210" t="s">
        <v>198</v>
      </c>
      <c r="I3210" t="s">
        <v>104</v>
      </c>
      <c r="J3210" t="s">
        <v>104</v>
      </c>
      <c r="K3210" t="s">
        <v>117</v>
      </c>
      <c r="L3210" t="s">
        <v>104</v>
      </c>
      <c r="M3210" t="s">
        <v>99</v>
      </c>
      <c r="N3210" t="s">
        <v>99</v>
      </c>
    </row>
    <row r="3211" spans="1:14" x14ac:dyDescent="0.3">
      <c r="A3211" t="s">
        <v>37</v>
      </c>
      <c r="B3211" t="s">
        <v>365</v>
      </c>
      <c r="C3211">
        <v>14</v>
      </c>
      <c r="D3211" t="s">
        <v>303</v>
      </c>
      <c r="E3211" t="s">
        <v>1222</v>
      </c>
      <c r="F3211" t="s">
        <v>40</v>
      </c>
      <c r="G3211" t="s">
        <v>420</v>
      </c>
      <c r="H3211" t="s">
        <v>99</v>
      </c>
      <c r="I3211" t="s">
        <v>99</v>
      </c>
      <c r="J3211" t="s">
        <v>99</v>
      </c>
      <c r="K3211" t="s">
        <v>160</v>
      </c>
      <c r="L3211" t="s">
        <v>99</v>
      </c>
      <c r="M3211" t="s">
        <v>99</v>
      </c>
      <c r="N3211" t="s">
        <v>99</v>
      </c>
    </row>
    <row r="3212" spans="1:14" x14ac:dyDescent="0.3">
      <c r="A3212" t="s">
        <v>36</v>
      </c>
      <c r="B3212" t="s">
        <v>1390</v>
      </c>
      <c r="C3212">
        <v>273</v>
      </c>
      <c r="D3212" t="s">
        <v>218</v>
      </c>
      <c r="E3212" t="s">
        <v>834</v>
      </c>
      <c r="F3212" t="s">
        <v>135</v>
      </c>
      <c r="G3212" t="s">
        <v>667</v>
      </c>
      <c r="H3212" t="s">
        <v>121</v>
      </c>
      <c r="I3212" t="s">
        <v>120</v>
      </c>
      <c r="J3212" t="s">
        <v>132</v>
      </c>
      <c r="K3212" t="s">
        <v>251</v>
      </c>
      <c r="L3212" t="s">
        <v>155</v>
      </c>
      <c r="M3212" t="s">
        <v>99</v>
      </c>
      <c r="N3212" t="s">
        <v>99</v>
      </c>
    </row>
    <row r="3213" spans="1:14" x14ac:dyDescent="0.3">
      <c r="A3213" t="s">
        <v>36</v>
      </c>
      <c r="B3213" t="s">
        <v>1391</v>
      </c>
      <c r="C3213">
        <v>2023</v>
      </c>
      <c r="D3213" t="s">
        <v>692</v>
      </c>
      <c r="E3213" t="s">
        <v>734</v>
      </c>
      <c r="F3213" t="s">
        <v>694</v>
      </c>
      <c r="G3213" t="s">
        <v>42</v>
      </c>
      <c r="H3213" t="s">
        <v>141</v>
      </c>
      <c r="I3213" t="s">
        <v>316</v>
      </c>
      <c r="J3213" t="s">
        <v>207</v>
      </c>
      <c r="K3213" t="s">
        <v>70</v>
      </c>
      <c r="L3213" t="s">
        <v>108</v>
      </c>
      <c r="M3213" t="s">
        <v>198</v>
      </c>
      <c r="N3213" t="s">
        <v>104</v>
      </c>
    </row>
    <row r="3214" spans="1:14" x14ac:dyDescent="0.3">
      <c r="A3214" t="s">
        <v>36</v>
      </c>
      <c r="B3214" t="s">
        <v>365</v>
      </c>
      <c r="C3214">
        <v>4</v>
      </c>
      <c r="D3214" t="s">
        <v>99</v>
      </c>
      <c r="E3214" t="s">
        <v>99</v>
      </c>
      <c r="F3214" t="s">
        <v>99</v>
      </c>
      <c r="G3214" t="s">
        <v>982</v>
      </c>
      <c r="H3214" t="s">
        <v>99</v>
      </c>
      <c r="I3214" t="s">
        <v>99</v>
      </c>
      <c r="J3214" t="s">
        <v>99</v>
      </c>
      <c r="K3214" t="s">
        <v>100</v>
      </c>
      <c r="L3214" t="s">
        <v>99</v>
      </c>
      <c r="M3214" t="s">
        <v>99</v>
      </c>
      <c r="N3214" t="s">
        <v>99</v>
      </c>
    </row>
    <row r="3215" spans="1:14" x14ac:dyDescent="0.3">
      <c r="A3215" t="s">
        <v>34</v>
      </c>
      <c r="B3215" t="s">
        <v>1390</v>
      </c>
      <c r="C3215">
        <v>260</v>
      </c>
      <c r="D3215" t="s">
        <v>742</v>
      </c>
      <c r="E3215" t="s">
        <v>529</v>
      </c>
      <c r="F3215" t="s">
        <v>254</v>
      </c>
      <c r="G3215" t="s">
        <v>224</v>
      </c>
      <c r="H3215" t="s">
        <v>319</v>
      </c>
      <c r="I3215" t="s">
        <v>121</v>
      </c>
      <c r="J3215" t="s">
        <v>115</v>
      </c>
      <c r="K3215" t="s">
        <v>363</v>
      </c>
      <c r="L3215" t="s">
        <v>103</v>
      </c>
      <c r="M3215" t="s">
        <v>207</v>
      </c>
      <c r="N3215" t="s">
        <v>99</v>
      </c>
    </row>
    <row r="3216" spans="1:14" x14ac:dyDescent="0.3">
      <c r="A3216" t="s">
        <v>34</v>
      </c>
      <c r="B3216" t="s">
        <v>1391</v>
      </c>
      <c r="C3216">
        <v>1811</v>
      </c>
      <c r="D3216" t="s">
        <v>485</v>
      </c>
      <c r="E3216" t="s">
        <v>805</v>
      </c>
      <c r="F3216" t="s">
        <v>807</v>
      </c>
      <c r="G3216" t="s">
        <v>748</v>
      </c>
      <c r="H3216" t="s">
        <v>141</v>
      </c>
      <c r="I3216" t="s">
        <v>114</v>
      </c>
      <c r="J3216" t="s">
        <v>198</v>
      </c>
      <c r="K3216" t="s">
        <v>204</v>
      </c>
      <c r="L3216" t="s">
        <v>198</v>
      </c>
      <c r="M3216" t="s">
        <v>104</v>
      </c>
      <c r="N3216" t="s">
        <v>99</v>
      </c>
    </row>
    <row r="3217" spans="1:14" x14ac:dyDescent="0.3">
      <c r="A3217" t="s">
        <v>34</v>
      </c>
      <c r="B3217" t="s">
        <v>365</v>
      </c>
      <c r="C3217">
        <v>3</v>
      </c>
      <c r="D3217" t="s">
        <v>211</v>
      </c>
      <c r="E3217" t="s">
        <v>99</v>
      </c>
      <c r="F3217" t="s">
        <v>99</v>
      </c>
      <c r="G3217" t="s">
        <v>99</v>
      </c>
      <c r="H3217" t="s">
        <v>99</v>
      </c>
      <c r="I3217" t="s">
        <v>99</v>
      </c>
      <c r="J3217" t="s">
        <v>99</v>
      </c>
      <c r="K3217" t="s">
        <v>99</v>
      </c>
      <c r="L3217" t="s">
        <v>99</v>
      </c>
      <c r="M3217" t="s">
        <v>99</v>
      </c>
      <c r="N3217" t="s">
        <v>99</v>
      </c>
    </row>
    <row r="3218" spans="1:14" s="5" customFormat="1" x14ac:dyDescent="0.3">
      <c r="A3218" s="5" t="s">
        <v>33</v>
      </c>
      <c r="B3218" s="5" t="s">
        <v>1390</v>
      </c>
      <c r="C3218" s="5">
        <v>14</v>
      </c>
      <c r="D3218" s="5" t="s">
        <v>41</v>
      </c>
      <c r="E3218" s="5" t="s">
        <v>201</v>
      </c>
      <c r="F3218" s="5" t="s">
        <v>739</v>
      </c>
      <c r="G3218" s="5" t="s">
        <v>896</v>
      </c>
      <c r="H3218" s="5" t="s">
        <v>99</v>
      </c>
      <c r="I3218" s="5" t="s">
        <v>99</v>
      </c>
      <c r="J3218" s="5" t="s">
        <v>99</v>
      </c>
      <c r="K3218" s="5" t="s">
        <v>99</v>
      </c>
      <c r="L3218" s="5" t="s">
        <v>99</v>
      </c>
      <c r="M3218" s="5" t="s">
        <v>99</v>
      </c>
      <c r="N3218" s="5" t="s">
        <v>99</v>
      </c>
    </row>
    <row r="3219" spans="1:14" x14ac:dyDescent="0.3">
      <c r="A3219" t="s">
        <v>33</v>
      </c>
      <c r="B3219" t="s">
        <v>1391</v>
      </c>
      <c r="C3219">
        <v>1922</v>
      </c>
      <c r="D3219" t="s">
        <v>393</v>
      </c>
      <c r="E3219" t="s">
        <v>701</v>
      </c>
      <c r="F3219" t="s">
        <v>116</v>
      </c>
      <c r="G3219" t="s">
        <v>929</v>
      </c>
      <c r="H3219" t="s">
        <v>99</v>
      </c>
      <c r="I3219" t="s">
        <v>198</v>
      </c>
      <c r="J3219" t="s">
        <v>104</v>
      </c>
      <c r="K3219" t="s">
        <v>242</v>
      </c>
      <c r="L3219" t="s">
        <v>207</v>
      </c>
      <c r="M3219" t="s">
        <v>99</v>
      </c>
      <c r="N3219" t="s">
        <v>99</v>
      </c>
    </row>
    <row r="3220" spans="1:14" x14ac:dyDescent="0.3">
      <c r="A3220" t="s">
        <v>33</v>
      </c>
      <c r="B3220" t="s">
        <v>365</v>
      </c>
      <c r="C3220">
        <v>1</v>
      </c>
      <c r="D3220" t="s">
        <v>99</v>
      </c>
      <c r="E3220" t="s">
        <v>99</v>
      </c>
      <c r="F3220" t="s">
        <v>99</v>
      </c>
      <c r="G3220" t="s">
        <v>211</v>
      </c>
      <c r="H3220" t="s">
        <v>99</v>
      </c>
      <c r="I3220" t="s">
        <v>99</v>
      </c>
      <c r="J3220" t="s">
        <v>99</v>
      </c>
      <c r="K3220" t="s">
        <v>99</v>
      </c>
      <c r="L3220" t="s">
        <v>99</v>
      </c>
      <c r="M3220" t="s">
        <v>99</v>
      </c>
      <c r="N3220" t="s">
        <v>99</v>
      </c>
    </row>
    <row r="3221" spans="1:14" x14ac:dyDescent="0.3">
      <c r="A3221" t="s">
        <v>49</v>
      </c>
      <c r="B3221" t="s">
        <v>1390</v>
      </c>
      <c r="C3221">
        <v>1092</v>
      </c>
      <c r="D3221" t="s">
        <v>451</v>
      </c>
      <c r="E3221" t="s">
        <v>463</v>
      </c>
      <c r="F3221" t="s">
        <v>405</v>
      </c>
      <c r="G3221" t="s">
        <v>713</v>
      </c>
      <c r="H3221" t="s">
        <v>115</v>
      </c>
      <c r="I3221" t="s">
        <v>132</v>
      </c>
      <c r="J3221" t="s">
        <v>207</v>
      </c>
      <c r="K3221" t="s">
        <v>70</v>
      </c>
      <c r="L3221" t="s">
        <v>292</v>
      </c>
      <c r="M3221" t="s">
        <v>104</v>
      </c>
      <c r="N3221" t="s">
        <v>99</v>
      </c>
    </row>
    <row r="3222" spans="1:14" x14ac:dyDescent="0.3">
      <c r="A3222" t="s">
        <v>49</v>
      </c>
      <c r="B3222" t="s">
        <v>1391</v>
      </c>
      <c r="C3222">
        <v>12193</v>
      </c>
      <c r="D3222" t="s">
        <v>742</v>
      </c>
      <c r="E3222" t="s">
        <v>410</v>
      </c>
      <c r="F3222" t="s">
        <v>692</v>
      </c>
      <c r="G3222" t="s">
        <v>732</v>
      </c>
      <c r="H3222" t="s">
        <v>198</v>
      </c>
      <c r="I3222" t="s">
        <v>141</v>
      </c>
      <c r="J3222" t="s">
        <v>198</v>
      </c>
      <c r="K3222" t="s">
        <v>139</v>
      </c>
      <c r="L3222" t="s">
        <v>198</v>
      </c>
      <c r="M3222" t="s">
        <v>99</v>
      </c>
      <c r="N3222" t="s">
        <v>99</v>
      </c>
    </row>
    <row r="3223" spans="1:14" x14ac:dyDescent="0.3">
      <c r="A3223" t="s">
        <v>49</v>
      </c>
      <c r="B3223" t="s">
        <v>365</v>
      </c>
      <c r="C3223">
        <v>24</v>
      </c>
      <c r="D3223" t="s">
        <v>604</v>
      </c>
      <c r="E3223" t="s">
        <v>406</v>
      </c>
      <c r="F3223" t="s">
        <v>708</v>
      </c>
      <c r="G3223" t="s">
        <v>156</v>
      </c>
      <c r="H3223" t="s">
        <v>99</v>
      </c>
      <c r="I3223" t="s">
        <v>99</v>
      </c>
      <c r="J3223" t="s">
        <v>99</v>
      </c>
      <c r="K3223" t="s">
        <v>138</v>
      </c>
      <c r="L3223" t="s">
        <v>99</v>
      </c>
      <c r="M3223" t="s">
        <v>99</v>
      </c>
      <c r="N3223" t="s">
        <v>99</v>
      </c>
    </row>
    <row r="3225" spans="1:14" x14ac:dyDescent="0.3">
      <c r="A3225" t="s">
        <v>1392</v>
      </c>
    </row>
    <row r="3226" spans="1:14" x14ac:dyDescent="0.3">
      <c r="A3226" t="s">
        <v>44</v>
      </c>
      <c r="B3226" t="s">
        <v>32</v>
      </c>
      <c r="C3226" t="s">
        <v>1393</v>
      </c>
      <c r="D3226" t="s">
        <v>1373</v>
      </c>
      <c r="E3226" t="s">
        <v>1394</v>
      </c>
      <c r="F3226" t="s">
        <v>1395</v>
      </c>
      <c r="G3226" t="s">
        <v>1396</v>
      </c>
      <c r="H3226" t="s">
        <v>1397</v>
      </c>
      <c r="I3226" t="s">
        <v>1398</v>
      </c>
      <c r="J3226" t="s">
        <v>1399</v>
      </c>
      <c r="K3226" t="s">
        <v>83</v>
      </c>
      <c r="L3226" t="s">
        <v>193</v>
      </c>
    </row>
    <row r="3227" spans="1:14" x14ac:dyDescent="0.3">
      <c r="A3227" t="s">
        <v>35</v>
      </c>
      <c r="B3227">
        <v>3145</v>
      </c>
      <c r="C3227" t="s">
        <v>1400</v>
      </c>
      <c r="D3227" t="s">
        <v>99</v>
      </c>
      <c r="E3227" t="s">
        <v>136</v>
      </c>
      <c r="F3227" t="s">
        <v>470</v>
      </c>
      <c r="G3227" t="s">
        <v>68</v>
      </c>
      <c r="H3227" t="s">
        <v>233</v>
      </c>
      <c r="I3227" t="s">
        <v>207</v>
      </c>
      <c r="J3227" t="s">
        <v>120</v>
      </c>
      <c r="K3227" t="s">
        <v>198</v>
      </c>
      <c r="L3227" t="s">
        <v>141</v>
      </c>
    </row>
    <row r="3228" spans="1:14" x14ac:dyDescent="0.3">
      <c r="A3228" t="s">
        <v>37</v>
      </c>
      <c r="B3228">
        <v>3855</v>
      </c>
      <c r="C3228" t="s">
        <v>180</v>
      </c>
      <c r="D3228" t="s">
        <v>99</v>
      </c>
      <c r="E3228" t="s">
        <v>108</v>
      </c>
      <c r="F3228" t="s">
        <v>108</v>
      </c>
      <c r="G3228" t="s">
        <v>126</v>
      </c>
      <c r="H3228" t="s">
        <v>401</v>
      </c>
      <c r="I3228" t="s">
        <v>207</v>
      </c>
      <c r="J3228" t="s">
        <v>382</v>
      </c>
      <c r="K3228" t="s">
        <v>198</v>
      </c>
      <c r="L3228" t="s">
        <v>99</v>
      </c>
    </row>
    <row r="3229" spans="1:14" x14ac:dyDescent="0.3">
      <c r="A3229" t="s">
        <v>36</v>
      </c>
      <c r="B3229">
        <v>2305</v>
      </c>
      <c r="C3229" t="s">
        <v>865</v>
      </c>
      <c r="D3229" t="s">
        <v>99</v>
      </c>
      <c r="E3229" t="s">
        <v>147</v>
      </c>
      <c r="F3229" t="s">
        <v>100</v>
      </c>
      <c r="G3229" t="s">
        <v>679</v>
      </c>
      <c r="H3229" t="s">
        <v>222</v>
      </c>
      <c r="I3229" t="s">
        <v>132</v>
      </c>
      <c r="J3229" t="s">
        <v>268</v>
      </c>
      <c r="K3229" t="s">
        <v>207</v>
      </c>
      <c r="L3229" t="s">
        <v>207</v>
      </c>
    </row>
    <row r="3230" spans="1:14" x14ac:dyDescent="0.3">
      <c r="A3230" t="s">
        <v>34</v>
      </c>
      <c r="B3230">
        <v>2080</v>
      </c>
      <c r="C3230" t="s">
        <v>1124</v>
      </c>
      <c r="D3230" t="s">
        <v>104</v>
      </c>
      <c r="E3230" t="s">
        <v>127</v>
      </c>
      <c r="F3230" t="s">
        <v>144</v>
      </c>
      <c r="G3230" t="s">
        <v>318</v>
      </c>
      <c r="H3230" t="s">
        <v>721</v>
      </c>
      <c r="I3230" t="s">
        <v>127</v>
      </c>
      <c r="J3230" t="s">
        <v>68</v>
      </c>
      <c r="K3230" t="s">
        <v>198</v>
      </c>
      <c r="L3230" t="s">
        <v>99</v>
      </c>
    </row>
    <row r="3231" spans="1:14" x14ac:dyDescent="0.3">
      <c r="A3231" t="s">
        <v>33</v>
      </c>
      <c r="B3231">
        <v>1937</v>
      </c>
      <c r="C3231" t="s">
        <v>290</v>
      </c>
      <c r="D3231" t="s">
        <v>99</v>
      </c>
      <c r="E3231" t="s">
        <v>198</v>
      </c>
      <c r="F3231" t="s">
        <v>268</v>
      </c>
      <c r="G3231" t="s">
        <v>120</v>
      </c>
      <c r="H3231" t="s">
        <v>363</v>
      </c>
      <c r="I3231" t="s">
        <v>141</v>
      </c>
      <c r="J3231" t="s">
        <v>138</v>
      </c>
      <c r="K3231" t="s">
        <v>99</v>
      </c>
      <c r="L3231" t="s">
        <v>198</v>
      </c>
    </row>
    <row r="3232" spans="1:14" x14ac:dyDescent="0.3">
      <c r="A3232" t="s">
        <v>49</v>
      </c>
      <c r="B3232">
        <v>13322</v>
      </c>
      <c r="C3232" t="s">
        <v>492</v>
      </c>
      <c r="D3232" t="s">
        <v>99</v>
      </c>
      <c r="E3232" t="s">
        <v>114</v>
      </c>
      <c r="F3232" t="s">
        <v>149</v>
      </c>
      <c r="G3232" t="s">
        <v>468</v>
      </c>
      <c r="H3232" t="s">
        <v>369</v>
      </c>
      <c r="I3232" t="s">
        <v>115</v>
      </c>
      <c r="J3232" t="s">
        <v>120</v>
      </c>
      <c r="K3232" t="s">
        <v>198</v>
      </c>
      <c r="L3232" t="s">
        <v>198</v>
      </c>
    </row>
    <row r="3234" spans="1:13" x14ac:dyDescent="0.3">
      <c r="A3234" t="s">
        <v>1401</v>
      </c>
    </row>
    <row r="3235" spans="1:13" x14ac:dyDescent="0.3">
      <c r="A3235" t="s">
        <v>44</v>
      </c>
      <c r="B3235" t="s">
        <v>361</v>
      </c>
      <c r="C3235" t="s">
        <v>32</v>
      </c>
      <c r="D3235" t="s">
        <v>1393</v>
      </c>
      <c r="E3235" t="s">
        <v>1373</v>
      </c>
      <c r="F3235" t="s">
        <v>1394</v>
      </c>
      <c r="G3235" t="s">
        <v>1395</v>
      </c>
      <c r="H3235" t="s">
        <v>1396</v>
      </c>
      <c r="I3235" t="s">
        <v>1397</v>
      </c>
      <c r="J3235" t="s">
        <v>1398</v>
      </c>
      <c r="K3235" t="s">
        <v>1399</v>
      </c>
      <c r="L3235" t="s">
        <v>83</v>
      </c>
      <c r="M3235" t="s">
        <v>193</v>
      </c>
    </row>
    <row r="3236" spans="1:13" x14ac:dyDescent="0.3">
      <c r="A3236" t="s">
        <v>35</v>
      </c>
      <c r="B3236" t="s">
        <v>339</v>
      </c>
      <c r="C3236">
        <v>890</v>
      </c>
      <c r="D3236" t="s">
        <v>239</v>
      </c>
      <c r="E3236" t="s">
        <v>99</v>
      </c>
      <c r="F3236" t="s">
        <v>132</v>
      </c>
      <c r="G3236" t="s">
        <v>313</v>
      </c>
      <c r="H3236" t="s">
        <v>305</v>
      </c>
      <c r="I3236" t="s">
        <v>311</v>
      </c>
      <c r="J3236" t="s">
        <v>115</v>
      </c>
      <c r="K3236" t="s">
        <v>134</v>
      </c>
      <c r="L3236" t="s">
        <v>136</v>
      </c>
      <c r="M3236" t="s">
        <v>104</v>
      </c>
    </row>
    <row r="3237" spans="1:13" x14ac:dyDescent="0.3">
      <c r="A3237" t="s">
        <v>35</v>
      </c>
      <c r="B3237" t="s">
        <v>340</v>
      </c>
      <c r="C3237">
        <v>2215</v>
      </c>
      <c r="D3237" t="s">
        <v>1012</v>
      </c>
      <c r="E3237" t="s">
        <v>99</v>
      </c>
      <c r="F3237" t="s">
        <v>207</v>
      </c>
      <c r="G3237" t="s">
        <v>142</v>
      </c>
      <c r="H3237" t="s">
        <v>157</v>
      </c>
      <c r="I3237" t="s">
        <v>233</v>
      </c>
      <c r="J3237" t="s">
        <v>198</v>
      </c>
      <c r="K3237" t="s">
        <v>117</v>
      </c>
      <c r="L3237" t="s">
        <v>198</v>
      </c>
      <c r="M3237" t="s">
        <v>253</v>
      </c>
    </row>
    <row r="3238" spans="1:13" x14ac:dyDescent="0.3">
      <c r="A3238" t="s">
        <v>35</v>
      </c>
      <c r="B3238" t="s">
        <v>365</v>
      </c>
      <c r="C3238">
        <v>40</v>
      </c>
      <c r="D3238" t="s">
        <v>991</v>
      </c>
      <c r="E3238" t="s">
        <v>99</v>
      </c>
      <c r="F3238" t="s">
        <v>99</v>
      </c>
      <c r="G3238" t="s">
        <v>542</v>
      </c>
      <c r="H3238" t="s">
        <v>395</v>
      </c>
      <c r="I3238" t="s">
        <v>132</v>
      </c>
      <c r="J3238" t="s">
        <v>99</v>
      </c>
      <c r="K3238" t="s">
        <v>136</v>
      </c>
      <c r="L3238" t="s">
        <v>99</v>
      </c>
      <c r="M3238" t="s">
        <v>99</v>
      </c>
    </row>
    <row r="3239" spans="1:13" x14ac:dyDescent="0.3">
      <c r="A3239" t="s">
        <v>37</v>
      </c>
      <c r="B3239" t="s">
        <v>339</v>
      </c>
      <c r="C3239">
        <v>1093</v>
      </c>
      <c r="D3239" t="s">
        <v>314</v>
      </c>
      <c r="E3239" t="s">
        <v>99</v>
      </c>
      <c r="F3239" t="s">
        <v>115</v>
      </c>
      <c r="G3239" t="s">
        <v>100</v>
      </c>
      <c r="H3239" t="s">
        <v>382</v>
      </c>
      <c r="I3239" t="s">
        <v>369</v>
      </c>
      <c r="J3239" t="s">
        <v>253</v>
      </c>
      <c r="K3239" t="s">
        <v>319</v>
      </c>
      <c r="L3239" t="s">
        <v>141</v>
      </c>
      <c r="M3239" t="s">
        <v>99</v>
      </c>
    </row>
    <row r="3240" spans="1:13" x14ac:dyDescent="0.3">
      <c r="A3240" t="s">
        <v>37</v>
      </c>
      <c r="B3240" t="s">
        <v>340</v>
      </c>
      <c r="C3240">
        <v>2721</v>
      </c>
      <c r="D3240" t="s">
        <v>164</v>
      </c>
      <c r="E3240" t="s">
        <v>99</v>
      </c>
      <c r="F3240" t="s">
        <v>114</v>
      </c>
      <c r="G3240" t="s">
        <v>132</v>
      </c>
      <c r="H3240" t="s">
        <v>126</v>
      </c>
      <c r="I3240" t="s">
        <v>664</v>
      </c>
      <c r="J3240" t="s">
        <v>198</v>
      </c>
      <c r="K3240" t="s">
        <v>382</v>
      </c>
      <c r="L3240" t="s">
        <v>104</v>
      </c>
      <c r="M3240" t="s">
        <v>99</v>
      </c>
    </row>
    <row r="3241" spans="1:13" x14ac:dyDescent="0.3">
      <c r="A3241" t="s">
        <v>37</v>
      </c>
      <c r="B3241" t="s">
        <v>365</v>
      </c>
      <c r="C3241">
        <v>41</v>
      </c>
      <c r="D3241" t="s">
        <v>362</v>
      </c>
      <c r="E3241" t="s">
        <v>99</v>
      </c>
      <c r="F3241" t="s">
        <v>99</v>
      </c>
      <c r="G3241" t="s">
        <v>99</v>
      </c>
      <c r="H3241" t="s">
        <v>99</v>
      </c>
      <c r="I3241" t="s">
        <v>128</v>
      </c>
      <c r="J3241" t="s">
        <v>128</v>
      </c>
      <c r="K3241" t="s">
        <v>215</v>
      </c>
      <c r="L3241" t="s">
        <v>99</v>
      </c>
      <c r="M3241" t="s">
        <v>99</v>
      </c>
    </row>
    <row r="3242" spans="1:13" x14ac:dyDescent="0.3">
      <c r="A3242" t="s">
        <v>36</v>
      </c>
      <c r="B3242" t="s">
        <v>339</v>
      </c>
      <c r="C3242">
        <v>770</v>
      </c>
      <c r="D3242" t="s">
        <v>874</v>
      </c>
      <c r="E3242" t="s">
        <v>99</v>
      </c>
      <c r="F3242" t="s">
        <v>147</v>
      </c>
      <c r="G3242" t="s">
        <v>100</v>
      </c>
      <c r="H3242" t="s">
        <v>401</v>
      </c>
      <c r="I3242" t="s">
        <v>542</v>
      </c>
      <c r="J3242" t="s">
        <v>132</v>
      </c>
      <c r="K3242" t="s">
        <v>123</v>
      </c>
      <c r="L3242" t="s">
        <v>99</v>
      </c>
      <c r="M3242" t="s">
        <v>132</v>
      </c>
    </row>
    <row r="3243" spans="1:13" x14ac:dyDescent="0.3">
      <c r="A3243" t="s">
        <v>36</v>
      </c>
      <c r="B3243" t="s">
        <v>340</v>
      </c>
      <c r="C3243">
        <v>1472</v>
      </c>
      <c r="D3243" t="s">
        <v>1362</v>
      </c>
      <c r="E3243" t="s">
        <v>99</v>
      </c>
      <c r="F3243" t="s">
        <v>147</v>
      </c>
      <c r="G3243" t="s">
        <v>121</v>
      </c>
      <c r="H3243" t="s">
        <v>664</v>
      </c>
      <c r="I3243" t="s">
        <v>171</v>
      </c>
      <c r="J3243" t="s">
        <v>108</v>
      </c>
      <c r="K3243" t="s">
        <v>117</v>
      </c>
      <c r="L3243" t="s">
        <v>141</v>
      </c>
      <c r="M3243" t="s">
        <v>99</v>
      </c>
    </row>
    <row r="3244" spans="1:13" x14ac:dyDescent="0.3">
      <c r="A3244" t="s">
        <v>36</v>
      </c>
      <c r="B3244" t="s">
        <v>365</v>
      </c>
      <c r="C3244">
        <v>63</v>
      </c>
      <c r="D3244" t="s">
        <v>445</v>
      </c>
      <c r="E3244" t="s">
        <v>99</v>
      </c>
      <c r="F3244" t="s">
        <v>107</v>
      </c>
      <c r="G3244" t="s">
        <v>99</v>
      </c>
      <c r="H3244" t="s">
        <v>171</v>
      </c>
      <c r="I3244" t="s">
        <v>673</v>
      </c>
      <c r="J3244" t="s">
        <v>99</v>
      </c>
      <c r="K3244" t="s">
        <v>105</v>
      </c>
      <c r="L3244" t="s">
        <v>99</v>
      </c>
      <c r="M3244" t="s">
        <v>99</v>
      </c>
    </row>
    <row r="3245" spans="1:13" x14ac:dyDescent="0.3">
      <c r="A3245" t="s">
        <v>34</v>
      </c>
      <c r="B3245" t="s">
        <v>339</v>
      </c>
      <c r="C3245">
        <v>555</v>
      </c>
      <c r="D3245" t="s">
        <v>1337</v>
      </c>
      <c r="E3245" t="s">
        <v>136</v>
      </c>
      <c r="F3245" t="s">
        <v>103</v>
      </c>
      <c r="G3245" t="s">
        <v>420</v>
      </c>
      <c r="H3245" t="s">
        <v>357</v>
      </c>
      <c r="I3245" t="s">
        <v>708</v>
      </c>
      <c r="J3245" t="s">
        <v>117</v>
      </c>
      <c r="K3245" t="s">
        <v>412</v>
      </c>
      <c r="L3245" t="s">
        <v>136</v>
      </c>
      <c r="M3245" t="s">
        <v>99</v>
      </c>
    </row>
    <row r="3246" spans="1:13" x14ac:dyDescent="0.3">
      <c r="A3246" t="s">
        <v>34</v>
      </c>
      <c r="B3246" t="s">
        <v>340</v>
      </c>
      <c r="C3246">
        <v>1497</v>
      </c>
      <c r="D3246" t="s">
        <v>869</v>
      </c>
      <c r="E3246" t="s">
        <v>99</v>
      </c>
      <c r="F3246" t="s">
        <v>101</v>
      </c>
      <c r="G3246" t="s">
        <v>474</v>
      </c>
      <c r="H3246" t="s">
        <v>746</v>
      </c>
      <c r="I3246" t="s">
        <v>746</v>
      </c>
      <c r="J3246" t="s">
        <v>126</v>
      </c>
      <c r="K3246" t="s">
        <v>149</v>
      </c>
      <c r="L3246" t="s">
        <v>198</v>
      </c>
      <c r="M3246" t="s">
        <v>99</v>
      </c>
    </row>
    <row r="3247" spans="1:13" x14ac:dyDescent="0.3">
      <c r="A3247" t="s">
        <v>34</v>
      </c>
      <c r="B3247" t="s">
        <v>365</v>
      </c>
      <c r="C3247">
        <v>28</v>
      </c>
      <c r="D3247" t="s">
        <v>907</v>
      </c>
      <c r="E3247" t="s">
        <v>99</v>
      </c>
      <c r="F3247" t="s">
        <v>204</v>
      </c>
      <c r="G3247" t="s">
        <v>700</v>
      </c>
      <c r="H3247" t="s">
        <v>446</v>
      </c>
      <c r="I3247" t="s">
        <v>802</v>
      </c>
      <c r="J3247" t="s">
        <v>99</v>
      </c>
      <c r="K3247" t="s">
        <v>468</v>
      </c>
      <c r="L3247" t="s">
        <v>99</v>
      </c>
      <c r="M3247" t="s">
        <v>99</v>
      </c>
    </row>
    <row r="3248" spans="1:13" x14ac:dyDescent="0.3">
      <c r="A3248" t="s">
        <v>33</v>
      </c>
      <c r="B3248" t="s">
        <v>339</v>
      </c>
      <c r="C3248">
        <v>503</v>
      </c>
      <c r="D3248" t="s">
        <v>908</v>
      </c>
      <c r="E3248" t="s">
        <v>99</v>
      </c>
      <c r="F3248" t="s">
        <v>99</v>
      </c>
      <c r="G3248" t="s">
        <v>120</v>
      </c>
      <c r="H3248" t="s">
        <v>149</v>
      </c>
      <c r="I3248" t="s">
        <v>165</v>
      </c>
      <c r="J3248" t="s">
        <v>136</v>
      </c>
      <c r="K3248" t="s">
        <v>128</v>
      </c>
      <c r="L3248" t="s">
        <v>99</v>
      </c>
      <c r="M3248" t="s">
        <v>115</v>
      </c>
    </row>
    <row r="3249" spans="1:13" x14ac:dyDescent="0.3">
      <c r="A3249" t="s">
        <v>33</v>
      </c>
      <c r="B3249" t="s">
        <v>340</v>
      </c>
      <c r="C3249">
        <v>1415</v>
      </c>
      <c r="D3249" t="s">
        <v>854</v>
      </c>
      <c r="E3249" t="s">
        <v>99</v>
      </c>
      <c r="F3249" t="s">
        <v>207</v>
      </c>
      <c r="G3249" t="s">
        <v>292</v>
      </c>
      <c r="H3249" t="s">
        <v>292</v>
      </c>
      <c r="I3249" t="s">
        <v>664</v>
      </c>
      <c r="J3249" t="s">
        <v>141</v>
      </c>
      <c r="K3249" t="s">
        <v>332</v>
      </c>
      <c r="L3249" t="s">
        <v>99</v>
      </c>
      <c r="M3249" t="s">
        <v>99</v>
      </c>
    </row>
    <row r="3250" spans="1:13" x14ac:dyDescent="0.3">
      <c r="A3250" t="s">
        <v>33</v>
      </c>
      <c r="B3250" t="s">
        <v>365</v>
      </c>
      <c r="C3250">
        <v>19</v>
      </c>
      <c r="D3250" t="s">
        <v>75</v>
      </c>
      <c r="E3250" t="s">
        <v>99</v>
      </c>
      <c r="F3250" t="s">
        <v>99</v>
      </c>
      <c r="G3250" t="s">
        <v>99</v>
      </c>
      <c r="H3250" t="s">
        <v>99</v>
      </c>
      <c r="I3250" t="s">
        <v>74</v>
      </c>
      <c r="J3250" t="s">
        <v>99</v>
      </c>
      <c r="K3250" t="s">
        <v>74</v>
      </c>
      <c r="L3250" t="s">
        <v>99</v>
      </c>
      <c r="M3250" t="s">
        <v>99</v>
      </c>
    </row>
    <row r="3251" spans="1:13" x14ac:dyDescent="0.3">
      <c r="A3251" t="s">
        <v>49</v>
      </c>
      <c r="B3251" t="s">
        <v>339</v>
      </c>
      <c r="C3251">
        <v>3811</v>
      </c>
      <c r="D3251" t="s">
        <v>865</v>
      </c>
      <c r="E3251" t="s">
        <v>104</v>
      </c>
      <c r="F3251" t="s">
        <v>121</v>
      </c>
      <c r="G3251" t="s">
        <v>328</v>
      </c>
      <c r="H3251" t="s">
        <v>353</v>
      </c>
      <c r="I3251" t="s">
        <v>289</v>
      </c>
      <c r="J3251" t="s">
        <v>114</v>
      </c>
      <c r="K3251" t="s">
        <v>157</v>
      </c>
      <c r="L3251" t="s">
        <v>207</v>
      </c>
      <c r="M3251" t="s">
        <v>198</v>
      </c>
    </row>
    <row r="3252" spans="1:13" x14ac:dyDescent="0.3">
      <c r="A3252" t="s">
        <v>49</v>
      </c>
      <c r="B3252" t="s">
        <v>340</v>
      </c>
      <c r="C3252">
        <v>9320</v>
      </c>
      <c r="D3252" t="s">
        <v>189</v>
      </c>
      <c r="E3252" t="s">
        <v>99</v>
      </c>
      <c r="F3252" t="s">
        <v>108</v>
      </c>
      <c r="G3252" t="s">
        <v>434</v>
      </c>
      <c r="H3252" t="s">
        <v>139</v>
      </c>
      <c r="I3252" t="s">
        <v>722</v>
      </c>
      <c r="J3252" t="s">
        <v>141</v>
      </c>
      <c r="K3252" t="s">
        <v>128</v>
      </c>
      <c r="L3252" t="s">
        <v>198</v>
      </c>
      <c r="M3252" t="s">
        <v>198</v>
      </c>
    </row>
    <row r="3253" spans="1:13" x14ac:dyDescent="0.3">
      <c r="A3253" t="s">
        <v>49</v>
      </c>
      <c r="B3253" t="s">
        <v>365</v>
      </c>
      <c r="C3253">
        <v>191</v>
      </c>
      <c r="D3253" t="s">
        <v>472</v>
      </c>
      <c r="E3253" t="s">
        <v>99</v>
      </c>
      <c r="F3253" t="s">
        <v>127</v>
      </c>
      <c r="G3253" t="s">
        <v>353</v>
      </c>
      <c r="H3253" t="s">
        <v>737</v>
      </c>
      <c r="I3253" t="s">
        <v>220</v>
      </c>
      <c r="J3253" t="s">
        <v>253</v>
      </c>
      <c r="K3253" t="s">
        <v>107</v>
      </c>
      <c r="L3253" t="s">
        <v>99</v>
      </c>
      <c r="M3253" t="s">
        <v>99</v>
      </c>
    </row>
    <row r="3255" spans="1:13" x14ac:dyDescent="0.3">
      <c r="A3255" t="s">
        <v>1402</v>
      </c>
    </row>
    <row r="3256" spans="1:13" x14ac:dyDescent="0.3">
      <c r="A3256" t="s">
        <v>44</v>
      </c>
      <c r="B3256" t="s">
        <v>209</v>
      </c>
      <c r="C3256" t="s">
        <v>32</v>
      </c>
      <c r="D3256" t="s">
        <v>1393</v>
      </c>
      <c r="E3256" t="s">
        <v>1373</v>
      </c>
      <c r="F3256" t="s">
        <v>1394</v>
      </c>
      <c r="G3256" t="s">
        <v>1395</v>
      </c>
      <c r="H3256" t="s">
        <v>1396</v>
      </c>
      <c r="I3256" t="s">
        <v>1397</v>
      </c>
      <c r="J3256" t="s">
        <v>1398</v>
      </c>
      <c r="K3256" t="s">
        <v>1399</v>
      </c>
      <c r="L3256" t="s">
        <v>83</v>
      </c>
      <c r="M3256" t="s">
        <v>193</v>
      </c>
    </row>
    <row r="3257" spans="1:13" x14ac:dyDescent="0.3">
      <c r="A3257" t="s">
        <v>35</v>
      </c>
      <c r="B3257" t="s">
        <v>210</v>
      </c>
      <c r="C3257">
        <v>136</v>
      </c>
      <c r="D3257" t="s">
        <v>1228</v>
      </c>
      <c r="E3257" t="s">
        <v>99</v>
      </c>
      <c r="F3257" t="s">
        <v>99</v>
      </c>
      <c r="G3257" t="s">
        <v>444</v>
      </c>
      <c r="H3257" t="s">
        <v>117</v>
      </c>
      <c r="I3257" t="s">
        <v>41</v>
      </c>
      <c r="J3257" t="s">
        <v>99</v>
      </c>
      <c r="K3257" t="s">
        <v>268</v>
      </c>
      <c r="L3257" t="s">
        <v>99</v>
      </c>
      <c r="M3257" t="s">
        <v>99</v>
      </c>
    </row>
    <row r="3258" spans="1:13" x14ac:dyDescent="0.3">
      <c r="A3258" t="s">
        <v>35</v>
      </c>
      <c r="B3258" t="s">
        <v>212</v>
      </c>
      <c r="C3258">
        <v>2442</v>
      </c>
      <c r="D3258" t="s">
        <v>1020</v>
      </c>
      <c r="E3258" t="s">
        <v>99</v>
      </c>
      <c r="F3258" t="s">
        <v>136</v>
      </c>
      <c r="G3258" t="s">
        <v>305</v>
      </c>
      <c r="H3258" t="s">
        <v>139</v>
      </c>
      <c r="I3258" t="s">
        <v>716</v>
      </c>
      <c r="J3258" t="s">
        <v>207</v>
      </c>
      <c r="K3258" t="s">
        <v>103</v>
      </c>
      <c r="L3258" t="s">
        <v>207</v>
      </c>
      <c r="M3258" t="s">
        <v>253</v>
      </c>
    </row>
    <row r="3259" spans="1:13" x14ac:dyDescent="0.3">
      <c r="A3259" t="s">
        <v>35</v>
      </c>
      <c r="B3259" t="s">
        <v>216</v>
      </c>
      <c r="C3259">
        <v>567</v>
      </c>
      <c r="D3259" t="s">
        <v>541</v>
      </c>
      <c r="E3259" t="s">
        <v>99</v>
      </c>
      <c r="F3259" t="s">
        <v>141</v>
      </c>
      <c r="G3259" t="s">
        <v>737</v>
      </c>
      <c r="H3259" t="s">
        <v>328</v>
      </c>
      <c r="I3259" t="s">
        <v>716</v>
      </c>
      <c r="J3259" t="s">
        <v>136</v>
      </c>
      <c r="K3259" t="s">
        <v>154</v>
      </c>
      <c r="L3259" t="s">
        <v>104</v>
      </c>
      <c r="M3259" t="s">
        <v>104</v>
      </c>
    </row>
    <row r="3260" spans="1:13" x14ac:dyDescent="0.3">
      <c r="A3260" t="s">
        <v>37</v>
      </c>
      <c r="B3260" t="s">
        <v>210</v>
      </c>
      <c r="C3260">
        <v>138</v>
      </c>
      <c r="D3260" t="s">
        <v>380</v>
      </c>
      <c r="E3260" t="s">
        <v>99</v>
      </c>
      <c r="F3260" t="s">
        <v>319</v>
      </c>
      <c r="G3260" t="s">
        <v>292</v>
      </c>
      <c r="H3260" t="s">
        <v>128</v>
      </c>
      <c r="I3260" t="s">
        <v>204</v>
      </c>
      <c r="J3260" t="s">
        <v>319</v>
      </c>
      <c r="K3260" t="s">
        <v>99</v>
      </c>
      <c r="L3260" t="s">
        <v>99</v>
      </c>
      <c r="M3260" t="s">
        <v>99</v>
      </c>
    </row>
    <row r="3261" spans="1:13" x14ac:dyDescent="0.3">
      <c r="A3261" t="s">
        <v>37</v>
      </c>
      <c r="B3261" t="s">
        <v>212</v>
      </c>
      <c r="C3261">
        <v>3606</v>
      </c>
      <c r="D3261" t="s">
        <v>764</v>
      </c>
      <c r="E3261" t="s">
        <v>99</v>
      </c>
      <c r="F3261" t="s">
        <v>108</v>
      </c>
      <c r="G3261" t="s">
        <v>108</v>
      </c>
      <c r="H3261" t="s">
        <v>126</v>
      </c>
      <c r="I3261" t="s">
        <v>299</v>
      </c>
      <c r="J3261" t="s">
        <v>207</v>
      </c>
      <c r="K3261" t="s">
        <v>382</v>
      </c>
      <c r="L3261" t="s">
        <v>198</v>
      </c>
      <c r="M3261" t="s">
        <v>99</v>
      </c>
    </row>
    <row r="3262" spans="1:13" x14ac:dyDescent="0.3">
      <c r="A3262" t="s">
        <v>37</v>
      </c>
      <c r="B3262" t="s">
        <v>216</v>
      </c>
      <c r="C3262">
        <v>111</v>
      </c>
      <c r="D3262" t="s">
        <v>226</v>
      </c>
      <c r="E3262" t="s">
        <v>99</v>
      </c>
      <c r="F3262" t="s">
        <v>99</v>
      </c>
      <c r="G3262" t="s">
        <v>99</v>
      </c>
      <c r="H3262" t="s">
        <v>115</v>
      </c>
      <c r="I3262" t="s">
        <v>143</v>
      </c>
      <c r="J3262" t="s">
        <v>99</v>
      </c>
      <c r="K3262" t="s">
        <v>382</v>
      </c>
      <c r="L3262" t="s">
        <v>99</v>
      </c>
      <c r="M3262" t="s">
        <v>99</v>
      </c>
    </row>
    <row r="3263" spans="1:13" x14ac:dyDescent="0.3">
      <c r="A3263" t="s">
        <v>36</v>
      </c>
      <c r="B3263" t="s">
        <v>210</v>
      </c>
      <c r="C3263">
        <v>165</v>
      </c>
      <c r="D3263" t="s">
        <v>649</v>
      </c>
      <c r="E3263" t="s">
        <v>99</v>
      </c>
      <c r="F3263" t="s">
        <v>160</v>
      </c>
      <c r="G3263" t="s">
        <v>147</v>
      </c>
      <c r="H3263" t="s">
        <v>1059</v>
      </c>
      <c r="I3263" t="s">
        <v>746</v>
      </c>
      <c r="J3263" t="s">
        <v>382</v>
      </c>
      <c r="K3263" t="s">
        <v>108</v>
      </c>
      <c r="L3263" t="s">
        <v>104</v>
      </c>
      <c r="M3263" t="s">
        <v>99</v>
      </c>
    </row>
    <row r="3264" spans="1:13" x14ac:dyDescent="0.3">
      <c r="A3264" t="s">
        <v>36</v>
      </c>
      <c r="B3264" t="s">
        <v>212</v>
      </c>
      <c r="C3264">
        <v>1875</v>
      </c>
      <c r="D3264" t="s">
        <v>1277</v>
      </c>
      <c r="E3264" t="s">
        <v>99</v>
      </c>
      <c r="F3264" t="s">
        <v>316</v>
      </c>
      <c r="G3264" t="s">
        <v>115</v>
      </c>
      <c r="H3264" t="s">
        <v>118</v>
      </c>
      <c r="I3264" t="s">
        <v>708</v>
      </c>
      <c r="J3264" t="s">
        <v>115</v>
      </c>
      <c r="K3264" t="s">
        <v>117</v>
      </c>
      <c r="L3264" t="s">
        <v>136</v>
      </c>
      <c r="M3264" t="s">
        <v>207</v>
      </c>
    </row>
    <row r="3265" spans="1:13" x14ac:dyDescent="0.3">
      <c r="A3265" t="s">
        <v>36</v>
      </c>
      <c r="B3265" t="s">
        <v>216</v>
      </c>
      <c r="C3265">
        <v>265</v>
      </c>
      <c r="D3265" t="s">
        <v>1370</v>
      </c>
      <c r="E3265" t="s">
        <v>99</v>
      </c>
      <c r="F3265" t="s">
        <v>108</v>
      </c>
      <c r="G3265" t="s">
        <v>111</v>
      </c>
      <c r="H3265" t="s">
        <v>440</v>
      </c>
      <c r="I3265" t="s">
        <v>218</v>
      </c>
      <c r="J3265" t="s">
        <v>114</v>
      </c>
      <c r="K3265" t="s">
        <v>268</v>
      </c>
      <c r="L3265" t="s">
        <v>99</v>
      </c>
      <c r="M3265" t="s">
        <v>104</v>
      </c>
    </row>
    <row r="3266" spans="1:13" x14ac:dyDescent="0.3">
      <c r="A3266" t="s">
        <v>34</v>
      </c>
      <c r="B3266" t="s">
        <v>210</v>
      </c>
      <c r="C3266">
        <v>256</v>
      </c>
      <c r="D3266" t="s">
        <v>922</v>
      </c>
      <c r="E3266" t="s">
        <v>99</v>
      </c>
      <c r="F3266" t="s">
        <v>111</v>
      </c>
      <c r="G3266" t="s">
        <v>369</v>
      </c>
      <c r="H3266" t="s">
        <v>529</v>
      </c>
      <c r="I3266" t="s">
        <v>814</v>
      </c>
      <c r="J3266" t="s">
        <v>103</v>
      </c>
      <c r="K3266" t="s">
        <v>149</v>
      </c>
      <c r="L3266" t="s">
        <v>207</v>
      </c>
      <c r="M3266" t="s">
        <v>99</v>
      </c>
    </row>
    <row r="3267" spans="1:13" x14ac:dyDescent="0.3">
      <c r="A3267" t="s">
        <v>34</v>
      </c>
      <c r="B3267" t="s">
        <v>212</v>
      </c>
      <c r="C3267">
        <v>1582</v>
      </c>
      <c r="D3267" t="s">
        <v>774</v>
      </c>
      <c r="E3267" t="s">
        <v>99</v>
      </c>
      <c r="F3267" t="s">
        <v>108</v>
      </c>
      <c r="G3267" t="s">
        <v>107</v>
      </c>
      <c r="H3267" t="s">
        <v>671</v>
      </c>
      <c r="I3267" t="s">
        <v>165</v>
      </c>
      <c r="J3267" t="s">
        <v>114</v>
      </c>
      <c r="K3267" t="s">
        <v>110</v>
      </c>
      <c r="L3267" t="s">
        <v>99</v>
      </c>
      <c r="M3267" t="s">
        <v>99</v>
      </c>
    </row>
    <row r="3268" spans="1:13" x14ac:dyDescent="0.3">
      <c r="A3268" t="s">
        <v>34</v>
      </c>
      <c r="B3268" t="s">
        <v>216</v>
      </c>
      <c r="C3268">
        <v>242</v>
      </c>
      <c r="D3268" t="s">
        <v>1383</v>
      </c>
      <c r="E3268" t="s">
        <v>108</v>
      </c>
      <c r="F3268" t="s">
        <v>468</v>
      </c>
      <c r="G3268" t="s">
        <v>701</v>
      </c>
      <c r="H3268" t="s">
        <v>485</v>
      </c>
      <c r="I3268" t="s">
        <v>686</v>
      </c>
      <c r="J3268" t="s">
        <v>149</v>
      </c>
      <c r="K3268" t="s">
        <v>41</v>
      </c>
      <c r="L3268" t="s">
        <v>114</v>
      </c>
      <c r="M3268" t="s">
        <v>99</v>
      </c>
    </row>
    <row r="3269" spans="1:13" x14ac:dyDescent="0.3">
      <c r="A3269" t="s">
        <v>33</v>
      </c>
      <c r="B3269" t="s">
        <v>210</v>
      </c>
      <c r="C3269">
        <v>68</v>
      </c>
      <c r="D3269" t="s">
        <v>1186</v>
      </c>
      <c r="E3269" t="s">
        <v>99</v>
      </c>
      <c r="F3269" t="s">
        <v>99</v>
      </c>
      <c r="G3269" t="s">
        <v>107</v>
      </c>
      <c r="H3269" t="s">
        <v>118</v>
      </c>
      <c r="I3269" t="s">
        <v>687</v>
      </c>
      <c r="J3269" t="s">
        <v>101</v>
      </c>
      <c r="K3269" t="s">
        <v>142</v>
      </c>
      <c r="L3269" t="s">
        <v>99</v>
      </c>
      <c r="M3269" t="s">
        <v>99</v>
      </c>
    </row>
    <row r="3270" spans="1:13" x14ac:dyDescent="0.3">
      <c r="A3270" t="s">
        <v>33</v>
      </c>
      <c r="B3270" t="s">
        <v>212</v>
      </c>
      <c r="C3270">
        <v>1800</v>
      </c>
      <c r="D3270" t="s">
        <v>217</v>
      </c>
      <c r="E3270" t="s">
        <v>99</v>
      </c>
      <c r="F3270" t="s">
        <v>198</v>
      </c>
      <c r="G3270" t="s">
        <v>292</v>
      </c>
      <c r="H3270" t="s">
        <v>120</v>
      </c>
      <c r="I3270" t="s">
        <v>401</v>
      </c>
      <c r="J3270" t="s">
        <v>136</v>
      </c>
      <c r="K3270" t="s">
        <v>147</v>
      </c>
      <c r="L3270" t="s">
        <v>99</v>
      </c>
      <c r="M3270" t="s">
        <v>198</v>
      </c>
    </row>
    <row r="3271" spans="1:13" x14ac:dyDescent="0.3">
      <c r="A3271" t="s">
        <v>33</v>
      </c>
      <c r="B3271" t="s">
        <v>216</v>
      </c>
      <c r="C3271">
        <v>69</v>
      </c>
      <c r="D3271" t="s">
        <v>464</v>
      </c>
      <c r="E3271" t="s">
        <v>99</v>
      </c>
      <c r="F3271" t="s">
        <v>99</v>
      </c>
      <c r="G3271" t="s">
        <v>149</v>
      </c>
      <c r="H3271" t="s">
        <v>100</v>
      </c>
      <c r="I3271" t="s">
        <v>684</v>
      </c>
      <c r="J3271" t="s">
        <v>382</v>
      </c>
      <c r="K3271" t="s">
        <v>664</v>
      </c>
      <c r="L3271" t="s">
        <v>99</v>
      </c>
      <c r="M3271" t="s">
        <v>99</v>
      </c>
    </row>
    <row r="3272" spans="1:13" x14ac:dyDescent="0.3">
      <c r="A3272" t="s">
        <v>49</v>
      </c>
      <c r="B3272" t="s">
        <v>210</v>
      </c>
      <c r="C3272">
        <v>763</v>
      </c>
      <c r="D3272" t="s">
        <v>1403</v>
      </c>
      <c r="E3272" t="s">
        <v>99</v>
      </c>
      <c r="F3272" t="s">
        <v>292</v>
      </c>
      <c r="G3272" t="s">
        <v>72</v>
      </c>
      <c r="H3272" t="s">
        <v>465</v>
      </c>
      <c r="I3272" t="s">
        <v>289</v>
      </c>
      <c r="J3272" t="s">
        <v>382</v>
      </c>
      <c r="K3272" t="s">
        <v>138</v>
      </c>
      <c r="L3272" t="s">
        <v>104</v>
      </c>
      <c r="M3272" t="s">
        <v>99</v>
      </c>
    </row>
    <row r="3273" spans="1:13" x14ac:dyDescent="0.3">
      <c r="A3273" t="s">
        <v>49</v>
      </c>
      <c r="B3273" t="s">
        <v>212</v>
      </c>
      <c r="C3273">
        <v>11305</v>
      </c>
      <c r="D3273" t="s">
        <v>1292</v>
      </c>
      <c r="E3273" t="s">
        <v>99</v>
      </c>
      <c r="F3273" t="s">
        <v>132</v>
      </c>
      <c r="G3273" t="s">
        <v>138</v>
      </c>
      <c r="H3273" t="s">
        <v>110</v>
      </c>
      <c r="I3273" t="s">
        <v>722</v>
      </c>
      <c r="J3273" t="s">
        <v>141</v>
      </c>
      <c r="K3273" t="s">
        <v>103</v>
      </c>
      <c r="L3273" t="s">
        <v>198</v>
      </c>
      <c r="M3273" t="s">
        <v>198</v>
      </c>
    </row>
    <row r="3274" spans="1:13" x14ac:dyDescent="0.3">
      <c r="A3274" t="s">
        <v>49</v>
      </c>
      <c r="B3274" t="s">
        <v>216</v>
      </c>
      <c r="C3274">
        <v>1254</v>
      </c>
      <c r="D3274" t="s">
        <v>586</v>
      </c>
      <c r="E3274" t="s">
        <v>198</v>
      </c>
      <c r="F3274" t="s">
        <v>382</v>
      </c>
      <c r="G3274" t="s">
        <v>163</v>
      </c>
      <c r="H3274" t="s">
        <v>291</v>
      </c>
      <c r="I3274" t="s">
        <v>218</v>
      </c>
      <c r="J3274" t="s">
        <v>319</v>
      </c>
      <c r="K3274" t="s">
        <v>149</v>
      </c>
      <c r="L3274" t="s">
        <v>207</v>
      </c>
      <c r="M3274" t="s">
        <v>104</v>
      </c>
    </row>
    <row r="3276" spans="1:13" x14ac:dyDescent="0.3">
      <c r="A3276" t="s">
        <v>1404</v>
      </c>
    </row>
    <row r="3277" spans="1:13" x14ac:dyDescent="0.3">
      <c r="A3277" t="s">
        <v>44</v>
      </c>
      <c r="B3277" t="s">
        <v>388</v>
      </c>
      <c r="C3277" t="s">
        <v>32</v>
      </c>
      <c r="D3277" t="s">
        <v>1393</v>
      </c>
      <c r="E3277" t="s">
        <v>1373</v>
      </c>
      <c r="F3277" t="s">
        <v>1394</v>
      </c>
      <c r="G3277" t="s">
        <v>1395</v>
      </c>
      <c r="H3277" t="s">
        <v>1396</v>
      </c>
      <c r="I3277" t="s">
        <v>1397</v>
      </c>
      <c r="J3277" t="s">
        <v>1398</v>
      </c>
      <c r="K3277" t="s">
        <v>1399</v>
      </c>
      <c r="L3277" t="s">
        <v>83</v>
      </c>
      <c r="M3277" t="s">
        <v>193</v>
      </c>
    </row>
    <row r="3278" spans="1:13" x14ac:dyDescent="0.3">
      <c r="A3278" t="s">
        <v>35</v>
      </c>
      <c r="B3278" t="s">
        <v>389</v>
      </c>
      <c r="C3278">
        <v>2141</v>
      </c>
      <c r="D3278" t="s">
        <v>568</v>
      </c>
      <c r="E3278" t="s">
        <v>99</v>
      </c>
      <c r="F3278" t="s">
        <v>141</v>
      </c>
      <c r="G3278" t="s">
        <v>233</v>
      </c>
      <c r="H3278" t="s">
        <v>68</v>
      </c>
      <c r="I3278" t="s">
        <v>313</v>
      </c>
      <c r="J3278" t="s">
        <v>136</v>
      </c>
      <c r="K3278" t="s">
        <v>103</v>
      </c>
      <c r="L3278" t="s">
        <v>198</v>
      </c>
      <c r="M3278" t="s">
        <v>104</v>
      </c>
    </row>
    <row r="3279" spans="1:13" x14ac:dyDescent="0.3">
      <c r="A3279" t="s">
        <v>35</v>
      </c>
      <c r="B3279" t="s">
        <v>390</v>
      </c>
      <c r="C3279">
        <v>875</v>
      </c>
      <c r="D3279" t="s">
        <v>1171</v>
      </c>
      <c r="E3279" t="s">
        <v>99</v>
      </c>
      <c r="F3279" t="s">
        <v>136</v>
      </c>
      <c r="G3279" t="s">
        <v>353</v>
      </c>
      <c r="H3279" t="s">
        <v>412</v>
      </c>
      <c r="I3279" t="s">
        <v>470</v>
      </c>
      <c r="J3279" t="s">
        <v>198</v>
      </c>
      <c r="K3279" t="s">
        <v>155</v>
      </c>
      <c r="L3279" t="s">
        <v>141</v>
      </c>
      <c r="M3279" t="s">
        <v>126</v>
      </c>
    </row>
    <row r="3280" spans="1:13" x14ac:dyDescent="0.3">
      <c r="A3280" t="s">
        <v>35</v>
      </c>
      <c r="B3280" t="s">
        <v>365</v>
      </c>
      <c r="C3280">
        <v>129</v>
      </c>
      <c r="D3280" t="s">
        <v>1405</v>
      </c>
      <c r="E3280" t="s">
        <v>99</v>
      </c>
      <c r="F3280" t="s">
        <v>99</v>
      </c>
      <c r="G3280" t="s">
        <v>289</v>
      </c>
      <c r="H3280" t="s">
        <v>117</v>
      </c>
      <c r="I3280" t="s">
        <v>379</v>
      </c>
      <c r="J3280" t="s">
        <v>99</v>
      </c>
      <c r="K3280" t="s">
        <v>157</v>
      </c>
      <c r="L3280" t="s">
        <v>99</v>
      </c>
      <c r="M3280" t="s">
        <v>99</v>
      </c>
    </row>
    <row r="3281" spans="1:13" x14ac:dyDescent="0.3">
      <c r="A3281" t="s">
        <v>37</v>
      </c>
      <c r="B3281" t="s">
        <v>389</v>
      </c>
      <c r="C3281">
        <v>2305</v>
      </c>
      <c r="D3281" t="s">
        <v>966</v>
      </c>
      <c r="E3281" t="s">
        <v>99</v>
      </c>
      <c r="F3281" t="s">
        <v>132</v>
      </c>
      <c r="G3281" t="s">
        <v>108</v>
      </c>
      <c r="H3281" t="s">
        <v>215</v>
      </c>
      <c r="I3281" t="s">
        <v>248</v>
      </c>
      <c r="J3281" t="s">
        <v>198</v>
      </c>
      <c r="K3281" t="s">
        <v>215</v>
      </c>
      <c r="L3281" t="s">
        <v>207</v>
      </c>
      <c r="M3281" t="s">
        <v>99</v>
      </c>
    </row>
    <row r="3282" spans="1:13" x14ac:dyDescent="0.3">
      <c r="A3282" t="s">
        <v>37</v>
      </c>
      <c r="B3282" t="s">
        <v>390</v>
      </c>
      <c r="C3282">
        <v>1309</v>
      </c>
      <c r="D3282" t="s">
        <v>286</v>
      </c>
      <c r="E3282" t="s">
        <v>99</v>
      </c>
      <c r="F3282" t="s">
        <v>132</v>
      </c>
      <c r="G3282" t="s">
        <v>114</v>
      </c>
      <c r="H3282" t="s">
        <v>101</v>
      </c>
      <c r="I3282" t="s">
        <v>113</v>
      </c>
      <c r="J3282" t="s">
        <v>141</v>
      </c>
      <c r="K3282" t="s">
        <v>126</v>
      </c>
      <c r="L3282" t="s">
        <v>198</v>
      </c>
      <c r="M3282" t="s">
        <v>99</v>
      </c>
    </row>
    <row r="3283" spans="1:13" x14ac:dyDescent="0.3">
      <c r="A3283" t="s">
        <v>37</v>
      </c>
      <c r="B3283" t="s">
        <v>365</v>
      </c>
      <c r="C3283">
        <v>241</v>
      </c>
      <c r="D3283" t="s">
        <v>417</v>
      </c>
      <c r="E3283" t="s">
        <v>99</v>
      </c>
      <c r="F3283" t="s">
        <v>117</v>
      </c>
      <c r="G3283" t="s">
        <v>99</v>
      </c>
      <c r="H3283" t="s">
        <v>114</v>
      </c>
      <c r="I3283" t="s">
        <v>363</v>
      </c>
      <c r="J3283" t="s">
        <v>253</v>
      </c>
      <c r="K3283" t="s">
        <v>108</v>
      </c>
      <c r="L3283" t="s">
        <v>99</v>
      </c>
      <c r="M3283" t="s">
        <v>99</v>
      </c>
    </row>
    <row r="3284" spans="1:13" x14ac:dyDescent="0.3">
      <c r="A3284" t="s">
        <v>36</v>
      </c>
      <c r="B3284" t="s">
        <v>389</v>
      </c>
      <c r="C3284">
        <v>1578</v>
      </c>
      <c r="D3284" t="s">
        <v>397</v>
      </c>
      <c r="E3284" t="s">
        <v>99</v>
      </c>
      <c r="F3284" t="s">
        <v>107</v>
      </c>
      <c r="G3284" t="s">
        <v>101</v>
      </c>
      <c r="H3284" t="s">
        <v>109</v>
      </c>
      <c r="I3284" t="s">
        <v>233</v>
      </c>
      <c r="J3284" t="s">
        <v>253</v>
      </c>
      <c r="K3284" t="s">
        <v>120</v>
      </c>
      <c r="L3284" t="s">
        <v>104</v>
      </c>
      <c r="M3284" t="s">
        <v>99</v>
      </c>
    </row>
    <row r="3285" spans="1:13" x14ac:dyDescent="0.3">
      <c r="A3285" t="s">
        <v>36</v>
      </c>
      <c r="B3285" t="s">
        <v>390</v>
      </c>
      <c r="C3285">
        <v>627</v>
      </c>
      <c r="D3285" t="s">
        <v>1050</v>
      </c>
      <c r="E3285" t="s">
        <v>99</v>
      </c>
      <c r="F3285" t="s">
        <v>157</v>
      </c>
      <c r="G3285" t="s">
        <v>114</v>
      </c>
      <c r="H3285" t="s">
        <v>72</v>
      </c>
      <c r="I3285" t="s">
        <v>811</v>
      </c>
      <c r="J3285" t="s">
        <v>101</v>
      </c>
      <c r="K3285" t="s">
        <v>108</v>
      </c>
      <c r="L3285" t="s">
        <v>114</v>
      </c>
      <c r="M3285" t="s">
        <v>114</v>
      </c>
    </row>
    <row r="3286" spans="1:13" x14ac:dyDescent="0.3">
      <c r="A3286" t="s">
        <v>36</v>
      </c>
      <c r="B3286" t="s">
        <v>365</v>
      </c>
      <c r="C3286">
        <v>100</v>
      </c>
      <c r="D3286" t="s">
        <v>1405</v>
      </c>
      <c r="E3286" t="s">
        <v>99</v>
      </c>
      <c r="F3286" t="s">
        <v>121</v>
      </c>
      <c r="G3286" t="s">
        <v>99</v>
      </c>
      <c r="H3286" t="s">
        <v>171</v>
      </c>
      <c r="I3286" t="s">
        <v>321</v>
      </c>
      <c r="J3286" t="s">
        <v>101</v>
      </c>
      <c r="K3286" t="s">
        <v>120</v>
      </c>
      <c r="L3286" t="s">
        <v>99</v>
      </c>
      <c r="M3286" t="s">
        <v>99</v>
      </c>
    </row>
    <row r="3287" spans="1:13" x14ac:dyDescent="0.3">
      <c r="A3287" t="s">
        <v>34</v>
      </c>
      <c r="B3287" t="s">
        <v>389</v>
      </c>
      <c r="C3287">
        <v>1385</v>
      </c>
      <c r="D3287" t="s">
        <v>1124</v>
      </c>
      <c r="E3287" t="s">
        <v>198</v>
      </c>
      <c r="F3287" t="s">
        <v>215</v>
      </c>
      <c r="G3287" t="s">
        <v>204</v>
      </c>
      <c r="H3287" t="s">
        <v>798</v>
      </c>
      <c r="I3287" t="s">
        <v>721</v>
      </c>
      <c r="J3287" t="s">
        <v>123</v>
      </c>
      <c r="K3287" t="s">
        <v>68</v>
      </c>
      <c r="L3287" t="s">
        <v>207</v>
      </c>
      <c r="M3287" t="s">
        <v>99</v>
      </c>
    </row>
    <row r="3288" spans="1:13" x14ac:dyDescent="0.3">
      <c r="A3288" t="s">
        <v>34</v>
      </c>
      <c r="B3288" t="s">
        <v>390</v>
      </c>
      <c r="C3288">
        <v>615</v>
      </c>
      <c r="D3288" t="s">
        <v>486</v>
      </c>
      <c r="E3288" t="s">
        <v>99</v>
      </c>
      <c r="F3288" t="s">
        <v>151</v>
      </c>
      <c r="G3288" t="s">
        <v>74</v>
      </c>
      <c r="H3288" t="s">
        <v>201</v>
      </c>
      <c r="I3288" t="s">
        <v>737</v>
      </c>
      <c r="J3288" t="s">
        <v>123</v>
      </c>
      <c r="K3288" t="s">
        <v>277</v>
      </c>
      <c r="L3288" t="s">
        <v>104</v>
      </c>
      <c r="M3288" t="s">
        <v>99</v>
      </c>
    </row>
    <row r="3289" spans="1:13" x14ac:dyDescent="0.3">
      <c r="A3289" t="s">
        <v>34</v>
      </c>
      <c r="B3289" t="s">
        <v>365</v>
      </c>
      <c r="C3289">
        <v>80</v>
      </c>
      <c r="D3289" t="s">
        <v>514</v>
      </c>
      <c r="E3289" t="s">
        <v>99</v>
      </c>
      <c r="F3289" t="s">
        <v>151</v>
      </c>
      <c r="G3289" t="s">
        <v>328</v>
      </c>
      <c r="H3289" t="s">
        <v>267</v>
      </c>
      <c r="I3289" t="s">
        <v>718</v>
      </c>
      <c r="J3289" t="s">
        <v>132</v>
      </c>
      <c r="K3289" t="s">
        <v>292</v>
      </c>
      <c r="L3289" t="s">
        <v>99</v>
      </c>
      <c r="M3289" t="s">
        <v>99</v>
      </c>
    </row>
    <row r="3290" spans="1:13" x14ac:dyDescent="0.3">
      <c r="A3290" t="s">
        <v>33</v>
      </c>
      <c r="B3290" t="s">
        <v>389</v>
      </c>
      <c r="C3290">
        <v>1090</v>
      </c>
      <c r="D3290" t="s">
        <v>221</v>
      </c>
      <c r="E3290" t="s">
        <v>99</v>
      </c>
      <c r="F3290" t="s">
        <v>198</v>
      </c>
      <c r="G3290" t="s">
        <v>215</v>
      </c>
      <c r="H3290" t="s">
        <v>111</v>
      </c>
      <c r="I3290" t="s">
        <v>78</v>
      </c>
      <c r="J3290" t="s">
        <v>136</v>
      </c>
      <c r="K3290" t="s">
        <v>120</v>
      </c>
      <c r="L3290" t="s">
        <v>99</v>
      </c>
      <c r="M3290" t="s">
        <v>99</v>
      </c>
    </row>
    <row r="3291" spans="1:13" x14ac:dyDescent="0.3">
      <c r="A3291" t="s">
        <v>33</v>
      </c>
      <c r="B3291" t="s">
        <v>390</v>
      </c>
      <c r="C3291">
        <v>708</v>
      </c>
      <c r="D3291" t="s">
        <v>266</v>
      </c>
      <c r="E3291" t="s">
        <v>99</v>
      </c>
      <c r="F3291" t="s">
        <v>207</v>
      </c>
      <c r="G3291" t="s">
        <v>332</v>
      </c>
      <c r="H3291" t="s">
        <v>147</v>
      </c>
      <c r="I3291" t="s">
        <v>461</v>
      </c>
      <c r="J3291" t="s">
        <v>253</v>
      </c>
      <c r="K3291" t="s">
        <v>332</v>
      </c>
      <c r="L3291" t="s">
        <v>99</v>
      </c>
      <c r="M3291" t="s">
        <v>141</v>
      </c>
    </row>
    <row r="3292" spans="1:13" x14ac:dyDescent="0.3">
      <c r="A3292" t="s">
        <v>33</v>
      </c>
      <c r="B3292" t="s">
        <v>365</v>
      </c>
      <c r="C3292">
        <v>139</v>
      </c>
      <c r="D3292" t="s">
        <v>875</v>
      </c>
      <c r="E3292" t="s">
        <v>99</v>
      </c>
      <c r="F3292" t="s">
        <v>99</v>
      </c>
      <c r="G3292" t="s">
        <v>99</v>
      </c>
      <c r="H3292" t="s">
        <v>145</v>
      </c>
      <c r="I3292" t="s">
        <v>133</v>
      </c>
      <c r="J3292" t="s">
        <v>99</v>
      </c>
      <c r="K3292" t="s">
        <v>143</v>
      </c>
      <c r="L3292" t="s">
        <v>99</v>
      </c>
      <c r="M3292" t="s">
        <v>99</v>
      </c>
    </row>
    <row r="3293" spans="1:13" x14ac:dyDescent="0.3">
      <c r="A3293" t="s">
        <v>49</v>
      </c>
      <c r="B3293" t="s">
        <v>389</v>
      </c>
      <c r="C3293">
        <v>8499</v>
      </c>
      <c r="D3293" t="s">
        <v>492</v>
      </c>
      <c r="E3293" t="s">
        <v>99</v>
      </c>
      <c r="F3293" t="s">
        <v>114</v>
      </c>
      <c r="G3293" t="s">
        <v>277</v>
      </c>
      <c r="H3293" t="s">
        <v>325</v>
      </c>
      <c r="I3293" t="s">
        <v>251</v>
      </c>
      <c r="J3293" t="s">
        <v>115</v>
      </c>
      <c r="K3293" t="s">
        <v>120</v>
      </c>
      <c r="L3293" t="s">
        <v>198</v>
      </c>
      <c r="M3293" t="s">
        <v>99</v>
      </c>
    </row>
    <row r="3294" spans="1:13" x14ac:dyDescent="0.3">
      <c r="A3294" t="s">
        <v>49</v>
      </c>
      <c r="B3294" t="s">
        <v>390</v>
      </c>
      <c r="C3294">
        <v>4134</v>
      </c>
      <c r="D3294" t="s">
        <v>763</v>
      </c>
      <c r="E3294" t="s">
        <v>99</v>
      </c>
      <c r="F3294" t="s">
        <v>114</v>
      </c>
      <c r="G3294" t="s">
        <v>130</v>
      </c>
      <c r="H3294" t="s">
        <v>98</v>
      </c>
      <c r="I3294" t="s">
        <v>379</v>
      </c>
      <c r="J3294" t="s">
        <v>115</v>
      </c>
      <c r="K3294" t="s">
        <v>147</v>
      </c>
      <c r="L3294" t="s">
        <v>207</v>
      </c>
      <c r="M3294" t="s">
        <v>141</v>
      </c>
    </row>
    <row r="3295" spans="1:13" x14ac:dyDescent="0.3">
      <c r="A3295" t="s">
        <v>49</v>
      </c>
      <c r="B3295" t="s">
        <v>365</v>
      </c>
      <c r="C3295">
        <v>689</v>
      </c>
      <c r="D3295" t="s">
        <v>761</v>
      </c>
      <c r="E3295" t="s">
        <v>99</v>
      </c>
      <c r="F3295" t="s">
        <v>121</v>
      </c>
      <c r="G3295" t="s">
        <v>105</v>
      </c>
      <c r="H3295" t="s">
        <v>684</v>
      </c>
      <c r="I3295" t="s">
        <v>287</v>
      </c>
      <c r="J3295" t="s">
        <v>136</v>
      </c>
      <c r="K3295" t="s">
        <v>128</v>
      </c>
      <c r="L3295" t="s">
        <v>99</v>
      </c>
      <c r="M3295" t="s">
        <v>99</v>
      </c>
    </row>
    <row r="3297" spans="1:13" x14ac:dyDescent="0.3">
      <c r="A3297" t="s">
        <v>1406</v>
      </c>
    </row>
    <row r="3298" spans="1:13" x14ac:dyDescent="0.3">
      <c r="A3298" t="s">
        <v>44</v>
      </c>
      <c r="B3298" t="s">
        <v>235</v>
      </c>
      <c r="C3298" t="s">
        <v>32</v>
      </c>
      <c r="D3298" t="s">
        <v>1393</v>
      </c>
      <c r="E3298" t="s">
        <v>1373</v>
      </c>
      <c r="F3298" t="s">
        <v>1394</v>
      </c>
      <c r="G3298" t="s">
        <v>1395</v>
      </c>
      <c r="H3298" t="s">
        <v>1396</v>
      </c>
      <c r="I3298" t="s">
        <v>1397</v>
      </c>
      <c r="J3298" t="s">
        <v>1398</v>
      </c>
      <c r="K3298" t="s">
        <v>1399</v>
      </c>
      <c r="L3298" t="s">
        <v>83</v>
      </c>
      <c r="M3298" t="s">
        <v>193</v>
      </c>
    </row>
    <row r="3299" spans="1:13" x14ac:dyDescent="0.3">
      <c r="A3299" t="s">
        <v>35</v>
      </c>
      <c r="B3299" t="s">
        <v>236</v>
      </c>
      <c r="C3299">
        <v>1610</v>
      </c>
      <c r="D3299" t="s">
        <v>774</v>
      </c>
      <c r="E3299" t="s">
        <v>99</v>
      </c>
      <c r="F3299" t="s">
        <v>198</v>
      </c>
      <c r="G3299" t="s">
        <v>253</v>
      </c>
      <c r="H3299" t="s">
        <v>382</v>
      </c>
      <c r="I3299" t="s">
        <v>357</v>
      </c>
      <c r="J3299" t="s">
        <v>207</v>
      </c>
      <c r="K3299" t="s">
        <v>118</v>
      </c>
      <c r="L3299" t="s">
        <v>198</v>
      </c>
      <c r="M3299" t="s">
        <v>104</v>
      </c>
    </row>
    <row r="3300" spans="1:13" x14ac:dyDescent="0.3">
      <c r="A3300" t="s">
        <v>35</v>
      </c>
      <c r="B3300" t="s">
        <v>238</v>
      </c>
      <c r="C3300">
        <v>1535</v>
      </c>
      <c r="D3300" t="s">
        <v>1174</v>
      </c>
      <c r="E3300" t="s">
        <v>99</v>
      </c>
      <c r="F3300" t="s">
        <v>141</v>
      </c>
      <c r="G3300" t="s">
        <v>814</v>
      </c>
      <c r="H3300" t="s">
        <v>143</v>
      </c>
      <c r="I3300" t="s">
        <v>248</v>
      </c>
      <c r="J3300" t="s">
        <v>207</v>
      </c>
      <c r="K3300" t="s">
        <v>117</v>
      </c>
      <c r="L3300" t="s">
        <v>207</v>
      </c>
      <c r="M3300" t="s">
        <v>253</v>
      </c>
    </row>
    <row r="3301" spans="1:13" x14ac:dyDescent="0.3">
      <c r="A3301" t="s">
        <v>37</v>
      </c>
      <c r="B3301" t="s">
        <v>236</v>
      </c>
      <c r="C3301">
        <v>2211</v>
      </c>
      <c r="D3301" t="s">
        <v>875</v>
      </c>
      <c r="E3301" t="s">
        <v>99</v>
      </c>
      <c r="F3301" t="s">
        <v>198</v>
      </c>
      <c r="G3301" t="s">
        <v>207</v>
      </c>
      <c r="H3301" t="s">
        <v>253</v>
      </c>
      <c r="I3301" t="s">
        <v>287</v>
      </c>
      <c r="J3301" t="s">
        <v>207</v>
      </c>
      <c r="K3301" t="s">
        <v>123</v>
      </c>
      <c r="L3301" t="s">
        <v>207</v>
      </c>
      <c r="M3301" t="s">
        <v>99</v>
      </c>
    </row>
    <row r="3302" spans="1:13" x14ac:dyDescent="0.3">
      <c r="A3302" t="s">
        <v>37</v>
      </c>
      <c r="B3302" t="s">
        <v>238</v>
      </c>
      <c r="C3302">
        <v>1644</v>
      </c>
      <c r="D3302" t="s">
        <v>232</v>
      </c>
      <c r="E3302" t="s">
        <v>99</v>
      </c>
      <c r="F3302" t="s">
        <v>127</v>
      </c>
      <c r="G3302" t="s">
        <v>215</v>
      </c>
      <c r="H3302" t="s">
        <v>120</v>
      </c>
      <c r="I3302" t="s">
        <v>474</v>
      </c>
      <c r="J3302" t="s">
        <v>136</v>
      </c>
      <c r="K3302" t="s">
        <v>100</v>
      </c>
      <c r="L3302" t="s">
        <v>104</v>
      </c>
      <c r="M3302" t="s">
        <v>99</v>
      </c>
    </row>
    <row r="3303" spans="1:13" x14ac:dyDescent="0.3">
      <c r="A3303" t="s">
        <v>36</v>
      </c>
      <c r="B3303" t="s">
        <v>236</v>
      </c>
      <c r="C3303">
        <v>1566</v>
      </c>
      <c r="D3303" t="s">
        <v>774</v>
      </c>
      <c r="E3303" t="s">
        <v>99</v>
      </c>
      <c r="F3303" t="s">
        <v>434</v>
      </c>
      <c r="G3303" t="s">
        <v>141</v>
      </c>
      <c r="H3303" t="s">
        <v>277</v>
      </c>
      <c r="I3303" t="s">
        <v>680</v>
      </c>
      <c r="J3303" t="s">
        <v>382</v>
      </c>
      <c r="K3303" t="s">
        <v>107</v>
      </c>
      <c r="L3303" t="s">
        <v>104</v>
      </c>
      <c r="M3303" t="s">
        <v>104</v>
      </c>
    </row>
    <row r="3304" spans="1:13" x14ac:dyDescent="0.3">
      <c r="A3304" t="s">
        <v>36</v>
      </c>
      <c r="B3304" t="s">
        <v>238</v>
      </c>
      <c r="C3304">
        <v>739</v>
      </c>
      <c r="D3304" t="s">
        <v>1246</v>
      </c>
      <c r="E3304" t="s">
        <v>99</v>
      </c>
      <c r="F3304" t="s">
        <v>151</v>
      </c>
      <c r="G3304" t="s">
        <v>382</v>
      </c>
      <c r="H3304" t="s">
        <v>133</v>
      </c>
      <c r="I3304" t="s">
        <v>746</v>
      </c>
      <c r="J3304" t="s">
        <v>207</v>
      </c>
      <c r="K3304" t="s">
        <v>215</v>
      </c>
      <c r="L3304" t="s">
        <v>136</v>
      </c>
      <c r="M3304" t="s">
        <v>136</v>
      </c>
    </row>
    <row r="3305" spans="1:13" x14ac:dyDescent="0.3">
      <c r="A3305" t="s">
        <v>34</v>
      </c>
      <c r="B3305" t="s">
        <v>236</v>
      </c>
      <c r="C3305">
        <v>717</v>
      </c>
      <c r="D3305" t="s">
        <v>1186</v>
      </c>
      <c r="E3305" t="s">
        <v>136</v>
      </c>
      <c r="F3305" t="s">
        <v>108</v>
      </c>
      <c r="G3305" t="s">
        <v>155</v>
      </c>
      <c r="H3305" t="s">
        <v>675</v>
      </c>
      <c r="I3305" t="s">
        <v>700</v>
      </c>
      <c r="J3305" t="s">
        <v>157</v>
      </c>
      <c r="K3305" t="s">
        <v>152</v>
      </c>
      <c r="L3305" t="s">
        <v>99</v>
      </c>
      <c r="M3305" t="s">
        <v>99</v>
      </c>
    </row>
    <row r="3306" spans="1:13" x14ac:dyDescent="0.3">
      <c r="A3306" t="s">
        <v>34</v>
      </c>
      <c r="B3306" t="s">
        <v>238</v>
      </c>
      <c r="C3306">
        <v>1363</v>
      </c>
      <c r="D3306" t="s">
        <v>428</v>
      </c>
      <c r="E3306" t="s">
        <v>99</v>
      </c>
      <c r="F3306" t="s">
        <v>111</v>
      </c>
      <c r="G3306" t="s">
        <v>160</v>
      </c>
      <c r="H3306" t="s">
        <v>691</v>
      </c>
      <c r="I3306" t="s">
        <v>408</v>
      </c>
      <c r="J3306" t="s">
        <v>121</v>
      </c>
      <c r="K3306" t="s">
        <v>110</v>
      </c>
      <c r="L3306" t="s">
        <v>207</v>
      </c>
      <c r="M3306" t="s">
        <v>99</v>
      </c>
    </row>
    <row r="3307" spans="1:13" x14ac:dyDescent="0.3">
      <c r="A3307" t="s">
        <v>33</v>
      </c>
      <c r="B3307" t="s">
        <v>236</v>
      </c>
      <c r="C3307">
        <v>1116</v>
      </c>
      <c r="D3307" t="s">
        <v>854</v>
      </c>
      <c r="E3307" t="s">
        <v>99</v>
      </c>
      <c r="F3307" t="s">
        <v>198</v>
      </c>
      <c r="G3307" t="s">
        <v>141</v>
      </c>
      <c r="H3307" t="s">
        <v>268</v>
      </c>
      <c r="I3307" t="s">
        <v>671</v>
      </c>
      <c r="J3307" t="s">
        <v>207</v>
      </c>
      <c r="K3307" t="s">
        <v>120</v>
      </c>
      <c r="L3307" t="s">
        <v>99</v>
      </c>
      <c r="M3307" t="s">
        <v>99</v>
      </c>
    </row>
    <row r="3308" spans="1:13" x14ac:dyDescent="0.3">
      <c r="A3308" t="s">
        <v>33</v>
      </c>
      <c r="B3308" t="s">
        <v>238</v>
      </c>
      <c r="C3308">
        <v>821</v>
      </c>
      <c r="D3308" t="s">
        <v>266</v>
      </c>
      <c r="E3308" t="s">
        <v>99</v>
      </c>
      <c r="F3308" t="s">
        <v>198</v>
      </c>
      <c r="G3308" t="s">
        <v>130</v>
      </c>
      <c r="H3308" t="s">
        <v>105</v>
      </c>
      <c r="I3308" t="s">
        <v>160</v>
      </c>
      <c r="J3308" t="s">
        <v>253</v>
      </c>
      <c r="K3308" t="s">
        <v>118</v>
      </c>
      <c r="L3308" t="s">
        <v>99</v>
      </c>
      <c r="M3308" t="s">
        <v>136</v>
      </c>
    </row>
    <row r="3309" spans="1:13" x14ac:dyDescent="0.3">
      <c r="A3309" t="s">
        <v>49</v>
      </c>
      <c r="B3309" t="s">
        <v>236</v>
      </c>
      <c r="C3309">
        <v>7220</v>
      </c>
      <c r="D3309" t="s">
        <v>168</v>
      </c>
      <c r="E3309" t="s">
        <v>104</v>
      </c>
      <c r="F3309" t="s">
        <v>115</v>
      </c>
      <c r="G3309" t="s">
        <v>132</v>
      </c>
      <c r="H3309" t="s">
        <v>268</v>
      </c>
      <c r="I3309" t="s">
        <v>222</v>
      </c>
      <c r="J3309" t="s">
        <v>132</v>
      </c>
      <c r="K3309" t="s">
        <v>105</v>
      </c>
      <c r="L3309" t="s">
        <v>198</v>
      </c>
      <c r="M3309" t="s">
        <v>99</v>
      </c>
    </row>
    <row r="3310" spans="1:13" x14ac:dyDescent="0.3">
      <c r="A3310" t="s">
        <v>49</v>
      </c>
      <c r="B3310" t="s">
        <v>238</v>
      </c>
      <c r="C3310">
        <v>6102</v>
      </c>
      <c r="D3310" t="s">
        <v>1407</v>
      </c>
      <c r="E3310" t="s">
        <v>99</v>
      </c>
      <c r="F3310" t="s">
        <v>101</v>
      </c>
      <c r="G3310" t="s">
        <v>184</v>
      </c>
      <c r="H3310" t="s">
        <v>401</v>
      </c>
      <c r="I3310" t="s">
        <v>113</v>
      </c>
      <c r="J3310" t="s">
        <v>253</v>
      </c>
      <c r="K3310" t="s">
        <v>316</v>
      </c>
      <c r="L3310" t="s">
        <v>198</v>
      </c>
      <c r="M3310" t="s">
        <v>207</v>
      </c>
    </row>
    <row r="3312" spans="1:13" x14ac:dyDescent="0.3">
      <c r="A3312" t="s">
        <v>1408</v>
      </c>
    </row>
    <row r="3313" spans="1:13" x14ac:dyDescent="0.3">
      <c r="A3313" t="s">
        <v>44</v>
      </c>
      <c r="B3313" t="s">
        <v>257</v>
      </c>
      <c r="C3313" t="s">
        <v>32</v>
      </c>
      <c r="D3313" t="s">
        <v>1393</v>
      </c>
      <c r="E3313" t="s">
        <v>1373</v>
      </c>
      <c r="F3313" t="s">
        <v>1394</v>
      </c>
      <c r="G3313" t="s">
        <v>1395</v>
      </c>
      <c r="H3313" t="s">
        <v>1396</v>
      </c>
      <c r="I3313" t="s">
        <v>1397</v>
      </c>
      <c r="J3313" t="s">
        <v>1398</v>
      </c>
      <c r="K3313" t="s">
        <v>1399</v>
      </c>
      <c r="L3313" t="s">
        <v>83</v>
      </c>
      <c r="M3313" t="s">
        <v>193</v>
      </c>
    </row>
    <row r="3314" spans="1:13" x14ac:dyDescent="0.3">
      <c r="A3314" t="s">
        <v>35</v>
      </c>
      <c r="B3314" t="s">
        <v>258</v>
      </c>
      <c r="C3314">
        <v>2873</v>
      </c>
      <c r="D3314" t="s">
        <v>1246</v>
      </c>
      <c r="E3314" t="s">
        <v>99</v>
      </c>
      <c r="F3314" t="s">
        <v>136</v>
      </c>
      <c r="G3314" t="s">
        <v>313</v>
      </c>
      <c r="H3314" t="s">
        <v>474</v>
      </c>
      <c r="I3314" t="s">
        <v>182</v>
      </c>
      <c r="J3314" t="s">
        <v>207</v>
      </c>
      <c r="K3314" t="s">
        <v>292</v>
      </c>
      <c r="L3314" t="s">
        <v>198</v>
      </c>
      <c r="M3314" t="s">
        <v>136</v>
      </c>
    </row>
    <row r="3315" spans="1:13" x14ac:dyDescent="0.3">
      <c r="A3315" t="s">
        <v>35</v>
      </c>
      <c r="B3315" t="s">
        <v>260</v>
      </c>
      <c r="C3315">
        <v>272</v>
      </c>
      <c r="D3315" t="s">
        <v>915</v>
      </c>
      <c r="E3315" t="s">
        <v>99</v>
      </c>
      <c r="F3315" t="s">
        <v>132</v>
      </c>
      <c r="G3315" t="s">
        <v>151</v>
      </c>
      <c r="H3315" t="s">
        <v>363</v>
      </c>
      <c r="I3315" t="s">
        <v>423</v>
      </c>
      <c r="J3315" t="s">
        <v>136</v>
      </c>
      <c r="K3315" t="s">
        <v>72</v>
      </c>
      <c r="L3315" t="s">
        <v>136</v>
      </c>
      <c r="M3315" t="s">
        <v>115</v>
      </c>
    </row>
    <row r="3316" spans="1:13" x14ac:dyDescent="0.3">
      <c r="A3316" t="s">
        <v>37</v>
      </c>
      <c r="B3316" t="s">
        <v>258</v>
      </c>
      <c r="C3316">
        <v>3855</v>
      </c>
      <c r="D3316" t="s">
        <v>180</v>
      </c>
      <c r="E3316" t="s">
        <v>99</v>
      </c>
      <c r="F3316" t="s">
        <v>108</v>
      </c>
      <c r="G3316" t="s">
        <v>108</v>
      </c>
      <c r="H3316" t="s">
        <v>126</v>
      </c>
      <c r="I3316" t="s">
        <v>401</v>
      </c>
      <c r="J3316" t="s">
        <v>207</v>
      </c>
      <c r="K3316" t="s">
        <v>382</v>
      </c>
      <c r="L3316" t="s">
        <v>198</v>
      </c>
      <c r="M3316" t="s">
        <v>99</v>
      </c>
    </row>
    <row r="3317" spans="1:13" x14ac:dyDescent="0.3">
      <c r="A3317" t="s">
        <v>36</v>
      </c>
      <c r="B3317" t="s">
        <v>258</v>
      </c>
      <c r="C3317">
        <v>2100</v>
      </c>
      <c r="D3317" t="s">
        <v>196</v>
      </c>
      <c r="E3317" t="s">
        <v>99</v>
      </c>
      <c r="F3317" t="s">
        <v>147</v>
      </c>
      <c r="G3317" t="s">
        <v>100</v>
      </c>
      <c r="H3317" t="s">
        <v>184</v>
      </c>
      <c r="I3317" t="s">
        <v>222</v>
      </c>
      <c r="J3317" t="s">
        <v>132</v>
      </c>
      <c r="K3317" t="s">
        <v>292</v>
      </c>
      <c r="L3317" t="s">
        <v>207</v>
      </c>
      <c r="M3317" t="s">
        <v>207</v>
      </c>
    </row>
    <row r="3318" spans="1:13" x14ac:dyDescent="0.3">
      <c r="A3318" t="s">
        <v>36</v>
      </c>
      <c r="B3318" t="s">
        <v>260</v>
      </c>
      <c r="C3318">
        <v>205</v>
      </c>
      <c r="D3318" t="s">
        <v>282</v>
      </c>
      <c r="E3318" t="s">
        <v>141</v>
      </c>
      <c r="F3318" t="s">
        <v>147</v>
      </c>
      <c r="G3318" t="s">
        <v>147</v>
      </c>
      <c r="H3318" t="s">
        <v>803</v>
      </c>
      <c r="I3318" t="s">
        <v>706</v>
      </c>
      <c r="J3318" t="s">
        <v>113</v>
      </c>
      <c r="K3318" t="s">
        <v>705</v>
      </c>
      <c r="L3318" t="s">
        <v>141</v>
      </c>
      <c r="M3318" t="s">
        <v>99</v>
      </c>
    </row>
    <row r="3319" spans="1:13" x14ac:dyDescent="0.3">
      <c r="A3319" t="s">
        <v>34</v>
      </c>
      <c r="B3319" t="s">
        <v>258</v>
      </c>
      <c r="C3319">
        <v>1221</v>
      </c>
      <c r="D3319" t="s">
        <v>505</v>
      </c>
      <c r="E3319" t="s">
        <v>99</v>
      </c>
      <c r="F3319" t="s">
        <v>198</v>
      </c>
      <c r="G3319" t="s">
        <v>198</v>
      </c>
      <c r="H3319" t="s">
        <v>114</v>
      </c>
      <c r="I3319" t="s">
        <v>157</v>
      </c>
      <c r="J3319" t="s">
        <v>108</v>
      </c>
      <c r="K3319" t="s">
        <v>198</v>
      </c>
      <c r="L3319" t="s">
        <v>99</v>
      </c>
      <c r="M3319" t="s">
        <v>99</v>
      </c>
    </row>
    <row r="3320" spans="1:13" x14ac:dyDescent="0.3">
      <c r="A3320" t="s">
        <v>34</v>
      </c>
      <c r="B3320" t="s">
        <v>260</v>
      </c>
      <c r="C3320">
        <v>859</v>
      </c>
      <c r="D3320" t="s">
        <v>1180</v>
      </c>
      <c r="E3320" t="s">
        <v>198</v>
      </c>
      <c r="F3320" t="s">
        <v>120</v>
      </c>
      <c r="G3320" t="s">
        <v>722</v>
      </c>
      <c r="H3320" t="s">
        <v>670</v>
      </c>
      <c r="I3320" t="s">
        <v>673</v>
      </c>
      <c r="J3320" t="s">
        <v>117</v>
      </c>
      <c r="K3320" t="s">
        <v>70</v>
      </c>
      <c r="L3320" t="s">
        <v>136</v>
      </c>
      <c r="M3320" t="s">
        <v>99</v>
      </c>
    </row>
    <row r="3321" spans="1:13" x14ac:dyDescent="0.3">
      <c r="A3321" t="s">
        <v>33</v>
      </c>
      <c r="B3321" t="s">
        <v>258</v>
      </c>
      <c r="C3321">
        <v>1937</v>
      </c>
      <c r="D3321" t="s">
        <v>290</v>
      </c>
      <c r="E3321" t="s">
        <v>99</v>
      </c>
      <c r="F3321" t="s">
        <v>198</v>
      </c>
      <c r="G3321" t="s">
        <v>268</v>
      </c>
      <c r="H3321" t="s">
        <v>120</v>
      </c>
      <c r="I3321" t="s">
        <v>363</v>
      </c>
      <c r="J3321" t="s">
        <v>141</v>
      </c>
      <c r="K3321" t="s">
        <v>138</v>
      </c>
      <c r="L3321" t="s">
        <v>99</v>
      </c>
      <c r="M3321" t="s">
        <v>198</v>
      </c>
    </row>
    <row r="3322" spans="1:13" x14ac:dyDescent="0.3">
      <c r="A3322" t="s">
        <v>49</v>
      </c>
      <c r="B3322" t="s">
        <v>258</v>
      </c>
      <c r="C3322">
        <v>11986</v>
      </c>
      <c r="D3322" t="s">
        <v>394</v>
      </c>
      <c r="E3322" t="s">
        <v>99</v>
      </c>
      <c r="F3322" t="s">
        <v>132</v>
      </c>
      <c r="G3322" t="s">
        <v>130</v>
      </c>
      <c r="H3322" t="s">
        <v>105</v>
      </c>
      <c r="I3322" t="s">
        <v>305</v>
      </c>
      <c r="J3322" t="s">
        <v>136</v>
      </c>
      <c r="K3322" t="s">
        <v>151</v>
      </c>
      <c r="L3322" t="s">
        <v>198</v>
      </c>
      <c r="M3322" t="s">
        <v>198</v>
      </c>
    </row>
    <row r="3323" spans="1:13" x14ac:dyDescent="0.3">
      <c r="A3323" t="s">
        <v>49</v>
      </c>
      <c r="B3323" t="s">
        <v>260</v>
      </c>
      <c r="C3323">
        <v>1336</v>
      </c>
      <c r="D3323" t="s">
        <v>279</v>
      </c>
      <c r="E3323" t="s">
        <v>198</v>
      </c>
      <c r="F3323" t="s">
        <v>117</v>
      </c>
      <c r="G3323" t="s">
        <v>353</v>
      </c>
      <c r="H3323" t="s">
        <v>298</v>
      </c>
      <c r="I3323" t="s">
        <v>370</v>
      </c>
      <c r="J3323" t="s">
        <v>151</v>
      </c>
      <c r="K3323" t="s">
        <v>248</v>
      </c>
      <c r="L3323" t="s">
        <v>136</v>
      </c>
      <c r="M3323" t="s">
        <v>104</v>
      </c>
    </row>
    <row r="3325" spans="1:13" x14ac:dyDescent="0.3">
      <c r="A3325" t="s">
        <v>1409</v>
      </c>
    </row>
    <row r="3326" spans="1:13" x14ac:dyDescent="0.3">
      <c r="A3326" t="s">
        <v>44</v>
      </c>
      <c r="B3326" t="s">
        <v>32</v>
      </c>
      <c r="C3326" t="s">
        <v>1410</v>
      </c>
      <c r="D3326" t="s">
        <v>1411</v>
      </c>
      <c r="E3326" t="s">
        <v>1412</v>
      </c>
    </row>
    <row r="3327" spans="1:13" x14ac:dyDescent="0.3">
      <c r="A3327" t="s">
        <v>35</v>
      </c>
      <c r="B3327">
        <v>3145</v>
      </c>
      <c r="C3327" t="s">
        <v>344</v>
      </c>
      <c r="D3327" t="s">
        <v>534</v>
      </c>
      <c r="E3327" t="s">
        <v>653</v>
      </c>
    </row>
    <row r="3328" spans="1:13" x14ac:dyDescent="0.3">
      <c r="A3328" t="s">
        <v>37</v>
      </c>
      <c r="B3328">
        <v>3855</v>
      </c>
      <c r="C3328" t="s">
        <v>609</v>
      </c>
      <c r="D3328" t="s">
        <v>54</v>
      </c>
      <c r="E3328" t="s">
        <v>429</v>
      </c>
    </row>
    <row r="3329" spans="1:6" x14ac:dyDescent="0.3">
      <c r="A3329" t="s">
        <v>36</v>
      </c>
      <c r="B3329">
        <v>2305</v>
      </c>
      <c r="C3329" t="s">
        <v>929</v>
      </c>
      <c r="D3329" t="s">
        <v>62</v>
      </c>
      <c r="E3329" t="s">
        <v>681</v>
      </c>
    </row>
    <row r="3330" spans="1:6" x14ac:dyDescent="0.3">
      <c r="A3330" t="s">
        <v>34</v>
      </c>
      <c r="B3330">
        <v>2080</v>
      </c>
      <c r="C3330" t="s">
        <v>794</v>
      </c>
      <c r="D3330" t="s">
        <v>932</v>
      </c>
      <c r="E3330" t="s">
        <v>451</v>
      </c>
    </row>
    <row r="3331" spans="1:6" x14ac:dyDescent="0.3">
      <c r="A3331" t="s">
        <v>33</v>
      </c>
      <c r="B3331">
        <v>1937</v>
      </c>
      <c r="C3331" t="s">
        <v>574</v>
      </c>
      <c r="D3331" t="s">
        <v>619</v>
      </c>
      <c r="E3331" t="s">
        <v>959</v>
      </c>
    </row>
    <row r="3332" spans="1:6" x14ac:dyDescent="0.3">
      <c r="A3332" t="s">
        <v>49</v>
      </c>
      <c r="B3332">
        <v>13322</v>
      </c>
      <c r="C3332" t="s">
        <v>932</v>
      </c>
      <c r="D3332" t="s">
        <v>838</v>
      </c>
      <c r="E3332" t="s">
        <v>840</v>
      </c>
    </row>
    <row r="3334" spans="1:6" x14ac:dyDescent="0.3">
      <c r="A3334" t="s">
        <v>1413</v>
      </c>
    </row>
    <row r="3335" spans="1:6" x14ac:dyDescent="0.3">
      <c r="A3335" t="s">
        <v>44</v>
      </c>
      <c r="B3335" t="s">
        <v>361</v>
      </c>
      <c r="C3335" t="s">
        <v>32</v>
      </c>
      <c r="D3335" t="s">
        <v>1410</v>
      </c>
      <c r="E3335" t="s">
        <v>1411</v>
      </c>
      <c r="F3335" t="s">
        <v>1412</v>
      </c>
    </row>
    <row r="3336" spans="1:6" x14ac:dyDescent="0.3">
      <c r="A3336" t="s">
        <v>35</v>
      </c>
      <c r="B3336" t="s">
        <v>339</v>
      </c>
      <c r="C3336">
        <v>890</v>
      </c>
      <c r="D3336" t="s">
        <v>1154</v>
      </c>
      <c r="E3336" t="s">
        <v>246</v>
      </c>
      <c r="F3336" t="s">
        <v>600</v>
      </c>
    </row>
    <row r="3337" spans="1:6" x14ac:dyDescent="0.3">
      <c r="A3337" t="s">
        <v>35</v>
      </c>
      <c r="B3337" t="s">
        <v>340</v>
      </c>
      <c r="C3337">
        <v>2215</v>
      </c>
      <c r="D3337" t="s">
        <v>64</v>
      </c>
      <c r="E3337" t="s">
        <v>517</v>
      </c>
      <c r="F3337" t="s">
        <v>629</v>
      </c>
    </row>
    <row r="3338" spans="1:6" x14ac:dyDescent="0.3">
      <c r="A3338" t="s">
        <v>35</v>
      </c>
      <c r="B3338" t="s">
        <v>365</v>
      </c>
      <c r="C3338">
        <v>40</v>
      </c>
      <c r="D3338" t="s">
        <v>864</v>
      </c>
      <c r="E3338" t="s">
        <v>707</v>
      </c>
      <c r="F3338" t="s">
        <v>613</v>
      </c>
    </row>
    <row r="3339" spans="1:6" x14ac:dyDescent="0.3">
      <c r="A3339" t="s">
        <v>37</v>
      </c>
      <c r="B3339" t="s">
        <v>339</v>
      </c>
      <c r="C3339">
        <v>1093</v>
      </c>
      <c r="D3339" t="s">
        <v>644</v>
      </c>
      <c r="E3339" t="s">
        <v>741</v>
      </c>
      <c r="F3339" t="s">
        <v>508</v>
      </c>
    </row>
    <row r="3340" spans="1:6" x14ac:dyDescent="0.3">
      <c r="A3340" t="s">
        <v>37</v>
      </c>
      <c r="B3340" t="s">
        <v>340</v>
      </c>
      <c r="C3340">
        <v>2721</v>
      </c>
      <c r="D3340" t="s">
        <v>919</v>
      </c>
      <c r="E3340" t="s">
        <v>1414</v>
      </c>
      <c r="F3340" t="s">
        <v>545</v>
      </c>
    </row>
    <row r="3341" spans="1:6" x14ac:dyDescent="0.3">
      <c r="A3341" t="s">
        <v>37</v>
      </c>
      <c r="B3341" t="s">
        <v>365</v>
      </c>
      <c r="C3341">
        <v>41</v>
      </c>
      <c r="D3341" t="s">
        <v>919</v>
      </c>
      <c r="E3341" t="s">
        <v>283</v>
      </c>
      <c r="F3341" t="s">
        <v>860</v>
      </c>
    </row>
    <row r="3342" spans="1:6" x14ac:dyDescent="0.3">
      <c r="A3342" t="s">
        <v>36</v>
      </c>
      <c r="B3342" t="s">
        <v>339</v>
      </c>
      <c r="C3342">
        <v>770</v>
      </c>
      <c r="D3342" t="s">
        <v>1415</v>
      </c>
      <c r="E3342" t="s">
        <v>146</v>
      </c>
      <c r="F3342" t="s">
        <v>54</v>
      </c>
    </row>
    <row r="3343" spans="1:6" x14ac:dyDescent="0.3">
      <c r="A3343" t="s">
        <v>36</v>
      </c>
      <c r="B3343" t="s">
        <v>340</v>
      </c>
      <c r="C3343">
        <v>1472</v>
      </c>
      <c r="D3343" t="s">
        <v>810</v>
      </c>
      <c r="E3343" t="s">
        <v>829</v>
      </c>
      <c r="F3343" t="s">
        <v>1046</v>
      </c>
    </row>
    <row r="3344" spans="1:6" x14ac:dyDescent="0.3">
      <c r="A3344" t="s">
        <v>36</v>
      </c>
      <c r="B3344" t="s">
        <v>365</v>
      </c>
      <c r="C3344">
        <v>63</v>
      </c>
      <c r="D3344" t="s">
        <v>246</v>
      </c>
      <c r="E3344" t="s">
        <v>640</v>
      </c>
      <c r="F3344" t="s">
        <v>727</v>
      </c>
    </row>
    <row r="3345" spans="1:6" x14ac:dyDescent="0.3">
      <c r="A3345" t="s">
        <v>34</v>
      </c>
      <c r="B3345" t="s">
        <v>339</v>
      </c>
      <c r="C3345">
        <v>555</v>
      </c>
      <c r="D3345" t="s">
        <v>919</v>
      </c>
      <c r="E3345" t="s">
        <v>934</v>
      </c>
      <c r="F3345" t="s">
        <v>715</v>
      </c>
    </row>
    <row r="3346" spans="1:6" x14ac:dyDescent="0.3">
      <c r="A3346" t="s">
        <v>34</v>
      </c>
      <c r="B3346" t="s">
        <v>340</v>
      </c>
      <c r="C3346">
        <v>1497</v>
      </c>
      <c r="D3346" t="s">
        <v>600</v>
      </c>
      <c r="E3346" t="s">
        <v>459</v>
      </c>
      <c r="F3346" t="s">
        <v>860</v>
      </c>
    </row>
    <row r="3347" spans="1:6" x14ac:dyDescent="0.3">
      <c r="A3347" t="s">
        <v>34</v>
      </c>
      <c r="B3347" t="s">
        <v>365</v>
      </c>
      <c r="C3347">
        <v>28</v>
      </c>
      <c r="D3347" t="s">
        <v>696</v>
      </c>
      <c r="E3347" t="s">
        <v>801</v>
      </c>
      <c r="F3347" t="s">
        <v>1415</v>
      </c>
    </row>
    <row r="3348" spans="1:6" x14ac:dyDescent="0.3">
      <c r="A3348" t="s">
        <v>33</v>
      </c>
      <c r="B3348" t="s">
        <v>339</v>
      </c>
      <c r="C3348">
        <v>503</v>
      </c>
      <c r="D3348" t="s">
        <v>829</v>
      </c>
      <c r="E3348" t="s">
        <v>624</v>
      </c>
      <c r="F3348" t="s">
        <v>820</v>
      </c>
    </row>
    <row r="3349" spans="1:6" x14ac:dyDescent="0.3">
      <c r="A3349" t="s">
        <v>33</v>
      </c>
      <c r="B3349" t="s">
        <v>340</v>
      </c>
      <c r="C3349">
        <v>1415</v>
      </c>
      <c r="D3349" t="s">
        <v>834</v>
      </c>
      <c r="E3349" t="s">
        <v>619</v>
      </c>
      <c r="F3349" t="s">
        <v>803</v>
      </c>
    </row>
    <row r="3350" spans="1:6" x14ac:dyDescent="0.3">
      <c r="A3350" t="s">
        <v>33</v>
      </c>
      <c r="B3350" t="s">
        <v>365</v>
      </c>
      <c r="C3350">
        <v>19</v>
      </c>
      <c r="D3350" t="s">
        <v>940</v>
      </c>
      <c r="E3350" t="s">
        <v>955</v>
      </c>
      <c r="F3350" t="s">
        <v>188</v>
      </c>
    </row>
    <row r="3351" spans="1:6" x14ac:dyDescent="0.3">
      <c r="A3351" t="s">
        <v>49</v>
      </c>
      <c r="B3351" t="s">
        <v>339</v>
      </c>
      <c r="C3351">
        <v>3811</v>
      </c>
      <c r="D3351" t="s">
        <v>566</v>
      </c>
      <c r="E3351" t="s">
        <v>349</v>
      </c>
      <c r="F3351" t="s">
        <v>711</v>
      </c>
    </row>
    <row r="3352" spans="1:6" x14ac:dyDescent="0.3">
      <c r="A3352" t="s">
        <v>49</v>
      </c>
      <c r="B3352" t="s">
        <v>340</v>
      </c>
      <c r="C3352">
        <v>9320</v>
      </c>
      <c r="D3352" t="s">
        <v>283</v>
      </c>
      <c r="E3352" t="s">
        <v>1062</v>
      </c>
      <c r="F3352" t="s">
        <v>924</v>
      </c>
    </row>
    <row r="3353" spans="1:6" x14ac:dyDescent="0.3">
      <c r="A3353" t="s">
        <v>49</v>
      </c>
      <c r="B3353" t="s">
        <v>365</v>
      </c>
      <c r="C3353">
        <v>191</v>
      </c>
      <c r="D3353" t="s">
        <v>40</v>
      </c>
      <c r="E3353" t="s">
        <v>963</v>
      </c>
      <c r="F3353" t="s">
        <v>736</v>
      </c>
    </row>
    <row r="3355" spans="1:6" x14ac:dyDescent="0.3">
      <c r="A3355" t="s">
        <v>1416</v>
      </c>
    </row>
    <row r="3356" spans="1:6" x14ac:dyDescent="0.3">
      <c r="A3356" t="s">
        <v>44</v>
      </c>
      <c r="B3356" t="s">
        <v>209</v>
      </c>
      <c r="C3356" t="s">
        <v>32</v>
      </c>
      <c r="D3356" t="s">
        <v>1410</v>
      </c>
      <c r="E3356" t="s">
        <v>1411</v>
      </c>
      <c r="F3356" t="s">
        <v>1412</v>
      </c>
    </row>
    <row r="3357" spans="1:6" x14ac:dyDescent="0.3">
      <c r="A3357" t="s">
        <v>35</v>
      </c>
      <c r="B3357" t="s">
        <v>210</v>
      </c>
      <c r="C3357">
        <v>136</v>
      </c>
      <c r="D3357" t="s">
        <v>1062</v>
      </c>
      <c r="E3357" t="s">
        <v>688</v>
      </c>
      <c r="F3357" t="s">
        <v>1101</v>
      </c>
    </row>
    <row r="3358" spans="1:6" x14ac:dyDescent="0.3">
      <c r="A3358" t="s">
        <v>35</v>
      </c>
      <c r="B3358" t="s">
        <v>212</v>
      </c>
      <c r="C3358">
        <v>2442</v>
      </c>
      <c r="D3358" t="s">
        <v>647</v>
      </c>
      <c r="E3358" t="s">
        <v>860</v>
      </c>
      <c r="F3358" t="s">
        <v>837</v>
      </c>
    </row>
    <row r="3359" spans="1:6" x14ac:dyDescent="0.3">
      <c r="A3359" t="s">
        <v>35</v>
      </c>
      <c r="B3359" t="s">
        <v>216</v>
      </c>
      <c r="C3359">
        <v>567</v>
      </c>
      <c r="D3359" t="s">
        <v>1107</v>
      </c>
      <c r="E3359" t="s">
        <v>307</v>
      </c>
      <c r="F3359" t="s">
        <v>1077</v>
      </c>
    </row>
    <row r="3360" spans="1:6" x14ac:dyDescent="0.3">
      <c r="A3360" t="s">
        <v>37</v>
      </c>
      <c r="B3360" t="s">
        <v>210</v>
      </c>
      <c r="C3360">
        <v>138</v>
      </c>
      <c r="D3360" t="s">
        <v>116</v>
      </c>
      <c r="E3360" t="s">
        <v>894</v>
      </c>
      <c r="F3360" t="s">
        <v>793</v>
      </c>
    </row>
    <row r="3361" spans="1:6" x14ac:dyDescent="0.3">
      <c r="A3361" t="s">
        <v>37</v>
      </c>
      <c r="B3361" t="s">
        <v>212</v>
      </c>
      <c r="C3361">
        <v>3606</v>
      </c>
      <c r="D3361" t="s">
        <v>1159</v>
      </c>
      <c r="E3361" t="s">
        <v>717</v>
      </c>
      <c r="F3361" t="s">
        <v>795</v>
      </c>
    </row>
    <row r="3362" spans="1:6" x14ac:dyDescent="0.3">
      <c r="A3362" t="s">
        <v>37</v>
      </c>
      <c r="B3362" t="s">
        <v>216</v>
      </c>
      <c r="C3362">
        <v>111</v>
      </c>
      <c r="D3362" t="s">
        <v>481</v>
      </c>
      <c r="E3362" t="s">
        <v>106</v>
      </c>
      <c r="F3362" t="s">
        <v>614</v>
      </c>
    </row>
    <row r="3363" spans="1:6" x14ac:dyDescent="0.3">
      <c r="A3363" t="s">
        <v>36</v>
      </c>
      <c r="B3363" t="s">
        <v>210</v>
      </c>
      <c r="C3363">
        <v>165</v>
      </c>
      <c r="D3363" t="s">
        <v>967</v>
      </c>
      <c r="E3363" t="s">
        <v>803</v>
      </c>
      <c r="F3363" t="s">
        <v>1415</v>
      </c>
    </row>
    <row r="3364" spans="1:6" x14ac:dyDescent="0.3">
      <c r="A3364" t="s">
        <v>36</v>
      </c>
      <c r="B3364" t="s">
        <v>212</v>
      </c>
      <c r="C3364">
        <v>1875</v>
      </c>
      <c r="D3364" t="s">
        <v>283</v>
      </c>
      <c r="E3364" t="s">
        <v>459</v>
      </c>
      <c r="F3364" t="s">
        <v>803</v>
      </c>
    </row>
    <row r="3365" spans="1:6" x14ac:dyDescent="0.3">
      <c r="A3365" t="s">
        <v>36</v>
      </c>
      <c r="B3365" t="s">
        <v>216</v>
      </c>
      <c r="C3365">
        <v>265</v>
      </c>
      <c r="D3365" t="s">
        <v>574</v>
      </c>
      <c r="E3365" t="s">
        <v>828</v>
      </c>
      <c r="F3365" t="s">
        <v>944</v>
      </c>
    </row>
    <row r="3366" spans="1:6" x14ac:dyDescent="0.3">
      <c r="A3366" t="s">
        <v>34</v>
      </c>
      <c r="B3366" t="s">
        <v>210</v>
      </c>
      <c r="C3366">
        <v>256</v>
      </c>
      <c r="D3366" t="s">
        <v>578</v>
      </c>
      <c r="E3366" t="s">
        <v>842</v>
      </c>
      <c r="F3366" t="s">
        <v>283</v>
      </c>
    </row>
    <row r="3367" spans="1:6" x14ac:dyDescent="0.3">
      <c r="A3367" t="s">
        <v>34</v>
      </c>
      <c r="B3367" t="s">
        <v>212</v>
      </c>
      <c r="C3367">
        <v>1582</v>
      </c>
      <c r="D3367" t="s">
        <v>1214</v>
      </c>
      <c r="E3367" t="s">
        <v>806</v>
      </c>
      <c r="F3367" t="s">
        <v>741</v>
      </c>
    </row>
    <row r="3368" spans="1:6" x14ac:dyDescent="0.3">
      <c r="A3368" t="s">
        <v>34</v>
      </c>
      <c r="B3368" t="s">
        <v>216</v>
      </c>
      <c r="C3368">
        <v>242</v>
      </c>
      <c r="D3368" t="s">
        <v>1252</v>
      </c>
      <c r="E3368" t="s">
        <v>592</v>
      </c>
      <c r="F3368" t="s">
        <v>736</v>
      </c>
    </row>
    <row r="3369" spans="1:6" x14ac:dyDescent="0.3">
      <c r="A3369" t="s">
        <v>33</v>
      </c>
      <c r="B3369" t="s">
        <v>210</v>
      </c>
      <c r="C3369">
        <v>68</v>
      </c>
      <c r="D3369" t="s">
        <v>810</v>
      </c>
      <c r="E3369" t="s">
        <v>1107</v>
      </c>
      <c r="F3369" t="s">
        <v>794</v>
      </c>
    </row>
    <row r="3370" spans="1:6" x14ac:dyDescent="0.3">
      <c r="A3370" t="s">
        <v>33</v>
      </c>
      <c r="B3370" t="s">
        <v>212</v>
      </c>
      <c r="C3370">
        <v>1800</v>
      </c>
      <c r="D3370" t="s">
        <v>1094</v>
      </c>
      <c r="E3370" t="s">
        <v>582</v>
      </c>
      <c r="F3370" t="s">
        <v>894</v>
      </c>
    </row>
    <row r="3371" spans="1:6" x14ac:dyDescent="0.3">
      <c r="A3371" t="s">
        <v>33</v>
      </c>
      <c r="B3371" t="s">
        <v>216</v>
      </c>
      <c r="C3371">
        <v>69</v>
      </c>
      <c r="D3371" t="s">
        <v>990</v>
      </c>
      <c r="E3371" t="s">
        <v>532</v>
      </c>
      <c r="F3371" t="s">
        <v>631</v>
      </c>
    </row>
    <row r="3372" spans="1:6" x14ac:dyDescent="0.3">
      <c r="A3372" t="s">
        <v>49</v>
      </c>
      <c r="B3372" t="s">
        <v>210</v>
      </c>
      <c r="C3372">
        <v>763</v>
      </c>
      <c r="D3372" t="s">
        <v>146</v>
      </c>
      <c r="E3372" t="s">
        <v>423</v>
      </c>
      <c r="F3372" t="s">
        <v>638</v>
      </c>
    </row>
    <row r="3373" spans="1:6" x14ac:dyDescent="0.3">
      <c r="A3373" t="s">
        <v>49</v>
      </c>
      <c r="B3373" t="s">
        <v>212</v>
      </c>
      <c r="C3373">
        <v>11305</v>
      </c>
      <c r="D3373" t="s">
        <v>956</v>
      </c>
      <c r="E3373" t="s">
        <v>214</v>
      </c>
      <c r="F3373" t="s">
        <v>429</v>
      </c>
    </row>
    <row r="3374" spans="1:6" x14ac:dyDescent="0.3">
      <c r="A3374" t="s">
        <v>49</v>
      </c>
      <c r="B3374" t="s">
        <v>216</v>
      </c>
      <c r="C3374">
        <v>1254</v>
      </c>
      <c r="D3374" t="s">
        <v>699</v>
      </c>
      <c r="E3374" t="s">
        <v>803</v>
      </c>
      <c r="F3374" t="s">
        <v>527</v>
      </c>
    </row>
    <row r="3376" spans="1:6" x14ac:dyDescent="0.3">
      <c r="A3376" t="s">
        <v>1417</v>
      </c>
    </row>
    <row r="3377" spans="1:6" x14ac:dyDescent="0.3">
      <c r="A3377" t="s">
        <v>44</v>
      </c>
      <c r="B3377" t="s">
        <v>388</v>
      </c>
      <c r="C3377" t="s">
        <v>32</v>
      </c>
      <c r="D3377" t="s">
        <v>1410</v>
      </c>
      <c r="E3377" t="s">
        <v>1411</v>
      </c>
      <c r="F3377" t="s">
        <v>1412</v>
      </c>
    </row>
    <row r="3378" spans="1:6" x14ac:dyDescent="0.3">
      <c r="A3378" t="s">
        <v>35</v>
      </c>
      <c r="B3378" t="s">
        <v>389</v>
      </c>
      <c r="C3378">
        <v>2141</v>
      </c>
      <c r="D3378" t="s">
        <v>666</v>
      </c>
      <c r="E3378" t="s">
        <v>534</v>
      </c>
      <c r="F3378" t="s">
        <v>631</v>
      </c>
    </row>
    <row r="3379" spans="1:6" x14ac:dyDescent="0.3">
      <c r="A3379" t="s">
        <v>35</v>
      </c>
      <c r="B3379" t="s">
        <v>390</v>
      </c>
      <c r="C3379">
        <v>875</v>
      </c>
      <c r="D3379" t="s">
        <v>843</v>
      </c>
      <c r="E3379" t="s">
        <v>457</v>
      </c>
      <c r="F3379" t="s">
        <v>806</v>
      </c>
    </row>
    <row r="3380" spans="1:6" x14ac:dyDescent="0.3">
      <c r="A3380" t="s">
        <v>35</v>
      </c>
      <c r="B3380" t="s">
        <v>365</v>
      </c>
      <c r="C3380">
        <v>129</v>
      </c>
      <c r="D3380" t="s">
        <v>1045</v>
      </c>
      <c r="E3380" t="s">
        <v>1115</v>
      </c>
      <c r="F3380" t="s">
        <v>919</v>
      </c>
    </row>
    <row r="3381" spans="1:6" x14ac:dyDescent="0.3">
      <c r="A3381" t="s">
        <v>37</v>
      </c>
      <c r="B3381" t="s">
        <v>389</v>
      </c>
      <c r="C3381">
        <v>2305</v>
      </c>
      <c r="D3381" t="s">
        <v>614</v>
      </c>
      <c r="E3381" t="s">
        <v>711</v>
      </c>
      <c r="F3381" t="s">
        <v>116</v>
      </c>
    </row>
    <row r="3382" spans="1:6" x14ac:dyDescent="0.3">
      <c r="A3382" t="s">
        <v>37</v>
      </c>
      <c r="B3382" t="s">
        <v>390</v>
      </c>
      <c r="C3382">
        <v>1309</v>
      </c>
      <c r="D3382" t="s">
        <v>621</v>
      </c>
      <c r="E3382" t="s">
        <v>894</v>
      </c>
      <c r="F3382" t="s">
        <v>525</v>
      </c>
    </row>
    <row r="3383" spans="1:6" x14ac:dyDescent="0.3">
      <c r="A3383" t="s">
        <v>37</v>
      </c>
      <c r="B3383" t="s">
        <v>365</v>
      </c>
      <c r="C3383">
        <v>241</v>
      </c>
      <c r="D3383" t="s">
        <v>496</v>
      </c>
      <c r="E3383" t="s">
        <v>897</v>
      </c>
      <c r="F3383" t="s">
        <v>696</v>
      </c>
    </row>
    <row r="3384" spans="1:6" x14ac:dyDescent="0.3">
      <c r="A3384" t="s">
        <v>36</v>
      </c>
      <c r="B3384" t="s">
        <v>389</v>
      </c>
      <c r="C3384">
        <v>1578</v>
      </c>
      <c r="D3384" t="s">
        <v>1156</v>
      </c>
      <c r="E3384" t="s">
        <v>1222</v>
      </c>
      <c r="F3384" t="s">
        <v>137</v>
      </c>
    </row>
    <row r="3385" spans="1:6" x14ac:dyDescent="0.3">
      <c r="A3385" t="s">
        <v>36</v>
      </c>
      <c r="B3385" t="s">
        <v>390</v>
      </c>
      <c r="C3385">
        <v>627</v>
      </c>
      <c r="D3385" t="s">
        <v>1157</v>
      </c>
      <c r="E3385" t="s">
        <v>729</v>
      </c>
      <c r="F3385" t="s">
        <v>1156</v>
      </c>
    </row>
    <row r="3386" spans="1:6" x14ac:dyDescent="0.3">
      <c r="A3386" t="s">
        <v>36</v>
      </c>
      <c r="B3386" t="s">
        <v>365</v>
      </c>
      <c r="C3386">
        <v>100</v>
      </c>
      <c r="D3386" t="s">
        <v>723</v>
      </c>
      <c r="E3386" t="s">
        <v>794</v>
      </c>
      <c r="F3386" t="s">
        <v>344</v>
      </c>
    </row>
    <row r="3387" spans="1:6" x14ac:dyDescent="0.3">
      <c r="A3387" t="s">
        <v>34</v>
      </c>
      <c r="B3387" t="s">
        <v>389</v>
      </c>
      <c r="C3387">
        <v>1385</v>
      </c>
      <c r="D3387" t="s">
        <v>1068</v>
      </c>
      <c r="E3387" t="s">
        <v>1148</v>
      </c>
      <c r="F3387" t="s">
        <v>842</v>
      </c>
    </row>
    <row r="3388" spans="1:6" x14ac:dyDescent="0.3">
      <c r="A3388" t="s">
        <v>34</v>
      </c>
      <c r="B3388" t="s">
        <v>390</v>
      </c>
      <c r="C3388">
        <v>615</v>
      </c>
      <c r="D3388" t="s">
        <v>1156</v>
      </c>
      <c r="E3388" t="s">
        <v>707</v>
      </c>
      <c r="F3388" t="s">
        <v>1414</v>
      </c>
    </row>
    <row r="3389" spans="1:6" x14ac:dyDescent="0.3">
      <c r="A3389" t="s">
        <v>34</v>
      </c>
      <c r="B3389" t="s">
        <v>365</v>
      </c>
      <c r="C3389">
        <v>80</v>
      </c>
      <c r="D3389" t="s">
        <v>913</v>
      </c>
      <c r="E3389" t="s">
        <v>745</v>
      </c>
      <c r="F3389" t="s">
        <v>519</v>
      </c>
    </row>
    <row r="3390" spans="1:6" x14ac:dyDescent="0.3">
      <c r="A3390" t="s">
        <v>33</v>
      </c>
      <c r="B3390" t="s">
        <v>389</v>
      </c>
      <c r="C3390">
        <v>1090</v>
      </c>
      <c r="D3390" t="s">
        <v>456</v>
      </c>
      <c r="E3390" t="s">
        <v>570</v>
      </c>
      <c r="F3390" t="s">
        <v>1053</v>
      </c>
    </row>
    <row r="3391" spans="1:6" x14ac:dyDescent="0.3">
      <c r="A3391" t="s">
        <v>33</v>
      </c>
      <c r="B3391" t="s">
        <v>390</v>
      </c>
      <c r="C3391">
        <v>708</v>
      </c>
      <c r="D3391" t="s">
        <v>729</v>
      </c>
      <c r="E3391" t="s">
        <v>698</v>
      </c>
      <c r="F3391" t="s">
        <v>1167</v>
      </c>
    </row>
    <row r="3392" spans="1:6" x14ac:dyDescent="0.3">
      <c r="A3392" t="s">
        <v>33</v>
      </c>
      <c r="B3392" t="s">
        <v>365</v>
      </c>
      <c r="C3392">
        <v>139</v>
      </c>
      <c r="D3392" t="s">
        <v>349</v>
      </c>
      <c r="E3392" t="s">
        <v>1123</v>
      </c>
      <c r="F3392" t="s">
        <v>197</v>
      </c>
    </row>
    <row r="3393" spans="1:6" x14ac:dyDescent="0.3">
      <c r="A3393" t="s">
        <v>49</v>
      </c>
      <c r="B3393" t="s">
        <v>389</v>
      </c>
      <c r="C3393">
        <v>8499</v>
      </c>
      <c r="D3393" t="s">
        <v>1156</v>
      </c>
      <c r="E3393" t="s">
        <v>1062</v>
      </c>
      <c r="F3393" t="s">
        <v>1062</v>
      </c>
    </row>
    <row r="3394" spans="1:6" x14ac:dyDescent="0.3">
      <c r="A3394" t="s">
        <v>49</v>
      </c>
      <c r="B3394" t="s">
        <v>390</v>
      </c>
      <c r="C3394">
        <v>4134</v>
      </c>
      <c r="D3394" t="s">
        <v>1415</v>
      </c>
      <c r="E3394" t="s">
        <v>148</v>
      </c>
      <c r="F3394" t="s">
        <v>545</v>
      </c>
    </row>
    <row r="3395" spans="1:6" x14ac:dyDescent="0.3">
      <c r="A3395" t="s">
        <v>49</v>
      </c>
      <c r="B3395" t="s">
        <v>365</v>
      </c>
      <c r="C3395">
        <v>689</v>
      </c>
      <c r="D3395" t="s">
        <v>934</v>
      </c>
      <c r="E3395" t="s">
        <v>1222</v>
      </c>
      <c r="F3395" t="s">
        <v>920</v>
      </c>
    </row>
    <row r="3397" spans="1:6" x14ac:dyDescent="0.3">
      <c r="A3397" t="s">
        <v>1418</v>
      </c>
    </row>
    <row r="3398" spans="1:6" x14ac:dyDescent="0.3">
      <c r="A3398" t="s">
        <v>44</v>
      </c>
      <c r="B3398" t="s">
        <v>235</v>
      </c>
      <c r="C3398" t="s">
        <v>32</v>
      </c>
      <c r="D3398" t="s">
        <v>1410</v>
      </c>
      <c r="E3398" t="s">
        <v>1411</v>
      </c>
      <c r="F3398" t="s">
        <v>1412</v>
      </c>
    </row>
    <row r="3399" spans="1:6" x14ac:dyDescent="0.3">
      <c r="A3399" t="s">
        <v>35</v>
      </c>
      <c r="B3399" t="s">
        <v>236</v>
      </c>
      <c r="C3399">
        <v>1610</v>
      </c>
      <c r="D3399" t="s">
        <v>607</v>
      </c>
      <c r="E3399" t="s">
        <v>810</v>
      </c>
      <c r="F3399" t="s">
        <v>933</v>
      </c>
    </row>
    <row r="3400" spans="1:6" x14ac:dyDescent="0.3">
      <c r="A3400" t="s">
        <v>35</v>
      </c>
      <c r="B3400" t="s">
        <v>238</v>
      </c>
      <c r="C3400">
        <v>1535</v>
      </c>
      <c r="D3400" t="s">
        <v>832</v>
      </c>
      <c r="E3400" t="s">
        <v>683</v>
      </c>
      <c r="F3400" t="s">
        <v>895</v>
      </c>
    </row>
    <row r="3401" spans="1:6" x14ac:dyDescent="0.3">
      <c r="A3401" t="s">
        <v>37</v>
      </c>
      <c r="B3401" t="s">
        <v>236</v>
      </c>
      <c r="C3401">
        <v>2211</v>
      </c>
      <c r="D3401" t="s">
        <v>1101</v>
      </c>
      <c r="E3401" t="s">
        <v>140</v>
      </c>
      <c r="F3401" t="s">
        <v>676</v>
      </c>
    </row>
    <row r="3402" spans="1:6" x14ac:dyDescent="0.3">
      <c r="A3402" t="s">
        <v>37</v>
      </c>
      <c r="B3402" t="s">
        <v>238</v>
      </c>
      <c r="C3402">
        <v>1644</v>
      </c>
      <c r="D3402" t="s">
        <v>224</v>
      </c>
      <c r="E3402" t="s">
        <v>868</v>
      </c>
      <c r="F3402" t="s">
        <v>620</v>
      </c>
    </row>
    <row r="3403" spans="1:6" x14ac:dyDescent="0.3">
      <c r="A3403" t="s">
        <v>36</v>
      </c>
      <c r="B3403" t="s">
        <v>236</v>
      </c>
      <c r="C3403">
        <v>1566</v>
      </c>
      <c r="D3403" t="s">
        <v>496</v>
      </c>
      <c r="E3403" t="s">
        <v>824</v>
      </c>
      <c r="F3403" t="s">
        <v>186</v>
      </c>
    </row>
    <row r="3404" spans="1:6" x14ac:dyDescent="0.3">
      <c r="A3404" t="s">
        <v>36</v>
      </c>
      <c r="B3404" t="s">
        <v>238</v>
      </c>
      <c r="C3404">
        <v>739</v>
      </c>
      <c r="D3404" t="s">
        <v>341</v>
      </c>
      <c r="E3404" t="s">
        <v>836</v>
      </c>
      <c r="F3404" t="s">
        <v>1154</v>
      </c>
    </row>
    <row r="3405" spans="1:6" x14ac:dyDescent="0.3">
      <c r="A3405" t="s">
        <v>34</v>
      </c>
      <c r="B3405" t="s">
        <v>236</v>
      </c>
      <c r="C3405">
        <v>717</v>
      </c>
      <c r="D3405" t="s">
        <v>1113</v>
      </c>
      <c r="E3405" t="s">
        <v>932</v>
      </c>
      <c r="F3405" t="s">
        <v>303</v>
      </c>
    </row>
    <row r="3406" spans="1:6" x14ac:dyDescent="0.3">
      <c r="A3406" t="s">
        <v>34</v>
      </c>
      <c r="B3406" t="s">
        <v>238</v>
      </c>
      <c r="C3406">
        <v>1363</v>
      </c>
      <c r="D3406" t="s">
        <v>1115</v>
      </c>
      <c r="E3406" t="s">
        <v>932</v>
      </c>
      <c r="F3406" t="s">
        <v>832</v>
      </c>
    </row>
    <row r="3407" spans="1:6" x14ac:dyDescent="0.3">
      <c r="A3407" t="s">
        <v>33</v>
      </c>
      <c r="B3407" t="s">
        <v>236</v>
      </c>
      <c r="C3407">
        <v>1116</v>
      </c>
      <c r="D3407" t="s">
        <v>956</v>
      </c>
      <c r="E3407" t="s">
        <v>602</v>
      </c>
      <c r="F3407" t="s">
        <v>264</v>
      </c>
    </row>
    <row r="3408" spans="1:6" x14ac:dyDescent="0.3">
      <c r="A3408" t="s">
        <v>33</v>
      </c>
      <c r="B3408" t="s">
        <v>238</v>
      </c>
      <c r="C3408">
        <v>821</v>
      </c>
      <c r="D3408" t="s">
        <v>106</v>
      </c>
      <c r="E3408" t="s">
        <v>956</v>
      </c>
      <c r="F3408" t="s">
        <v>1214</v>
      </c>
    </row>
    <row r="3409" spans="1:7" x14ac:dyDescent="0.3">
      <c r="A3409" t="s">
        <v>49</v>
      </c>
      <c r="B3409" t="s">
        <v>236</v>
      </c>
      <c r="C3409">
        <v>7220</v>
      </c>
      <c r="D3409" t="s">
        <v>602</v>
      </c>
      <c r="E3409" t="s">
        <v>816</v>
      </c>
      <c r="F3409" t="s">
        <v>689</v>
      </c>
    </row>
    <row r="3410" spans="1:7" x14ac:dyDescent="0.3">
      <c r="A3410" t="s">
        <v>49</v>
      </c>
      <c r="B3410" t="s">
        <v>238</v>
      </c>
      <c r="C3410">
        <v>6102</v>
      </c>
      <c r="D3410" t="s">
        <v>349</v>
      </c>
      <c r="E3410" t="s">
        <v>341</v>
      </c>
      <c r="F3410" t="s">
        <v>1285</v>
      </c>
    </row>
    <row r="3412" spans="1:7" x14ac:dyDescent="0.3">
      <c r="A3412" t="s">
        <v>1419</v>
      </c>
    </row>
    <row r="3413" spans="1:7" x14ac:dyDescent="0.3">
      <c r="A3413" t="s">
        <v>44</v>
      </c>
      <c r="B3413" t="s">
        <v>32</v>
      </c>
      <c r="C3413" t="s">
        <v>45</v>
      </c>
      <c r="D3413" t="s">
        <v>46</v>
      </c>
      <c r="E3413" t="s">
        <v>47</v>
      </c>
      <c r="F3413" t="s">
        <v>48</v>
      </c>
    </row>
    <row r="3414" spans="1:7" x14ac:dyDescent="0.3">
      <c r="A3414" t="s">
        <v>35</v>
      </c>
      <c r="B3414">
        <v>2957</v>
      </c>
      <c r="C3414">
        <v>1.98</v>
      </c>
      <c r="D3414">
        <v>1.67</v>
      </c>
      <c r="E3414">
        <v>0.25</v>
      </c>
      <c r="F3414">
        <v>7</v>
      </c>
    </row>
    <row r="3415" spans="1:7" x14ac:dyDescent="0.3">
      <c r="A3415" t="s">
        <v>37</v>
      </c>
      <c r="B3415">
        <v>3723</v>
      </c>
      <c r="C3415">
        <v>2.0299999999999998</v>
      </c>
      <c r="D3415">
        <v>1.67</v>
      </c>
      <c r="E3415">
        <v>0.22</v>
      </c>
      <c r="F3415">
        <v>7</v>
      </c>
    </row>
    <row r="3416" spans="1:7" x14ac:dyDescent="0.3">
      <c r="A3416" t="s">
        <v>36</v>
      </c>
      <c r="B3416">
        <v>1972</v>
      </c>
      <c r="C3416">
        <v>1.98</v>
      </c>
      <c r="D3416">
        <v>1.67</v>
      </c>
      <c r="E3416">
        <v>0.17</v>
      </c>
      <c r="F3416">
        <v>7</v>
      </c>
    </row>
    <row r="3417" spans="1:7" x14ac:dyDescent="0.3">
      <c r="A3417" t="s">
        <v>34</v>
      </c>
      <c r="B3417">
        <v>2018</v>
      </c>
      <c r="C3417">
        <v>1.99</v>
      </c>
      <c r="D3417">
        <v>1.67</v>
      </c>
      <c r="E3417">
        <v>0.22</v>
      </c>
      <c r="F3417">
        <v>7</v>
      </c>
    </row>
    <row r="3418" spans="1:7" x14ac:dyDescent="0.3">
      <c r="A3418" t="s">
        <v>33</v>
      </c>
      <c r="B3418">
        <v>1902</v>
      </c>
      <c r="C3418">
        <v>2.1</v>
      </c>
      <c r="D3418">
        <v>2</v>
      </c>
      <c r="E3418">
        <v>0.33</v>
      </c>
      <c r="F3418">
        <v>6</v>
      </c>
    </row>
    <row r="3419" spans="1:7" x14ac:dyDescent="0.3">
      <c r="A3419" t="s">
        <v>49</v>
      </c>
      <c r="B3419">
        <v>12572</v>
      </c>
      <c r="C3419">
        <v>2.02</v>
      </c>
      <c r="D3419">
        <v>1.67</v>
      </c>
      <c r="E3419">
        <v>0.17</v>
      </c>
      <c r="F3419">
        <v>7</v>
      </c>
    </row>
    <row r="3421" spans="1:7" x14ac:dyDescent="0.3">
      <c r="A3421" t="s">
        <v>1420</v>
      </c>
    </row>
    <row r="3422" spans="1:7" x14ac:dyDescent="0.3">
      <c r="A3422" t="s">
        <v>44</v>
      </c>
      <c r="B3422" t="s">
        <v>361</v>
      </c>
      <c r="C3422" t="s">
        <v>32</v>
      </c>
      <c r="D3422" t="s">
        <v>45</v>
      </c>
      <c r="E3422" t="s">
        <v>46</v>
      </c>
      <c r="F3422" t="s">
        <v>47</v>
      </c>
      <c r="G3422" t="s">
        <v>48</v>
      </c>
    </row>
    <row r="3423" spans="1:7" x14ac:dyDescent="0.3">
      <c r="A3423" t="s">
        <v>35</v>
      </c>
      <c r="B3423" t="s">
        <v>339</v>
      </c>
      <c r="C3423">
        <v>841</v>
      </c>
      <c r="D3423">
        <v>1.98</v>
      </c>
      <c r="E3423">
        <v>1.75</v>
      </c>
      <c r="F3423">
        <v>0.25</v>
      </c>
      <c r="G3423">
        <v>6</v>
      </c>
    </row>
    <row r="3424" spans="1:7" x14ac:dyDescent="0.3">
      <c r="A3424" t="s">
        <v>35</v>
      </c>
      <c r="B3424" t="s">
        <v>340</v>
      </c>
      <c r="C3424">
        <v>2084</v>
      </c>
      <c r="D3424">
        <v>1.99</v>
      </c>
      <c r="E3424">
        <v>1.67</v>
      </c>
      <c r="F3424">
        <v>0.25</v>
      </c>
      <c r="G3424">
        <v>7</v>
      </c>
    </row>
    <row r="3425" spans="1:7" x14ac:dyDescent="0.3">
      <c r="A3425" t="s">
        <v>35</v>
      </c>
      <c r="B3425" t="s">
        <v>365</v>
      </c>
      <c r="C3425">
        <v>32</v>
      </c>
      <c r="D3425">
        <v>1.19</v>
      </c>
      <c r="E3425">
        <v>1</v>
      </c>
      <c r="F3425">
        <v>0.5</v>
      </c>
      <c r="G3425">
        <v>3</v>
      </c>
    </row>
    <row r="3426" spans="1:7" x14ac:dyDescent="0.3">
      <c r="A3426" t="s">
        <v>37</v>
      </c>
      <c r="B3426" t="s">
        <v>339</v>
      </c>
      <c r="C3426">
        <v>1039</v>
      </c>
      <c r="D3426">
        <v>2.0499999999999998</v>
      </c>
      <c r="E3426">
        <v>1.75</v>
      </c>
      <c r="F3426">
        <v>0.22</v>
      </c>
      <c r="G3426">
        <v>6</v>
      </c>
    </row>
    <row r="3427" spans="1:7" x14ac:dyDescent="0.3">
      <c r="A3427" t="s">
        <v>37</v>
      </c>
      <c r="B3427" t="s">
        <v>340</v>
      </c>
      <c r="C3427">
        <v>2645</v>
      </c>
      <c r="D3427">
        <v>2.04</v>
      </c>
      <c r="E3427">
        <v>1.67</v>
      </c>
      <c r="F3427">
        <v>0.25</v>
      </c>
      <c r="G3427">
        <v>7</v>
      </c>
    </row>
    <row r="3428" spans="1:7" x14ac:dyDescent="0.3">
      <c r="A3428" t="s">
        <v>37</v>
      </c>
      <c r="B3428" t="s">
        <v>365</v>
      </c>
      <c r="C3428">
        <v>39</v>
      </c>
      <c r="D3428">
        <v>1.1000000000000001</v>
      </c>
      <c r="E3428">
        <v>1</v>
      </c>
      <c r="F3428">
        <v>0.56999999999999995</v>
      </c>
      <c r="G3428">
        <v>2</v>
      </c>
    </row>
    <row r="3429" spans="1:7" x14ac:dyDescent="0.3">
      <c r="A3429" t="s">
        <v>36</v>
      </c>
      <c r="B3429" t="s">
        <v>339</v>
      </c>
      <c r="C3429">
        <v>660</v>
      </c>
      <c r="D3429">
        <v>2.09</v>
      </c>
      <c r="E3429">
        <v>1.67</v>
      </c>
      <c r="F3429">
        <v>0.38</v>
      </c>
      <c r="G3429">
        <v>7</v>
      </c>
    </row>
    <row r="3430" spans="1:7" x14ac:dyDescent="0.3">
      <c r="A3430" t="s">
        <v>36</v>
      </c>
      <c r="B3430" t="s">
        <v>340</v>
      </c>
      <c r="C3430">
        <v>1262</v>
      </c>
      <c r="D3430">
        <v>1.93</v>
      </c>
      <c r="E3430">
        <v>1.67</v>
      </c>
      <c r="F3430">
        <v>0.17</v>
      </c>
      <c r="G3430">
        <v>7</v>
      </c>
    </row>
    <row r="3431" spans="1:7" x14ac:dyDescent="0.3">
      <c r="A3431" t="s">
        <v>36</v>
      </c>
      <c r="B3431" t="s">
        <v>365</v>
      </c>
      <c r="C3431">
        <v>50</v>
      </c>
      <c r="D3431">
        <v>1.68</v>
      </c>
      <c r="E3431">
        <v>1.6</v>
      </c>
      <c r="F3431">
        <v>0.5</v>
      </c>
      <c r="G3431">
        <v>5</v>
      </c>
    </row>
    <row r="3432" spans="1:7" x14ac:dyDescent="0.3">
      <c r="A3432" t="s">
        <v>34</v>
      </c>
      <c r="B3432" t="s">
        <v>339</v>
      </c>
      <c r="C3432">
        <v>531</v>
      </c>
      <c r="D3432">
        <v>1.82</v>
      </c>
      <c r="E3432">
        <v>1.5</v>
      </c>
      <c r="F3432">
        <v>0.22</v>
      </c>
      <c r="G3432">
        <v>6</v>
      </c>
    </row>
    <row r="3433" spans="1:7" x14ac:dyDescent="0.3">
      <c r="A3433" t="s">
        <v>34</v>
      </c>
      <c r="B3433" t="s">
        <v>340</v>
      </c>
      <c r="C3433">
        <v>1463</v>
      </c>
      <c r="D3433">
        <v>2.09</v>
      </c>
      <c r="E3433">
        <v>1.67</v>
      </c>
      <c r="F3433">
        <v>0.4</v>
      </c>
      <c r="G3433">
        <v>7</v>
      </c>
    </row>
    <row r="3434" spans="1:7" x14ac:dyDescent="0.3">
      <c r="A3434" t="s">
        <v>34</v>
      </c>
      <c r="B3434" t="s">
        <v>365</v>
      </c>
      <c r="C3434">
        <v>24</v>
      </c>
      <c r="D3434">
        <v>1.18</v>
      </c>
      <c r="E3434">
        <v>1</v>
      </c>
      <c r="F3434">
        <v>0.4</v>
      </c>
      <c r="G3434">
        <v>2</v>
      </c>
    </row>
    <row r="3435" spans="1:7" x14ac:dyDescent="0.3">
      <c r="A3435" t="s">
        <v>33</v>
      </c>
      <c r="B3435" t="s">
        <v>339</v>
      </c>
      <c r="C3435">
        <v>482</v>
      </c>
      <c r="D3435">
        <v>2.1800000000000002</v>
      </c>
      <c r="E3435">
        <v>2</v>
      </c>
      <c r="F3435">
        <v>0.33</v>
      </c>
      <c r="G3435">
        <v>5</v>
      </c>
    </row>
    <row r="3436" spans="1:7" x14ac:dyDescent="0.3">
      <c r="A3436" t="s">
        <v>33</v>
      </c>
      <c r="B3436" t="s">
        <v>340</v>
      </c>
      <c r="C3436">
        <v>1401</v>
      </c>
      <c r="D3436">
        <v>2.09</v>
      </c>
      <c r="E3436">
        <v>2</v>
      </c>
      <c r="F3436">
        <v>0.45</v>
      </c>
      <c r="G3436">
        <v>6</v>
      </c>
    </row>
    <row r="3437" spans="1:7" x14ac:dyDescent="0.3">
      <c r="A3437" t="s">
        <v>33</v>
      </c>
      <c r="B3437" t="s">
        <v>365</v>
      </c>
      <c r="C3437">
        <v>19</v>
      </c>
      <c r="D3437">
        <v>1.33</v>
      </c>
      <c r="E3437">
        <v>1.25</v>
      </c>
      <c r="F3437">
        <v>0.33</v>
      </c>
      <c r="G3437">
        <v>2</v>
      </c>
    </row>
    <row r="3438" spans="1:7" x14ac:dyDescent="0.3">
      <c r="A3438" t="s">
        <v>49</v>
      </c>
      <c r="B3438" t="s">
        <v>339</v>
      </c>
      <c r="C3438">
        <v>3553</v>
      </c>
      <c r="D3438">
        <v>2</v>
      </c>
      <c r="E3438">
        <v>1.67</v>
      </c>
      <c r="F3438">
        <v>0.22</v>
      </c>
      <c r="G3438">
        <v>7</v>
      </c>
    </row>
    <row r="3439" spans="1:7" x14ac:dyDescent="0.3">
      <c r="A3439" t="s">
        <v>49</v>
      </c>
      <c r="B3439" t="s">
        <v>340</v>
      </c>
      <c r="C3439">
        <v>8855</v>
      </c>
      <c r="D3439">
        <v>2.04</v>
      </c>
      <c r="E3439">
        <v>1.67</v>
      </c>
      <c r="F3439">
        <v>0.17</v>
      </c>
      <c r="G3439">
        <v>7</v>
      </c>
    </row>
    <row r="3440" spans="1:7" x14ac:dyDescent="0.3">
      <c r="A3440" t="s">
        <v>49</v>
      </c>
      <c r="B3440" t="s">
        <v>365</v>
      </c>
      <c r="C3440">
        <v>164</v>
      </c>
      <c r="D3440">
        <v>1.26</v>
      </c>
      <c r="E3440">
        <v>1.25</v>
      </c>
      <c r="F3440">
        <v>0.33</v>
      </c>
      <c r="G3440">
        <v>5</v>
      </c>
    </row>
    <row r="3442" spans="1:7" x14ac:dyDescent="0.3">
      <c r="A3442" t="s">
        <v>1421</v>
      </c>
    </row>
    <row r="3443" spans="1:7" x14ac:dyDescent="0.3">
      <c r="A3443" t="s">
        <v>44</v>
      </c>
      <c r="B3443" t="s">
        <v>209</v>
      </c>
      <c r="C3443" t="s">
        <v>32</v>
      </c>
      <c r="D3443" t="s">
        <v>45</v>
      </c>
      <c r="E3443" t="s">
        <v>46</v>
      </c>
      <c r="F3443" t="s">
        <v>47</v>
      </c>
      <c r="G3443" t="s">
        <v>48</v>
      </c>
    </row>
    <row r="3444" spans="1:7" x14ac:dyDescent="0.3">
      <c r="A3444" t="s">
        <v>35</v>
      </c>
      <c r="B3444" t="s">
        <v>210</v>
      </c>
      <c r="C3444">
        <v>127</v>
      </c>
      <c r="D3444">
        <v>1.6</v>
      </c>
      <c r="E3444">
        <v>1.25</v>
      </c>
      <c r="F3444">
        <v>0.25</v>
      </c>
      <c r="G3444">
        <v>5</v>
      </c>
    </row>
    <row r="3445" spans="1:7" x14ac:dyDescent="0.3">
      <c r="A3445" t="s">
        <v>35</v>
      </c>
      <c r="B3445" t="s">
        <v>212</v>
      </c>
      <c r="C3445">
        <v>2306</v>
      </c>
      <c r="D3445">
        <v>2.12</v>
      </c>
      <c r="E3445">
        <v>2</v>
      </c>
      <c r="F3445">
        <v>0.25</v>
      </c>
      <c r="G3445">
        <v>7</v>
      </c>
    </row>
    <row r="3446" spans="1:7" x14ac:dyDescent="0.3">
      <c r="A3446" t="s">
        <v>35</v>
      </c>
      <c r="B3446" t="s">
        <v>216</v>
      </c>
      <c r="C3446">
        <v>524</v>
      </c>
      <c r="D3446">
        <v>1.72</v>
      </c>
      <c r="E3446">
        <v>1.5</v>
      </c>
      <c r="F3446">
        <v>0.25</v>
      </c>
      <c r="G3446">
        <v>6</v>
      </c>
    </row>
    <row r="3447" spans="1:7" x14ac:dyDescent="0.3">
      <c r="A3447" t="s">
        <v>37</v>
      </c>
      <c r="B3447" t="s">
        <v>210</v>
      </c>
      <c r="C3447">
        <v>129</v>
      </c>
      <c r="D3447">
        <v>1.57</v>
      </c>
      <c r="E3447">
        <v>1.33</v>
      </c>
      <c r="F3447">
        <v>0.5</v>
      </c>
      <c r="G3447">
        <v>4</v>
      </c>
    </row>
    <row r="3448" spans="1:7" x14ac:dyDescent="0.3">
      <c r="A3448" t="s">
        <v>37</v>
      </c>
      <c r="B3448" t="s">
        <v>212</v>
      </c>
      <c r="C3448">
        <v>3487</v>
      </c>
      <c r="D3448">
        <v>2.0699999999999998</v>
      </c>
      <c r="E3448">
        <v>1.75</v>
      </c>
      <c r="F3448">
        <v>0.22</v>
      </c>
      <c r="G3448">
        <v>7</v>
      </c>
    </row>
    <row r="3449" spans="1:7" x14ac:dyDescent="0.3">
      <c r="A3449" t="s">
        <v>37</v>
      </c>
      <c r="B3449" t="s">
        <v>216</v>
      </c>
      <c r="C3449">
        <v>107</v>
      </c>
      <c r="D3449">
        <v>1.67</v>
      </c>
      <c r="E3449">
        <v>1.33</v>
      </c>
      <c r="F3449">
        <v>0.5</v>
      </c>
      <c r="G3449">
        <v>5</v>
      </c>
    </row>
    <row r="3450" spans="1:7" x14ac:dyDescent="0.3">
      <c r="A3450" t="s">
        <v>36</v>
      </c>
      <c r="B3450" t="s">
        <v>210</v>
      </c>
      <c r="C3450">
        <v>140</v>
      </c>
      <c r="D3450">
        <v>1.55</v>
      </c>
      <c r="E3450">
        <v>1.33</v>
      </c>
      <c r="F3450">
        <v>0.5</v>
      </c>
      <c r="G3450">
        <v>4</v>
      </c>
    </row>
    <row r="3451" spans="1:7" x14ac:dyDescent="0.3">
      <c r="A3451" t="s">
        <v>36</v>
      </c>
      <c r="B3451" t="s">
        <v>212</v>
      </c>
      <c r="C3451">
        <v>1598</v>
      </c>
      <c r="D3451">
        <v>2.06</v>
      </c>
      <c r="E3451">
        <v>1.67</v>
      </c>
      <c r="F3451">
        <v>0.25</v>
      </c>
      <c r="G3451">
        <v>7</v>
      </c>
    </row>
    <row r="3452" spans="1:7" x14ac:dyDescent="0.3">
      <c r="A3452" t="s">
        <v>36</v>
      </c>
      <c r="B3452" t="s">
        <v>216</v>
      </c>
      <c r="C3452">
        <v>234</v>
      </c>
      <c r="D3452">
        <v>1.83</v>
      </c>
      <c r="E3452">
        <v>1.5</v>
      </c>
      <c r="F3452">
        <v>0.17</v>
      </c>
      <c r="G3452">
        <v>7</v>
      </c>
    </row>
    <row r="3453" spans="1:7" x14ac:dyDescent="0.3">
      <c r="A3453" t="s">
        <v>34</v>
      </c>
      <c r="B3453" t="s">
        <v>210</v>
      </c>
      <c r="C3453">
        <v>236</v>
      </c>
      <c r="D3453">
        <v>1.63</v>
      </c>
      <c r="E3453">
        <v>1.33</v>
      </c>
      <c r="F3453">
        <v>0.38</v>
      </c>
      <c r="G3453">
        <v>6</v>
      </c>
    </row>
    <row r="3454" spans="1:7" x14ac:dyDescent="0.3">
      <c r="A3454" t="s">
        <v>34</v>
      </c>
      <c r="B3454" t="s">
        <v>212</v>
      </c>
      <c r="C3454">
        <v>1553</v>
      </c>
      <c r="D3454">
        <v>2.12</v>
      </c>
      <c r="E3454">
        <v>2</v>
      </c>
      <c r="F3454">
        <v>0.22</v>
      </c>
      <c r="G3454">
        <v>7</v>
      </c>
    </row>
    <row r="3455" spans="1:7" x14ac:dyDescent="0.3">
      <c r="A3455" t="s">
        <v>34</v>
      </c>
      <c r="B3455" t="s">
        <v>216</v>
      </c>
      <c r="C3455">
        <v>229</v>
      </c>
      <c r="D3455">
        <v>1.72</v>
      </c>
      <c r="E3455">
        <v>1.4</v>
      </c>
      <c r="F3455">
        <v>0.5</v>
      </c>
      <c r="G3455">
        <v>7</v>
      </c>
    </row>
    <row r="3456" spans="1:7" x14ac:dyDescent="0.3">
      <c r="A3456" t="s">
        <v>33</v>
      </c>
      <c r="B3456" t="s">
        <v>210</v>
      </c>
      <c r="C3456">
        <v>62</v>
      </c>
      <c r="D3456">
        <v>1.71</v>
      </c>
      <c r="E3456">
        <v>1.5</v>
      </c>
      <c r="F3456">
        <v>0.33</v>
      </c>
      <c r="G3456">
        <v>4</v>
      </c>
    </row>
    <row r="3457" spans="1:7" x14ac:dyDescent="0.3">
      <c r="A3457" t="s">
        <v>33</v>
      </c>
      <c r="B3457" t="s">
        <v>212</v>
      </c>
      <c r="C3457">
        <v>1773</v>
      </c>
      <c r="D3457">
        <v>2.13</v>
      </c>
      <c r="E3457">
        <v>2</v>
      </c>
      <c r="F3457">
        <v>0.4</v>
      </c>
      <c r="G3457">
        <v>6</v>
      </c>
    </row>
    <row r="3458" spans="1:7" x14ac:dyDescent="0.3">
      <c r="A3458" t="s">
        <v>33</v>
      </c>
      <c r="B3458" t="s">
        <v>216</v>
      </c>
      <c r="C3458">
        <v>67</v>
      </c>
      <c r="D3458">
        <v>1.76</v>
      </c>
      <c r="E3458">
        <v>1.5</v>
      </c>
      <c r="F3458">
        <v>0.33</v>
      </c>
      <c r="G3458">
        <v>5</v>
      </c>
    </row>
    <row r="3459" spans="1:7" x14ac:dyDescent="0.3">
      <c r="A3459" t="s">
        <v>49</v>
      </c>
      <c r="B3459" t="s">
        <v>210</v>
      </c>
      <c r="C3459">
        <v>694</v>
      </c>
      <c r="D3459">
        <v>1.61</v>
      </c>
      <c r="E3459">
        <v>1.33</v>
      </c>
      <c r="F3459">
        <v>0.25</v>
      </c>
      <c r="G3459">
        <v>6</v>
      </c>
    </row>
    <row r="3460" spans="1:7" x14ac:dyDescent="0.3">
      <c r="A3460" t="s">
        <v>49</v>
      </c>
      <c r="B3460" t="s">
        <v>212</v>
      </c>
      <c r="C3460">
        <v>10717</v>
      </c>
      <c r="D3460">
        <v>2.1</v>
      </c>
      <c r="E3460">
        <v>2</v>
      </c>
      <c r="F3460">
        <v>0.22</v>
      </c>
      <c r="G3460">
        <v>7</v>
      </c>
    </row>
    <row r="3461" spans="1:7" x14ac:dyDescent="0.3">
      <c r="A3461" t="s">
        <v>49</v>
      </c>
      <c r="B3461" t="s">
        <v>216</v>
      </c>
      <c r="C3461">
        <v>1161</v>
      </c>
      <c r="D3461">
        <v>1.73</v>
      </c>
      <c r="E3461">
        <v>1.5</v>
      </c>
      <c r="F3461">
        <v>0.17</v>
      </c>
      <c r="G3461">
        <v>7</v>
      </c>
    </row>
    <row r="3463" spans="1:7" x14ac:dyDescent="0.3">
      <c r="A3463" t="s">
        <v>1422</v>
      </c>
    </row>
    <row r="3464" spans="1:7" x14ac:dyDescent="0.3">
      <c r="A3464" t="s">
        <v>44</v>
      </c>
      <c r="B3464" t="s">
        <v>388</v>
      </c>
      <c r="C3464" t="s">
        <v>32</v>
      </c>
      <c r="D3464" t="s">
        <v>45</v>
      </c>
      <c r="E3464" t="s">
        <v>46</v>
      </c>
      <c r="F3464" t="s">
        <v>47</v>
      </c>
      <c r="G3464" t="s">
        <v>48</v>
      </c>
    </row>
    <row r="3465" spans="1:7" x14ac:dyDescent="0.3">
      <c r="A3465" t="s">
        <v>35</v>
      </c>
      <c r="B3465" t="s">
        <v>389</v>
      </c>
      <c r="C3465">
        <v>2016</v>
      </c>
      <c r="D3465">
        <v>1.94</v>
      </c>
      <c r="E3465">
        <v>1.5</v>
      </c>
      <c r="F3465">
        <v>0.25</v>
      </c>
      <c r="G3465">
        <v>6</v>
      </c>
    </row>
    <row r="3466" spans="1:7" x14ac:dyDescent="0.3">
      <c r="A3466" t="s">
        <v>35</v>
      </c>
      <c r="B3466" t="s">
        <v>390</v>
      </c>
      <c r="C3466">
        <v>816</v>
      </c>
      <c r="D3466">
        <v>2.2000000000000002</v>
      </c>
      <c r="E3466">
        <v>2</v>
      </c>
      <c r="F3466">
        <v>0.5</v>
      </c>
      <c r="G3466">
        <v>7</v>
      </c>
    </row>
    <row r="3467" spans="1:7" x14ac:dyDescent="0.3">
      <c r="A3467" t="s">
        <v>35</v>
      </c>
      <c r="B3467" t="s">
        <v>365</v>
      </c>
      <c r="C3467">
        <v>125</v>
      </c>
      <c r="D3467">
        <v>1.28</v>
      </c>
      <c r="E3467">
        <v>1.2</v>
      </c>
      <c r="F3467">
        <v>0.67</v>
      </c>
      <c r="G3467">
        <v>3.5</v>
      </c>
    </row>
    <row r="3468" spans="1:7" x14ac:dyDescent="0.3">
      <c r="A3468" t="s">
        <v>37</v>
      </c>
      <c r="B3468" t="s">
        <v>389</v>
      </c>
      <c r="C3468">
        <v>2223</v>
      </c>
      <c r="D3468">
        <v>2.06</v>
      </c>
      <c r="E3468">
        <v>1.67</v>
      </c>
      <c r="F3468">
        <v>0.22</v>
      </c>
      <c r="G3468">
        <v>7</v>
      </c>
    </row>
    <row r="3469" spans="1:7" x14ac:dyDescent="0.3">
      <c r="A3469" t="s">
        <v>37</v>
      </c>
      <c r="B3469" t="s">
        <v>390</v>
      </c>
      <c r="C3469">
        <v>1261</v>
      </c>
      <c r="D3469">
        <v>2.09</v>
      </c>
      <c r="E3469">
        <v>2</v>
      </c>
      <c r="F3469">
        <v>0.5</v>
      </c>
      <c r="G3469">
        <v>7</v>
      </c>
    </row>
    <row r="3470" spans="1:7" x14ac:dyDescent="0.3">
      <c r="A3470" t="s">
        <v>37</v>
      </c>
      <c r="B3470" t="s">
        <v>365</v>
      </c>
      <c r="C3470">
        <v>239</v>
      </c>
      <c r="D3470">
        <v>1.56</v>
      </c>
      <c r="E3470">
        <v>1.5</v>
      </c>
      <c r="F3470">
        <v>0.5</v>
      </c>
      <c r="G3470">
        <v>3.5</v>
      </c>
    </row>
    <row r="3471" spans="1:7" x14ac:dyDescent="0.3">
      <c r="A3471" t="s">
        <v>36</v>
      </c>
      <c r="B3471" t="s">
        <v>389</v>
      </c>
      <c r="C3471">
        <v>1358</v>
      </c>
      <c r="D3471">
        <v>2.04</v>
      </c>
      <c r="E3471">
        <v>1.67</v>
      </c>
      <c r="F3471">
        <v>0.17</v>
      </c>
      <c r="G3471">
        <v>7</v>
      </c>
    </row>
    <row r="3472" spans="1:7" x14ac:dyDescent="0.3">
      <c r="A3472" t="s">
        <v>36</v>
      </c>
      <c r="B3472" t="s">
        <v>390</v>
      </c>
      <c r="C3472">
        <v>532</v>
      </c>
      <c r="D3472">
        <v>1.97</v>
      </c>
      <c r="E3472">
        <v>1.67</v>
      </c>
      <c r="F3472">
        <v>0.5</v>
      </c>
      <c r="G3472">
        <v>7</v>
      </c>
    </row>
    <row r="3473" spans="1:7" x14ac:dyDescent="0.3">
      <c r="A3473" t="s">
        <v>36</v>
      </c>
      <c r="B3473" t="s">
        <v>365</v>
      </c>
      <c r="C3473">
        <v>82</v>
      </c>
      <c r="D3473">
        <v>1.32</v>
      </c>
      <c r="E3473">
        <v>1.17</v>
      </c>
      <c r="F3473">
        <v>0.25</v>
      </c>
      <c r="G3473">
        <v>3</v>
      </c>
    </row>
    <row r="3474" spans="1:7" x14ac:dyDescent="0.3">
      <c r="A3474" t="s">
        <v>34</v>
      </c>
      <c r="B3474" t="s">
        <v>389</v>
      </c>
      <c r="C3474">
        <v>1339</v>
      </c>
      <c r="D3474">
        <v>1.99</v>
      </c>
      <c r="E3474">
        <v>1.67</v>
      </c>
      <c r="F3474">
        <v>0.22</v>
      </c>
      <c r="G3474">
        <v>7</v>
      </c>
    </row>
    <row r="3475" spans="1:7" x14ac:dyDescent="0.3">
      <c r="A3475" t="s">
        <v>34</v>
      </c>
      <c r="B3475" t="s">
        <v>390</v>
      </c>
      <c r="C3475">
        <v>602</v>
      </c>
      <c r="D3475">
        <v>2.04</v>
      </c>
      <c r="E3475">
        <v>1.67</v>
      </c>
      <c r="F3475">
        <v>0.38</v>
      </c>
      <c r="G3475">
        <v>7</v>
      </c>
    </row>
    <row r="3476" spans="1:7" x14ac:dyDescent="0.3">
      <c r="A3476" t="s">
        <v>34</v>
      </c>
      <c r="B3476" t="s">
        <v>365</v>
      </c>
      <c r="C3476">
        <v>77</v>
      </c>
      <c r="D3476">
        <v>1.51</v>
      </c>
      <c r="E3476">
        <v>1.33</v>
      </c>
      <c r="F3476">
        <v>0.5</v>
      </c>
      <c r="G3476">
        <v>3.5</v>
      </c>
    </row>
    <row r="3477" spans="1:7" x14ac:dyDescent="0.3">
      <c r="A3477" t="s">
        <v>33</v>
      </c>
      <c r="B3477" t="s">
        <v>389</v>
      </c>
      <c r="C3477">
        <v>1065</v>
      </c>
      <c r="D3477">
        <v>2.19</v>
      </c>
      <c r="E3477">
        <v>2</v>
      </c>
      <c r="F3477">
        <v>0.33</v>
      </c>
      <c r="G3477">
        <v>6</v>
      </c>
    </row>
    <row r="3478" spans="1:7" x14ac:dyDescent="0.3">
      <c r="A3478" t="s">
        <v>33</v>
      </c>
      <c r="B3478" t="s">
        <v>390</v>
      </c>
      <c r="C3478">
        <v>701</v>
      </c>
      <c r="D3478">
        <v>2.0499999999999998</v>
      </c>
      <c r="E3478">
        <v>2</v>
      </c>
      <c r="F3478">
        <v>0.6</v>
      </c>
      <c r="G3478">
        <v>6</v>
      </c>
    </row>
    <row r="3479" spans="1:7" x14ac:dyDescent="0.3">
      <c r="A3479" t="s">
        <v>33</v>
      </c>
      <c r="B3479" t="s">
        <v>365</v>
      </c>
      <c r="C3479">
        <v>136</v>
      </c>
      <c r="D3479">
        <v>1.66</v>
      </c>
      <c r="E3479">
        <v>1.5</v>
      </c>
      <c r="F3479">
        <v>0.67</v>
      </c>
      <c r="G3479">
        <v>3.5</v>
      </c>
    </row>
    <row r="3480" spans="1:7" x14ac:dyDescent="0.3">
      <c r="A3480" t="s">
        <v>49</v>
      </c>
      <c r="B3480" t="s">
        <v>389</v>
      </c>
      <c r="C3480">
        <v>8001</v>
      </c>
      <c r="D3480">
        <v>2.0299999999999998</v>
      </c>
      <c r="E3480">
        <v>1.67</v>
      </c>
      <c r="F3480">
        <v>0.17</v>
      </c>
      <c r="G3480">
        <v>7</v>
      </c>
    </row>
    <row r="3481" spans="1:7" x14ac:dyDescent="0.3">
      <c r="A3481" t="s">
        <v>49</v>
      </c>
      <c r="B3481" t="s">
        <v>390</v>
      </c>
      <c r="C3481">
        <v>3912</v>
      </c>
      <c r="D3481">
        <v>2.09</v>
      </c>
      <c r="E3481">
        <v>2</v>
      </c>
      <c r="F3481">
        <v>0.38</v>
      </c>
      <c r="G3481">
        <v>7</v>
      </c>
    </row>
    <row r="3482" spans="1:7" x14ac:dyDescent="0.3">
      <c r="A3482" t="s">
        <v>49</v>
      </c>
      <c r="B3482" t="s">
        <v>365</v>
      </c>
      <c r="C3482">
        <v>659</v>
      </c>
      <c r="D3482">
        <v>1.49</v>
      </c>
      <c r="E3482">
        <v>1.33</v>
      </c>
      <c r="F3482">
        <v>0.25</v>
      </c>
      <c r="G3482">
        <v>3.5</v>
      </c>
    </row>
    <row r="3484" spans="1:7" x14ac:dyDescent="0.3">
      <c r="A3484" t="s">
        <v>1423</v>
      </c>
    </row>
    <row r="3485" spans="1:7" x14ac:dyDescent="0.3">
      <c r="A3485" t="s">
        <v>44</v>
      </c>
      <c r="B3485" t="s">
        <v>235</v>
      </c>
      <c r="C3485" t="s">
        <v>32</v>
      </c>
      <c r="D3485" t="s">
        <v>45</v>
      </c>
      <c r="E3485" t="s">
        <v>46</v>
      </c>
      <c r="F3485" t="s">
        <v>47</v>
      </c>
      <c r="G3485" t="s">
        <v>48</v>
      </c>
    </row>
    <row r="3486" spans="1:7" x14ac:dyDescent="0.3">
      <c r="A3486" t="s">
        <v>35</v>
      </c>
      <c r="B3486" t="s">
        <v>236</v>
      </c>
      <c r="C3486">
        <v>1531</v>
      </c>
      <c r="D3486">
        <v>2.06</v>
      </c>
      <c r="E3486">
        <v>1.67</v>
      </c>
      <c r="F3486">
        <v>0.25</v>
      </c>
      <c r="G3486">
        <v>7</v>
      </c>
    </row>
    <row r="3487" spans="1:7" x14ac:dyDescent="0.3">
      <c r="A3487" t="s">
        <v>35</v>
      </c>
      <c r="B3487" t="s">
        <v>238</v>
      </c>
      <c r="C3487">
        <v>1426</v>
      </c>
      <c r="D3487">
        <v>1.95</v>
      </c>
      <c r="E3487">
        <v>1.5</v>
      </c>
      <c r="F3487">
        <v>0.25</v>
      </c>
      <c r="G3487">
        <v>6</v>
      </c>
    </row>
    <row r="3488" spans="1:7" x14ac:dyDescent="0.3">
      <c r="A3488" t="s">
        <v>37</v>
      </c>
      <c r="B3488" t="s">
        <v>236</v>
      </c>
      <c r="C3488">
        <v>2138</v>
      </c>
      <c r="D3488">
        <v>2.12</v>
      </c>
      <c r="E3488">
        <v>2</v>
      </c>
      <c r="F3488">
        <v>0.25</v>
      </c>
      <c r="G3488">
        <v>7</v>
      </c>
    </row>
    <row r="3489" spans="1:7" x14ac:dyDescent="0.3">
      <c r="A3489" t="s">
        <v>37</v>
      </c>
      <c r="B3489" t="s">
        <v>238</v>
      </c>
      <c r="C3489">
        <v>1585</v>
      </c>
      <c r="D3489">
        <v>1.92</v>
      </c>
      <c r="E3489">
        <v>1.5</v>
      </c>
      <c r="F3489">
        <v>0.22</v>
      </c>
      <c r="G3489">
        <v>7</v>
      </c>
    </row>
    <row r="3490" spans="1:7" x14ac:dyDescent="0.3">
      <c r="A3490" t="s">
        <v>36</v>
      </c>
      <c r="B3490" t="s">
        <v>236</v>
      </c>
      <c r="C3490">
        <v>1376</v>
      </c>
      <c r="D3490">
        <v>2.04</v>
      </c>
      <c r="E3490">
        <v>1.67</v>
      </c>
      <c r="F3490">
        <v>0.17</v>
      </c>
      <c r="G3490">
        <v>7</v>
      </c>
    </row>
    <row r="3491" spans="1:7" x14ac:dyDescent="0.3">
      <c r="A3491" t="s">
        <v>36</v>
      </c>
      <c r="B3491" t="s">
        <v>238</v>
      </c>
      <c r="C3491">
        <v>596</v>
      </c>
      <c r="D3491">
        <v>1.92</v>
      </c>
      <c r="E3491">
        <v>1.5</v>
      </c>
      <c r="F3491">
        <v>0.4</v>
      </c>
      <c r="G3491">
        <v>6</v>
      </c>
    </row>
    <row r="3492" spans="1:7" x14ac:dyDescent="0.3">
      <c r="A3492" t="s">
        <v>34</v>
      </c>
      <c r="B3492" t="s">
        <v>236</v>
      </c>
      <c r="C3492">
        <v>705</v>
      </c>
      <c r="D3492">
        <v>2.1</v>
      </c>
      <c r="E3492">
        <v>1.75</v>
      </c>
      <c r="F3492">
        <v>0.38</v>
      </c>
      <c r="G3492">
        <v>6</v>
      </c>
    </row>
    <row r="3493" spans="1:7" x14ac:dyDescent="0.3">
      <c r="A3493" t="s">
        <v>34</v>
      </c>
      <c r="B3493" t="s">
        <v>238</v>
      </c>
      <c r="C3493">
        <v>1313</v>
      </c>
      <c r="D3493">
        <v>1.94</v>
      </c>
      <c r="E3493">
        <v>1.5</v>
      </c>
      <c r="F3493">
        <v>0.22</v>
      </c>
      <c r="G3493">
        <v>7</v>
      </c>
    </row>
    <row r="3494" spans="1:7" x14ac:dyDescent="0.3">
      <c r="A3494" t="s">
        <v>33</v>
      </c>
      <c r="B3494" t="s">
        <v>236</v>
      </c>
      <c r="C3494">
        <v>1104</v>
      </c>
      <c r="D3494">
        <v>2.2200000000000002</v>
      </c>
      <c r="E3494">
        <v>2</v>
      </c>
      <c r="F3494">
        <v>0.4</v>
      </c>
      <c r="G3494">
        <v>6</v>
      </c>
    </row>
    <row r="3495" spans="1:7" x14ac:dyDescent="0.3">
      <c r="A3495" t="s">
        <v>33</v>
      </c>
      <c r="B3495" t="s">
        <v>238</v>
      </c>
      <c r="C3495">
        <v>798</v>
      </c>
      <c r="D3495">
        <v>1.99</v>
      </c>
      <c r="E3495">
        <v>1.67</v>
      </c>
      <c r="F3495">
        <v>0.33</v>
      </c>
      <c r="G3495">
        <v>6</v>
      </c>
    </row>
    <row r="3496" spans="1:7" x14ac:dyDescent="0.3">
      <c r="A3496" t="s">
        <v>49</v>
      </c>
      <c r="B3496" t="s">
        <v>236</v>
      </c>
      <c r="C3496">
        <v>6854</v>
      </c>
      <c r="D3496">
        <v>2.12</v>
      </c>
      <c r="E3496">
        <v>2</v>
      </c>
      <c r="F3496">
        <v>0.17</v>
      </c>
      <c r="G3496">
        <v>7</v>
      </c>
    </row>
    <row r="3497" spans="1:7" x14ac:dyDescent="0.3">
      <c r="A3497" t="s">
        <v>49</v>
      </c>
      <c r="B3497" t="s">
        <v>238</v>
      </c>
      <c r="C3497">
        <v>5718</v>
      </c>
      <c r="D3497">
        <v>1.94</v>
      </c>
      <c r="E3497">
        <v>1.5</v>
      </c>
      <c r="F3497">
        <v>0.22</v>
      </c>
      <c r="G3497">
        <v>7</v>
      </c>
    </row>
    <row r="3499" spans="1:7" x14ac:dyDescent="0.3">
      <c r="A3499" t="s">
        <v>1424</v>
      </c>
    </row>
    <row r="3500" spans="1:7" x14ac:dyDescent="0.3">
      <c r="A3500" t="s">
        <v>44</v>
      </c>
      <c r="B3500" t="s">
        <v>879</v>
      </c>
      <c r="C3500" t="s">
        <v>32</v>
      </c>
      <c r="D3500" t="s">
        <v>45</v>
      </c>
      <c r="E3500" t="s">
        <v>46</v>
      </c>
      <c r="F3500" t="s">
        <v>47</v>
      </c>
      <c r="G3500" t="s">
        <v>48</v>
      </c>
    </row>
    <row r="3501" spans="1:7" x14ac:dyDescent="0.3">
      <c r="A3501" t="s">
        <v>35</v>
      </c>
      <c r="B3501" t="s">
        <v>880</v>
      </c>
      <c r="C3501">
        <v>554</v>
      </c>
      <c r="D3501">
        <v>2.5499999999999998</v>
      </c>
      <c r="E3501">
        <v>2</v>
      </c>
      <c r="F3501">
        <v>0.67</v>
      </c>
      <c r="G3501">
        <v>7</v>
      </c>
    </row>
    <row r="3502" spans="1:7" x14ac:dyDescent="0.3">
      <c r="A3502" t="s">
        <v>35</v>
      </c>
      <c r="B3502" t="s">
        <v>881</v>
      </c>
      <c r="C3502">
        <v>1108</v>
      </c>
      <c r="D3502">
        <v>2.4700000000000002</v>
      </c>
      <c r="E3502">
        <v>2</v>
      </c>
      <c r="F3502">
        <v>0.5</v>
      </c>
      <c r="G3502">
        <v>6</v>
      </c>
    </row>
    <row r="3503" spans="1:7" x14ac:dyDescent="0.3">
      <c r="A3503" t="s">
        <v>35</v>
      </c>
      <c r="B3503" t="s">
        <v>882</v>
      </c>
      <c r="C3503">
        <v>1295</v>
      </c>
      <c r="D3503">
        <v>1.33</v>
      </c>
      <c r="E3503">
        <v>1.33</v>
      </c>
      <c r="F3503">
        <v>0.25</v>
      </c>
      <c r="G3503">
        <v>3.5</v>
      </c>
    </row>
    <row r="3504" spans="1:7" x14ac:dyDescent="0.3">
      <c r="A3504" t="s">
        <v>37</v>
      </c>
      <c r="B3504" t="s">
        <v>880</v>
      </c>
      <c r="C3504">
        <v>652</v>
      </c>
      <c r="D3504">
        <v>2.48</v>
      </c>
      <c r="E3504">
        <v>2</v>
      </c>
      <c r="F3504">
        <v>0.75</v>
      </c>
      <c r="G3504">
        <v>7</v>
      </c>
    </row>
    <row r="3505" spans="1:7" x14ac:dyDescent="0.3">
      <c r="A3505" t="s">
        <v>37</v>
      </c>
      <c r="B3505" t="s">
        <v>881</v>
      </c>
      <c r="C3505">
        <v>1329</v>
      </c>
      <c r="D3505">
        <v>2.63</v>
      </c>
      <c r="E3505">
        <v>2.5</v>
      </c>
      <c r="F3505">
        <v>0.5</v>
      </c>
      <c r="G3505">
        <v>7</v>
      </c>
    </row>
    <row r="3506" spans="1:7" x14ac:dyDescent="0.3">
      <c r="A3506" t="s">
        <v>37</v>
      </c>
      <c r="B3506" t="s">
        <v>882</v>
      </c>
      <c r="C3506">
        <v>1742</v>
      </c>
      <c r="D3506">
        <v>1.42</v>
      </c>
      <c r="E3506">
        <v>1.33</v>
      </c>
      <c r="F3506">
        <v>0.22</v>
      </c>
      <c r="G3506">
        <v>4.5</v>
      </c>
    </row>
    <row r="3507" spans="1:7" x14ac:dyDescent="0.3">
      <c r="A3507" t="s">
        <v>36</v>
      </c>
      <c r="B3507" t="s">
        <v>880</v>
      </c>
      <c r="C3507">
        <v>327</v>
      </c>
      <c r="D3507">
        <v>2.59</v>
      </c>
      <c r="E3507">
        <v>2.5</v>
      </c>
      <c r="F3507">
        <v>1</v>
      </c>
      <c r="G3507">
        <v>6</v>
      </c>
    </row>
    <row r="3508" spans="1:7" x14ac:dyDescent="0.3">
      <c r="A3508" t="s">
        <v>36</v>
      </c>
      <c r="B3508" t="s">
        <v>881</v>
      </c>
      <c r="C3508">
        <v>745</v>
      </c>
      <c r="D3508">
        <v>2.4300000000000002</v>
      </c>
      <c r="E3508">
        <v>2</v>
      </c>
      <c r="F3508">
        <v>0.17</v>
      </c>
      <c r="G3508">
        <v>7</v>
      </c>
    </row>
    <row r="3509" spans="1:7" x14ac:dyDescent="0.3">
      <c r="A3509" t="s">
        <v>36</v>
      </c>
      <c r="B3509" t="s">
        <v>882</v>
      </c>
      <c r="C3509">
        <v>900</v>
      </c>
      <c r="D3509">
        <v>1.4</v>
      </c>
      <c r="E3509">
        <v>1.33</v>
      </c>
      <c r="F3509">
        <v>0.2</v>
      </c>
      <c r="G3509">
        <v>3.5</v>
      </c>
    </row>
    <row r="3510" spans="1:7" x14ac:dyDescent="0.3">
      <c r="A3510" t="s">
        <v>34</v>
      </c>
      <c r="B3510" t="s">
        <v>880</v>
      </c>
      <c r="C3510">
        <v>343</v>
      </c>
      <c r="D3510">
        <v>2.68</v>
      </c>
      <c r="E3510">
        <v>2.5</v>
      </c>
      <c r="F3510">
        <v>0.67</v>
      </c>
      <c r="G3510">
        <v>6</v>
      </c>
    </row>
    <row r="3511" spans="1:7" x14ac:dyDescent="0.3">
      <c r="A3511" t="s">
        <v>34</v>
      </c>
      <c r="B3511" t="s">
        <v>881</v>
      </c>
      <c r="C3511">
        <v>841</v>
      </c>
      <c r="D3511">
        <v>2.39</v>
      </c>
      <c r="E3511">
        <v>2</v>
      </c>
      <c r="F3511">
        <v>0.22</v>
      </c>
      <c r="G3511">
        <v>7</v>
      </c>
    </row>
    <row r="3512" spans="1:7" x14ac:dyDescent="0.3">
      <c r="A3512" t="s">
        <v>34</v>
      </c>
      <c r="B3512" t="s">
        <v>882</v>
      </c>
      <c r="C3512">
        <v>834</v>
      </c>
      <c r="D3512">
        <v>1.35</v>
      </c>
      <c r="E3512">
        <v>1.33</v>
      </c>
      <c r="F3512">
        <v>0.38</v>
      </c>
      <c r="G3512">
        <v>4</v>
      </c>
    </row>
    <row r="3513" spans="1:7" x14ac:dyDescent="0.3">
      <c r="A3513" t="s">
        <v>33</v>
      </c>
      <c r="B3513" t="s">
        <v>880</v>
      </c>
      <c r="C3513">
        <v>423</v>
      </c>
      <c r="D3513">
        <v>2.46</v>
      </c>
      <c r="E3513">
        <v>2</v>
      </c>
      <c r="F3513">
        <v>0.5</v>
      </c>
      <c r="G3513">
        <v>6</v>
      </c>
    </row>
    <row r="3514" spans="1:7" x14ac:dyDescent="0.3">
      <c r="A3514" t="s">
        <v>33</v>
      </c>
      <c r="B3514" t="s">
        <v>881</v>
      </c>
      <c r="C3514">
        <v>661</v>
      </c>
      <c r="D3514">
        <v>2.66</v>
      </c>
      <c r="E3514">
        <v>2.5</v>
      </c>
      <c r="F3514">
        <v>0.33</v>
      </c>
      <c r="G3514">
        <v>6</v>
      </c>
    </row>
    <row r="3515" spans="1:7" x14ac:dyDescent="0.3">
      <c r="A3515" t="s">
        <v>33</v>
      </c>
      <c r="B3515" t="s">
        <v>882</v>
      </c>
      <c r="C3515">
        <v>818</v>
      </c>
      <c r="D3515">
        <v>1.48</v>
      </c>
      <c r="E3515">
        <v>1.33</v>
      </c>
      <c r="F3515">
        <v>0.33</v>
      </c>
      <c r="G3515">
        <v>3.33</v>
      </c>
    </row>
    <row r="3516" spans="1:7" x14ac:dyDescent="0.3">
      <c r="A3516" t="s">
        <v>49</v>
      </c>
      <c r="B3516" t="s">
        <v>880</v>
      </c>
      <c r="C3516">
        <v>2299</v>
      </c>
      <c r="D3516">
        <v>2.54</v>
      </c>
      <c r="E3516">
        <v>2</v>
      </c>
      <c r="F3516">
        <v>0.5</v>
      </c>
      <c r="G3516">
        <v>7</v>
      </c>
    </row>
    <row r="3517" spans="1:7" x14ac:dyDescent="0.3">
      <c r="A3517" t="s">
        <v>49</v>
      </c>
      <c r="B3517" t="s">
        <v>881</v>
      </c>
      <c r="C3517">
        <v>4684</v>
      </c>
      <c r="D3517">
        <v>2.5299999999999998</v>
      </c>
      <c r="E3517">
        <v>2.5</v>
      </c>
      <c r="F3517">
        <v>0.17</v>
      </c>
      <c r="G3517">
        <v>7</v>
      </c>
    </row>
    <row r="3518" spans="1:7" x14ac:dyDescent="0.3">
      <c r="A3518" t="s">
        <v>49</v>
      </c>
      <c r="B3518" t="s">
        <v>882</v>
      </c>
      <c r="C3518">
        <v>5589</v>
      </c>
      <c r="D3518">
        <v>1.39</v>
      </c>
      <c r="E3518">
        <v>1.33</v>
      </c>
      <c r="F3518">
        <v>0.2</v>
      </c>
      <c r="G3518">
        <v>4.5</v>
      </c>
    </row>
    <row r="3520" spans="1:7" x14ac:dyDescent="0.3">
      <c r="A3520" t="s">
        <v>1425</v>
      </c>
    </row>
    <row r="3521" spans="1:18" x14ac:dyDescent="0.3">
      <c r="A3521" t="s">
        <v>44</v>
      </c>
      <c r="B3521" t="s">
        <v>49</v>
      </c>
      <c r="C3521" t="s">
        <v>1426</v>
      </c>
      <c r="D3521" t="s">
        <v>1427</v>
      </c>
      <c r="E3521" t="s">
        <v>1428</v>
      </c>
      <c r="F3521" t="s">
        <v>1429</v>
      </c>
      <c r="G3521" t="s">
        <v>1430</v>
      </c>
      <c r="H3521" t="s">
        <v>1431</v>
      </c>
      <c r="I3521" t="s">
        <v>1432</v>
      </c>
      <c r="J3521" t="s">
        <v>1433</v>
      </c>
      <c r="K3521" t="s">
        <v>1434</v>
      </c>
      <c r="L3521" t="s">
        <v>1435</v>
      </c>
      <c r="M3521" t="s">
        <v>1436</v>
      </c>
      <c r="N3521" t="s">
        <v>1437</v>
      </c>
    </row>
    <row r="3522" spans="1:18" x14ac:dyDescent="0.3">
      <c r="A3522" t="s">
        <v>35</v>
      </c>
      <c r="B3522">
        <v>3145</v>
      </c>
      <c r="C3522" t="s">
        <v>412</v>
      </c>
      <c r="D3522" t="s">
        <v>414</v>
      </c>
      <c r="E3522" t="s">
        <v>319</v>
      </c>
      <c r="F3522" t="s">
        <v>129</v>
      </c>
      <c r="G3522" t="s">
        <v>413</v>
      </c>
      <c r="H3522" t="s">
        <v>100</v>
      </c>
      <c r="I3522" t="s">
        <v>120</v>
      </c>
      <c r="J3522" t="s">
        <v>433</v>
      </c>
      <c r="K3522" t="s">
        <v>319</v>
      </c>
      <c r="L3522" t="s">
        <v>139</v>
      </c>
      <c r="M3522" t="s">
        <v>505</v>
      </c>
      <c r="N3522" t="s">
        <v>132</v>
      </c>
    </row>
    <row r="3523" spans="1:18" x14ac:dyDescent="0.3">
      <c r="A3523" t="s">
        <v>37</v>
      </c>
      <c r="B3523">
        <v>3855</v>
      </c>
      <c r="C3523" t="s">
        <v>74</v>
      </c>
      <c r="D3523" t="s">
        <v>771</v>
      </c>
      <c r="E3523" t="s">
        <v>207</v>
      </c>
      <c r="F3523" t="s">
        <v>107</v>
      </c>
      <c r="G3523" t="s">
        <v>404</v>
      </c>
      <c r="H3523" t="s">
        <v>99</v>
      </c>
      <c r="I3523" t="s">
        <v>316</v>
      </c>
      <c r="J3523" t="s">
        <v>336</v>
      </c>
      <c r="K3523" t="s">
        <v>253</v>
      </c>
      <c r="L3523" t="s">
        <v>316</v>
      </c>
      <c r="M3523" t="s">
        <v>466</v>
      </c>
      <c r="N3523" t="s">
        <v>104</v>
      </c>
    </row>
    <row r="3524" spans="1:18" x14ac:dyDescent="0.3">
      <c r="A3524" t="s">
        <v>36</v>
      </c>
      <c r="B3524">
        <v>2305</v>
      </c>
      <c r="C3524" t="s">
        <v>184</v>
      </c>
      <c r="D3524" t="s">
        <v>1308</v>
      </c>
      <c r="E3524" t="s">
        <v>319</v>
      </c>
      <c r="F3524" t="s">
        <v>130</v>
      </c>
      <c r="G3524" t="s">
        <v>331</v>
      </c>
      <c r="H3524" t="s">
        <v>136</v>
      </c>
      <c r="I3524" t="s">
        <v>242</v>
      </c>
      <c r="J3524" t="s">
        <v>247</v>
      </c>
      <c r="K3524" t="s">
        <v>147</v>
      </c>
      <c r="L3524" t="s">
        <v>149</v>
      </c>
      <c r="M3524" t="s">
        <v>505</v>
      </c>
      <c r="N3524" t="s">
        <v>115</v>
      </c>
    </row>
    <row r="3525" spans="1:18" x14ac:dyDescent="0.3">
      <c r="A3525" t="s">
        <v>34</v>
      </c>
      <c r="B3525">
        <v>2080</v>
      </c>
      <c r="C3525" t="s">
        <v>412</v>
      </c>
      <c r="D3525" t="s">
        <v>1438</v>
      </c>
      <c r="E3525" t="s">
        <v>198</v>
      </c>
      <c r="F3525" t="s">
        <v>434</v>
      </c>
      <c r="G3525" t="s">
        <v>367</v>
      </c>
      <c r="H3525" t="s">
        <v>207</v>
      </c>
      <c r="I3525" t="s">
        <v>124</v>
      </c>
      <c r="J3525" t="s">
        <v>326</v>
      </c>
      <c r="K3525" t="s">
        <v>101</v>
      </c>
      <c r="L3525" t="s">
        <v>663</v>
      </c>
      <c r="M3525" t="s">
        <v>326</v>
      </c>
      <c r="N3525" t="s">
        <v>198</v>
      </c>
    </row>
    <row r="3526" spans="1:18" x14ac:dyDescent="0.3">
      <c r="A3526" t="s">
        <v>33</v>
      </c>
      <c r="B3526">
        <v>1937</v>
      </c>
      <c r="C3526" t="s">
        <v>149</v>
      </c>
      <c r="D3526" t="s">
        <v>778</v>
      </c>
      <c r="E3526" t="s">
        <v>207</v>
      </c>
      <c r="F3526" t="s">
        <v>127</v>
      </c>
      <c r="G3526" t="s">
        <v>438</v>
      </c>
      <c r="H3526" t="s">
        <v>104</v>
      </c>
      <c r="I3526" t="s">
        <v>268</v>
      </c>
      <c r="J3526" t="s">
        <v>780</v>
      </c>
      <c r="K3526" t="s">
        <v>136</v>
      </c>
      <c r="L3526" t="s">
        <v>268</v>
      </c>
      <c r="M3526" t="s">
        <v>249</v>
      </c>
      <c r="N3526" t="s">
        <v>207</v>
      </c>
    </row>
    <row r="3527" spans="1:18" x14ac:dyDescent="0.3">
      <c r="A3527" t="s">
        <v>49</v>
      </c>
      <c r="B3527">
        <v>13322</v>
      </c>
      <c r="C3527" t="s">
        <v>124</v>
      </c>
      <c r="D3527" t="s">
        <v>75</v>
      </c>
      <c r="E3527" t="s">
        <v>115</v>
      </c>
      <c r="F3527" t="s">
        <v>155</v>
      </c>
      <c r="G3527" t="s">
        <v>768</v>
      </c>
      <c r="H3527" t="s">
        <v>136</v>
      </c>
      <c r="I3527" t="s">
        <v>155</v>
      </c>
      <c r="J3527" t="s">
        <v>331</v>
      </c>
      <c r="K3527" t="s">
        <v>100</v>
      </c>
      <c r="L3527" t="s">
        <v>130</v>
      </c>
      <c r="M3527" t="s">
        <v>331</v>
      </c>
      <c r="N3527" t="s">
        <v>136</v>
      </c>
    </row>
    <row r="3529" spans="1:18" x14ac:dyDescent="0.3">
      <c r="A3529" t="s">
        <v>1439</v>
      </c>
    </row>
    <row r="3530" spans="1:18" x14ac:dyDescent="0.3">
      <c r="A3530" t="s">
        <v>44</v>
      </c>
      <c r="B3530" t="s">
        <v>361</v>
      </c>
      <c r="C3530" t="s">
        <v>1440</v>
      </c>
      <c r="D3530" t="s">
        <v>1426</v>
      </c>
      <c r="E3530" t="s">
        <v>1427</v>
      </c>
      <c r="F3530" t="s">
        <v>1428</v>
      </c>
      <c r="G3530" t="s">
        <v>1441</v>
      </c>
      <c r="H3530" t="s">
        <v>1429</v>
      </c>
      <c r="I3530" t="s">
        <v>1430</v>
      </c>
      <c r="J3530" t="s">
        <v>1431</v>
      </c>
      <c r="K3530" t="s">
        <v>1442</v>
      </c>
      <c r="L3530" t="s">
        <v>1432</v>
      </c>
      <c r="M3530" t="s">
        <v>1433</v>
      </c>
      <c r="N3530" t="s">
        <v>1434</v>
      </c>
      <c r="O3530" t="s">
        <v>1443</v>
      </c>
      <c r="P3530" t="s">
        <v>1435</v>
      </c>
      <c r="Q3530" t="s">
        <v>1436</v>
      </c>
      <c r="R3530" t="s">
        <v>1437</v>
      </c>
    </row>
    <row r="3531" spans="1:18" x14ac:dyDescent="0.3">
      <c r="A3531" t="s">
        <v>35</v>
      </c>
      <c r="B3531" t="s">
        <v>339</v>
      </c>
      <c r="C3531">
        <v>890</v>
      </c>
      <c r="D3531" t="s">
        <v>369</v>
      </c>
      <c r="E3531" t="s">
        <v>380</v>
      </c>
      <c r="F3531" t="s">
        <v>127</v>
      </c>
      <c r="G3531">
        <v>890</v>
      </c>
      <c r="H3531" t="s">
        <v>679</v>
      </c>
      <c r="I3531" t="s">
        <v>323</v>
      </c>
      <c r="J3531" t="s">
        <v>108</v>
      </c>
      <c r="K3531">
        <v>890</v>
      </c>
      <c r="L3531" t="s">
        <v>98</v>
      </c>
      <c r="M3531" t="s">
        <v>161</v>
      </c>
      <c r="N3531" t="s">
        <v>215</v>
      </c>
      <c r="O3531">
        <v>890</v>
      </c>
      <c r="P3531" t="s">
        <v>122</v>
      </c>
      <c r="Q3531" t="s">
        <v>71</v>
      </c>
      <c r="R3531" t="s">
        <v>207</v>
      </c>
    </row>
    <row r="3532" spans="1:18" x14ac:dyDescent="0.3">
      <c r="A3532" t="s">
        <v>35</v>
      </c>
      <c r="B3532" t="s">
        <v>340</v>
      </c>
      <c r="C3532">
        <v>2215</v>
      </c>
      <c r="D3532" t="s">
        <v>107</v>
      </c>
      <c r="E3532" t="s">
        <v>1017</v>
      </c>
      <c r="F3532" t="s">
        <v>101</v>
      </c>
      <c r="G3532">
        <v>2215</v>
      </c>
      <c r="H3532" t="s">
        <v>316</v>
      </c>
      <c r="I3532" t="s">
        <v>779</v>
      </c>
      <c r="J3532" t="s">
        <v>121</v>
      </c>
      <c r="K3532">
        <v>2215</v>
      </c>
      <c r="L3532" t="s">
        <v>127</v>
      </c>
      <c r="M3532" t="s">
        <v>998</v>
      </c>
      <c r="N3532" t="s">
        <v>101</v>
      </c>
      <c r="O3532">
        <v>2215</v>
      </c>
      <c r="P3532" t="s">
        <v>154</v>
      </c>
      <c r="Q3532" t="s">
        <v>367</v>
      </c>
      <c r="R3532" t="s">
        <v>114</v>
      </c>
    </row>
    <row r="3533" spans="1:18" x14ac:dyDescent="0.3">
      <c r="A3533" t="s">
        <v>35</v>
      </c>
      <c r="B3533" t="s">
        <v>365</v>
      </c>
      <c r="C3533">
        <v>40</v>
      </c>
      <c r="D3533" t="s">
        <v>99</v>
      </c>
      <c r="E3533" t="s">
        <v>211</v>
      </c>
      <c r="F3533" t="s">
        <v>99</v>
      </c>
      <c r="G3533">
        <v>40</v>
      </c>
      <c r="H3533" t="s">
        <v>108</v>
      </c>
      <c r="I3533" t="s">
        <v>1022</v>
      </c>
      <c r="J3533" t="s">
        <v>99</v>
      </c>
      <c r="K3533">
        <v>40</v>
      </c>
      <c r="L3533" t="s">
        <v>99</v>
      </c>
      <c r="M3533" t="s">
        <v>211</v>
      </c>
      <c r="N3533" t="s">
        <v>99</v>
      </c>
      <c r="O3533">
        <v>40</v>
      </c>
      <c r="P3533" t="s">
        <v>107</v>
      </c>
      <c r="Q3533" t="s">
        <v>998</v>
      </c>
      <c r="R3533" t="s">
        <v>99</v>
      </c>
    </row>
    <row r="3534" spans="1:18" x14ac:dyDescent="0.3">
      <c r="A3534" t="s">
        <v>37</v>
      </c>
      <c r="B3534" t="s">
        <v>339</v>
      </c>
      <c r="C3534">
        <v>1093</v>
      </c>
      <c r="D3534" t="s">
        <v>251</v>
      </c>
      <c r="E3534" t="s">
        <v>889</v>
      </c>
      <c r="F3534" t="s">
        <v>136</v>
      </c>
      <c r="G3534">
        <v>1093</v>
      </c>
      <c r="H3534" t="s">
        <v>712</v>
      </c>
      <c r="I3534" t="s">
        <v>1017</v>
      </c>
      <c r="J3534" t="s">
        <v>99</v>
      </c>
      <c r="K3534">
        <v>1093</v>
      </c>
      <c r="L3534" t="s">
        <v>68</v>
      </c>
      <c r="M3534" t="s">
        <v>467</v>
      </c>
      <c r="N3534" t="s">
        <v>132</v>
      </c>
      <c r="O3534">
        <v>1093</v>
      </c>
      <c r="P3534" t="s">
        <v>129</v>
      </c>
      <c r="Q3534" t="s">
        <v>1017</v>
      </c>
      <c r="R3534" t="s">
        <v>207</v>
      </c>
    </row>
    <row r="3535" spans="1:18" x14ac:dyDescent="0.3">
      <c r="A3535" t="s">
        <v>37</v>
      </c>
      <c r="B3535" t="s">
        <v>340</v>
      </c>
      <c r="C3535">
        <v>2721</v>
      </c>
      <c r="D3535" t="s">
        <v>68</v>
      </c>
      <c r="E3535" t="s">
        <v>778</v>
      </c>
      <c r="F3535" t="s">
        <v>207</v>
      </c>
      <c r="G3535">
        <v>2721</v>
      </c>
      <c r="H3535" t="s">
        <v>103</v>
      </c>
      <c r="I3535" t="s">
        <v>851</v>
      </c>
      <c r="J3535" t="s">
        <v>104</v>
      </c>
      <c r="K3535">
        <v>2721</v>
      </c>
      <c r="L3535" t="s">
        <v>123</v>
      </c>
      <c r="M3535" t="s">
        <v>476</v>
      </c>
      <c r="N3535" t="s">
        <v>141</v>
      </c>
      <c r="O3535">
        <v>2721</v>
      </c>
      <c r="P3535" t="s">
        <v>151</v>
      </c>
      <c r="Q3535" t="s">
        <v>986</v>
      </c>
      <c r="R3535" t="s">
        <v>104</v>
      </c>
    </row>
    <row r="3536" spans="1:18" x14ac:dyDescent="0.3">
      <c r="A3536" t="s">
        <v>37</v>
      </c>
      <c r="B3536" t="s">
        <v>365</v>
      </c>
      <c r="C3536">
        <v>41</v>
      </c>
      <c r="D3536" t="s">
        <v>145</v>
      </c>
      <c r="E3536" t="s">
        <v>334</v>
      </c>
      <c r="F3536" t="s">
        <v>99</v>
      </c>
      <c r="G3536">
        <v>41</v>
      </c>
      <c r="H3536" t="s">
        <v>143</v>
      </c>
      <c r="I3536" t="s">
        <v>162</v>
      </c>
      <c r="J3536" t="s">
        <v>99</v>
      </c>
      <c r="K3536">
        <v>41</v>
      </c>
      <c r="L3536" t="s">
        <v>99</v>
      </c>
      <c r="M3536" t="s">
        <v>383</v>
      </c>
      <c r="N3536" t="s">
        <v>215</v>
      </c>
      <c r="O3536">
        <v>41</v>
      </c>
      <c r="P3536" t="s">
        <v>182</v>
      </c>
      <c r="Q3536" t="s">
        <v>183</v>
      </c>
      <c r="R3536" t="s">
        <v>99</v>
      </c>
    </row>
    <row r="3537" spans="1:18" x14ac:dyDescent="0.3">
      <c r="A3537" t="s">
        <v>36</v>
      </c>
      <c r="B3537" t="s">
        <v>339</v>
      </c>
      <c r="C3537">
        <v>770</v>
      </c>
      <c r="D3537" t="s">
        <v>804</v>
      </c>
      <c r="E3537" t="s">
        <v>312</v>
      </c>
      <c r="F3537" t="s">
        <v>316</v>
      </c>
      <c r="G3537">
        <v>770</v>
      </c>
      <c r="H3537" t="s">
        <v>675</v>
      </c>
      <c r="I3537" t="s">
        <v>326</v>
      </c>
      <c r="J3537" t="s">
        <v>207</v>
      </c>
      <c r="K3537">
        <v>770</v>
      </c>
      <c r="L3537" t="s">
        <v>135</v>
      </c>
      <c r="M3537" t="s">
        <v>172</v>
      </c>
      <c r="N3537" t="s">
        <v>134</v>
      </c>
      <c r="O3537">
        <v>770</v>
      </c>
      <c r="P3537" t="s">
        <v>143</v>
      </c>
      <c r="Q3537" t="s">
        <v>334</v>
      </c>
      <c r="R3537" t="s">
        <v>207</v>
      </c>
    </row>
    <row r="3538" spans="1:18" x14ac:dyDescent="0.3">
      <c r="A3538" t="s">
        <v>36</v>
      </c>
      <c r="B3538" t="s">
        <v>340</v>
      </c>
      <c r="C3538">
        <v>1472</v>
      </c>
      <c r="D3538" t="s">
        <v>145</v>
      </c>
      <c r="E3538" t="s">
        <v>161</v>
      </c>
      <c r="F3538" t="s">
        <v>132</v>
      </c>
      <c r="G3538">
        <v>1472</v>
      </c>
      <c r="H3538" t="s">
        <v>120</v>
      </c>
      <c r="I3538" t="s">
        <v>336</v>
      </c>
      <c r="J3538" t="s">
        <v>253</v>
      </c>
      <c r="K3538">
        <v>1472</v>
      </c>
      <c r="L3538" t="s">
        <v>130</v>
      </c>
      <c r="M3538" t="s">
        <v>771</v>
      </c>
      <c r="N3538" t="s">
        <v>103</v>
      </c>
      <c r="O3538">
        <v>1472</v>
      </c>
      <c r="P3538" t="s">
        <v>130</v>
      </c>
      <c r="Q3538" t="s">
        <v>413</v>
      </c>
      <c r="R3538" t="s">
        <v>108</v>
      </c>
    </row>
    <row r="3539" spans="1:18" x14ac:dyDescent="0.3">
      <c r="A3539" t="s">
        <v>36</v>
      </c>
      <c r="B3539" t="s">
        <v>365</v>
      </c>
      <c r="C3539">
        <v>63</v>
      </c>
      <c r="D3539" t="s">
        <v>158</v>
      </c>
      <c r="E3539" t="s">
        <v>335</v>
      </c>
      <c r="F3539" t="s">
        <v>99</v>
      </c>
      <c r="G3539">
        <v>63</v>
      </c>
      <c r="H3539" t="s">
        <v>328</v>
      </c>
      <c r="I3539" t="s">
        <v>358</v>
      </c>
      <c r="J3539" t="s">
        <v>99</v>
      </c>
      <c r="K3539">
        <v>63</v>
      </c>
      <c r="L3539" t="s">
        <v>316</v>
      </c>
      <c r="M3539" t="s">
        <v>327</v>
      </c>
      <c r="N3539" t="s">
        <v>105</v>
      </c>
      <c r="O3539">
        <v>63</v>
      </c>
      <c r="P3539" t="s">
        <v>155</v>
      </c>
      <c r="Q3539" t="s">
        <v>265</v>
      </c>
      <c r="R3539" t="s">
        <v>198</v>
      </c>
    </row>
    <row r="3540" spans="1:18" x14ac:dyDescent="0.3">
      <c r="A3540" t="s">
        <v>34</v>
      </c>
      <c r="B3540" t="s">
        <v>339</v>
      </c>
      <c r="C3540">
        <v>555</v>
      </c>
      <c r="D3540" t="s">
        <v>363</v>
      </c>
      <c r="E3540" t="s">
        <v>73</v>
      </c>
      <c r="F3540" t="s">
        <v>136</v>
      </c>
      <c r="G3540">
        <v>555</v>
      </c>
      <c r="H3540" t="s">
        <v>109</v>
      </c>
      <c r="I3540" t="s">
        <v>324</v>
      </c>
      <c r="J3540" t="s">
        <v>115</v>
      </c>
      <c r="K3540">
        <v>555</v>
      </c>
      <c r="L3540" t="s">
        <v>142</v>
      </c>
      <c r="M3540" t="s">
        <v>312</v>
      </c>
      <c r="N3540" t="s">
        <v>147</v>
      </c>
      <c r="O3540">
        <v>555</v>
      </c>
      <c r="P3540" t="s">
        <v>722</v>
      </c>
      <c r="Q3540" t="s">
        <v>392</v>
      </c>
      <c r="R3540" t="s">
        <v>253</v>
      </c>
    </row>
    <row r="3541" spans="1:18" x14ac:dyDescent="0.3">
      <c r="A3541" t="s">
        <v>34</v>
      </c>
      <c r="B3541" t="s">
        <v>340</v>
      </c>
      <c r="C3541">
        <v>1497</v>
      </c>
      <c r="D3541" t="s">
        <v>155</v>
      </c>
      <c r="E3541" t="s">
        <v>776</v>
      </c>
      <c r="F3541" t="s">
        <v>99</v>
      </c>
      <c r="G3541">
        <v>1497</v>
      </c>
      <c r="H3541" t="s">
        <v>120</v>
      </c>
      <c r="I3541" t="s">
        <v>466</v>
      </c>
      <c r="J3541" t="s">
        <v>99</v>
      </c>
      <c r="K3541">
        <v>1497</v>
      </c>
      <c r="L3541" t="s">
        <v>155</v>
      </c>
      <c r="M3541" t="s">
        <v>779</v>
      </c>
      <c r="N3541" t="s">
        <v>141</v>
      </c>
      <c r="O3541">
        <v>1497</v>
      </c>
      <c r="P3541" t="s">
        <v>412</v>
      </c>
      <c r="Q3541" t="s">
        <v>413</v>
      </c>
      <c r="R3541" t="s">
        <v>99</v>
      </c>
    </row>
    <row r="3542" spans="1:18" x14ac:dyDescent="0.3">
      <c r="A3542" t="s">
        <v>34</v>
      </c>
      <c r="B3542" t="s">
        <v>365</v>
      </c>
      <c r="C3542">
        <v>28</v>
      </c>
      <c r="D3542" t="s">
        <v>99</v>
      </c>
      <c r="E3542" t="s">
        <v>483</v>
      </c>
      <c r="F3542" t="s">
        <v>319</v>
      </c>
      <c r="G3542">
        <v>28</v>
      </c>
      <c r="H3542" t="s">
        <v>152</v>
      </c>
      <c r="I3542" t="s">
        <v>762</v>
      </c>
      <c r="J3542" t="s">
        <v>468</v>
      </c>
      <c r="K3542">
        <v>28</v>
      </c>
      <c r="L3542" t="s">
        <v>222</v>
      </c>
      <c r="M3542" t="s">
        <v>221</v>
      </c>
      <c r="N3542" t="s">
        <v>99</v>
      </c>
      <c r="O3542">
        <v>28</v>
      </c>
      <c r="P3542" t="s">
        <v>461</v>
      </c>
      <c r="Q3542" t="s">
        <v>403</v>
      </c>
      <c r="R3542" t="s">
        <v>99</v>
      </c>
    </row>
    <row r="3543" spans="1:18" x14ac:dyDescent="0.3">
      <c r="A3543" t="s">
        <v>33</v>
      </c>
      <c r="B3543" t="s">
        <v>339</v>
      </c>
      <c r="C3543">
        <v>503</v>
      </c>
      <c r="D3543" t="s">
        <v>664</v>
      </c>
      <c r="E3543" t="s">
        <v>252</v>
      </c>
      <c r="F3543" t="s">
        <v>108</v>
      </c>
      <c r="G3543">
        <v>503</v>
      </c>
      <c r="H3543" t="s">
        <v>147</v>
      </c>
      <c r="I3543" t="s">
        <v>776</v>
      </c>
      <c r="J3543" t="s">
        <v>136</v>
      </c>
      <c r="K3543">
        <v>503</v>
      </c>
      <c r="L3543" t="s">
        <v>474</v>
      </c>
      <c r="M3543" t="s">
        <v>335</v>
      </c>
      <c r="N3543" t="s">
        <v>108</v>
      </c>
      <c r="O3543">
        <v>503</v>
      </c>
      <c r="P3543" t="s">
        <v>332</v>
      </c>
      <c r="Q3543" t="s">
        <v>337</v>
      </c>
      <c r="R3543" t="s">
        <v>132</v>
      </c>
    </row>
    <row r="3544" spans="1:18" x14ac:dyDescent="0.3">
      <c r="A3544" t="s">
        <v>33</v>
      </c>
      <c r="B3544" t="s">
        <v>340</v>
      </c>
      <c r="C3544">
        <v>1415</v>
      </c>
      <c r="D3544" t="s">
        <v>110</v>
      </c>
      <c r="E3544" t="s">
        <v>782</v>
      </c>
      <c r="F3544" t="s">
        <v>104</v>
      </c>
      <c r="G3544">
        <v>1415</v>
      </c>
      <c r="H3544" t="s">
        <v>101</v>
      </c>
      <c r="I3544" t="s">
        <v>999</v>
      </c>
      <c r="J3544" t="s">
        <v>99</v>
      </c>
      <c r="K3544">
        <v>1415</v>
      </c>
      <c r="L3544" t="s">
        <v>382</v>
      </c>
      <c r="M3544" t="s">
        <v>383</v>
      </c>
      <c r="N3544" t="s">
        <v>104</v>
      </c>
      <c r="O3544">
        <v>1415</v>
      </c>
      <c r="P3544" t="s">
        <v>123</v>
      </c>
      <c r="Q3544" t="s">
        <v>766</v>
      </c>
      <c r="R3544" t="s">
        <v>104</v>
      </c>
    </row>
    <row r="3545" spans="1:18" x14ac:dyDescent="0.3">
      <c r="A3545" t="s">
        <v>33</v>
      </c>
      <c r="B3545" t="s">
        <v>365</v>
      </c>
      <c r="C3545">
        <v>19</v>
      </c>
      <c r="D3545" t="s">
        <v>99</v>
      </c>
      <c r="E3545" t="s">
        <v>211</v>
      </c>
      <c r="F3545" t="s">
        <v>99</v>
      </c>
      <c r="G3545">
        <v>19</v>
      </c>
      <c r="H3545" t="s">
        <v>74</v>
      </c>
      <c r="I3545" t="s">
        <v>75</v>
      </c>
      <c r="J3545" t="s">
        <v>99</v>
      </c>
      <c r="K3545">
        <v>19</v>
      </c>
      <c r="L3545" t="s">
        <v>99</v>
      </c>
      <c r="M3545" t="s">
        <v>211</v>
      </c>
      <c r="N3545" t="s">
        <v>99</v>
      </c>
      <c r="O3545">
        <v>19</v>
      </c>
      <c r="P3545" t="s">
        <v>99</v>
      </c>
      <c r="Q3545" t="s">
        <v>211</v>
      </c>
      <c r="R3545" t="s">
        <v>99</v>
      </c>
    </row>
    <row r="3546" spans="1:18" x14ac:dyDescent="0.3">
      <c r="A3546" t="s">
        <v>49</v>
      </c>
      <c r="B3546" t="s">
        <v>339</v>
      </c>
      <c r="C3546">
        <v>3811</v>
      </c>
      <c r="D3546" t="s">
        <v>671</v>
      </c>
      <c r="E3546" t="s">
        <v>889</v>
      </c>
      <c r="F3546" t="s">
        <v>100</v>
      </c>
      <c r="G3546">
        <v>3811</v>
      </c>
      <c r="H3546" t="s">
        <v>328</v>
      </c>
      <c r="I3546" t="s">
        <v>75</v>
      </c>
      <c r="J3546" t="s">
        <v>141</v>
      </c>
      <c r="K3546">
        <v>3811</v>
      </c>
      <c r="L3546" t="s">
        <v>143</v>
      </c>
      <c r="M3546" t="s">
        <v>419</v>
      </c>
      <c r="N3546" t="s">
        <v>127</v>
      </c>
      <c r="O3546">
        <v>3811</v>
      </c>
      <c r="P3546" t="s">
        <v>74</v>
      </c>
      <c r="Q3546" t="s">
        <v>241</v>
      </c>
      <c r="R3546" t="s">
        <v>141</v>
      </c>
    </row>
    <row r="3547" spans="1:18" x14ac:dyDescent="0.3">
      <c r="A3547" t="s">
        <v>49</v>
      </c>
      <c r="B3547" t="s">
        <v>340</v>
      </c>
      <c r="C3547">
        <v>9320</v>
      </c>
      <c r="D3547" t="s">
        <v>129</v>
      </c>
      <c r="E3547" t="s">
        <v>367</v>
      </c>
      <c r="F3547" t="s">
        <v>253</v>
      </c>
      <c r="G3547">
        <v>9320</v>
      </c>
      <c r="H3547" t="s">
        <v>117</v>
      </c>
      <c r="I3547" t="s">
        <v>466</v>
      </c>
      <c r="J3547" t="s">
        <v>136</v>
      </c>
      <c r="K3547">
        <v>9320</v>
      </c>
      <c r="L3547" t="s">
        <v>111</v>
      </c>
      <c r="M3547" t="s">
        <v>404</v>
      </c>
      <c r="N3547" t="s">
        <v>132</v>
      </c>
      <c r="O3547">
        <v>9320</v>
      </c>
      <c r="P3547" t="s">
        <v>157</v>
      </c>
      <c r="Q3547" t="s">
        <v>759</v>
      </c>
      <c r="R3547" t="s">
        <v>136</v>
      </c>
    </row>
    <row r="3548" spans="1:18" x14ac:dyDescent="0.3">
      <c r="A3548" t="s">
        <v>49</v>
      </c>
      <c r="B3548" t="s">
        <v>365</v>
      </c>
      <c r="C3548">
        <v>191</v>
      </c>
      <c r="D3548" t="s">
        <v>117</v>
      </c>
      <c r="E3548" t="s">
        <v>780</v>
      </c>
      <c r="F3548" t="s">
        <v>207</v>
      </c>
      <c r="G3548">
        <v>191</v>
      </c>
      <c r="H3548" t="s">
        <v>242</v>
      </c>
      <c r="I3548" t="s">
        <v>162</v>
      </c>
      <c r="J3548" t="s">
        <v>121</v>
      </c>
      <c r="K3548">
        <v>191</v>
      </c>
      <c r="L3548" t="s">
        <v>105</v>
      </c>
      <c r="M3548" t="s">
        <v>433</v>
      </c>
      <c r="N3548" t="s">
        <v>108</v>
      </c>
      <c r="O3548">
        <v>191</v>
      </c>
      <c r="P3548" t="s">
        <v>98</v>
      </c>
      <c r="Q3548" t="s">
        <v>505</v>
      </c>
      <c r="R3548" t="s">
        <v>99</v>
      </c>
    </row>
    <row r="3550" spans="1:18" x14ac:dyDescent="0.3">
      <c r="A3550" t="s">
        <v>1444</v>
      </c>
    </row>
    <row r="3551" spans="1:18" x14ac:dyDescent="0.3">
      <c r="A3551" t="s">
        <v>44</v>
      </c>
      <c r="B3551" t="s">
        <v>235</v>
      </c>
      <c r="C3551" t="s">
        <v>1440</v>
      </c>
      <c r="D3551" t="s">
        <v>1426</v>
      </c>
      <c r="E3551" t="s">
        <v>1427</v>
      </c>
      <c r="F3551" t="s">
        <v>1428</v>
      </c>
      <c r="G3551" t="s">
        <v>1441</v>
      </c>
      <c r="H3551" t="s">
        <v>1429</v>
      </c>
      <c r="I3551" t="s">
        <v>1430</v>
      </c>
      <c r="J3551" t="s">
        <v>1431</v>
      </c>
      <c r="K3551" t="s">
        <v>1442</v>
      </c>
      <c r="L3551" t="s">
        <v>1432</v>
      </c>
      <c r="M3551" t="s">
        <v>1433</v>
      </c>
      <c r="N3551" t="s">
        <v>1434</v>
      </c>
      <c r="O3551" t="s">
        <v>1443</v>
      </c>
      <c r="P3551" t="s">
        <v>1435</v>
      </c>
      <c r="Q3551" t="s">
        <v>1436</v>
      </c>
      <c r="R3551" t="s">
        <v>1437</v>
      </c>
    </row>
    <row r="3552" spans="1:18" x14ac:dyDescent="0.3">
      <c r="A3552" t="s">
        <v>35</v>
      </c>
      <c r="B3552" t="s">
        <v>236</v>
      </c>
      <c r="C3552">
        <v>1610</v>
      </c>
      <c r="D3552" t="s">
        <v>157</v>
      </c>
      <c r="E3552" t="s">
        <v>779</v>
      </c>
      <c r="F3552" t="s">
        <v>115</v>
      </c>
      <c r="G3552">
        <v>1610</v>
      </c>
      <c r="H3552" t="s">
        <v>316</v>
      </c>
      <c r="I3552" t="s">
        <v>466</v>
      </c>
      <c r="J3552" t="s">
        <v>198</v>
      </c>
      <c r="K3552">
        <v>1610</v>
      </c>
      <c r="L3552" t="s">
        <v>111</v>
      </c>
      <c r="M3552" t="s">
        <v>998</v>
      </c>
      <c r="N3552" t="s">
        <v>132</v>
      </c>
      <c r="O3552">
        <v>1610</v>
      </c>
      <c r="P3552" t="s">
        <v>134</v>
      </c>
      <c r="Q3552" t="s">
        <v>782</v>
      </c>
      <c r="R3552" t="s">
        <v>207</v>
      </c>
    </row>
    <row r="3553" spans="1:18" x14ac:dyDescent="0.3">
      <c r="A3553" t="s">
        <v>35</v>
      </c>
      <c r="B3553" t="s">
        <v>238</v>
      </c>
      <c r="C3553">
        <v>1535</v>
      </c>
      <c r="D3553" t="s">
        <v>325</v>
      </c>
      <c r="E3553" t="s">
        <v>324</v>
      </c>
      <c r="F3553" t="s">
        <v>215</v>
      </c>
      <c r="G3553">
        <v>1535</v>
      </c>
      <c r="H3553" t="s">
        <v>112</v>
      </c>
      <c r="I3553" t="s">
        <v>376</v>
      </c>
      <c r="J3553" t="s">
        <v>319</v>
      </c>
      <c r="K3553">
        <v>1535</v>
      </c>
      <c r="L3553" t="s">
        <v>107</v>
      </c>
      <c r="M3553" t="s">
        <v>367</v>
      </c>
      <c r="N3553" t="s">
        <v>382</v>
      </c>
      <c r="O3553">
        <v>1535</v>
      </c>
      <c r="P3553" t="s">
        <v>412</v>
      </c>
      <c r="Q3553" t="s">
        <v>376</v>
      </c>
      <c r="R3553" t="s">
        <v>114</v>
      </c>
    </row>
    <row r="3554" spans="1:18" x14ac:dyDescent="0.3">
      <c r="A3554" t="s">
        <v>37</v>
      </c>
      <c r="B3554" t="s">
        <v>236</v>
      </c>
      <c r="C3554">
        <v>2211</v>
      </c>
      <c r="D3554" t="s">
        <v>150</v>
      </c>
      <c r="E3554" t="s">
        <v>329</v>
      </c>
      <c r="F3554" t="s">
        <v>207</v>
      </c>
      <c r="G3554">
        <v>2211</v>
      </c>
      <c r="H3554" t="s">
        <v>134</v>
      </c>
      <c r="I3554" t="s">
        <v>333</v>
      </c>
      <c r="J3554" t="s">
        <v>99</v>
      </c>
      <c r="K3554">
        <v>2211</v>
      </c>
      <c r="L3554" t="s">
        <v>105</v>
      </c>
      <c r="M3554" t="s">
        <v>782</v>
      </c>
      <c r="N3554" t="s">
        <v>132</v>
      </c>
      <c r="O3554">
        <v>2211</v>
      </c>
      <c r="P3554" t="s">
        <v>155</v>
      </c>
      <c r="Q3554" t="s">
        <v>759</v>
      </c>
      <c r="R3554" t="s">
        <v>198</v>
      </c>
    </row>
    <row r="3555" spans="1:18" x14ac:dyDescent="0.3">
      <c r="A3555" t="s">
        <v>37</v>
      </c>
      <c r="B3555" t="s">
        <v>238</v>
      </c>
      <c r="C3555">
        <v>1644</v>
      </c>
      <c r="D3555" t="s">
        <v>684</v>
      </c>
      <c r="E3555" t="s">
        <v>467</v>
      </c>
      <c r="F3555" t="s">
        <v>136</v>
      </c>
      <c r="G3555">
        <v>1644</v>
      </c>
      <c r="H3555" t="s">
        <v>111</v>
      </c>
      <c r="I3555" t="s">
        <v>202</v>
      </c>
      <c r="J3555" t="s">
        <v>99</v>
      </c>
      <c r="K3555">
        <v>1644</v>
      </c>
      <c r="L3555" t="s">
        <v>123</v>
      </c>
      <c r="M3555" t="s">
        <v>386</v>
      </c>
      <c r="N3555" t="s">
        <v>136</v>
      </c>
      <c r="O3555">
        <v>1644</v>
      </c>
      <c r="P3555" t="s">
        <v>382</v>
      </c>
      <c r="Q3555" t="s">
        <v>383</v>
      </c>
      <c r="R3555" t="s">
        <v>104</v>
      </c>
    </row>
    <row r="3556" spans="1:18" x14ac:dyDescent="0.3">
      <c r="A3556" t="s">
        <v>36</v>
      </c>
      <c r="B3556" t="s">
        <v>236</v>
      </c>
      <c r="C3556">
        <v>1566</v>
      </c>
      <c r="D3556" t="s">
        <v>470</v>
      </c>
      <c r="E3556" t="s">
        <v>1282</v>
      </c>
      <c r="F3556" t="s">
        <v>108</v>
      </c>
      <c r="G3556">
        <v>1566</v>
      </c>
      <c r="H3556" t="s">
        <v>325</v>
      </c>
      <c r="I3556" t="s">
        <v>75</v>
      </c>
      <c r="J3556" t="s">
        <v>141</v>
      </c>
      <c r="K3556">
        <v>1566</v>
      </c>
      <c r="L3556" t="s">
        <v>305</v>
      </c>
      <c r="M3556" t="s">
        <v>180</v>
      </c>
      <c r="N3556" t="s">
        <v>155</v>
      </c>
      <c r="O3556">
        <v>1566</v>
      </c>
      <c r="P3556" t="s">
        <v>143</v>
      </c>
      <c r="Q3556" t="s">
        <v>391</v>
      </c>
      <c r="R3556" t="s">
        <v>141</v>
      </c>
    </row>
    <row r="3557" spans="1:18" x14ac:dyDescent="0.3">
      <c r="A3557" t="s">
        <v>36</v>
      </c>
      <c r="B3557" t="s">
        <v>238</v>
      </c>
      <c r="C3557">
        <v>739</v>
      </c>
      <c r="D3557" t="s">
        <v>124</v>
      </c>
      <c r="E3557" t="s">
        <v>329</v>
      </c>
      <c r="F3557" t="s">
        <v>215</v>
      </c>
      <c r="G3557">
        <v>739</v>
      </c>
      <c r="H3557" t="s">
        <v>147</v>
      </c>
      <c r="I3557" t="s">
        <v>336</v>
      </c>
      <c r="J3557" t="s">
        <v>136</v>
      </c>
      <c r="K3557">
        <v>739</v>
      </c>
      <c r="L3557" t="s">
        <v>117</v>
      </c>
      <c r="M3557" t="s">
        <v>375</v>
      </c>
      <c r="N3557" t="s">
        <v>316</v>
      </c>
      <c r="O3557">
        <v>739</v>
      </c>
      <c r="P3557" t="s">
        <v>134</v>
      </c>
      <c r="Q3557" t="s">
        <v>367</v>
      </c>
      <c r="R3557" t="s">
        <v>108</v>
      </c>
    </row>
    <row r="3558" spans="1:18" x14ac:dyDescent="0.3">
      <c r="A3558" t="s">
        <v>34</v>
      </c>
      <c r="B3558" t="s">
        <v>236</v>
      </c>
      <c r="C3558">
        <v>717</v>
      </c>
      <c r="D3558" t="s">
        <v>420</v>
      </c>
      <c r="E3558" t="s">
        <v>73</v>
      </c>
      <c r="F3558" t="s">
        <v>99</v>
      </c>
      <c r="G3558">
        <v>717</v>
      </c>
      <c r="H3558" t="s">
        <v>112</v>
      </c>
      <c r="I3558" t="s">
        <v>413</v>
      </c>
      <c r="J3558" t="s">
        <v>136</v>
      </c>
      <c r="K3558">
        <v>717</v>
      </c>
      <c r="L3558" t="s">
        <v>109</v>
      </c>
      <c r="M3558" t="s">
        <v>252</v>
      </c>
      <c r="N3558" t="s">
        <v>101</v>
      </c>
      <c r="O3558">
        <v>717</v>
      </c>
      <c r="P3558" t="s">
        <v>313</v>
      </c>
      <c r="Q3558" t="s">
        <v>877</v>
      </c>
      <c r="R3558" t="s">
        <v>136</v>
      </c>
    </row>
    <row r="3559" spans="1:18" x14ac:dyDescent="0.3">
      <c r="A3559" t="s">
        <v>34</v>
      </c>
      <c r="B3559" t="s">
        <v>238</v>
      </c>
      <c r="C3559">
        <v>1363</v>
      </c>
      <c r="D3559" t="s">
        <v>155</v>
      </c>
      <c r="E3559" t="s">
        <v>333</v>
      </c>
      <c r="F3559" t="s">
        <v>198</v>
      </c>
      <c r="G3559">
        <v>1363</v>
      </c>
      <c r="H3559" t="s">
        <v>130</v>
      </c>
      <c r="I3559" t="s">
        <v>337</v>
      </c>
      <c r="J3559" t="s">
        <v>207</v>
      </c>
      <c r="K3559">
        <v>1363</v>
      </c>
      <c r="L3559" t="s">
        <v>412</v>
      </c>
      <c r="M3559" t="s">
        <v>334</v>
      </c>
      <c r="N3559" t="s">
        <v>101</v>
      </c>
      <c r="O3559">
        <v>1363</v>
      </c>
      <c r="P3559" t="s">
        <v>68</v>
      </c>
      <c r="Q3559" t="s">
        <v>375</v>
      </c>
      <c r="R3559" t="s">
        <v>104</v>
      </c>
    </row>
    <row r="3560" spans="1:18" x14ac:dyDescent="0.3">
      <c r="A3560" t="s">
        <v>33</v>
      </c>
      <c r="B3560" t="s">
        <v>236</v>
      </c>
      <c r="C3560">
        <v>1116</v>
      </c>
      <c r="D3560" t="s">
        <v>145</v>
      </c>
      <c r="E3560" t="s">
        <v>391</v>
      </c>
      <c r="F3560" t="s">
        <v>207</v>
      </c>
      <c r="G3560">
        <v>1116</v>
      </c>
      <c r="H3560" t="s">
        <v>123</v>
      </c>
      <c r="I3560" t="s">
        <v>766</v>
      </c>
      <c r="J3560" t="s">
        <v>104</v>
      </c>
      <c r="K3560">
        <v>1116</v>
      </c>
      <c r="L3560" t="s">
        <v>105</v>
      </c>
      <c r="M3560" t="s">
        <v>265</v>
      </c>
      <c r="N3560" t="s">
        <v>207</v>
      </c>
      <c r="O3560">
        <v>1116</v>
      </c>
      <c r="P3560" t="s">
        <v>332</v>
      </c>
      <c r="Q3560" t="s">
        <v>333</v>
      </c>
      <c r="R3560" t="s">
        <v>198</v>
      </c>
    </row>
    <row r="3561" spans="1:18" x14ac:dyDescent="0.3">
      <c r="A3561" t="s">
        <v>33</v>
      </c>
      <c r="B3561" t="s">
        <v>238</v>
      </c>
      <c r="C3561">
        <v>821</v>
      </c>
      <c r="D3561" t="s">
        <v>157</v>
      </c>
      <c r="E3561" t="s">
        <v>265</v>
      </c>
      <c r="F3561" t="s">
        <v>136</v>
      </c>
      <c r="G3561">
        <v>821</v>
      </c>
      <c r="H3561" t="s">
        <v>382</v>
      </c>
      <c r="I3561" t="s">
        <v>383</v>
      </c>
      <c r="J3561" t="s">
        <v>104</v>
      </c>
      <c r="K3561">
        <v>821</v>
      </c>
      <c r="L3561" t="s">
        <v>126</v>
      </c>
      <c r="M3561" t="s">
        <v>438</v>
      </c>
      <c r="N3561" t="s">
        <v>136</v>
      </c>
      <c r="O3561">
        <v>821</v>
      </c>
      <c r="P3561" t="s">
        <v>100</v>
      </c>
      <c r="Q3561" t="s">
        <v>229</v>
      </c>
      <c r="R3561" t="s">
        <v>136</v>
      </c>
    </row>
    <row r="3562" spans="1:18" x14ac:dyDescent="0.3">
      <c r="A3562" t="s">
        <v>49</v>
      </c>
      <c r="B3562" t="s">
        <v>236</v>
      </c>
      <c r="C3562">
        <v>7220</v>
      </c>
      <c r="D3562" t="s">
        <v>675</v>
      </c>
      <c r="E3562" t="s">
        <v>978</v>
      </c>
      <c r="F3562" t="s">
        <v>136</v>
      </c>
      <c r="G3562">
        <v>7220</v>
      </c>
      <c r="H3562" t="s">
        <v>155</v>
      </c>
      <c r="I3562" t="s">
        <v>759</v>
      </c>
      <c r="J3562" t="s">
        <v>198</v>
      </c>
      <c r="K3562">
        <v>7220</v>
      </c>
      <c r="L3562" t="s">
        <v>129</v>
      </c>
      <c r="M3562" t="s">
        <v>413</v>
      </c>
      <c r="N3562" t="s">
        <v>114</v>
      </c>
      <c r="O3562">
        <v>7220</v>
      </c>
      <c r="P3562" t="s">
        <v>149</v>
      </c>
      <c r="Q3562" t="s">
        <v>413</v>
      </c>
      <c r="R3562" t="s">
        <v>207</v>
      </c>
    </row>
    <row r="3563" spans="1:18" x14ac:dyDescent="0.3">
      <c r="A3563" t="s">
        <v>49</v>
      </c>
      <c r="B3563" t="s">
        <v>238</v>
      </c>
      <c r="C3563">
        <v>6102</v>
      </c>
      <c r="D3563" t="s">
        <v>68</v>
      </c>
      <c r="E3563" t="s">
        <v>358</v>
      </c>
      <c r="F3563" t="s">
        <v>108</v>
      </c>
      <c r="G3563">
        <v>6102</v>
      </c>
      <c r="H3563" t="s">
        <v>155</v>
      </c>
      <c r="I3563" t="s">
        <v>782</v>
      </c>
      <c r="J3563" t="s">
        <v>253</v>
      </c>
      <c r="K3563">
        <v>6102</v>
      </c>
      <c r="L3563" t="s">
        <v>107</v>
      </c>
      <c r="M3563" t="s">
        <v>433</v>
      </c>
      <c r="N3563" t="s">
        <v>121</v>
      </c>
      <c r="O3563">
        <v>6102</v>
      </c>
      <c r="P3563" t="s">
        <v>154</v>
      </c>
      <c r="Q3563" t="s">
        <v>433</v>
      </c>
      <c r="R3563" t="s">
        <v>141</v>
      </c>
    </row>
    <row r="3565" spans="1:18" x14ac:dyDescent="0.3">
      <c r="A3565" t="s">
        <v>1445</v>
      </c>
    </row>
    <row r="3566" spans="1:18" x14ac:dyDescent="0.3">
      <c r="A3566" t="s">
        <v>44</v>
      </c>
      <c r="B3566" t="s">
        <v>209</v>
      </c>
      <c r="C3566" t="s">
        <v>1440</v>
      </c>
      <c r="D3566" t="s">
        <v>1426</v>
      </c>
      <c r="E3566" t="s">
        <v>1427</v>
      </c>
      <c r="F3566" t="s">
        <v>1428</v>
      </c>
      <c r="G3566" t="s">
        <v>1441</v>
      </c>
      <c r="H3566" t="s">
        <v>1429</v>
      </c>
      <c r="I3566" t="s">
        <v>1430</v>
      </c>
      <c r="J3566" t="s">
        <v>1431</v>
      </c>
      <c r="K3566" t="s">
        <v>1442</v>
      </c>
      <c r="L3566" t="s">
        <v>1432</v>
      </c>
      <c r="M3566" t="s">
        <v>1433</v>
      </c>
      <c r="N3566" t="s">
        <v>1434</v>
      </c>
      <c r="O3566" t="s">
        <v>1443</v>
      </c>
      <c r="P3566" t="s">
        <v>1435</v>
      </c>
      <c r="Q3566" t="s">
        <v>1436</v>
      </c>
      <c r="R3566" t="s">
        <v>1437</v>
      </c>
    </row>
    <row r="3567" spans="1:18" x14ac:dyDescent="0.3">
      <c r="A3567" t="s">
        <v>35</v>
      </c>
      <c r="B3567" t="s">
        <v>210</v>
      </c>
      <c r="C3567">
        <v>136</v>
      </c>
      <c r="D3567" t="s">
        <v>72</v>
      </c>
      <c r="E3567" t="s">
        <v>183</v>
      </c>
      <c r="F3567" t="s">
        <v>141</v>
      </c>
      <c r="G3567">
        <v>136</v>
      </c>
      <c r="H3567" t="s">
        <v>420</v>
      </c>
      <c r="I3567" t="s">
        <v>400</v>
      </c>
      <c r="J3567" t="s">
        <v>99</v>
      </c>
      <c r="K3567">
        <v>136</v>
      </c>
      <c r="L3567" t="s">
        <v>299</v>
      </c>
      <c r="M3567" t="s">
        <v>73</v>
      </c>
      <c r="N3567" t="s">
        <v>141</v>
      </c>
      <c r="O3567">
        <v>136</v>
      </c>
      <c r="P3567" t="s">
        <v>292</v>
      </c>
      <c r="Q3567" t="s">
        <v>986</v>
      </c>
      <c r="R3567" t="s">
        <v>99</v>
      </c>
    </row>
    <row r="3568" spans="1:18" x14ac:dyDescent="0.3">
      <c r="A3568" t="s">
        <v>35</v>
      </c>
      <c r="B3568" t="s">
        <v>212</v>
      </c>
      <c r="C3568">
        <v>2442</v>
      </c>
      <c r="D3568" t="s">
        <v>98</v>
      </c>
      <c r="E3568" t="s">
        <v>329</v>
      </c>
      <c r="F3568" t="s">
        <v>127</v>
      </c>
      <c r="G3568">
        <v>2442</v>
      </c>
      <c r="H3568" t="s">
        <v>332</v>
      </c>
      <c r="I3568" t="s">
        <v>375</v>
      </c>
      <c r="J3568" t="s">
        <v>126</v>
      </c>
      <c r="K3568">
        <v>2442</v>
      </c>
      <c r="L3568" t="s">
        <v>147</v>
      </c>
      <c r="M3568" t="s">
        <v>786</v>
      </c>
      <c r="N3568" t="s">
        <v>127</v>
      </c>
      <c r="O3568">
        <v>2442</v>
      </c>
      <c r="P3568" t="s">
        <v>112</v>
      </c>
      <c r="Q3568" t="s">
        <v>467</v>
      </c>
      <c r="R3568" t="s">
        <v>100</v>
      </c>
    </row>
    <row r="3569" spans="1:18" x14ac:dyDescent="0.3">
      <c r="A3569" t="s">
        <v>35</v>
      </c>
      <c r="B3569" t="s">
        <v>216</v>
      </c>
      <c r="C3569">
        <v>567</v>
      </c>
      <c r="D3569" t="s">
        <v>105</v>
      </c>
      <c r="E3569" t="s">
        <v>333</v>
      </c>
      <c r="F3569" t="s">
        <v>141</v>
      </c>
      <c r="G3569">
        <v>567</v>
      </c>
      <c r="H3569" t="s">
        <v>712</v>
      </c>
      <c r="I3569" t="s">
        <v>367</v>
      </c>
      <c r="J3569" t="s">
        <v>207</v>
      </c>
      <c r="K3569">
        <v>567</v>
      </c>
      <c r="L3569" t="s">
        <v>126</v>
      </c>
      <c r="M3569" t="s">
        <v>766</v>
      </c>
      <c r="N3569" t="s">
        <v>136</v>
      </c>
      <c r="O3569">
        <v>567</v>
      </c>
      <c r="P3569" t="s">
        <v>124</v>
      </c>
      <c r="Q3569" t="s">
        <v>358</v>
      </c>
      <c r="R3569" t="s">
        <v>198</v>
      </c>
    </row>
    <row r="3570" spans="1:18" x14ac:dyDescent="0.3">
      <c r="A3570" t="s">
        <v>37</v>
      </c>
      <c r="B3570" t="s">
        <v>210</v>
      </c>
      <c r="C3570">
        <v>138</v>
      </c>
      <c r="D3570" t="s">
        <v>355</v>
      </c>
      <c r="E3570" t="s">
        <v>407</v>
      </c>
      <c r="F3570" t="s">
        <v>120</v>
      </c>
      <c r="G3570">
        <v>138</v>
      </c>
      <c r="H3570" t="s">
        <v>328</v>
      </c>
      <c r="I3570" t="s">
        <v>75</v>
      </c>
      <c r="J3570" t="s">
        <v>141</v>
      </c>
      <c r="K3570">
        <v>138</v>
      </c>
      <c r="L3570" t="s">
        <v>420</v>
      </c>
      <c r="M3570" t="s">
        <v>422</v>
      </c>
      <c r="N3570" t="s">
        <v>121</v>
      </c>
      <c r="O3570">
        <v>138</v>
      </c>
      <c r="P3570" t="s">
        <v>123</v>
      </c>
      <c r="Q3570" t="s">
        <v>438</v>
      </c>
      <c r="R3570" t="s">
        <v>99</v>
      </c>
    </row>
    <row r="3571" spans="1:18" x14ac:dyDescent="0.3">
      <c r="A3571" t="s">
        <v>37</v>
      </c>
      <c r="B3571" t="s">
        <v>212</v>
      </c>
      <c r="C3571">
        <v>3606</v>
      </c>
      <c r="D3571" t="s">
        <v>204</v>
      </c>
      <c r="E3571" t="s">
        <v>75</v>
      </c>
      <c r="F3571" t="s">
        <v>198</v>
      </c>
      <c r="G3571">
        <v>3606</v>
      </c>
      <c r="H3571" t="s">
        <v>147</v>
      </c>
      <c r="I3571" t="s">
        <v>998</v>
      </c>
      <c r="J3571" t="s">
        <v>99</v>
      </c>
      <c r="K3571">
        <v>3606</v>
      </c>
      <c r="L3571" t="s">
        <v>117</v>
      </c>
      <c r="M3571" t="s">
        <v>998</v>
      </c>
      <c r="N3571" t="s">
        <v>253</v>
      </c>
      <c r="O3571">
        <v>3606</v>
      </c>
      <c r="P3571" t="s">
        <v>128</v>
      </c>
      <c r="Q3571" t="s">
        <v>466</v>
      </c>
      <c r="R3571" t="s">
        <v>198</v>
      </c>
    </row>
    <row r="3572" spans="1:18" x14ac:dyDescent="0.3">
      <c r="A3572" t="s">
        <v>37</v>
      </c>
      <c r="B3572" t="s">
        <v>216</v>
      </c>
      <c r="C3572">
        <v>111</v>
      </c>
      <c r="D3572" t="s">
        <v>98</v>
      </c>
      <c r="E3572" t="s">
        <v>505</v>
      </c>
      <c r="F3572" t="s">
        <v>99</v>
      </c>
      <c r="G3572">
        <v>111</v>
      </c>
      <c r="H3572" t="s">
        <v>151</v>
      </c>
      <c r="I3572" t="s">
        <v>766</v>
      </c>
      <c r="J3572" t="s">
        <v>99</v>
      </c>
      <c r="K3572">
        <v>111</v>
      </c>
      <c r="L3572" t="s">
        <v>121</v>
      </c>
      <c r="M3572" t="s">
        <v>385</v>
      </c>
      <c r="N3572" t="s">
        <v>99</v>
      </c>
      <c r="O3572">
        <v>111</v>
      </c>
      <c r="P3572" t="s">
        <v>111</v>
      </c>
      <c r="Q3572" t="s">
        <v>202</v>
      </c>
      <c r="R3572" t="s">
        <v>99</v>
      </c>
    </row>
    <row r="3573" spans="1:18" x14ac:dyDescent="0.3">
      <c r="A3573" t="s">
        <v>36</v>
      </c>
      <c r="B3573" t="s">
        <v>210</v>
      </c>
      <c r="C3573">
        <v>165</v>
      </c>
      <c r="D3573" t="s">
        <v>124</v>
      </c>
      <c r="E3573" t="s">
        <v>203</v>
      </c>
      <c r="F3573" t="s">
        <v>107</v>
      </c>
      <c r="G3573">
        <v>165</v>
      </c>
      <c r="H3573" t="s">
        <v>353</v>
      </c>
      <c r="I3573" t="s">
        <v>419</v>
      </c>
      <c r="J3573" t="s">
        <v>99</v>
      </c>
      <c r="K3573">
        <v>165</v>
      </c>
      <c r="L3573" t="s">
        <v>277</v>
      </c>
      <c r="M3573" t="s">
        <v>162</v>
      </c>
      <c r="N3573" t="s">
        <v>114</v>
      </c>
      <c r="O3573">
        <v>165</v>
      </c>
      <c r="P3573" t="s">
        <v>109</v>
      </c>
      <c r="Q3573" t="s">
        <v>978</v>
      </c>
      <c r="R3573" t="s">
        <v>104</v>
      </c>
    </row>
    <row r="3574" spans="1:18" x14ac:dyDescent="0.3">
      <c r="A3574" t="s">
        <v>36</v>
      </c>
      <c r="B3574" t="s">
        <v>212</v>
      </c>
      <c r="C3574">
        <v>1875</v>
      </c>
      <c r="D3574" t="s">
        <v>679</v>
      </c>
      <c r="E3574" t="s">
        <v>1308</v>
      </c>
      <c r="F3574" t="s">
        <v>101</v>
      </c>
      <c r="G3574">
        <v>1875</v>
      </c>
      <c r="H3574" t="s">
        <v>134</v>
      </c>
      <c r="I3574" t="s">
        <v>1017</v>
      </c>
      <c r="J3574" t="s">
        <v>253</v>
      </c>
      <c r="K3574">
        <v>1875</v>
      </c>
      <c r="L3574" t="s">
        <v>149</v>
      </c>
      <c r="M3574" t="s">
        <v>71</v>
      </c>
      <c r="N3574" t="s">
        <v>147</v>
      </c>
      <c r="O3574">
        <v>1875</v>
      </c>
      <c r="P3574" t="s">
        <v>112</v>
      </c>
      <c r="Q3574" t="s">
        <v>335</v>
      </c>
      <c r="R3574" t="s">
        <v>108</v>
      </c>
    </row>
    <row r="3575" spans="1:18" x14ac:dyDescent="0.3">
      <c r="A3575" t="s">
        <v>36</v>
      </c>
      <c r="B3575" t="s">
        <v>216</v>
      </c>
      <c r="C3575">
        <v>265</v>
      </c>
      <c r="D3575" t="s">
        <v>420</v>
      </c>
      <c r="E3575" t="s">
        <v>400</v>
      </c>
      <c r="F3575" t="s">
        <v>99</v>
      </c>
      <c r="G3575">
        <v>265</v>
      </c>
      <c r="H3575" t="s">
        <v>157</v>
      </c>
      <c r="I3575" t="s">
        <v>404</v>
      </c>
      <c r="J3575" t="s">
        <v>99</v>
      </c>
      <c r="K3575">
        <v>265</v>
      </c>
      <c r="L3575" t="s">
        <v>143</v>
      </c>
      <c r="M3575" t="s">
        <v>877</v>
      </c>
      <c r="N3575" t="s">
        <v>412</v>
      </c>
      <c r="O3575">
        <v>265</v>
      </c>
      <c r="P3575" t="s">
        <v>474</v>
      </c>
      <c r="Q3575" t="s">
        <v>331</v>
      </c>
      <c r="R3575" t="s">
        <v>104</v>
      </c>
    </row>
    <row r="3576" spans="1:18" x14ac:dyDescent="0.3">
      <c r="A3576" t="s">
        <v>34</v>
      </c>
      <c r="B3576" t="s">
        <v>210</v>
      </c>
      <c r="C3576">
        <v>256</v>
      </c>
      <c r="D3576" t="s">
        <v>145</v>
      </c>
      <c r="E3576" t="s">
        <v>334</v>
      </c>
      <c r="F3576" t="s">
        <v>99</v>
      </c>
      <c r="G3576">
        <v>256</v>
      </c>
      <c r="H3576" t="s">
        <v>313</v>
      </c>
      <c r="I3576" t="s">
        <v>180</v>
      </c>
      <c r="J3576" t="s">
        <v>100</v>
      </c>
      <c r="K3576">
        <v>256</v>
      </c>
      <c r="L3576" t="s">
        <v>461</v>
      </c>
      <c r="M3576" t="s">
        <v>172</v>
      </c>
      <c r="N3576" t="s">
        <v>215</v>
      </c>
      <c r="O3576">
        <v>256</v>
      </c>
      <c r="P3576" t="s">
        <v>412</v>
      </c>
      <c r="Q3576" t="s">
        <v>414</v>
      </c>
      <c r="R3576" t="s">
        <v>319</v>
      </c>
    </row>
    <row r="3577" spans="1:18" x14ac:dyDescent="0.3">
      <c r="A3577" t="s">
        <v>34</v>
      </c>
      <c r="B3577" t="s">
        <v>212</v>
      </c>
      <c r="C3577">
        <v>1582</v>
      </c>
      <c r="D3577" t="s">
        <v>138</v>
      </c>
      <c r="E3577" t="s">
        <v>759</v>
      </c>
      <c r="F3577" t="s">
        <v>198</v>
      </c>
      <c r="G3577">
        <v>1582</v>
      </c>
      <c r="H3577" t="s">
        <v>268</v>
      </c>
      <c r="I3577" t="s">
        <v>386</v>
      </c>
      <c r="J3577" t="s">
        <v>99</v>
      </c>
      <c r="K3577">
        <v>1582</v>
      </c>
      <c r="L3577" t="s">
        <v>105</v>
      </c>
      <c r="M3577" t="s">
        <v>1017</v>
      </c>
      <c r="N3577" t="s">
        <v>100</v>
      </c>
      <c r="O3577">
        <v>1582</v>
      </c>
      <c r="P3577" t="s">
        <v>328</v>
      </c>
      <c r="Q3577" t="s">
        <v>358</v>
      </c>
      <c r="R3577" t="s">
        <v>99</v>
      </c>
    </row>
    <row r="3578" spans="1:18" x14ac:dyDescent="0.3">
      <c r="A3578" t="s">
        <v>34</v>
      </c>
      <c r="B3578" t="s">
        <v>216</v>
      </c>
      <c r="C3578">
        <v>242</v>
      </c>
      <c r="D3578" t="s">
        <v>315</v>
      </c>
      <c r="E3578" t="s">
        <v>966</v>
      </c>
      <c r="F3578" t="s">
        <v>99</v>
      </c>
      <c r="G3578">
        <v>242</v>
      </c>
      <c r="H3578" t="s">
        <v>74</v>
      </c>
      <c r="I3578" t="s">
        <v>329</v>
      </c>
      <c r="J3578" t="s">
        <v>114</v>
      </c>
      <c r="K3578">
        <v>242</v>
      </c>
      <c r="L3578" t="s">
        <v>677</v>
      </c>
      <c r="M3578" t="s">
        <v>1135</v>
      </c>
      <c r="N3578" t="s">
        <v>127</v>
      </c>
      <c r="O3578">
        <v>242</v>
      </c>
      <c r="P3578" t="s">
        <v>222</v>
      </c>
      <c r="Q3578" t="s">
        <v>221</v>
      </c>
      <c r="R3578" t="s">
        <v>99</v>
      </c>
    </row>
    <row r="3579" spans="1:18" x14ac:dyDescent="0.3">
      <c r="A3579" t="s">
        <v>33</v>
      </c>
      <c r="B3579" t="s">
        <v>210</v>
      </c>
      <c r="C3579">
        <v>68</v>
      </c>
      <c r="D3579" t="s">
        <v>313</v>
      </c>
      <c r="E3579" t="s">
        <v>243</v>
      </c>
      <c r="F3579" t="s">
        <v>474</v>
      </c>
      <c r="G3579">
        <v>68</v>
      </c>
      <c r="H3579" t="s">
        <v>133</v>
      </c>
      <c r="I3579" t="s">
        <v>169</v>
      </c>
      <c r="J3579" t="s">
        <v>99</v>
      </c>
      <c r="K3579">
        <v>68</v>
      </c>
      <c r="L3579" t="s">
        <v>368</v>
      </c>
      <c r="M3579" t="s">
        <v>290</v>
      </c>
      <c r="N3579" t="s">
        <v>99</v>
      </c>
      <c r="O3579">
        <v>68</v>
      </c>
      <c r="P3579" t="s">
        <v>299</v>
      </c>
      <c r="Q3579" t="s">
        <v>252</v>
      </c>
      <c r="R3579" t="s">
        <v>99</v>
      </c>
    </row>
    <row r="3580" spans="1:18" x14ac:dyDescent="0.3">
      <c r="A3580" t="s">
        <v>33</v>
      </c>
      <c r="B3580" t="s">
        <v>212</v>
      </c>
      <c r="C3580">
        <v>1800</v>
      </c>
      <c r="D3580" t="s">
        <v>474</v>
      </c>
      <c r="E3580" t="s">
        <v>367</v>
      </c>
      <c r="F3580" t="s">
        <v>198</v>
      </c>
      <c r="G3580">
        <v>1800</v>
      </c>
      <c r="H3580" t="s">
        <v>126</v>
      </c>
      <c r="I3580" t="s">
        <v>383</v>
      </c>
      <c r="J3580" t="s">
        <v>104</v>
      </c>
      <c r="K3580">
        <v>1800</v>
      </c>
      <c r="L3580" t="s">
        <v>123</v>
      </c>
      <c r="M3580" t="s">
        <v>386</v>
      </c>
      <c r="N3580" t="s">
        <v>136</v>
      </c>
      <c r="O3580">
        <v>1800</v>
      </c>
      <c r="P3580" t="s">
        <v>292</v>
      </c>
      <c r="Q3580" t="s">
        <v>476</v>
      </c>
      <c r="R3580" t="s">
        <v>207</v>
      </c>
    </row>
    <row r="3581" spans="1:18" x14ac:dyDescent="0.3">
      <c r="A3581" t="s">
        <v>33</v>
      </c>
      <c r="B3581" t="s">
        <v>216</v>
      </c>
      <c r="C3581">
        <v>69</v>
      </c>
      <c r="D3581" t="s">
        <v>254</v>
      </c>
      <c r="E3581" t="s">
        <v>414</v>
      </c>
      <c r="F3581" t="s">
        <v>99</v>
      </c>
      <c r="G3581">
        <v>69</v>
      </c>
      <c r="H3581" t="s">
        <v>99</v>
      </c>
      <c r="I3581" t="s">
        <v>211</v>
      </c>
      <c r="J3581" t="s">
        <v>99</v>
      </c>
      <c r="K3581">
        <v>69</v>
      </c>
      <c r="L3581" t="s">
        <v>103</v>
      </c>
      <c r="M3581" t="s">
        <v>851</v>
      </c>
      <c r="N3581" t="s">
        <v>99</v>
      </c>
      <c r="O3581">
        <v>69</v>
      </c>
      <c r="P3581" t="s">
        <v>107</v>
      </c>
      <c r="Q3581" t="s">
        <v>998</v>
      </c>
      <c r="R3581" t="s">
        <v>99</v>
      </c>
    </row>
    <row r="3582" spans="1:18" x14ac:dyDescent="0.3">
      <c r="A3582" t="s">
        <v>49</v>
      </c>
      <c r="B3582" t="s">
        <v>210</v>
      </c>
      <c r="C3582">
        <v>763</v>
      </c>
      <c r="D3582" t="s">
        <v>363</v>
      </c>
      <c r="E3582" t="s">
        <v>961</v>
      </c>
      <c r="F3582" t="s">
        <v>101</v>
      </c>
      <c r="G3582">
        <v>763</v>
      </c>
      <c r="H3582" t="s">
        <v>125</v>
      </c>
      <c r="I3582" t="s">
        <v>961</v>
      </c>
      <c r="J3582" t="s">
        <v>141</v>
      </c>
      <c r="K3582">
        <v>763</v>
      </c>
      <c r="L3582" t="s">
        <v>305</v>
      </c>
      <c r="M3582" t="s">
        <v>961</v>
      </c>
      <c r="N3582" t="s">
        <v>100</v>
      </c>
      <c r="O3582">
        <v>763</v>
      </c>
      <c r="P3582" t="s">
        <v>474</v>
      </c>
      <c r="Q3582" t="s">
        <v>375</v>
      </c>
      <c r="R3582" t="s">
        <v>253</v>
      </c>
    </row>
    <row r="3583" spans="1:18" x14ac:dyDescent="0.3">
      <c r="A3583" t="s">
        <v>49</v>
      </c>
      <c r="B3583" t="s">
        <v>212</v>
      </c>
      <c r="C3583">
        <v>11305</v>
      </c>
      <c r="D3583" t="s">
        <v>684</v>
      </c>
      <c r="E3583" t="s">
        <v>376</v>
      </c>
      <c r="F3583" t="s">
        <v>115</v>
      </c>
      <c r="G3583">
        <v>11305</v>
      </c>
      <c r="H3583" t="s">
        <v>120</v>
      </c>
      <c r="I3583" t="s">
        <v>384</v>
      </c>
      <c r="J3583" t="s">
        <v>136</v>
      </c>
      <c r="K3583">
        <v>11305</v>
      </c>
      <c r="L3583" t="s">
        <v>120</v>
      </c>
      <c r="M3583" t="s">
        <v>768</v>
      </c>
      <c r="N3583" t="s">
        <v>100</v>
      </c>
      <c r="O3583">
        <v>11305</v>
      </c>
      <c r="P3583" t="s">
        <v>154</v>
      </c>
      <c r="Q3583" t="s">
        <v>237</v>
      </c>
      <c r="R3583" t="s">
        <v>141</v>
      </c>
    </row>
    <row r="3584" spans="1:18" x14ac:dyDescent="0.3">
      <c r="A3584" t="s">
        <v>49</v>
      </c>
      <c r="B3584" t="s">
        <v>216</v>
      </c>
      <c r="C3584">
        <v>1254</v>
      </c>
      <c r="D3584" t="s">
        <v>328</v>
      </c>
      <c r="E3584" t="s">
        <v>376</v>
      </c>
      <c r="F3584" t="s">
        <v>207</v>
      </c>
      <c r="G3584">
        <v>1254</v>
      </c>
      <c r="H3584" t="s">
        <v>712</v>
      </c>
      <c r="I3584" t="s">
        <v>786</v>
      </c>
      <c r="J3584" t="s">
        <v>136</v>
      </c>
      <c r="K3584">
        <v>1254</v>
      </c>
      <c r="L3584" t="s">
        <v>474</v>
      </c>
      <c r="M3584" t="s">
        <v>505</v>
      </c>
      <c r="N3584" t="s">
        <v>114</v>
      </c>
      <c r="O3584">
        <v>1254</v>
      </c>
      <c r="P3584" t="s">
        <v>663</v>
      </c>
      <c r="Q3584" t="s">
        <v>241</v>
      </c>
      <c r="R3584" t="s">
        <v>104</v>
      </c>
    </row>
    <row r="3586" spans="1:7" x14ac:dyDescent="0.3">
      <c r="A3586" t="s">
        <v>1446</v>
      </c>
    </row>
    <row r="3587" spans="1:7" x14ac:dyDescent="0.3">
      <c r="A3587" t="s">
        <v>44</v>
      </c>
      <c r="B3587" t="s">
        <v>32</v>
      </c>
      <c r="C3587" t="s">
        <v>1447</v>
      </c>
      <c r="D3587" t="s">
        <v>1448</v>
      </c>
      <c r="E3587" t="s">
        <v>1449</v>
      </c>
      <c r="F3587" t="s">
        <v>1450</v>
      </c>
    </row>
    <row r="3588" spans="1:7" x14ac:dyDescent="0.3">
      <c r="A3588" t="s">
        <v>35</v>
      </c>
      <c r="B3588">
        <v>3145</v>
      </c>
      <c r="C3588" t="s">
        <v>569</v>
      </c>
      <c r="D3588" t="s">
        <v>76</v>
      </c>
      <c r="E3588" t="s">
        <v>125</v>
      </c>
      <c r="F3588" t="s">
        <v>143</v>
      </c>
    </row>
    <row r="3589" spans="1:7" x14ac:dyDescent="0.3">
      <c r="A3589" t="s">
        <v>37</v>
      </c>
      <c r="B3589">
        <v>3855</v>
      </c>
      <c r="C3589" t="s">
        <v>627</v>
      </c>
      <c r="D3589" t="s">
        <v>740</v>
      </c>
      <c r="E3589" t="s">
        <v>98</v>
      </c>
      <c r="F3589" t="s">
        <v>130</v>
      </c>
    </row>
    <row r="3590" spans="1:7" x14ac:dyDescent="0.3">
      <c r="A3590" t="s">
        <v>36</v>
      </c>
      <c r="B3590">
        <v>2305</v>
      </c>
      <c r="C3590" t="s">
        <v>504</v>
      </c>
      <c r="D3590" t="s">
        <v>710</v>
      </c>
      <c r="E3590" t="s">
        <v>405</v>
      </c>
      <c r="F3590" t="s">
        <v>130</v>
      </c>
    </row>
    <row r="3591" spans="1:7" x14ac:dyDescent="0.3">
      <c r="A3591" t="s">
        <v>34</v>
      </c>
      <c r="B3591">
        <v>2080</v>
      </c>
      <c r="C3591" t="s">
        <v>1235</v>
      </c>
      <c r="D3591" t="s">
        <v>449</v>
      </c>
      <c r="E3591" t="s">
        <v>109</v>
      </c>
      <c r="F3591" t="s">
        <v>204</v>
      </c>
    </row>
    <row r="3592" spans="1:7" x14ac:dyDescent="0.3">
      <c r="A3592" t="s">
        <v>33</v>
      </c>
      <c r="B3592">
        <v>1937</v>
      </c>
      <c r="C3592" t="s">
        <v>1082</v>
      </c>
      <c r="D3592" t="s">
        <v>39</v>
      </c>
      <c r="E3592" t="s">
        <v>420</v>
      </c>
      <c r="F3592" t="s">
        <v>68</v>
      </c>
    </row>
    <row r="3593" spans="1:7" x14ac:dyDescent="0.3">
      <c r="A3593" t="s">
        <v>49</v>
      </c>
      <c r="B3593">
        <v>13322</v>
      </c>
      <c r="C3593" t="s">
        <v>1451</v>
      </c>
      <c r="D3593" t="s">
        <v>38</v>
      </c>
      <c r="E3593" t="s">
        <v>70</v>
      </c>
      <c r="F3593" t="s">
        <v>277</v>
      </c>
    </row>
    <row r="3595" spans="1:7" x14ac:dyDescent="0.3">
      <c r="A3595" t="s">
        <v>1452</v>
      </c>
    </row>
    <row r="3596" spans="1:7" x14ac:dyDescent="0.3">
      <c r="A3596" t="s">
        <v>44</v>
      </c>
      <c r="B3596" t="s">
        <v>235</v>
      </c>
      <c r="C3596" t="s">
        <v>32</v>
      </c>
      <c r="D3596" t="s">
        <v>1447</v>
      </c>
      <c r="E3596" t="s">
        <v>1448</v>
      </c>
      <c r="F3596" t="s">
        <v>1449</v>
      </c>
      <c r="G3596" t="s">
        <v>1450</v>
      </c>
    </row>
    <row r="3597" spans="1:7" x14ac:dyDescent="0.3">
      <c r="A3597" t="s">
        <v>35</v>
      </c>
      <c r="B3597" t="s">
        <v>236</v>
      </c>
      <c r="C3597">
        <v>1610</v>
      </c>
      <c r="D3597" t="s">
        <v>1259</v>
      </c>
      <c r="E3597" t="s">
        <v>440</v>
      </c>
      <c r="F3597" t="s">
        <v>401</v>
      </c>
      <c r="G3597" t="s">
        <v>135</v>
      </c>
    </row>
    <row r="3598" spans="1:7" x14ac:dyDescent="0.3">
      <c r="A3598" t="s">
        <v>35</v>
      </c>
      <c r="B3598" t="s">
        <v>238</v>
      </c>
      <c r="C3598">
        <v>1535</v>
      </c>
      <c r="D3598" t="s">
        <v>57</v>
      </c>
      <c r="E3598" t="s">
        <v>721</v>
      </c>
      <c r="F3598" t="s">
        <v>142</v>
      </c>
      <c r="G3598" t="s">
        <v>325</v>
      </c>
    </row>
    <row r="3599" spans="1:7" x14ac:dyDescent="0.3">
      <c r="A3599" t="s">
        <v>37</v>
      </c>
      <c r="B3599" t="s">
        <v>236</v>
      </c>
      <c r="C3599">
        <v>2211</v>
      </c>
      <c r="D3599" t="s">
        <v>617</v>
      </c>
      <c r="E3599" t="s">
        <v>842</v>
      </c>
      <c r="F3599" t="s">
        <v>663</v>
      </c>
      <c r="G3599" t="s">
        <v>474</v>
      </c>
    </row>
    <row r="3600" spans="1:7" x14ac:dyDescent="0.3">
      <c r="A3600" t="s">
        <v>37</v>
      </c>
      <c r="B3600" t="s">
        <v>238</v>
      </c>
      <c r="C3600">
        <v>1644</v>
      </c>
      <c r="D3600" t="s">
        <v>441</v>
      </c>
      <c r="E3600" t="s">
        <v>721</v>
      </c>
      <c r="F3600" t="s">
        <v>129</v>
      </c>
      <c r="G3600" t="s">
        <v>134</v>
      </c>
    </row>
    <row r="3601" spans="1:7" x14ac:dyDescent="0.3">
      <c r="A3601" t="s">
        <v>36</v>
      </c>
      <c r="B3601" t="s">
        <v>236</v>
      </c>
      <c r="C3601">
        <v>1566</v>
      </c>
      <c r="D3601" t="s">
        <v>1193</v>
      </c>
      <c r="E3601" t="s">
        <v>393</v>
      </c>
      <c r="F3601" t="s">
        <v>289</v>
      </c>
      <c r="G3601" t="s">
        <v>675</v>
      </c>
    </row>
    <row r="3602" spans="1:7" x14ac:dyDescent="0.3">
      <c r="A3602" t="s">
        <v>36</v>
      </c>
      <c r="B3602" t="s">
        <v>238</v>
      </c>
      <c r="C3602">
        <v>739</v>
      </c>
      <c r="D3602" t="s">
        <v>371</v>
      </c>
      <c r="E3602" t="s">
        <v>182</v>
      </c>
      <c r="F3602" t="s">
        <v>420</v>
      </c>
      <c r="G3602" t="s">
        <v>268</v>
      </c>
    </row>
    <row r="3603" spans="1:7" x14ac:dyDescent="0.3">
      <c r="A3603" t="s">
        <v>34</v>
      </c>
      <c r="B3603" t="s">
        <v>236</v>
      </c>
      <c r="C3603">
        <v>717</v>
      </c>
      <c r="D3603" t="s">
        <v>1065</v>
      </c>
      <c r="E3603" t="s">
        <v>672</v>
      </c>
      <c r="F3603" t="s">
        <v>70</v>
      </c>
      <c r="G3603" t="s">
        <v>716</v>
      </c>
    </row>
    <row r="3604" spans="1:7" x14ac:dyDescent="0.3">
      <c r="A3604" t="s">
        <v>34</v>
      </c>
      <c r="B3604" t="s">
        <v>238</v>
      </c>
      <c r="C3604">
        <v>1363</v>
      </c>
      <c r="D3604" t="s">
        <v>1453</v>
      </c>
      <c r="E3604" t="s">
        <v>716</v>
      </c>
      <c r="F3604" t="s">
        <v>675</v>
      </c>
      <c r="G3604" t="s">
        <v>118</v>
      </c>
    </row>
    <row r="3605" spans="1:7" x14ac:dyDescent="0.3">
      <c r="A3605" t="s">
        <v>33</v>
      </c>
      <c r="B3605" t="s">
        <v>236</v>
      </c>
      <c r="C3605">
        <v>1116</v>
      </c>
      <c r="D3605" t="s">
        <v>646</v>
      </c>
      <c r="E3605" t="s">
        <v>742</v>
      </c>
      <c r="F3605" t="s">
        <v>722</v>
      </c>
      <c r="G3605" t="s">
        <v>675</v>
      </c>
    </row>
    <row r="3606" spans="1:7" x14ac:dyDescent="0.3">
      <c r="A3606" t="s">
        <v>33</v>
      </c>
      <c r="B3606" t="s">
        <v>238</v>
      </c>
      <c r="C3606">
        <v>821</v>
      </c>
      <c r="D3606" t="s">
        <v>1132</v>
      </c>
      <c r="E3606" t="s">
        <v>708</v>
      </c>
      <c r="F3606" t="s">
        <v>679</v>
      </c>
      <c r="G3606" t="s">
        <v>107</v>
      </c>
    </row>
    <row r="3607" spans="1:7" x14ac:dyDescent="0.3">
      <c r="A3607" t="s">
        <v>49</v>
      </c>
      <c r="B3607" t="s">
        <v>236</v>
      </c>
      <c r="C3607">
        <v>7220</v>
      </c>
      <c r="D3607" t="s">
        <v>994</v>
      </c>
      <c r="E3607" t="s">
        <v>499</v>
      </c>
      <c r="F3607" t="s">
        <v>401</v>
      </c>
      <c r="G3607" t="s">
        <v>145</v>
      </c>
    </row>
    <row r="3608" spans="1:7" x14ac:dyDescent="0.3">
      <c r="A3608" t="s">
        <v>49</v>
      </c>
      <c r="B3608" t="s">
        <v>238</v>
      </c>
      <c r="C3608">
        <v>6102</v>
      </c>
      <c r="D3608" t="s">
        <v>1333</v>
      </c>
      <c r="E3608" t="s">
        <v>710</v>
      </c>
      <c r="F3608" t="s">
        <v>122</v>
      </c>
      <c r="G3608" t="s">
        <v>712</v>
      </c>
    </row>
    <row r="3610" spans="1:7" x14ac:dyDescent="0.3">
      <c r="A3610" t="s">
        <v>1454</v>
      </c>
    </row>
    <row r="3611" spans="1:7" x14ac:dyDescent="0.3">
      <c r="A3611" t="s">
        <v>44</v>
      </c>
      <c r="B3611" t="s">
        <v>361</v>
      </c>
      <c r="C3611" t="s">
        <v>32</v>
      </c>
      <c r="D3611" t="s">
        <v>1447</v>
      </c>
      <c r="E3611" t="s">
        <v>1448</v>
      </c>
      <c r="F3611" t="s">
        <v>1449</v>
      </c>
      <c r="G3611" t="s">
        <v>1450</v>
      </c>
    </row>
    <row r="3612" spans="1:7" x14ac:dyDescent="0.3">
      <c r="A3612" t="s">
        <v>35</v>
      </c>
      <c r="B3612" t="s">
        <v>339</v>
      </c>
      <c r="C3612">
        <v>890</v>
      </c>
      <c r="D3612" t="s">
        <v>910</v>
      </c>
      <c r="E3612" t="s">
        <v>724</v>
      </c>
      <c r="F3612" t="s">
        <v>113</v>
      </c>
      <c r="G3612" t="s">
        <v>405</v>
      </c>
    </row>
    <row r="3613" spans="1:7" x14ac:dyDescent="0.3">
      <c r="A3613" t="s">
        <v>35</v>
      </c>
      <c r="B3613" t="s">
        <v>340</v>
      </c>
      <c r="C3613">
        <v>2215</v>
      </c>
      <c r="D3613" t="s">
        <v>1333</v>
      </c>
      <c r="E3613" t="s">
        <v>722</v>
      </c>
      <c r="F3613" t="s">
        <v>142</v>
      </c>
      <c r="G3613" t="s">
        <v>139</v>
      </c>
    </row>
    <row r="3614" spans="1:7" x14ac:dyDescent="0.3">
      <c r="A3614" t="s">
        <v>35</v>
      </c>
      <c r="B3614" t="s">
        <v>365</v>
      </c>
      <c r="C3614">
        <v>40</v>
      </c>
      <c r="D3614" t="s">
        <v>433</v>
      </c>
      <c r="E3614" t="s">
        <v>147</v>
      </c>
      <c r="F3614" t="s">
        <v>101</v>
      </c>
      <c r="G3614" t="s">
        <v>99</v>
      </c>
    </row>
    <row r="3615" spans="1:7" x14ac:dyDescent="0.3">
      <c r="A3615" t="s">
        <v>37</v>
      </c>
      <c r="B3615" t="s">
        <v>339</v>
      </c>
      <c r="C3615">
        <v>1093</v>
      </c>
      <c r="D3615" t="s">
        <v>910</v>
      </c>
      <c r="E3615" t="s">
        <v>695</v>
      </c>
      <c r="F3615" t="s">
        <v>124</v>
      </c>
      <c r="G3615" t="s">
        <v>242</v>
      </c>
    </row>
    <row r="3616" spans="1:7" x14ac:dyDescent="0.3">
      <c r="A3616" t="s">
        <v>37</v>
      </c>
      <c r="B3616" t="s">
        <v>340</v>
      </c>
      <c r="C3616">
        <v>2721</v>
      </c>
      <c r="D3616" t="s">
        <v>472</v>
      </c>
      <c r="E3616" t="s">
        <v>175</v>
      </c>
      <c r="F3616" t="s">
        <v>124</v>
      </c>
      <c r="G3616" t="s">
        <v>118</v>
      </c>
    </row>
    <row r="3617" spans="1:7" x14ac:dyDescent="0.3">
      <c r="A3617" t="s">
        <v>37</v>
      </c>
      <c r="B3617" t="s">
        <v>365</v>
      </c>
      <c r="C3617">
        <v>41</v>
      </c>
      <c r="D3617" t="s">
        <v>217</v>
      </c>
      <c r="E3617" t="s">
        <v>679</v>
      </c>
      <c r="F3617" t="s">
        <v>103</v>
      </c>
      <c r="G3617" t="s">
        <v>128</v>
      </c>
    </row>
    <row r="3618" spans="1:7" x14ac:dyDescent="0.3">
      <c r="A3618" t="s">
        <v>36</v>
      </c>
      <c r="B3618" t="s">
        <v>339</v>
      </c>
      <c r="C3618">
        <v>770</v>
      </c>
      <c r="D3618" t="s">
        <v>1331</v>
      </c>
      <c r="E3618" t="s">
        <v>425</v>
      </c>
      <c r="F3618" t="s">
        <v>165</v>
      </c>
      <c r="G3618" t="s">
        <v>412</v>
      </c>
    </row>
    <row r="3619" spans="1:7" x14ac:dyDescent="0.3">
      <c r="A3619" t="s">
        <v>36</v>
      </c>
      <c r="B3619" t="s">
        <v>340</v>
      </c>
      <c r="C3619">
        <v>1472</v>
      </c>
      <c r="D3619" t="s">
        <v>1453</v>
      </c>
      <c r="E3619" t="s">
        <v>420</v>
      </c>
      <c r="F3619" t="s">
        <v>125</v>
      </c>
      <c r="G3619" t="s">
        <v>155</v>
      </c>
    </row>
    <row r="3620" spans="1:7" x14ac:dyDescent="0.3">
      <c r="A3620" t="s">
        <v>36</v>
      </c>
      <c r="B3620" t="s">
        <v>365</v>
      </c>
      <c r="C3620">
        <v>63</v>
      </c>
      <c r="D3620" t="s">
        <v>1124</v>
      </c>
      <c r="E3620" t="s">
        <v>268</v>
      </c>
      <c r="F3620" t="s">
        <v>406</v>
      </c>
      <c r="G3620" t="s">
        <v>461</v>
      </c>
    </row>
    <row r="3621" spans="1:7" x14ac:dyDescent="0.3">
      <c r="A3621" t="s">
        <v>34</v>
      </c>
      <c r="B3621" t="s">
        <v>339</v>
      </c>
      <c r="C3621">
        <v>555</v>
      </c>
      <c r="D3621" t="s">
        <v>1455</v>
      </c>
      <c r="E3621" t="s">
        <v>482</v>
      </c>
      <c r="F3621" t="s">
        <v>305</v>
      </c>
      <c r="G3621" t="s">
        <v>145</v>
      </c>
    </row>
    <row r="3622" spans="1:7" x14ac:dyDescent="0.3">
      <c r="A3622" t="s">
        <v>34</v>
      </c>
      <c r="B3622" t="s">
        <v>340</v>
      </c>
      <c r="C3622">
        <v>1497</v>
      </c>
      <c r="D3622" t="s">
        <v>500</v>
      </c>
      <c r="E3622" t="s">
        <v>470</v>
      </c>
      <c r="F3622" t="s">
        <v>325</v>
      </c>
      <c r="G3622" t="s">
        <v>328</v>
      </c>
    </row>
    <row r="3623" spans="1:7" x14ac:dyDescent="0.3">
      <c r="A3623" t="s">
        <v>34</v>
      </c>
      <c r="B3623" t="s">
        <v>365</v>
      </c>
      <c r="C3623">
        <v>28</v>
      </c>
      <c r="D3623" t="s">
        <v>1453</v>
      </c>
      <c r="E3623" t="s">
        <v>99</v>
      </c>
      <c r="F3623" t="s">
        <v>244</v>
      </c>
      <c r="G3623" t="s">
        <v>122</v>
      </c>
    </row>
    <row r="3624" spans="1:7" x14ac:dyDescent="0.3">
      <c r="A3624" t="s">
        <v>33</v>
      </c>
      <c r="B3624" t="s">
        <v>339</v>
      </c>
      <c r="C3624">
        <v>503</v>
      </c>
      <c r="D3624" t="s">
        <v>1258</v>
      </c>
      <c r="E3624" t="s">
        <v>56</v>
      </c>
      <c r="F3624" t="s">
        <v>158</v>
      </c>
      <c r="G3624" t="s">
        <v>124</v>
      </c>
    </row>
    <row r="3625" spans="1:7" x14ac:dyDescent="0.3">
      <c r="A3625" t="s">
        <v>33</v>
      </c>
      <c r="B3625" t="s">
        <v>340</v>
      </c>
      <c r="C3625">
        <v>1415</v>
      </c>
      <c r="D3625" t="s">
        <v>608</v>
      </c>
      <c r="E3625" t="s">
        <v>294</v>
      </c>
      <c r="F3625" t="s">
        <v>804</v>
      </c>
      <c r="G3625" t="s">
        <v>139</v>
      </c>
    </row>
    <row r="3626" spans="1:7" x14ac:dyDescent="0.3">
      <c r="A3626" t="s">
        <v>33</v>
      </c>
      <c r="B3626" t="s">
        <v>365</v>
      </c>
      <c r="C3626">
        <v>19</v>
      </c>
      <c r="D3626" t="s">
        <v>1282</v>
      </c>
      <c r="E3626" t="s">
        <v>99</v>
      </c>
      <c r="F3626" t="s">
        <v>313</v>
      </c>
      <c r="G3626" t="s">
        <v>99</v>
      </c>
    </row>
    <row r="3627" spans="1:7" x14ac:dyDescent="0.3">
      <c r="A3627" t="s">
        <v>49</v>
      </c>
      <c r="B3627" t="s">
        <v>339</v>
      </c>
      <c r="C3627">
        <v>3811</v>
      </c>
      <c r="D3627" t="s">
        <v>646</v>
      </c>
      <c r="E3627" t="s">
        <v>140</v>
      </c>
      <c r="F3627" t="s">
        <v>184</v>
      </c>
      <c r="G3627" t="s">
        <v>135</v>
      </c>
    </row>
    <row r="3628" spans="1:7" x14ac:dyDescent="0.3">
      <c r="A3628" t="s">
        <v>49</v>
      </c>
      <c r="B3628" t="s">
        <v>340</v>
      </c>
      <c r="C3628">
        <v>9320</v>
      </c>
      <c r="D3628" t="s">
        <v>472</v>
      </c>
      <c r="E3628" t="s">
        <v>315</v>
      </c>
      <c r="F3628" t="s">
        <v>78</v>
      </c>
      <c r="G3628" t="s">
        <v>112</v>
      </c>
    </row>
    <row r="3629" spans="1:7" x14ac:dyDescent="0.3">
      <c r="A3629" t="s">
        <v>49</v>
      </c>
      <c r="B3629" t="s">
        <v>365</v>
      </c>
      <c r="C3629">
        <v>191</v>
      </c>
      <c r="D3629" t="s">
        <v>885</v>
      </c>
      <c r="E3629" t="s">
        <v>147</v>
      </c>
      <c r="F3629" t="s">
        <v>401</v>
      </c>
      <c r="G3629" t="s">
        <v>134</v>
      </c>
    </row>
    <row r="3631" spans="1:7" x14ac:dyDescent="0.3">
      <c r="A3631" t="s">
        <v>1456</v>
      </c>
    </row>
    <row r="3632" spans="1:7" x14ac:dyDescent="0.3">
      <c r="A3632" t="s">
        <v>44</v>
      </c>
      <c r="B3632" t="s">
        <v>209</v>
      </c>
      <c r="C3632" t="s">
        <v>32</v>
      </c>
      <c r="D3632" t="s">
        <v>1447</v>
      </c>
      <c r="E3632" t="s">
        <v>1448</v>
      </c>
      <c r="F3632" t="s">
        <v>1449</v>
      </c>
      <c r="G3632" t="s">
        <v>1450</v>
      </c>
    </row>
    <row r="3633" spans="1:7" x14ac:dyDescent="0.3">
      <c r="A3633" t="s">
        <v>35</v>
      </c>
      <c r="B3633" t="s">
        <v>210</v>
      </c>
      <c r="C3633">
        <v>136</v>
      </c>
      <c r="D3633" t="s">
        <v>366</v>
      </c>
      <c r="E3633" t="s">
        <v>111</v>
      </c>
      <c r="F3633" t="s">
        <v>154</v>
      </c>
      <c r="G3633" t="s">
        <v>242</v>
      </c>
    </row>
    <row r="3634" spans="1:7" x14ac:dyDescent="0.3">
      <c r="A3634" t="s">
        <v>35</v>
      </c>
      <c r="B3634" t="s">
        <v>212</v>
      </c>
      <c r="C3634">
        <v>2442</v>
      </c>
      <c r="D3634" t="s">
        <v>1063</v>
      </c>
      <c r="E3634" t="s">
        <v>39</v>
      </c>
      <c r="F3634" t="s">
        <v>369</v>
      </c>
      <c r="G3634" t="s">
        <v>150</v>
      </c>
    </row>
    <row r="3635" spans="1:7" x14ac:dyDescent="0.3">
      <c r="A3635" t="s">
        <v>35</v>
      </c>
      <c r="B3635" t="s">
        <v>216</v>
      </c>
      <c r="C3635">
        <v>567</v>
      </c>
      <c r="D3635" t="s">
        <v>394</v>
      </c>
      <c r="E3635" t="s">
        <v>242</v>
      </c>
      <c r="F3635" t="s">
        <v>664</v>
      </c>
      <c r="G3635" t="s">
        <v>110</v>
      </c>
    </row>
    <row r="3636" spans="1:7" x14ac:dyDescent="0.3">
      <c r="A3636" t="s">
        <v>37</v>
      </c>
      <c r="B3636" t="s">
        <v>210</v>
      </c>
      <c r="C3636">
        <v>138</v>
      </c>
      <c r="D3636" t="s">
        <v>250</v>
      </c>
      <c r="E3636" t="s">
        <v>325</v>
      </c>
      <c r="F3636" t="s">
        <v>157</v>
      </c>
      <c r="G3636" t="s">
        <v>100</v>
      </c>
    </row>
    <row r="3637" spans="1:7" x14ac:dyDescent="0.3">
      <c r="A3637" t="s">
        <v>37</v>
      </c>
      <c r="B3637" t="s">
        <v>212</v>
      </c>
      <c r="C3637">
        <v>3606</v>
      </c>
      <c r="D3637" t="s">
        <v>223</v>
      </c>
      <c r="E3637" t="s">
        <v>683</v>
      </c>
      <c r="F3637" t="s">
        <v>124</v>
      </c>
      <c r="G3637" t="s">
        <v>712</v>
      </c>
    </row>
    <row r="3638" spans="1:7" x14ac:dyDescent="0.3">
      <c r="A3638" t="s">
        <v>37</v>
      </c>
      <c r="B3638" t="s">
        <v>216</v>
      </c>
      <c r="C3638">
        <v>111</v>
      </c>
      <c r="D3638" t="s">
        <v>180</v>
      </c>
      <c r="E3638" t="s">
        <v>154</v>
      </c>
      <c r="F3638" t="s">
        <v>675</v>
      </c>
      <c r="G3638" t="s">
        <v>215</v>
      </c>
    </row>
    <row r="3639" spans="1:7" x14ac:dyDescent="0.3">
      <c r="A3639" t="s">
        <v>36</v>
      </c>
      <c r="B3639" t="s">
        <v>210</v>
      </c>
      <c r="C3639">
        <v>165</v>
      </c>
      <c r="D3639" t="s">
        <v>1235</v>
      </c>
      <c r="E3639" t="s">
        <v>382</v>
      </c>
      <c r="F3639" t="s">
        <v>701</v>
      </c>
      <c r="G3639" t="s">
        <v>70</v>
      </c>
    </row>
    <row r="3640" spans="1:7" x14ac:dyDescent="0.3">
      <c r="A3640" t="s">
        <v>36</v>
      </c>
      <c r="B3640" t="s">
        <v>212</v>
      </c>
      <c r="C3640">
        <v>1875</v>
      </c>
      <c r="D3640" t="s">
        <v>1056</v>
      </c>
      <c r="E3640" t="s">
        <v>798</v>
      </c>
      <c r="F3640" t="s">
        <v>182</v>
      </c>
      <c r="G3640" t="s">
        <v>332</v>
      </c>
    </row>
    <row r="3641" spans="1:7" x14ac:dyDescent="0.3">
      <c r="A3641" t="s">
        <v>36</v>
      </c>
      <c r="B3641" t="s">
        <v>216</v>
      </c>
      <c r="C3641">
        <v>265</v>
      </c>
      <c r="D3641" t="s">
        <v>374</v>
      </c>
      <c r="E3641" t="s">
        <v>138</v>
      </c>
      <c r="F3641" t="s">
        <v>671</v>
      </c>
      <c r="G3641" t="s">
        <v>68</v>
      </c>
    </row>
    <row r="3642" spans="1:7" x14ac:dyDescent="0.3">
      <c r="A3642" t="s">
        <v>34</v>
      </c>
      <c r="B3642" t="s">
        <v>210</v>
      </c>
      <c r="C3642">
        <v>256</v>
      </c>
      <c r="D3642" t="s">
        <v>974</v>
      </c>
      <c r="E3642" t="s">
        <v>98</v>
      </c>
      <c r="F3642" t="s">
        <v>679</v>
      </c>
      <c r="G3642" t="s">
        <v>133</v>
      </c>
    </row>
    <row r="3643" spans="1:7" x14ac:dyDescent="0.3">
      <c r="A3643" t="s">
        <v>34</v>
      </c>
      <c r="B3643" t="s">
        <v>212</v>
      </c>
      <c r="C3643">
        <v>1582</v>
      </c>
      <c r="D3643" t="s">
        <v>1457</v>
      </c>
      <c r="E3643" t="s">
        <v>201</v>
      </c>
      <c r="F3643" t="s">
        <v>675</v>
      </c>
      <c r="G3643" t="s">
        <v>242</v>
      </c>
    </row>
    <row r="3644" spans="1:7" x14ac:dyDescent="0.3">
      <c r="A3644" t="s">
        <v>34</v>
      </c>
      <c r="B3644" t="s">
        <v>216</v>
      </c>
      <c r="C3644">
        <v>242</v>
      </c>
      <c r="D3644" t="s">
        <v>623</v>
      </c>
      <c r="E3644" t="s">
        <v>468</v>
      </c>
      <c r="F3644" t="s">
        <v>78</v>
      </c>
      <c r="G3644" t="s">
        <v>150</v>
      </c>
    </row>
    <row r="3645" spans="1:7" x14ac:dyDescent="0.3">
      <c r="A3645" t="s">
        <v>33</v>
      </c>
      <c r="B3645" t="s">
        <v>210</v>
      </c>
      <c r="C3645">
        <v>68</v>
      </c>
      <c r="D3645" t="s">
        <v>1364</v>
      </c>
      <c r="E3645" t="s">
        <v>150</v>
      </c>
      <c r="F3645" t="s">
        <v>305</v>
      </c>
      <c r="G3645" t="s">
        <v>363</v>
      </c>
    </row>
    <row r="3646" spans="1:7" x14ac:dyDescent="0.3">
      <c r="A3646" t="s">
        <v>33</v>
      </c>
      <c r="B3646" t="s">
        <v>212</v>
      </c>
      <c r="C3646">
        <v>1800</v>
      </c>
      <c r="D3646" t="s">
        <v>1327</v>
      </c>
      <c r="E3646" t="s">
        <v>370</v>
      </c>
      <c r="F3646" t="s">
        <v>420</v>
      </c>
      <c r="G3646" t="s">
        <v>149</v>
      </c>
    </row>
    <row r="3647" spans="1:7" x14ac:dyDescent="0.3">
      <c r="A3647" t="s">
        <v>33</v>
      </c>
      <c r="B3647" t="s">
        <v>216</v>
      </c>
      <c r="C3647">
        <v>69</v>
      </c>
      <c r="D3647" t="s">
        <v>464</v>
      </c>
      <c r="E3647" t="s">
        <v>110</v>
      </c>
      <c r="F3647" t="s">
        <v>182</v>
      </c>
      <c r="G3647" t="s">
        <v>128</v>
      </c>
    </row>
    <row r="3648" spans="1:7" x14ac:dyDescent="0.3">
      <c r="A3648" t="s">
        <v>49</v>
      </c>
      <c r="B3648" t="s">
        <v>210</v>
      </c>
      <c r="C3648">
        <v>763</v>
      </c>
      <c r="D3648" t="s">
        <v>761</v>
      </c>
      <c r="E3648" t="s">
        <v>474</v>
      </c>
      <c r="F3648" t="s">
        <v>160</v>
      </c>
      <c r="G3648" t="s">
        <v>135</v>
      </c>
    </row>
    <row r="3649" spans="1:7" x14ac:dyDescent="0.3">
      <c r="A3649" t="s">
        <v>49</v>
      </c>
      <c r="B3649" t="s">
        <v>212</v>
      </c>
      <c r="C3649">
        <v>11305</v>
      </c>
      <c r="D3649" t="s">
        <v>275</v>
      </c>
      <c r="E3649" t="s">
        <v>303</v>
      </c>
      <c r="F3649" t="s">
        <v>70</v>
      </c>
      <c r="G3649" t="s">
        <v>277</v>
      </c>
    </row>
    <row r="3650" spans="1:7" x14ac:dyDescent="0.3">
      <c r="A3650" t="s">
        <v>49</v>
      </c>
      <c r="B3650" t="s">
        <v>216</v>
      </c>
      <c r="C3650">
        <v>1254</v>
      </c>
      <c r="D3650" t="s">
        <v>1292</v>
      </c>
      <c r="E3650" t="s">
        <v>68</v>
      </c>
      <c r="F3650" t="s">
        <v>679</v>
      </c>
      <c r="G3650" t="s">
        <v>112</v>
      </c>
    </row>
    <row r="3652" spans="1:7" x14ac:dyDescent="0.3">
      <c r="A3652" t="s">
        <v>1458</v>
      </c>
    </row>
    <row r="3653" spans="1:7" x14ac:dyDescent="0.3">
      <c r="A3653" t="s">
        <v>44</v>
      </c>
      <c r="B3653" t="s">
        <v>879</v>
      </c>
      <c r="C3653" t="s">
        <v>32</v>
      </c>
      <c r="D3653" t="s">
        <v>1447</v>
      </c>
      <c r="E3653" t="s">
        <v>1448</v>
      </c>
      <c r="F3653" t="s">
        <v>1449</v>
      </c>
      <c r="G3653" t="s">
        <v>1450</v>
      </c>
    </row>
    <row r="3654" spans="1:7" x14ac:dyDescent="0.3">
      <c r="A3654" t="s">
        <v>35</v>
      </c>
      <c r="B3654" t="s">
        <v>880</v>
      </c>
      <c r="C3654">
        <v>596</v>
      </c>
      <c r="D3654" t="s">
        <v>426</v>
      </c>
      <c r="E3654" t="s">
        <v>316</v>
      </c>
      <c r="F3654" t="s">
        <v>449</v>
      </c>
      <c r="G3654" t="s">
        <v>328</v>
      </c>
    </row>
    <row r="3655" spans="1:7" x14ac:dyDescent="0.3">
      <c r="A3655" t="s">
        <v>35</v>
      </c>
      <c r="B3655" t="s">
        <v>881</v>
      </c>
      <c r="C3655">
        <v>1162</v>
      </c>
      <c r="D3655" t="s">
        <v>578</v>
      </c>
      <c r="E3655" t="s">
        <v>1098</v>
      </c>
      <c r="F3655" t="s">
        <v>251</v>
      </c>
      <c r="G3655" t="s">
        <v>420</v>
      </c>
    </row>
    <row r="3656" spans="1:7" x14ac:dyDescent="0.3">
      <c r="A3656" t="s">
        <v>35</v>
      </c>
      <c r="B3656" t="s">
        <v>882</v>
      </c>
      <c r="C3656">
        <v>1387</v>
      </c>
      <c r="D3656" t="s">
        <v>1010</v>
      </c>
      <c r="E3656" t="s">
        <v>111</v>
      </c>
      <c r="F3656" t="s">
        <v>109</v>
      </c>
      <c r="G3656" t="s">
        <v>139</v>
      </c>
    </row>
    <row r="3657" spans="1:7" x14ac:dyDescent="0.3">
      <c r="A3657" t="s">
        <v>37</v>
      </c>
      <c r="B3657" t="s">
        <v>880</v>
      </c>
      <c r="C3657">
        <v>671</v>
      </c>
      <c r="D3657" t="s">
        <v>176</v>
      </c>
      <c r="E3657" t="s">
        <v>325</v>
      </c>
      <c r="F3657" t="s">
        <v>468</v>
      </c>
      <c r="G3657" t="s">
        <v>120</v>
      </c>
    </row>
    <row r="3658" spans="1:7" x14ac:dyDescent="0.3">
      <c r="A3658" t="s">
        <v>37</v>
      </c>
      <c r="B3658" t="s">
        <v>881</v>
      </c>
      <c r="C3658">
        <v>1371</v>
      </c>
      <c r="D3658" t="s">
        <v>506</v>
      </c>
      <c r="E3658" t="s">
        <v>826</v>
      </c>
      <c r="F3658" t="s">
        <v>277</v>
      </c>
      <c r="G3658" t="s">
        <v>122</v>
      </c>
    </row>
    <row r="3659" spans="1:7" x14ac:dyDescent="0.3">
      <c r="A3659" t="s">
        <v>37</v>
      </c>
      <c r="B3659" t="s">
        <v>882</v>
      </c>
      <c r="C3659">
        <v>1813</v>
      </c>
      <c r="D3659" t="s">
        <v>312</v>
      </c>
      <c r="E3659" t="s">
        <v>112</v>
      </c>
      <c r="F3659" t="s">
        <v>468</v>
      </c>
      <c r="G3659" t="s">
        <v>111</v>
      </c>
    </row>
    <row r="3660" spans="1:7" x14ac:dyDescent="0.3">
      <c r="A3660" t="s">
        <v>36</v>
      </c>
      <c r="B3660" t="s">
        <v>880</v>
      </c>
      <c r="C3660">
        <v>382</v>
      </c>
      <c r="D3660" t="s">
        <v>424</v>
      </c>
      <c r="E3660" t="s">
        <v>144</v>
      </c>
      <c r="F3660" t="s">
        <v>175</v>
      </c>
      <c r="G3660" t="s">
        <v>128</v>
      </c>
    </row>
    <row r="3661" spans="1:7" x14ac:dyDescent="0.3">
      <c r="A3661" t="s">
        <v>36</v>
      </c>
      <c r="B3661" t="s">
        <v>881</v>
      </c>
      <c r="C3661">
        <v>866</v>
      </c>
      <c r="D3661" t="s">
        <v>539</v>
      </c>
      <c r="E3661" t="s">
        <v>349</v>
      </c>
      <c r="F3661" t="s">
        <v>41</v>
      </c>
      <c r="G3661" t="s">
        <v>158</v>
      </c>
    </row>
    <row r="3662" spans="1:7" x14ac:dyDescent="0.3">
      <c r="A3662" t="s">
        <v>36</v>
      </c>
      <c r="B3662" t="s">
        <v>882</v>
      </c>
      <c r="C3662">
        <v>1057</v>
      </c>
      <c r="D3662" t="s">
        <v>537</v>
      </c>
      <c r="E3662" t="s">
        <v>134</v>
      </c>
      <c r="F3662" t="s">
        <v>363</v>
      </c>
      <c r="G3662" t="s">
        <v>129</v>
      </c>
    </row>
    <row r="3663" spans="1:7" x14ac:dyDescent="0.3">
      <c r="A3663" t="s">
        <v>34</v>
      </c>
      <c r="B3663" t="s">
        <v>880</v>
      </c>
      <c r="C3663">
        <v>351</v>
      </c>
      <c r="D3663" t="s">
        <v>263</v>
      </c>
      <c r="E3663" t="s">
        <v>149</v>
      </c>
      <c r="F3663" t="s">
        <v>468</v>
      </c>
      <c r="G3663" t="s">
        <v>129</v>
      </c>
    </row>
    <row r="3664" spans="1:7" x14ac:dyDescent="0.3">
      <c r="A3664" t="s">
        <v>34</v>
      </c>
      <c r="B3664" t="s">
        <v>881</v>
      </c>
      <c r="C3664">
        <v>861</v>
      </c>
      <c r="D3664" t="s">
        <v>279</v>
      </c>
      <c r="E3664" t="s">
        <v>868</v>
      </c>
      <c r="F3664" t="s">
        <v>328</v>
      </c>
      <c r="G3664" t="s">
        <v>152</v>
      </c>
    </row>
    <row r="3665" spans="1:7" x14ac:dyDescent="0.3">
      <c r="A3665" t="s">
        <v>34</v>
      </c>
      <c r="B3665" t="s">
        <v>882</v>
      </c>
      <c r="C3665">
        <v>868</v>
      </c>
      <c r="D3665" t="s">
        <v>1292</v>
      </c>
      <c r="E3665" t="s">
        <v>120</v>
      </c>
      <c r="F3665" t="s">
        <v>113</v>
      </c>
      <c r="G3665" t="s">
        <v>325</v>
      </c>
    </row>
    <row r="3666" spans="1:7" x14ac:dyDescent="0.3">
      <c r="A3666" t="s">
        <v>33</v>
      </c>
      <c r="B3666" t="s">
        <v>880</v>
      </c>
      <c r="C3666">
        <v>426</v>
      </c>
      <c r="D3666" t="s">
        <v>547</v>
      </c>
      <c r="E3666" t="s">
        <v>68</v>
      </c>
      <c r="F3666" t="s">
        <v>171</v>
      </c>
      <c r="G3666" t="s">
        <v>105</v>
      </c>
    </row>
    <row r="3667" spans="1:7" x14ac:dyDescent="0.3">
      <c r="A3667" t="s">
        <v>33</v>
      </c>
      <c r="B3667" t="s">
        <v>881</v>
      </c>
      <c r="C3667">
        <v>682</v>
      </c>
      <c r="D3667" t="s">
        <v>797</v>
      </c>
      <c r="E3667" t="s">
        <v>947</v>
      </c>
      <c r="F3667" t="s">
        <v>122</v>
      </c>
      <c r="G3667" t="s">
        <v>296</v>
      </c>
    </row>
    <row r="3668" spans="1:7" x14ac:dyDescent="0.3">
      <c r="A3668" t="s">
        <v>33</v>
      </c>
      <c r="B3668" t="s">
        <v>882</v>
      </c>
      <c r="C3668">
        <v>829</v>
      </c>
      <c r="D3668" t="s">
        <v>858</v>
      </c>
      <c r="E3668" t="s">
        <v>268</v>
      </c>
      <c r="F3668" t="s">
        <v>420</v>
      </c>
      <c r="G3668" t="s">
        <v>117</v>
      </c>
    </row>
    <row r="3669" spans="1:7" x14ac:dyDescent="0.3">
      <c r="A3669" t="s">
        <v>49</v>
      </c>
      <c r="B3669" t="s">
        <v>880</v>
      </c>
      <c r="C3669">
        <v>2426</v>
      </c>
      <c r="D3669" t="s">
        <v>870</v>
      </c>
      <c r="E3669" t="s">
        <v>474</v>
      </c>
      <c r="F3669" t="s">
        <v>133</v>
      </c>
      <c r="G3669" t="s">
        <v>129</v>
      </c>
    </row>
    <row r="3670" spans="1:7" x14ac:dyDescent="0.3">
      <c r="A3670" t="s">
        <v>49</v>
      </c>
      <c r="B3670" t="s">
        <v>881</v>
      </c>
      <c r="C3670">
        <v>4942</v>
      </c>
      <c r="D3670" t="s">
        <v>227</v>
      </c>
      <c r="E3670" t="s">
        <v>862</v>
      </c>
      <c r="F3670" t="s">
        <v>664</v>
      </c>
      <c r="G3670" t="s">
        <v>70</v>
      </c>
    </row>
    <row r="3671" spans="1:7" x14ac:dyDescent="0.3">
      <c r="A3671" t="s">
        <v>49</v>
      </c>
      <c r="B3671" t="s">
        <v>882</v>
      </c>
      <c r="C3671">
        <v>5954</v>
      </c>
      <c r="D3671" t="s">
        <v>314</v>
      </c>
      <c r="E3671" t="s">
        <v>157</v>
      </c>
      <c r="F3671" t="s">
        <v>160</v>
      </c>
      <c r="G3671" t="s">
        <v>134</v>
      </c>
    </row>
    <row r="3673" spans="1:7" x14ac:dyDescent="0.3">
      <c r="A3673" t="s">
        <v>1459</v>
      </c>
    </row>
    <row r="3674" spans="1:7" x14ac:dyDescent="0.3">
      <c r="A3674" t="s">
        <v>44</v>
      </c>
      <c r="B3674" t="s">
        <v>388</v>
      </c>
      <c r="C3674" t="s">
        <v>32</v>
      </c>
      <c r="D3674" t="s">
        <v>1447</v>
      </c>
      <c r="E3674" t="s">
        <v>1448</v>
      </c>
      <c r="F3674" t="s">
        <v>1449</v>
      </c>
      <c r="G3674" t="s">
        <v>1450</v>
      </c>
    </row>
    <row r="3675" spans="1:7" x14ac:dyDescent="0.3">
      <c r="A3675" t="s">
        <v>35</v>
      </c>
      <c r="B3675" t="s">
        <v>389</v>
      </c>
      <c r="C3675">
        <v>2141</v>
      </c>
      <c r="D3675" t="s">
        <v>569</v>
      </c>
      <c r="E3675" t="s">
        <v>798</v>
      </c>
      <c r="F3675" t="s">
        <v>72</v>
      </c>
      <c r="G3675" t="s">
        <v>325</v>
      </c>
    </row>
    <row r="3676" spans="1:7" x14ac:dyDescent="0.3">
      <c r="A3676" t="s">
        <v>35</v>
      </c>
      <c r="B3676" t="s">
        <v>390</v>
      </c>
      <c r="C3676">
        <v>875</v>
      </c>
      <c r="D3676" t="s">
        <v>575</v>
      </c>
      <c r="E3676" t="s">
        <v>685</v>
      </c>
      <c r="F3676" t="s">
        <v>716</v>
      </c>
      <c r="G3676" t="s">
        <v>122</v>
      </c>
    </row>
    <row r="3677" spans="1:7" x14ac:dyDescent="0.3">
      <c r="A3677" t="s">
        <v>35</v>
      </c>
      <c r="B3677" t="s">
        <v>365</v>
      </c>
      <c r="C3677">
        <v>129</v>
      </c>
      <c r="D3677" t="s">
        <v>380</v>
      </c>
      <c r="E3677" t="s">
        <v>138</v>
      </c>
      <c r="F3677" t="s">
        <v>204</v>
      </c>
      <c r="G3677" t="s">
        <v>128</v>
      </c>
    </row>
    <row r="3678" spans="1:7" x14ac:dyDescent="0.3">
      <c r="A3678" t="s">
        <v>37</v>
      </c>
      <c r="B3678" t="s">
        <v>389</v>
      </c>
      <c r="C3678">
        <v>2305</v>
      </c>
      <c r="D3678" t="s">
        <v>586</v>
      </c>
      <c r="E3678" t="s">
        <v>748</v>
      </c>
      <c r="F3678" t="s">
        <v>158</v>
      </c>
      <c r="G3678" t="s">
        <v>134</v>
      </c>
    </row>
    <row r="3679" spans="1:7" x14ac:dyDescent="0.3">
      <c r="A3679" t="s">
        <v>37</v>
      </c>
      <c r="B3679" t="s">
        <v>390</v>
      </c>
      <c r="C3679">
        <v>1309</v>
      </c>
      <c r="D3679" t="s">
        <v>1363</v>
      </c>
      <c r="E3679" t="s">
        <v>442</v>
      </c>
      <c r="F3679" t="s">
        <v>328</v>
      </c>
      <c r="G3679" t="s">
        <v>684</v>
      </c>
    </row>
    <row r="3680" spans="1:7" x14ac:dyDescent="0.3">
      <c r="A3680" t="s">
        <v>37</v>
      </c>
      <c r="B3680" t="s">
        <v>365</v>
      </c>
      <c r="C3680">
        <v>241</v>
      </c>
      <c r="D3680" t="s">
        <v>430</v>
      </c>
      <c r="E3680" t="s">
        <v>675</v>
      </c>
      <c r="F3680" t="s">
        <v>684</v>
      </c>
      <c r="G3680" t="s">
        <v>111</v>
      </c>
    </row>
    <row r="3681" spans="1:10" x14ac:dyDescent="0.3">
      <c r="A3681" t="s">
        <v>36</v>
      </c>
      <c r="B3681" t="s">
        <v>389</v>
      </c>
      <c r="C3681">
        <v>1578</v>
      </c>
      <c r="D3681" t="s">
        <v>1047</v>
      </c>
      <c r="E3681" t="s">
        <v>708</v>
      </c>
      <c r="F3681" t="s">
        <v>165</v>
      </c>
      <c r="G3681" t="s">
        <v>112</v>
      </c>
    </row>
    <row r="3682" spans="1:10" x14ac:dyDescent="0.3">
      <c r="A3682" t="s">
        <v>36</v>
      </c>
      <c r="B3682" t="s">
        <v>390</v>
      </c>
      <c r="C3682">
        <v>627</v>
      </c>
      <c r="D3682" t="s">
        <v>1060</v>
      </c>
      <c r="E3682" t="s">
        <v>218</v>
      </c>
      <c r="F3682" t="s">
        <v>679</v>
      </c>
      <c r="G3682" t="s">
        <v>134</v>
      </c>
    </row>
    <row r="3683" spans="1:10" x14ac:dyDescent="0.3">
      <c r="A3683" t="s">
        <v>36</v>
      </c>
      <c r="B3683" t="s">
        <v>365</v>
      </c>
      <c r="C3683">
        <v>100</v>
      </c>
      <c r="D3683" t="s">
        <v>221</v>
      </c>
      <c r="E3683" t="s">
        <v>107</v>
      </c>
      <c r="F3683" t="s">
        <v>401</v>
      </c>
      <c r="G3683" t="s">
        <v>382</v>
      </c>
    </row>
    <row r="3684" spans="1:10" x14ac:dyDescent="0.3">
      <c r="A3684" t="s">
        <v>34</v>
      </c>
      <c r="B3684" t="s">
        <v>389</v>
      </c>
      <c r="C3684">
        <v>1385</v>
      </c>
      <c r="D3684" t="s">
        <v>1174</v>
      </c>
      <c r="E3684" t="s">
        <v>222</v>
      </c>
      <c r="F3684" t="s">
        <v>152</v>
      </c>
      <c r="G3684" t="s">
        <v>144</v>
      </c>
    </row>
    <row r="3685" spans="1:10" x14ac:dyDescent="0.3">
      <c r="A3685" t="s">
        <v>34</v>
      </c>
      <c r="B3685" t="s">
        <v>390</v>
      </c>
      <c r="C3685">
        <v>615</v>
      </c>
      <c r="D3685" t="s">
        <v>1186</v>
      </c>
      <c r="E3685" t="s">
        <v>233</v>
      </c>
      <c r="F3685" t="s">
        <v>109</v>
      </c>
      <c r="G3685" t="s">
        <v>98</v>
      </c>
    </row>
    <row r="3686" spans="1:10" x14ac:dyDescent="0.3">
      <c r="A3686" t="s">
        <v>34</v>
      </c>
      <c r="B3686" t="s">
        <v>365</v>
      </c>
      <c r="C3686">
        <v>80</v>
      </c>
      <c r="D3686" t="s">
        <v>761</v>
      </c>
      <c r="E3686" t="s">
        <v>468</v>
      </c>
      <c r="F3686" t="s">
        <v>468</v>
      </c>
      <c r="G3686" t="s">
        <v>152</v>
      </c>
    </row>
    <row r="3687" spans="1:10" x14ac:dyDescent="0.3">
      <c r="A3687" t="s">
        <v>33</v>
      </c>
      <c r="B3687" t="s">
        <v>389</v>
      </c>
      <c r="C3687">
        <v>1090</v>
      </c>
      <c r="D3687" t="s">
        <v>1192</v>
      </c>
      <c r="E3687" t="s">
        <v>370</v>
      </c>
      <c r="F3687" t="s">
        <v>142</v>
      </c>
      <c r="G3687" t="s">
        <v>124</v>
      </c>
    </row>
    <row r="3688" spans="1:10" x14ac:dyDescent="0.3">
      <c r="A3688" t="s">
        <v>33</v>
      </c>
      <c r="B3688" t="s">
        <v>390</v>
      </c>
      <c r="C3688">
        <v>708</v>
      </c>
      <c r="D3688" t="s">
        <v>455</v>
      </c>
      <c r="E3688" t="s">
        <v>990</v>
      </c>
      <c r="F3688" t="s">
        <v>363</v>
      </c>
      <c r="G3688" t="s">
        <v>112</v>
      </c>
    </row>
    <row r="3689" spans="1:10" x14ac:dyDescent="0.3">
      <c r="A3689" t="s">
        <v>33</v>
      </c>
      <c r="B3689" t="s">
        <v>365</v>
      </c>
      <c r="C3689">
        <v>139</v>
      </c>
      <c r="D3689" t="s">
        <v>784</v>
      </c>
      <c r="E3689" t="s">
        <v>267</v>
      </c>
      <c r="F3689" t="s">
        <v>268</v>
      </c>
      <c r="G3689" t="s">
        <v>132</v>
      </c>
    </row>
    <row r="3690" spans="1:10" x14ac:dyDescent="0.3">
      <c r="A3690" t="s">
        <v>49</v>
      </c>
      <c r="B3690" t="s">
        <v>389</v>
      </c>
      <c r="C3690">
        <v>8499</v>
      </c>
      <c r="D3690" t="s">
        <v>569</v>
      </c>
      <c r="E3690" t="s">
        <v>167</v>
      </c>
      <c r="F3690" t="s">
        <v>248</v>
      </c>
      <c r="G3690" t="s">
        <v>277</v>
      </c>
    </row>
    <row r="3691" spans="1:10" x14ac:dyDescent="0.3">
      <c r="A3691" t="s">
        <v>49</v>
      </c>
      <c r="B3691" t="s">
        <v>390</v>
      </c>
      <c r="C3691">
        <v>4134</v>
      </c>
      <c r="D3691" t="s">
        <v>569</v>
      </c>
      <c r="E3691" t="s">
        <v>406</v>
      </c>
      <c r="F3691" t="s">
        <v>78</v>
      </c>
      <c r="G3691" t="s">
        <v>124</v>
      </c>
    </row>
    <row r="3692" spans="1:10" x14ac:dyDescent="0.3">
      <c r="A3692" t="s">
        <v>49</v>
      </c>
      <c r="B3692" t="s">
        <v>365</v>
      </c>
      <c r="C3692">
        <v>689</v>
      </c>
      <c r="D3692" t="s">
        <v>200</v>
      </c>
      <c r="E3692" t="s">
        <v>135</v>
      </c>
      <c r="F3692" t="s">
        <v>684</v>
      </c>
      <c r="G3692" t="s">
        <v>128</v>
      </c>
    </row>
    <row r="3694" spans="1:10" x14ac:dyDescent="0.3">
      <c r="A3694" t="s">
        <v>1460</v>
      </c>
    </row>
    <row r="3695" spans="1:10" x14ac:dyDescent="0.3">
      <c r="A3695" t="s">
        <v>44</v>
      </c>
      <c r="B3695" t="s">
        <v>32</v>
      </c>
      <c r="C3695" t="s">
        <v>1461</v>
      </c>
      <c r="D3695" t="s">
        <v>1462</v>
      </c>
      <c r="E3695" t="s">
        <v>1463</v>
      </c>
      <c r="F3695" t="s">
        <v>1464</v>
      </c>
      <c r="G3695" t="s">
        <v>1465</v>
      </c>
      <c r="H3695" t="s">
        <v>1466</v>
      </c>
      <c r="I3695" t="s">
        <v>1467</v>
      </c>
      <c r="J3695" t="s">
        <v>979</v>
      </c>
    </row>
    <row r="3696" spans="1:10" x14ac:dyDescent="0.3">
      <c r="A3696" t="s">
        <v>35</v>
      </c>
      <c r="B3696">
        <v>3145</v>
      </c>
      <c r="C3696" t="s">
        <v>1171</v>
      </c>
      <c r="D3696" t="s">
        <v>953</v>
      </c>
      <c r="E3696" t="s">
        <v>186</v>
      </c>
      <c r="F3696" t="s">
        <v>207</v>
      </c>
      <c r="G3696" t="s">
        <v>198</v>
      </c>
      <c r="H3696" t="s">
        <v>126</v>
      </c>
      <c r="I3696" t="s">
        <v>231</v>
      </c>
      <c r="J3696" t="s">
        <v>99</v>
      </c>
    </row>
    <row r="3697" spans="1:11" x14ac:dyDescent="0.3">
      <c r="A3697" t="s">
        <v>37</v>
      </c>
      <c r="B3697">
        <v>3855</v>
      </c>
      <c r="C3697" t="s">
        <v>770</v>
      </c>
      <c r="D3697" t="s">
        <v>1069</v>
      </c>
      <c r="E3697" t="s">
        <v>231</v>
      </c>
      <c r="F3697" t="s">
        <v>207</v>
      </c>
      <c r="G3697" t="s">
        <v>141</v>
      </c>
      <c r="H3697" t="s">
        <v>675</v>
      </c>
      <c r="I3697" t="s">
        <v>499</v>
      </c>
      <c r="J3697" t="s">
        <v>99</v>
      </c>
    </row>
    <row r="3698" spans="1:11" x14ac:dyDescent="0.3">
      <c r="A3698" t="s">
        <v>36</v>
      </c>
      <c r="B3698">
        <v>2304</v>
      </c>
      <c r="C3698" t="s">
        <v>1064</v>
      </c>
      <c r="D3698" t="s">
        <v>484</v>
      </c>
      <c r="E3698" t="s">
        <v>74</v>
      </c>
      <c r="F3698" t="s">
        <v>99</v>
      </c>
      <c r="G3698" t="s">
        <v>207</v>
      </c>
      <c r="H3698" t="s">
        <v>215</v>
      </c>
      <c r="I3698" t="s">
        <v>179</v>
      </c>
      <c r="J3698" t="s">
        <v>99</v>
      </c>
    </row>
    <row r="3699" spans="1:11" x14ac:dyDescent="0.3">
      <c r="A3699" t="s">
        <v>34</v>
      </c>
      <c r="B3699">
        <v>2079</v>
      </c>
      <c r="C3699" t="s">
        <v>223</v>
      </c>
      <c r="D3699" t="s">
        <v>1001</v>
      </c>
      <c r="E3699" t="s">
        <v>296</v>
      </c>
      <c r="F3699" t="s">
        <v>104</v>
      </c>
      <c r="G3699" t="s">
        <v>104</v>
      </c>
      <c r="H3699" t="s">
        <v>107</v>
      </c>
      <c r="I3699" t="s">
        <v>291</v>
      </c>
      <c r="J3699" t="s">
        <v>104</v>
      </c>
    </row>
    <row r="3700" spans="1:11" x14ac:dyDescent="0.3">
      <c r="A3700" t="s">
        <v>33</v>
      </c>
      <c r="B3700">
        <v>1936</v>
      </c>
      <c r="C3700" t="s">
        <v>608</v>
      </c>
      <c r="D3700" t="s">
        <v>601</v>
      </c>
      <c r="E3700" t="s">
        <v>318</v>
      </c>
      <c r="F3700" t="s">
        <v>99</v>
      </c>
      <c r="G3700" t="s">
        <v>104</v>
      </c>
      <c r="H3700" t="s">
        <v>111</v>
      </c>
      <c r="I3700" t="s">
        <v>303</v>
      </c>
      <c r="J3700" t="s">
        <v>99</v>
      </c>
    </row>
    <row r="3701" spans="1:11" x14ac:dyDescent="0.3">
      <c r="A3701" t="s">
        <v>49</v>
      </c>
      <c r="B3701">
        <v>13319</v>
      </c>
      <c r="C3701" t="s">
        <v>1056</v>
      </c>
      <c r="D3701" t="s">
        <v>601</v>
      </c>
      <c r="E3701" t="s">
        <v>731</v>
      </c>
      <c r="F3701" t="s">
        <v>198</v>
      </c>
      <c r="G3701" t="s">
        <v>207</v>
      </c>
      <c r="H3701" t="s">
        <v>138</v>
      </c>
      <c r="I3701" t="s">
        <v>444</v>
      </c>
      <c r="J3701" t="s">
        <v>99</v>
      </c>
    </row>
    <row r="3703" spans="1:11" x14ac:dyDescent="0.3">
      <c r="A3703" t="s">
        <v>1468</v>
      </c>
    </row>
    <row r="3704" spans="1:11" x14ac:dyDescent="0.3">
      <c r="A3704" t="s">
        <v>44</v>
      </c>
      <c r="B3704" t="s">
        <v>235</v>
      </c>
      <c r="C3704" t="s">
        <v>32</v>
      </c>
      <c r="D3704" t="s">
        <v>1461</v>
      </c>
      <c r="E3704" t="s">
        <v>1462</v>
      </c>
      <c r="F3704" t="s">
        <v>1463</v>
      </c>
      <c r="G3704" t="s">
        <v>1464</v>
      </c>
      <c r="H3704" t="s">
        <v>1465</v>
      </c>
      <c r="I3704" t="s">
        <v>1466</v>
      </c>
      <c r="J3704" t="s">
        <v>1467</v>
      </c>
      <c r="K3704" t="s">
        <v>979</v>
      </c>
    </row>
    <row r="3705" spans="1:11" x14ac:dyDescent="0.3">
      <c r="A3705" t="s">
        <v>35</v>
      </c>
      <c r="B3705" t="s">
        <v>236</v>
      </c>
      <c r="C3705">
        <v>1610</v>
      </c>
      <c r="D3705" t="s">
        <v>1370</v>
      </c>
      <c r="E3705" t="s">
        <v>507</v>
      </c>
      <c r="F3705" t="s">
        <v>206</v>
      </c>
      <c r="G3705" t="s">
        <v>132</v>
      </c>
      <c r="H3705" t="s">
        <v>253</v>
      </c>
      <c r="I3705" t="s">
        <v>268</v>
      </c>
      <c r="J3705" t="s">
        <v>395</v>
      </c>
      <c r="K3705" t="s">
        <v>99</v>
      </c>
    </row>
    <row r="3706" spans="1:11" x14ac:dyDescent="0.3">
      <c r="A3706" t="s">
        <v>35</v>
      </c>
      <c r="B3706" t="s">
        <v>238</v>
      </c>
      <c r="C3706">
        <v>1535</v>
      </c>
      <c r="D3706" t="s">
        <v>1064</v>
      </c>
      <c r="E3706" t="s">
        <v>1169</v>
      </c>
      <c r="F3706" t="s">
        <v>177</v>
      </c>
      <c r="G3706" t="s">
        <v>104</v>
      </c>
      <c r="H3706" t="s">
        <v>104</v>
      </c>
      <c r="I3706" t="s">
        <v>121</v>
      </c>
      <c r="J3706" t="s">
        <v>672</v>
      </c>
      <c r="K3706" t="s">
        <v>104</v>
      </c>
    </row>
    <row r="3707" spans="1:11" x14ac:dyDescent="0.3">
      <c r="A3707" t="s">
        <v>37</v>
      </c>
      <c r="B3707" t="s">
        <v>236</v>
      </c>
      <c r="C3707">
        <v>2211</v>
      </c>
      <c r="D3707" t="s">
        <v>1227</v>
      </c>
      <c r="E3707" t="s">
        <v>583</v>
      </c>
      <c r="F3707" t="s">
        <v>233</v>
      </c>
      <c r="G3707" t="s">
        <v>198</v>
      </c>
      <c r="H3707" t="s">
        <v>104</v>
      </c>
      <c r="I3707" t="s">
        <v>242</v>
      </c>
      <c r="J3707" t="s">
        <v>54</v>
      </c>
      <c r="K3707" t="s">
        <v>99</v>
      </c>
    </row>
    <row r="3708" spans="1:11" x14ac:dyDescent="0.3">
      <c r="A3708" t="s">
        <v>37</v>
      </c>
      <c r="B3708" t="s">
        <v>238</v>
      </c>
      <c r="C3708">
        <v>1644</v>
      </c>
      <c r="D3708" t="s">
        <v>1407</v>
      </c>
      <c r="E3708" t="s">
        <v>627</v>
      </c>
      <c r="F3708" t="s">
        <v>683</v>
      </c>
      <c r="G3708" t="s">
        <v>136</v>
      </c>
      <c r="H3708" t="s">
        <v>108</v>
      </c>
      <c r="I3708" t="s">
        <v>72</v>
      </c>
      <c r="J3708" t="s">
        <v>814</v>
      </c>
      <c r="K3708" t="s">
        <v>99</v>
      </c>
    </row>
    <row r="3709" spans="1:11" x14ac:dyDescent="0.3">
      <c r="A3709" t="s">
        <v>36</v>
      </c>
      <c r="B3709" t="s">
        <v>236</v>
      </c>
      <c r="C3709">
        <v>1566</v>
      </c>
      <c r="D3709" t="s">
        <v>1469</v>
      </c>
      <c r="E3709" t="s">
        <v>1127</v>
      </c>
      <c r="F3709" t="s">
        <v>157</v>
      </c>
      <c r="G3709" t="s">
        <v>99</v>
      </c>
      <c r="H3709" t="s">
        <v>99</v>
      </c>
      <c r="I3709" t="s">
        <v>207</v>
      </c>
      <c r="J3709" t="s">
        <v>372</v>
      </c>
      <c r="K3709" t="s">
        <v>99</v>
      </c>
    </row>
    <row r="3710" spans="1:11" x14ac:dyDescent="0.3">
      <c r="A3710" t="s">
        <v>36</v>
      </c>
      <c r="B3710" t="s">
        <v>238</v>
      </c>
      <c r="C3710">
        <v>738</v>
      </c>
      <c r="D3710" t="s">
        <v>524</v>
      </c>
      <c r="E3710" t="s">
        <v>775</v>
      </c>
      <c r="F3710" t="s">
        <v>305</v>
      </c>
      <c r="G3710" t="s">
        <v>99</v>
      </c>
      <c r="H3710" t="s">
        <v>136</v>
      </c>
      <c r="I3710" t="s">
        <v>120</v>
      </c>
      <c r="J3710" t="s">
        <v>671</v>
      </c>
      <c r="K3710" t="s">
        <v>99</v>
      </c>
    </row>
    <row r="3711" spans="1:11" x14ac:dyDescent="0.3">
      <c r="A3711" t="s">
        <v>34</v>
      </c>
      <c r="B3711" t="s">
        <v>236</v>
      </c>
      <c r="C3711">
        <v>716</v>
      </c>
      <c r="D3711" t="s">
        <v>1180</v>
      </c>
      <c r="E3711" t="s">
        <v>618</v>
      </c>
      <c r="F3711" t="s">
        <v>98</v>
      </c>
      <c r="G3711" t="s">
        <v>104</v>
      </c>
      <c r="H3711" t="s">
        <v>99</v>
      </c>
      <c r="I3711" t="s">
        <v>114</v>
      </c>
      <c r="J3711" t="s">
        <v>267</v>
      </c>
      <c r="K3711" t="s">
        <v>136</v>
      </c>
    </row>
    <row r="3712" spans="1:11" x14ac:dyDescent="0.3">
      <c r="A3712" t="s">
        <v>34</v>
      </c>
      <c r="B3712" t="s">
        <v>238</v>
      </c>
      <c r="C3712">
        <v>1363</v>
      </c>
      <c r="D3712" t="s">
        <v>53</v>
      </c>
      <c r="E3712" t="s">
        <v>297</v>
      </c>
      <c r="F3712" t="s">
        <v>171</v>
      </c>
      <c r="G3712" t="s">
        <v>198</v>
      </c>
      <c r="H3712" t="s">
        <v>104</v>
      </c>
      <c r="I3712" t="s">
        <v>118</v>
      </c>
      <c r="J3712" t="s">
        <v>379</v>
      </c>
      <c r="K3712" t="s">
        <v>99</v>
      </c>
    </row>
    <row r="3713" spans="1:11" x14ac:dyDescent="0.3">
      <c r="A3713" t="s">
        <v>33</v>
      </c>
      <c r="B3713" t="s">
        <v>236</v>
      </c>
      <c r="C3713">
        <v>1116</v>
      </c>
      <c r="D3713" t="s">
        <v>1103</v>
      </c>
      <c r="E3713" t="s">
        <v>1101</v>
      </c>
      <c r="F3713" t="s">
        <v>160</v>
      </c>
      <c r="G3713" t="s">
        <v>104</v>
      </c>
      <c r="H3713" t="s">
        <v>104</v>
      </c>
      <c r="I3713" t="s">
        <v>114</v>
      </c>
      <c r="J3713" t="s">
        <v>742</v>
      </c>
      <c r="K3713" t="s">
        <v>99</v>
      </c>
    </row>
    <row r="3714" spans="1:11" x14ac:dyDescent="0.3">
      <c r="A3714" t="s">
        <v>33</v>
      </c>
      <c r="B3714" t="s">
        <v>238</v>
      </c>
      <c r="C3714">
        <v>820</v>
      </c>
      <c r="D3714" t="s">
        <v>189</v>
      </c>
      <c r="E3714" t="s">
        <v>1279</v>
      </c>
      <c r="F3714" t="s">
        <v>690</v>
      </c>
      <c r="G3714" t="s">
        <v>99</v>
      </c>
      <c r="H3714" t="s">
        <v>104</v>
      </c>
      <c r="I3714" t="s">
        <v>332</v>
      </c>
      <c r="J3714" t="s">
        <v>206</v>
      </c>
      <c r="K3714" t="s">
        <v>99</v>
      </c>
    </row>
    <row r="3715" spans="1:11" x14ac:dyDescent="0.3">
      <c r="A3715" t="s">
        <v>49</v>
      </c>
      <c r="B3715" t="s">
        <v>236</v>
      </c>
      <c r="C3715">
        <v>7219</v>
      </c>
      <c r="D3715" t="s">
        <v>1192</v>
      </c>
      <c r="E3715" t="s">
        <v>589</v>
      </c>
      <c r="F3715" t="s">
        <v>296</v>
      </c>
      <c r="G3715" t="s">
        <v>198</v>
      </c>
      <c r="H3715" t="s">
        <v>198</v>
      </c>
      <c r="I3715" t="s">
        <v>128</v>
      </c>
      <c r="J3715" t="s">
        <v>802</v>
      </c>
      <c r="K3715" t="s">
        <v>104</v>
      </c>
    </row>
    <row r="3716" spans="1:11" x14ac:dyDescent="0.3">
      <c r="A3716" t="s">
        <v>49</v>
      </c>
      <c r="B3716" t="s">
        <v>238</v>
      </c>
      <c r="C3716">
        <v>6100</v>
      </c>
      <c r="D3716" t="s">
        <v>974</v>
      </c>
      <c r="E3716" t="s">
        <v>1470</v>
      </c>
      <c r="F3716" t="s">
        <v>687</v>
      </c>
      <c r="G3716" t="s">
        <v>198</v>
      </c>
      <c r="H3716" t="s">
        <v>207</v>
      </c>
      <c r="I3716" t="s">
        <v>118</v>
      </c>
      <c r="J3716" t="s">
        <v>737</v>
      </c>
      <c r="K3716" t="s">
        <v>99</v>
      </c>
    </row>
    <row r="3718" spans="1:11" x14ac:dyDescent="0.3">
      <c r="A3718" t="s">
        <v>1471</v>
      </c>
    </row>
    <row r="3719" spans="1:11" x14ac:dyDescent="0.3">
      <c r="A3719" t="s">
        <v>44</v>
      </c>
      <c r="B3719" t="s">
        <v>361</v>
      </c>
      <c r="C3719" t="s">
        <v>32</v>
      </c>
      <c r="D3719" t="s">
        <v>1461</v>
      </c>
      <c r="E3719" t="s">
        <v>1462</v>
      </c>
      <c r="F3719" t="s">
        <v>1463</v>
      </c>
      <c r="G3719" t="s">
        <v>1464</v>
      </c>
      <c r="H3719" t="s">
        <v>1465</v>
      </c>
      <c r="I3719" t="s">
        <v>1466</v>
      </c>
      <c r="J3719" t="s">
        <v>1467</v>
      </c>
      <c r="K3719" t="s">
        <v>979</v>
      </c>
    </row>
    <row r="3720" spans="1:11" x14ac:dyDescent="0.3">
      <c r="A3720" t="s">
        <v>35</v>
      </c>
      <c r="B3720" t="s">
        <v>339</v>
      </c>
      <c r="C3720">
        <v>890</v>
      </c>
      <c r="D3720" t="s">
        <v>1104</v>
      </c>
      <c r="E3720" t="s">
        <v>925</v>
      </c>
      <c r="F3720" t="s">
        <v>152</v>
      </c>
      <c r="G3720" t="s">
        <v>198</v>
      </c>
      <c r="H3720" t="s">
        <v>198</v>
      </c>
      <c r="I3720" t="s">
        <v>319</v>
      </c>
      <c r="J3720" t="s">
        <v>682</v>
      </c>
      <c r="K3720" t="s">
        <v>99</v>
      </c>
    </row>
    <row r="3721" spans="1:11" x14ac:dyDescent="0.3">
      <c r="A3721" t="s">
        <v>35</v>
      </c>
      <c r="B3721" t="s">
        <v>340</v>
      </c>
      <c r="C3721">
        <v>2215</v>
      </c>
      <c r="D3721" t="s">
        <v>1226</v>
      </c>
      <c r="E3721" t="s">
        <v>1194</v>
      </c>
      <c r="F3721" t="s">
        <v>425</v>
      </c>
      <c r="G3721" t="s">
        <v>207</v>
      </c>
      <c r="H3721" t="s">
        <v>198</v>
      </c>
      <c r="I3721" t="s">
        <v>126</v>
      </c>
      <c r="J3721" t="s">
        <v>379</v>
      </c>
      <c r="K3721" t="s">
        <v>104</v>
      </c>
    </row>
    <row r="3722" spans="1:11" x14ac:dyDescent="0.3">
      <c r="A3722" t="s">
        <v>35</v>
      </c>
      <c r="B3722" t="s">
        <v>365</v>
      </c>
      <c r="C3722">
        <v>40</v>
      </c>
      <c r="D3722" t="s">
        <v>362</v>
      </c>
      <c r="E3722" t="s">
        <v>526</v>
      </c>
      <c r="F3722" t="s">
        <v>296</v>
      </c>
      <c r="G3722" t="s">
        <v>99</v>
      </c>
      <c r="H3722" t="s">
        <v>99</v>
      </c>
      <c r="I3722" t="s">
        <v>98</v>
      </c>
      <c r="J3722" t="s">
        <v>132</v>
      </c>
      <c r="K3722" t="s">
        <v>99</v>
      </c>
    </row>
    <row r="3723" spans="1:11" x14ac:dyDescent="0.3">
      <c r="A3723" t="s">
        <v>37</v>
      </c>
      <c r="B3723" t="s">
        <v>339</v>
      </c>
      <c r="C3723">
        <v>1093</v>
      </c>
      <c r="D3723" t="s">
        <v>228</v>
      </c>
      <c r="E3723" t="s">
        <v>955</v>
      </c>
      <c r="F3723" t="s">
        <v>664</v>
      </c>
      <c r="G3723" t="s">
        <v>207</v>
      </c>
      <c r="H3723" t="s">
        <v>104</v>
      </c>
      <c r="I3723" t="s">
        <v>138</v>
      </c>
      <c r="J3723" t="s">
        <v>489</v>
      </c>
      <c r="K3723" t="s">
        <v>104</v>
      </c>
    </row>
    <row r="3724" spans="1:11" x14ac:dyDescent="0.3">
      <c r="A3724" t="s">
        <v>37</v>
      </c>
      <c r="B3724" t="s">
        <v>340</v>
      </c>
      <c r="C3724">
        <v>2721</v>
      </c>
      <c r="D3724" t="s">
        <v>535</v>
      </c>
      <c r="E3724" t="s">
        <v>997</v>
      </c>
      <c r="F3724" t="s">
        <v>432</v>
      </c>
      <c r="G3724" t="s">
        <v>207</v>
      </c>
      <c r="H3724" t="s">
        <v>253</v>
      </c>
      <c r="I3724" t="s">
        <v>679</v>
      </c>
      <c r="J3724" t="s">
        <v>701</v>
      </c>
      <c r="K3724" t="s">
        <v>99</v>
      </c>
    </row>
    <row r="3725" spans="1:11" x14ac:dyDescent="0.3">
      <c r="A3725" t="s">
        <v>37</v>
      </c>
      <c r="B3725" t="s">
        <v>365</v>
      </c>
      <c r="C3725">
        <v>41</v>
      </c>
      <c r="D3725" t="s">
        <v>1400</v>
      </c>
      <c r="E3725" t="s">
        <v>312</v>
      </c>
      <c r="F3725" t="s">
        <v>694</v>
      </c>
      <c r="G3725" t="s">
        <v>99</v>
      </c>
      <c r="H3725" t="s">
        <v>99</v>
      </c>
      <c r="I3725" t="s">
        <v>373</v>
      </c>
      <c r="J3725" t="s">
        <v>220</v>
      </c>
      <c r="K3725" t="s">
        <v>99</v>
      </c>
    </row>
    <row r="3726" spans="1:11" x14ac:dyDescent="0.3">
      <c r="A3726" t="s">
        <v>36</v>
      </c>
      <c r="B3726" t="s">
        <v>339</v>
      </c>
      <c r="C3726">
        <v>769</v>
      </c>
      <c r="D3726" t="s">
        <v>1125</v>
      </c>
      <c r="E3726" t="s">
        <v>589</v>
      </c>
      <c r="F3726" t="s">
        <v>215</v>
      </c>
      <c r="G3726" t="s">
        <v>99</v>
      </c>
      <c r="H3726" t="s">
        <v>99</v>
      </c>
      <c r="I3726" t="s">
        <v>382</v>
      </c>
      <c r="J3726" t="s">
        <v>197</v>
      </c>
      <c r="K3726" t="s">
        <v>99</v>
      </c>
    </row>
    <row r="3727" spans="1:11" x14ac:dyDescent="0.3">
      <c r="A3727" t="s">
        <v>36</v>
      </c>
      <c r="B3727" t="s">
        <v>340</v>
      </c>
      <c r="C3727">
        <v>1472</v>
      </c>
      <c r="D3727" t="s">
        <v>1226</v>
      </c>
      <c r="E3727" t="s">
        <v>1166</v>
      </c>
      <c r="F3727" t="s">
        <v>72</v>
      </c>
      <c r="G3727" t="s">
        <v>99</v>
      </c>
      <c r="H3727" t="s">
        <v>136</v>
      </c>
      <c r="I3727" t="s">
        <v>123</v>
      </c>
      <c r="J3727" t="s">
        <v>299</v>
      </c>
      <c r="K3727" t="s">
        <v>99</v>
      </c>
    </row>
    <row r="3728" spans="1:11" x14ac:dyDescent="0.3">
      <c r="A3728" t="s">
        <v>36</v>
      </c>
      <c r="B3728" t="s">
        <v>365</v>
      </c>
      <c r="C3728">
        <v>63</v>
      </c>
      <c r="D3728" t="s">
        <v>232</v>
      </c>
      <c r="E3728" t="s">
        <v>874</v>
      </c>
      <c r="F3728" t="s">
        <v>123</v>
      </c>
      <c r="G3728" t="s">
        <v>99</v>
      </c>
      <c r="H3728" t="s">
        <v>99</v>
      </c>
      <c r="I3728" t="s">
        <v>99</v>
      </c>
      <c r="J3728" t="s">
        <v>268</v>
      </c>
      <c r="K3728" t="s">
        <v>99</v>
      </c>
    </row>
    <row r="3729" spans="1:11" x14ac:dyDescent="0.3">
      <c r="A3729" t="s">
        <v>34</v>
      </c>
      <c r="B3729" t="s">
        <v>339</v>
      </c>
      <c r="C3729">
        <v>555</v>
      </c>
      <c r="D3729" t="s">
        <v>617</v>
      </c>
      <c r="E3729" t="s">
        <v>282</v>
      </c>
      <c r="F3729" t="s">
        <v>412</v>
      </c>
      <c r="G3729" t="s">
        <v>104</v>
      </c>
      <c r="H3729" t="s">
        <v>99</v>
      </c>
      <c r="I3729" t="s">
        <v>114</v>
      </c>
      <c r="J3729" t="s">
        <v>798</v>
      </c>
      <c r="K3729" t="s">
        <v>136</v>
      </c>
    </row>
    <row r="3730" spans="1:11" x14ac:dyDescent="0.3">
      <c r="A3730" t="s">
        <v>34</v>
      </c>
      <c r="B3730" t="s">
        <v>340</v>
      </c>
      <c r="C3730">
        <v>1496</v>
      </c>
      <c r="D3730" t="s">
        <v>1075</v>
      </c>
      <c r="E3730" t="s">
        <v>1162</v>
      </c>
      <c r="F3730" t="s">
        <v>313</v>
      </c>
      <c r="G3730" t="s">
        <v>198</v>
      </c>
      <c r="H3730" t="s">
        <v>198</v>
      </c>
      <c r="I3730" t="s">
        <v>130</v>
      </c>
      <c r="J3730" t="s">
        <v>220</v>
      </c>
      <c r="K3730" t="s">
        <v>99</v>
      </c>
    </row>
    <row r="3731" spans="1:11" x14ac:dyDescent="0.3">
      <c r="A3731" t="s">
        <v>34</v>
      </c>
      <c r="B3731" t="s">
        <v>365</v>
      </c>
      <c r="C3731">
        <v>28</v>
      </c>
      <c r="D3731" t="s">
        <v>1047</v>
      </c>
      <c r="E3731" t="s">
        <v>1137</v>
      </c>
      <c r="F3731" t="s">
        <v>814</v>
      </c>
      <c r="G3731" t="s">
        <v>99</v>
      </c>
      <c r="H3731" t="s">
        <v>99</v>
      </c>
      <c r="I3731" t="s">
        <v>99</v>
      </c>
      <c r="J3731" t="s">
        <v>99</v>
      </c>
      <c r="K3731" t="s">
        <v>99</v>
      </c>
    </row>
    <row r="3732" spans="1:11" x14ac:dyDescent="0.3">
      <c r="A3732" t="s">
        <v>33</v>
      </c>
      <c r="B3732" t="s">
        <v>339</v>
      </c>
      <c r="C3732">
        <v>502</v>
      </c>
      <c r="D3732" t="s">
        <v>640</v>
      </c>
      <c r="E3732" t="s">
        <v>957</v>
      </c>
      <c r="F3732" t="s">
        <v>296</v>
      </c>
      <c r="G3732" t="s">
        <v>99</v>
      </c>
      <c r="H3732" t="s">
        <v>99</v>
      </c>
      <c r="I3732" t="s">
        <v>268</v>
      </c>
      <c r="J3732" t="s">
        <v>902</v>
      </c>
      <c r="K3732" t="s">
        <v>99</v>
      </c>
    </row>
    <row r="3733" spans="1:11" x14ac:dyDescent="0.3">
      <c r="A3733" t="s">
        <v>33</v>
      </c>
      <c r="B3733" t="s">
        <v>340</v>
      </c>
      <c r="C3733">
        <v>1415</v>
      </c>
      <c r="D3733" t="s">
        <v>426</v>
      </c>
      <c r="E3733" t="s">
        <v>526</v>
      </c>
      <c r="F3733" t="s">
        <v>700</v>
      </c>
      <c r="G3733" t="s">
        <v>104</v>
      </c>
      <c r="H3733" t="s">
        <v>198</v>
      </c>
      <c r="I3733" t="s">
        <v>292</v>
      </c>
      <c r="J3733" t="s">
        <v>218</v>
      </c>
      <c r="K3733" t="s">
        <v>99</v>
      </c>
    </row>
    <row r="3734" spans="1:11" x14ac:dyDescent="0.3">
      <c r="A3734" t="s">
        <v>33</v>
      </c>
      <c r="B3734" t="s">
        <v>365</v>
      </c>
      <c r="C3734">
        <v>19</v>
      </c>
      <c r="D3734" t="s">
        <v>211</v>
      </c>
      <c r="E3734" t="s">
        <v>356</v>
      </c>
      <c r="F3734" t="s">
        <v>810</v>
      </c>
      <c r="G3734" t="s">
        <v>99</v>
      </c>
      <c r="H3734" t="s">
        <v>99</v>
      </c>
      <c r="I3734" t="s">
        <v>74</v>
      </c>
      <c r="J3734" t="s">
        <v>99</v>
      </c>
      <c r="K3734" t="s">
        <v>99</v>
      </c>
    </row>
    <row r="3735" spans="1:11" x14ac:dyDescent="0.3">
      <c r="A3735" t="s">
        <v>49</v>
      </c>
      <c r="B3735" t="s">
        <v>339</v>
      </c>
      <c r="C3735">
        <v>3809</v>
      </c>
      <c r="D3735" t="s">
        <v>1472</v>
      </c>
      <c r="E3735" t="s">
        <v>1184</v>
      </c>
      <c r="F3735" t="s">
        <v>145</v>
      </c>
      <c r="G3735" t="s">
        <v>198</v>
      </c>
      <c r="H3735" t="s">
        <v>104</v>
      </c>
      <c r="I3735" t="s">
        <v>151</v>
      </c>
      <c r="J3735" t="s">
        <v>732</v>
      </c>
      <c r="K3735" t="s">
        <v>104</v>
      </c>
    </row>
    <row r="3736" spans="1:11" x14ac:dyDescent="0.3">
      <c r="A3736" t="s">
        <v>49</v>
      </c>
      <c r="B3736" t="s">
        <v>340</v>
      </c>
      <c r="C3736">
        <v>9319</v>
      </c>
      <c r="D3736" t="s">
        <v>259</v>
      </c>
      <c r="E3736" t="s">
        <v>275</v>
      </c>
      <c r="F3736" t="s">
        <v>444</v>
      </c>
      <c r="G3736" t="s">
        <v>198</v>
      </c>
      <c r="H3736" t="s">
        <v>207</v>
      </c>
      <c r="I3736" t="s">
        <v>118</v>
      </c>
      <c r="J3736" t="s">
        <v>179</v>
      </c>
      <c r="K3736" t="s">
        <v>99</v>
      </c>
    </row>
    <row r="3737" spans="1:11" x14ac:dyDescent="0.3">
      <c r="A3737" t="s">
        <v>49</v>
      </c>
      <c r="B3737" t="s">
        <v>365</v>
      </c>
      <c r="C3737">
        <v>191</v>
      </c>
      <c r="D3737" t="s">
        <v>612</v>
      </c>
      <c r="E3737" t="s">
        <v>623</v>
      </c>
      <c r="F3737" t="s">
        <v>721</v>
      </c>
      <c r="G3737" t="s">
        <v>99</v>
      </c>
      <c r="H3737" t="s">
        <v>99</v>
      </c>
      <c r="I3737" t="s">
        <v>143</v>
      </c>
      <c r="J3737" t="s">
        <v>120</v>
      </c>
      <c r="K3737" t="s">
        <v>99</v>
      </c>
    </row>
    <row r="3739" spans="1:11" x14ac:dyDescent="0.3">
      <c r="A3739" t="s">
        <v>1473</v>
      </c>
    </row>
    <row r="3740" spans="1:11" x14ac:dyDescent="0.3">
      <c r="A3740" t="s">
        <v>44</v>
      </c>
      <c r="B3740" t="s">
        <v>209</v>
      </c>
      <c r="C3740" t="s">
        <v>32</v>
      </c>
      <c r="D3740" t="s">
        <v>1461</v>
      </c>
      <c r="E3740" t="s">
        <v>1462</v>
      </c>
      <c r="F3740" t="s">
        <v>1463</v>
      </c>
      <c r="G3740" t="s">
        <v>1464</v>
      </c>
      <c r="H3740" t="s">
        <v>1465</v>
      </c>
      <c r="I3740" t="s">
        <v>1466</v>
      </c>
      <c r="J3740" t="s">
        <v>1467</v>
      </c>
      <c r="K3740" t="s">
        <v>979</v>
      </c>
    </row>
    <row r="3741" spans="1:11" x14ac:dyDescent="0.3">
      <c r="A3741" t="s">
        <v>35</v>
      </c>
      <c r="B3741" t="s">
        <v>210</v>
      </c>
      <c r="C3741">
        <v>136</v>
      </c>
      <c r="D3741" t="s">
        <v>1010</v>
      </c>
      <c r="E3741" t="s">
        <v>1174</v>
      </c>
      <c r="F3741" t="s">
        <v>291</v>
      </c>
      <c r="G3741" t="s">
        <v>132</v>
      </c>
      <c r="H3741" t="s">
        <v>141</v>
      </c>
      <c r="I3741" t="s">
        <v>111</v>
      </c>
      <c r="J3741" t="s">
        <v>215</v>
      </c>
      <c r="K3741" t="s">
        <v>115</v>
      </c>
    </row>
    <row r="3742" spans="1:11" x14ac:dyDescent="0.3">
      <c r="A3742" t="s">
        <v>35</v>
      </c>
      <c r="B3742" t="s">
        <v>212</v>
      </c>
      <c r="C3742">
        <v>2442</v>
      </c>
      <c r="D3742" t="s">
        <v>526</v>
      </c>
      <c r="E3742" t="s">
        <v>1239</v>
      </c>
      <c r="F3742" t="s">
        <v>244</v>
      </c>
      <c r="G3742" t="s">
        <v>104</v>
      </c>
      <c r="H3742" t="s">
        <v>198</v>
      </c>
      <c r="I3742" t="s">
        <v>132</v>
      </c>
      <c r="J3742" t="s">
        <v>197</v>
      </c>
      <c r="K3742" t="s">
        <v>99</v>
      </c>
    </row>
    <row r="3743" spans="1:11" x14ac:dyDescent="0.3">
      <c r="A3743" t="s">
        <v>35</v>
      </c>
      <c r="B3743" t="s">
        <v>216</v>
      </c>
      <c r="C3743">
        <v>567</v>
      </c>
      <c r="D3743" t="s">
        <v>447</v>
      </c>
      <c r="E3743" t="s">
        <v>1012</v>
      </c>
      <c r="F3743" t="s">
        <v>423</v>
      </c>
      <c r="G3743" t="s">
        <v>253</v>
      </c>
      <c r="H3743" t="s">
        <v>198</v>
      </c>
      <c r="I3743" t="s">
        <v>105</v>
      </c>
      <c r="J3743" t="s">
        <v>68</v>
      </c>
      <c r="K3743" t="s">
        <v>99</v>
      </c>
    </row>
    <row r="3744" spans="1:11" x14ac:dyDescent="0.3">
      <c r="A3744" t="s">
        <v>37</v>
      </c>
      <c r="B3744" t="s">
        <v>210</v>
      </c>
      <c r="C3744">
        <v>138</v>
      </c>
      <c r="D3744" t="s">
        <v>161</v>
      </c>
      <c r="E3744" t="s">
        <v>1064</v>
      </c>
      <c r="F3744" t="s">
        <v>131</v>
      </c>
      <c r="G3744" t="s">
        <v>99</v>
      </c>
      <c r="H3744" t="s">
        <v>99</v>
      </c>
      <c r="I3744" t="s">
        <v>328</v>
      </c>
      <c r="J3744" t="s">
        <v>204</v>
      </c>
      <c r="K3744" t="s">
        <v>99</v>
      </c>
    </row>
    <row r="3745" spans="1:11" x14ac:dyDescent="0.3">
      <c r="A3745" t="s">
        <v>37</v>
      </c>
      <c r="B3745" t="s">
        <v>212</v>
      </c>
      <c r="C3745">
        <v>3606</v>
      </c>
      <c r="D3745" t="s">
        <v>593</v>
      </c>
      <c r="E3745" t="s">
        <v>1474</v>
      </c>
      <c r="F3745" t="s">
        <v>175</v>
      </c>
      <c r="G3745" t="s">
        <v>207</v>
      </c>
      <c r="H3745" t="s">
        <v>136</v>
      </c>
      <c r="I3745" t="s">
        <v>145</v>
      </c>
      <c r="J3745" t="s">
        <v>864</v>
      </c>
      <c r="K3745" t="s">
        <v>99</v>
      </c>
    </row>
    <row r="3746" spans="1:11" x14ac:dyDescent="0.3">
      <c r="A3746" t="s">
        <v>37</v>
      </c>
      <c r="B3746" t="s">
        <v>216</v>
      </c>
      <c r="C3746">
        <v>111</v>
      </c>
      <c r="D3746" t="s">
        <v>266</v>
      </c>
      <c r="E3746" t="s">
        <v>1007</v>
      </c>
      <c r="F3746" t="s">
        <v>54</v>
      </c>
      <c r="G3746" t="s">
        <v>115</v>
      </c>
      <c r="H3746" t="s">
        <v>105</v>
      </c>
      <c r="I3746" t="s">
        <v>714</v>
      </c>
      <c r="J3746" t="s">
        <v>120</v>
      </c>
      <c r="K3746" t="s">
        <v>99</v>
      </c>
    </row>
    <row r="3747" spans="1:11" x14ac:dyDescent="0.3">
      <c r="A3747" t="s">
        <v>36</v>
      </c>
      <c r="B3747" t="s">
        <v>210</v>
      </c>
      <c r="C3747">
        <v>165</v>
      </c>
      <c r="D3747" t="s">
        <v>1475</v>
      </c>
      <c r="E3747" t="s">
        <v>1475</v>
      </c>
      <c r="F3747" t="s">
        <v>254</v>
      </c>
      <c r="G3747" t="s">
        <v>99</v>
      </c>
      <c r="H3747" t="s">
        <v>99</v>
      </c>
      <c r="I3747" t="s">
        <v>117</v>
      </c>
      <c r="J3747" t="s">
        <v>332</v>
      </c>
      <c r="K3747" t="s">
        <v>99</v>
      </c>
    </row>
    <row r="3748" spans="1:11" x14ac:dyDescent="0.3">
      <c r="A3748" t="s">
        <v>36</v>
      </c>
      <c r="B3748" t="s">
        <v>212</v>
      </c>
      <c r="C3748">
        <v>1874</v>
      </c>
      <c r="D3748" t="s">
        <v>535</v>
      </c>
      <c r="E3748" t="s">
        <v>1245</v>
      </c>
      <c r="F3748" t="s">
        <v>277</v>
      </c>
      <c r="G3748" t="s">
        <v>99</v>
      </c>
      <c r="H3748" t="s">
        <v>207</v>
      </c>
      <c r="I3748" t="s">
        <v>319</v>
      </c>
      <c r="J3748" t="s">
        <v>264</v>
      </c>
      <c r="K3748" t="s">
        <v>99</v>
      </c>
    </row>
    <row r="3749" spans="1:11" x14ac:dyDescent="0.3">
      <c r="A3749" t="s">
        <v>36</v>
      </c>
      <c r="B3749" t="s">
        <v>216</v>
      </c>
      <c r="C3749">
        <v>265</v>
      </c>
      <c r="D3749" t="s">
        <v>166</v>
      </c>
      <c r="E3749" t="s">
        <v>1476</v>
      </c>
      <c r="F3749" t="s">
        <v>677</v>
      </c>
      <c r="G3749" t="s">
        <v>104</v>
      </c>
      <c r="H3749" t="s">
        <v>104</v>
      </c>
      <c r="I3749" t="s">
        <v>107</v>
      </c>
      <c r="J3749" t="s">
        <v>129</v>
      </c>
      <c r="K3749" t="s">
        <v>99</v>
      </c>
    </row>
    <row r="3750" spans="1:11" x14ac:dyDescent="0.3">
      <c r="A3750" t="s">
        <v>34</v>
      </c>
      <c r="B3750" t="s">
        <v>210</v>
      </c>
      <c r="C3750">
        <v>256</v>
      </c>
      <c r="D3750" t="s">
        <v>974</v>
      </c>
      <c r="E3750" t="s">
        <v>1146</v>
      </c>
      <c r="F3750" t="s">
        <v>712</v>
      </c>
      <c r="G3750" t="s">
        <v>207</v>
      </c>
      <c r="H3750" t="s">
        <v>207</v>
      </c>
      <c r="I3750" t="s">
        <v>121</v>
      </c>
      <c r="J3750" t="s">
        <v>139</v>
      </c>
      <c r="K3750" t="s">
        <v>132</v>
      </c>
    </row>
    <row r="3751" spans="1:11" x14ac:dyDescent="0.3">
      <c r="A3751" t="s">
        <v>34</v>
      </c>
      <c r="B3751" t="s">
        <v>212</v>
      </c>
      <c r="C3751">
        <v>1581</v>
      </c>
      <c r="D3751" t="s">
        <v>1155</v>
      </c>
      <c r="E3751" t="s">
        <v>1193</v>
      </c>
      <c r="F3751" t="s">
        <v>722</v>
      </c>
      <c r="G3751" t="s">
        <v>104</v>
      </c>
      <c r="H3751" t="s">
        <v>104</v>
      </c>
      <c r="I3751" t="s">
        <v>105</v>
      </c>
      <c r="J3751" t="s">
        <v>201</v>
      </c>
      <c r="K3751" t="s">
        <v>99</v>
      </c>
    </row>
    <row r="3752" spans="1:11" x14ac:dyDescent="0.3">
      <c r="A3752" t="s">
        <v>34</v>
      </c>
      <c r="B3752" t="s">
        <v>216</v>
      </c>
      <c r="C3752">
        <v>242</v>
      </c>
      <c r="D3752" t="s">
        <v>1457</v>
      </c>
      <c r="E3752" t="s">
        <v>308</v>
      </c>
      <c r="F3752" t="s">
        <v>233</v>
      </c>
      <c r="G3752" t="s">
        <v>99</v>
      </c>
      <c r="H3752" t="s">
        <v>99</v>
      </c>
      <c r="I3752" t="s">
        <v>129</v>
      </c>
      <c r="J3752" t="s">
        <v>157</v>
      </c>
      <c r="K3752" t="s">
        <v>99</v>
      </c>
    </row>
    <row r="3753" spans="1:11" x14ac:dyDescent="0.3">
      <c r="A3753" t="s">
        <v>33</v>
      </c>
      <c r="B3753" t="s">
        <v>210</v>
      </c>
      <c r="C3753">
        <v>68</v>
      </c>
      <c r="D3753" t="s">
        <v>320</v>
      </c>
      <c r="E3753" t="s">
        <v>997</v>
      </c>
      <c r="F3753" t="s">
        <v>679</v>
      </c>
      <c r="G3753" t="s">
        <v>99</v>
      </c>
      <c r="H3753" t="s">
        <v>99</v>
      </c>
      <c r="I3753" t="s">
        <v>151</v>
      </c>
      <c r="J3753" t="s">
        <v>150</v>
      </c>
      <c r="K3753" t="s">
        <v>99</v>
      </c>
    </row>
    <row r="3754" spans="1:11" x14ac:dyDescent="0.3">
      <c r="A3754" t="s">
        <v>33</v>
      </c>
      <c r="B3754" t="s">
        <v>212</v>
      </c>
      <c r="C3754">
        <v>1799</v>
      </c>
      <c r="D3754" t="s">
        <v>1050</v>
      </c>
      <c r="E3754" t="s">
        <v>1368</v>
      </c>
      <c r="F3754" t="s">
        <v>726</v>
      </c>
      <c r="G3754" t="s">
        <v>99</v>
      </c>
      <c r="H3754" t="s">
        <v>104</v>
      </c>
      <c r="I3754" t="s">
        <v>123</v>
      </c>
      <c r="J3754" t="s">
        <v>740</v>
      </c>
      <c r="K3754" t="s">
        <v>99</v>
      </c>
    </row>
    <row r="3755" spans="1:11" x14ac:dyDescent="0.3">
      <c r="A3755" t="s">
        <v>33</v>
      </c>
      <c r="B3755" t="s">
        <v>216</v>
      </c>
      <c r="C3755">
        <v>69</v>
      </c>
      <c r="D3755" t="s">
        <v>885</v>
      </c>
      <c r="E3755" t="s">
        <v>443</v>
      </c>
      <c r="F3755" t="s">
        <v>307</v>
      </c>
      <c r="G3755" t="s">
        <v>99</v>
      </c>
      <c r="H3755" t="s">
        <v>101</v>
      </c>
      <c r="I3755" t="s">
        <v>72</v>
      </c>
      <c r="J3755" t="s">
        <v>110</v>
      </c>
      <c r="K3755" t="s">
        <v>99</v>
      </c>
    </row>
    <row r="3756" spans="1:11" x14ac:dyDescent="0.3">
      <c r="A3756" t="s">
        <v>49</v>
      </c>
      <c r="B3756" t="s">
        <v>210</v>
      </c>
      <c r="C3756">
        <v>763</v>
      </c>
      <c r="D3756" t="s">
        <v>396</v>
      </c>
      <c r="E3756" t="s">
        <v>627</v>
      </c>
      <c r="F3756" t="s">
        <v>182</v>
      </c>
      <c r="G3756" t="s">
        <v>207</v>
      </c>
      <c r="H3756" t="s">
        <v>198</v>
      </c>
      <c r="I3756" t="s">
        <v>117</v>
      </c>
      <c r="J3756" t="s">
        <v>712</v>
      </c>
      <c r="K3756" t="s">
        <v>141</v>
      </c>
    </row>
    <row r="3757" spans="1:11" x14ac:dyDescent="0.3">
      <c r="A3757" t="s">
        <v>49</v>
      </c>
      <c r="B3757" t="s">
        <v>212</v>
      </c>
      <c r="C3757">
        <v>11302</v>
      </c>
      <c r="D3757" t="s">
        <v>1455</v>
      </c>
      <c r="E3757" t="s">
        <v>1474</v>
      </c>
      <c r="F3757" t="s">
        <v>222</v>
      </c>
      <c r="G3757" t="s">
        <v>198</v>
      </c>
      <c r="H3757" t="s">
        <v>198</v>
      </c>
      <c r="I3757" t="s">
        <v>138</v>
      </c>
      <c r="J3757" t="s">
        <v>491</v>
      </c>
      <c r="K3757" t="s">
        <v>99</v>
      </c>
    </row>
    <row r="3758" spans="1:11" x14ac:dyDescent="0.3">
      <c r="A3758" t="s">
        <v>49</v>
      </c>
      <c r="B3758" t="s">
        <v>216</v>
      </c>
      <c r="C3758">
        <v>1254</v>
      </c>
      <c r="D3758" t="s">
        <v>243</v>
      </c>
      <c r="E3758" t="s">
        <v>472</v>
      </c>
      <c r="F3758" t="s">
        <v>740</v>
      </c>
      <c r="G3758" t="s">
        <v>136</v>
      </c>
      <c r="H3758" t="s">
        <v>136</v>
      </c>
      <c r="I3758" t="s">
        <v>130</v>
      </c>
      <c r="J3758" t="s">
        <v>434</v>
      </c>
      <c r="K3758" t="s">
        <v>99</v>
      </c>
    </row>
    <row r="3760" spans="1:11" x14ac:dyDescent="0.3">
      <c r="A3760" t="s">
        <v>1477</v>
      </c>
    </row>
    <row r="3761" spans="1:11" x14ac:dyDescent="0.3">
      <c r="A3761" t="s">
        <v>44</v>
      </c>
      <c r="B3761" t="s">
        <v>879</v>
      </c>
      <c r="C3761" t="s">
        <v>32</v>
      </c>
      <c r="D3761" t="s">
        <v>1461</v>
      </c>
      <c r="E3761" t="s">
        <v>1462</v>
      </c>
      <c r="F3761" t="s">
        <v>1463</v>
      </c>
      <c r="G3761" t="s">
        <v>1464</v>
      </c>
      <c r="H3761" t="s">
        <v>1465</v>
      </c>
      <c r="I3761" t="s">
        <v>1466</v>
      </c>
      <c r="J3761" t="s">
        <v>1467</v>
      </c>
      <c r="K3761" t="s">
        <v>979</v>
      </c>
    </row>
    <row r="3762" spans="1:11" x14ac:dyDescent="0.3">
      <c r="A3762" t="s">
        <v>35</v>
      </c>
      <c r="B3762" t="s">
        <v>880</v>
      </c>
      <c r="C3762">
        <v>596</v>
      </c>
      <c r="D3762" t="s">
        <v>71</v>
      </c>
      <c r="E3762" t="s">
        <v>1146</v>
      </c>
      <c r="F3762" t="s">
        <v>666</v>
      </c>
      <c r="G3762" t="s">
        <v>136</v>
      </c>
      <c r="H3762" t="s">
        <v>141</v>
      </c>
      <c r="I3762" t="s">
        <v>316</v>
      </c>
      <c r="J3762" t="s">
        <v>128</v>
      </c>
      <c r="K3762" t="s">
        <v>99</v>
      </c>
    </row>
    <row r="3763" spans="1:11" x14ac:dyDescent="0.3">
      <c r="A3763" t="s">
        <v>35</v>
      </c>
      <c r="B3763" t="s">
        <v>881</v>
      </c>
      <c r="C3763">
        <v>1162</v>
      </c>
      <c r="D3763" t="s">
        <v>551</v>
      </c>
      <c r="E3763" t="s">
        <v>283</v>
      </c>
      <c r="F3763" t="s">
        <v>198</v>
      </c>
      <c r="G3763" t="s">
        <v>104</v>
      </c>
      <c r="H3763" t="s">
        <v>198</v>
      </c>
      <c r="I3763" t="s">
        <v>136</v>
      </c>
      <c r="J3763" t="s">
        <v>824</v>
      </c>
      <c r="K3763" t="s">
        <v>99</v>
      </c>
    </row>
    <row r="3764" spans="1:11" x14ac:dyDescent="0.3">
      <c r="A3764" t="s">
        <v>35</v>
      </c>
      <c r="B3764" t="s">
        <v>882</v>
      </c>
      <c r="C3764">
        <v>1387</v>
      </c>
      <c r="D3764" t="s">
        <v>312</v>
      </c>
      <c r="E3764" t="s">
        <v>1478</v>
      </c>
      <c r="F3764" t="s">
        <v>373</v>
      </c>
      <c r="G3764" t="s">
        <v>136</v>
      </c>
      <c r="H3764" t="s">
        <v>104</v>
      </c>
      <c r="I3764" t="s">
        <v>215</v>
      </c>
      <c r="J3764" t="s">
        <v>120</v>
      </c>
      <c r="K3764" t="s">
        <v>104</v>
      </c>
    </row>
    <row r="3765" spans="1:11" x14ac:dyDescent="0.3">
      <c r="A3765" t="s">
        <v>37</v>
      </c>
      <c r="B3765" t="s">
        <v>880</v>
      </c>
      <c r="C3765">
        <v>671</v>
      </c>
      <c r="D3765" t="s">
        <v>221</v>
      </c>
      <c r="E3765" t="s">
        <v>1228</v>
      </c>
      <c r="F3765" t="s">
        <v>1094</v>
      </c>
      <c r="G3765" t="s">
        <v>136</v>
      </c>
      <c r="H3765" t="s">
        <v>101</v>
      </c>
      <c r="I3765" t="s">
        <v>318</v>
      </c>
      <c r="J3765" t="s">
        <v>144</v>
      </c>
      <c r="K3765" t="s">
        <v>99</v>
      </c>
    </row>
    <row r="3766" spans="1:11" x14ac:dyDescent="0.3">
      <c r="A3766" t="s">
        <v>37</v>
      </c>
      <c r="B3766" t="s">
        <v>881</v>
      </c>
      <c r="C3766">
        <v>1371</v>
      </c>
      <c r="D3766" t="s">
        <v>1098</v>
      </c>
      <c r="E3766" t="s">
        <v>838</v>
      </c>
      <c r="F3766" t="s">
        <v>207</v>
      </c>
      <c r="G3766" t="s">
        <v>104</v>
      </c>
      <c r="H3766" t="s">
        <v>207</v>
      </c>
      <c r="I3766" t="s">
        <v>101</v>
      </c>
      <c r="J3766" t="s">
        <v>1051</v>
      </c>
      <c r="K3766" t="s">
        <v>104</v>
      </c>
    </row>
    <row r="3767" spans="1:11" x14ac:dyDescent="0.3">
      <c r="A3767" t="s">
        <v>37</v>
      </c>
      <c r="B3767" t="s">
        <v>882</v>
      </c>
      <c r="C3767">
        <v>1813</v>
      </c>
      <c r="D3767" t="s">
        <v>174</v>
      </c>
      <c r="E3767" t="s">
        <v>317</v>
      </c>
      <c r="F3767" t="s">
        <v>1044</v>
      </c>
      <c r="G3767" t="s">
        <v>136</v>
      </c>
      <c r="H3767" t="s">
        <v>207</v>
      </c>
      <c r="I3767" t="s">
        <v>184</v>
      </c>
      <c r="J3767" t="s">
        <v>158</v>
      </c>
      <c r="K3767" t="s">
        <v>99</v>
      </c>
    </row>
    <row r="3768" spans="1:11" x14ac:dyDescent="0.3">
      <c r="A3768" t="s">
        <v>36</v>
      </c>
      <c r="B3768" t="s">
        <v>880</v>
      </c>
      <c r="C3768">
        <v>382</v>
      </c>
      <c r="D3768" t="s">
        <v>443</v>
      </c>
      <c r="E3768" t="s">
        <v>939</v>
      </c>
      <c r="F3768" t="s">
        <v>688</v>
      </c>
      <c r="G3768" t="s">
        <v>104</v>
      </c>
      <c r="H3768" t="s">
        <v>100</v>
      </c>
      <c r="I3768" t="s">
        <v>149</v>
      </c>
      <c r="J3768" t="s">
        <v>149</v>
      </c>
      <c r="K3768" t="s">
        <v>99</v>
      </c>
    </row>
    <row r="3769" spans="1:11" x14ac:dyDescent="0.3">
      <c r="A3769" t="s">
        <v>36</v>
      </c>
      <c r="B3769" t="s">
        <v>881</v>
      </c>
      <c r="C3769">
        <v>866</v>
      </c>
      <c r="D3769" t="s">
        <v>953</v>
      </c>
      <c r="E3769" t="s">
        <v>887</v>
      </c>
      <c r="F3769" t="s">
        <v>99</v>
      </c>
      <c r="G3769" t="s">
        <v>99</v>
      </c>
      <c r="H3769" t="s">
        <v>99</v>
      </c>
      <c r="I3769" t="s">
        <v>104</v>
      </c>
      <c r="J3769" t="s">
        <v>736</v>
      </c>
      <c r="K3769" t="s">
        <v>99</v>
      </c>
    </row>
    <row r="3770" spans="1:11" x14ac:dyDescent="0.3">
      <c r="A3770" t="s">
        <v>36</v>
      </c>
      <c r="B3770" t="s">
        <v>882</v>
      </c>
      <c r="C3770">
        <v>1056</v>
      </c>
      <c r="D3770" t="s">
        <v>460</v>
      </c>
      <c r="E3770" t="s">
        <v>524</v>
      </c>
      <c r="F3770" t="s">
        <v>152</v>
      </c>
      <c r="G3770" t="s">
        <v>99</v>
      </c>
      <c r="H3770" t="s">
        <v>99</v>
      </c>
      <c r="I3770" t="s">
        <v>101</v>
      </c>
      <c r="J3770" t="s">
        <v>138</v>
      </c>
      <c r="K3770" t="s">
        <v>99</v>
      </c>
    </row>
    <row r="3771" spans="1:11" x14ac:dyDescent="0.3">
      <c r="A3771" t="s">
        <v>34</v>
      </c>
      <c r="B3771" t="s">
        <v>880</v>
      </c>
      <c r="C3771">
        <v>350</v>
      </c>
      <c r="D3771" t="s">
        <v>290</v>
      </c>
      <c r="E3771" t="s">
        <v>874</v>
      </c>
      <c r="F3771" t="s">
        <v>523</v>
      </c>
      <c r="G3771" t="s">
        <v>99</v>
      </c>
      <c r="H3771" t="s">
        <v>99</v>
      </c>
      <c r="I3771" t="s">
        <v>145</v>
      </c>
      <c r="J3771" t="s">
        <v>139</v>
      </c>
      <c r="K3771" t="s">
        <v>99</v>
      </c>
    </row>
    <row r="3772" spans="1:11" x14ac:dyDescent="0.3">
      <c r="A3772" t="s">
        <v>34</v>
      </c>
      <c r="B3772" t="s">
        <v>881</v>
      </c>
      <c r="C3772">
        <v>861</v>
      </c>
      <c r="D3772" t="s">
        <v>818</v>
      </c>
      <c r="E3772" t="s">
        <v>839</v>
      </c>
      <c r="F3772" t="s">
        <v>104</v>
      </c>
      <c r="G3772" t="s">
        <v>99</v>
      </c>
      <c r="H3772" t="s">
        <v>99</v>
      </c>
      <c r="I3772" t="s">
        <v>136</v>
      </c>
      <c r="J3772" t="s">
        <v>54</v>
      </c>
      <c r="K3772" t="s">
        <v>99</v>
      </c>
    </row>
    <row r="3773" spans="1:11" x14ac:dyDescent="0.3">
      <c r="A3773" t="s">
        <v>34</v>
      </c>
      <c r="B3773" t="s">
        <v>882</v>
      </c>
      <c r="C3773">
        <v>868</v>
      </c>
      <c r="D3773" t="s">
        <v>196</v>
      </c>
      <c r="E3773" t="s">
        <v>424</v>
      </c>
      <c r="F3773" t="s">
        <v>294</v>
      </c>
      <c r="G3773" t="s">
        <v>207</v>
      </c>
      <c r="H3773" t="s">
        <v>198</v>
      </c>
      <c r="I3773" t="s">
        <v>118</v>
      </c>
      <c r="J3773" t="s">
        <v>101</v>
      </c>
      <c r="K3773" t="s">
        <v>207</v>
      </c>
    </row>
    <row r="3774" spans="1:11" x14ac:dyDescent="0.3">
      <c r="A3774" t="s">
        <v>33</v>
      </c>
      <c r="B3774" t="s">
        <v>880</v>
      </c>
      <c r="C3774">
        <v>426</v>
      </c>
      <c r="D3774" t="s">
        <v>877</v>
      </c>
      <c r="E3774" t="s">
        <v>772</v>
      </c>
      <c r="F3774" t="s">
        <v>131</v>
      </c>
      <c r="G3774" t="s">
        <v>99</v>
      </c>
      <c r="H3774" t="s">
        <v>207</v>
      </c>
      <c r="I3774" t="s">
        <v>128</v>
      </c>
      <c r="J3774" t="s">
        <v>112</v>
      </c>
      <c r="K3774" t="s">
        <v>99</v>
      </c>
    </row>
    <row r="3775" spans="1:11" x14ac:dyDescent="0.3">
      <c r="A3775" t="s">
        <v>33</v>
      </c>
      <c r="B3775" t="s">
        <v>881</v>
      </c>
      <c r="C3775">
        <v>681</v>
      </c>
      <c r="D3775" t="s">
        <v>538</v>
      </c>
      <c r="E3775" t="s">
        <v>58</v>
      </c>
      <c r="F3775" t="s">
        <v>207</v>
      </c>
      <c r="G3775" t="s">
        <v>99</v>
      </c>
      <c r="H3775" t="s">
        <v>99</v>
      </c>
      <c r="I3775" t="s">
        <v>207</v>
      </c>
      <c r="J3775" t="s">
        <v>957</v>
      </c>
      <c r="K3775" t="s">
        <v>99</v>
      </c>
    </row>
    <row r="3776" spans="1:11" x14ac:dyDescent="0.3">
      <c r="A3776" t="s">
        <v>33</v>
      </c>
      <c r="B3776" t="s">
        <v>882</v>
      </c>
      <c r="C3776">
        <v>829</v>
      </c>
      <c r="D3776" t="s">
        <v>889</v>
      </c>
      <c r="E3776" t="s">
        <v>266</v>
      </c>
      <c r="F3776" t="s">
        <v>670</v>
      </c>
      <c r="G3776" t="s">
        <v>104</v>
      </c>
      <c r="H3776" t="s">
        <v>104</v>
      </c>
      <c r="I3776" t="s">
        <v>332</v>
      </c>
      <c r="J3776" t="s">
        <v>117</v>
      </c>
      <c r="K3776" t="s">
        <v>99</v>
      </c>
    </row>
    <row r="3777" spans="1:11" x14ac:dyDescent="0.3">
      <c r="A3777" t="s">
        <v>49</v>
      </c>
      <c r="B3777" t="s">
        <v>880</v>
      </c>
      <c r="C3777">
        <v>2425</v>
      </c>
      <c r="D3777" t="s">
        <v>877</v>
      </c>
      <c r="E3777" t="s">
        <v>1469</v>
      </c>
      <c r="F3777" t="s">
        <v>140</v>
      </c>
      <c r="G3777" t="s">
        <v>207</v>
      </c>
      <c r="H3777" t="s">
        <v>253</v>
      </c>
      <c r="I3777" t="s">
        <v>145</v>
      </c>
      <c r="J3777" t="s">
        <v>712</v>
      </c>
      <c r="K3777" t="s">
        <v>99</v>
      </c>
    </row>
    <row r="3778" spans="1:11" x14ac:dyDescent="0.3">
      <c r="A3778" t="s">
        <v>49</v>
      </c>
      <c r="B3778" t="s">
        <v>881</v>
      </c>
      <c r="C3778">
        <v>4941</v>
      </c>
      <c r="D3778" t="s">
        <v>946</v>
      </c>
      <c r="E3778" t="s">
        <v>797</v>
      </c>
      <c r="F3778" t="s">
        <v>198</v>
      </c>
      <c r="G3778" t="s">
        <v>104</v>
      </c>
      <c r="H3778" t="s">
        <v>104</v>
      </c>
      <c r="I3778" t="s">
        <v>253</v>
      </c>
      <c r="J3778" t="s">
        <v>1098</v>
      </c>
      <c r="K3778" t="s">
        <v>99</v>
      </c>
    </row>
    <row r="3779" spans="1:11" x14ac:dyDescent="0.3">
      <c r="A3779" t="s">
        <v>49</v>
      </c>
      <c r="B3779" t="s">
        <v>882</v>
      </c>
      <c r="C3779">
        <v>5953</v>
      </c>
      <c r="D3779" t="s">
        <v>450</v>
      </c>
      <c r="E3779" t="s">
        <v>763</v>
      </c>
      <c r="F3779" t="s">
        <v>440</v>
      </c>
      <c r="G3779" t="s">
        <v>207</v>
      </c>
      <c r="H3779" t="s">
        <v>198</v>
      </c>
      <c r="I3779" t="s">
        <v>129</v>
      </c>
      <c r="J3779" t="s">
        <v>105</v>
      </c>
      <c r="K3779" t="s">
        <v>104</v>
      </c>
    </row>
    <row r="3781" spans="1:11" x14ac:dyDescent="0.3">
      <c r="A3781" t="s">
        <v>1479</v>
      </c>
    </row>
    <row r="3782" spans="1:11" x14ac:dyDescent="0.3">
      <c r="A3782" t="s">
        <v>44</v>
      </c>
      <c r="B3782" t="s">
        <v>388</v>
      </c>
      <c r="C3782" t="s">
        <v>32</v>
      </c>
      <c r="D3782" t="s">
        <v>1461</v>
      </c>
      <c r="E3782" t="s">
        <v>1462</v>
      </c>
      <c r="F3782" t="s">
        <v>1463</v>
      </c>
      <c r="G3782" t="s">
        <v>1464</v>
      </c>
      <c r="H3782" t="s">
        <v>1465</v>
      </c>
      <c r="I3782" t="s">
        <v>1466</v>
      </c>
      <c r="J3782" t="s">
        <v>1467</v>
      </c>
      <c r="K3782" t="s">
        <v>979</v>
      </c>
    </row>
    <row r="3783" spans="1:11" x14ac:dyDescent="0.3">
      <c r="A3783" t="s">
        <v>35</v>
      </c>
      <c r="B3783" t="s">
        <v>389</v>
      </c>
      <c r="C3783">
        <v>2141</v>
      </c>
      <c r="D3783" t="s">
        <v>535</v>
      </c>
      <c r="E3783" t="s">
        <v>935</v>
      </c>
      <c r="F3783" t="s">
        <v>536</v>
      </c>
      <c r="G3783" t="s">
        <v>198</v>
      </c>
      <c r="H3783" t="s">
        <v>104</v>
      </c>
      <c r="I3783" t="s">
        <v>101</v>
      </c>
      <c r="J3783" t="s">
        <v>536</v>
      </c>
      <c r="K3783" t="s">
        <v>104</v>
      </c>
    </row>
    <row r="3784" spans="1:11" x14ac:dyDescent="0.3">
      <c r="A3784" t="s">
        <v>35</v>
      </c>
      <c r="B3784" t="s">
        <v>390</v>
      </c>
      <c r="C3784">
        <v>875</v>
      </c>
      <c r="D3784" t="s">
        <v>1405</v>
      </c>
      <c r="E3784" t="s">
        <v>516</v>
      </c>
      <c r="F3784" t="s">
        <v>167</v>
      </c>
      <c r="G3784" t="s">
        <v>136</v>
      </c>
      <c r="H3784" t="s">
        <v>141</v>
      </c>
      <c r="I3784" t="s">
        <v>123</v>
      </c>
      <c r="J3784" t="s">
        <v>465</v>
      </c>
      <c r="K3784" t="s">
        <v>99</v>
      </c>
    </row>
    <row r="3785" spans="1:11" x14ac:dyDescent="0.3">
      <c r="A3785" t="s">
        <v>35</v>
      </c>
      <c r="B3785" t="s">
        <v>365</v>
      </c>
      <c r="C3785">
        <v>129</v>
      </c>
      <c r="D3785" t="s">
        <v>397</v>
      </c>
      <c r="E3785" t="s">
        <v>183</v>
      </c>
      <c r="F3785" t="s">
        <v>173</v>
      </c>
      <c r="G3785" t="s">
        <v>100</v>
      </c>
      <c r="H3785" t="s">
        <v>99</v>
      </c>
      <c r="I3785" t="s">
        <v>138</v>
      </c>
      <c r="J3785" t="s">
        <v>138</v>
      </c>
      <c r="K3785" t="s">
        <v>99</v>
      </c>
    </row>
    <row r="3786" spans="1:11" x14ac:dyDescent="0.3">
      <c r="A3786" t="s">
        <v>37</v>
      </c>
      <c r="B3786" t="s">
        <v>389</v>
      </c>
      <c r="C3786">
        <v>2305</v>
      </c>
      <c r="D3786" t="s">
        <v>1233</v>
      </c>
      <c r="E3786" t="s">
        <v>1224</v>
      </c>
      <c r="F3786" t="s">
        <v>321</v>
      </c>
      <c r="G3786" t="s">
        <v>207</v>
      </c>
      <c r="H3786" t="s">
        <v>253</v>
      </c>
      <c r="I3786" t="s">
        <v>143</v>
      </c>
      <c r="J3786" t="s">
        <v>437</v>
      </c>
      <c r="K3786" t="s">
        <v>99</v>
      </c>
    </row>
    <row r="3787" spans="1:11" x14ac:dyDescent="0.3">
      <c r="A3787" t="s">
        <v>37</v>
      </c>
      <c r="B3787" t="s">
        <v>390</v>
      </c>
      <c r="C3787">
        <v>1309</v>
      </c>
      <c r="D3787" t="s">
        <v>480</v>
      </c>
      <c r="E3787" t="s">
        <v>900</v>
      </c>
      <c r="F3787" t="s">
        <v>186</v>
      </c>
      <c r="G3787" t="s">
        <v>207</v>
      </c>
      <c r="H3787" t="s">
        <v>207</v>
      </c>
      <c r="I3787" t="s">
        <v>70</v>
      </c>
      <c r="J3787" t="s">
        <v>749</v>
      </c>
      <c r="K3787" t="s">
        <v>99</v>
      </c>
    </row>
    <row r="3788" spans="1:11" x14ac:dyDescent="0.3">
      <c r="A3788" t="s">
        <v>37</v>
      </c>
      <c r="B3788" t="s">
        <v>365</v>
      </c>
      <c r="C3788">
        <v>241</v>
      </c>
      <c r="D3788" t="s">
        <v>985</v>
      </c>
      <c r="E3788" t="s">
        <v>1186</v>
      </c>
      <c r="F3788" t="s">
        <v>807</v>
      </c>
      <c r="G3788" t="s">
        <v>99</v>
      </c>
      <c r="H3788" t="s">
        <v>99</v>
      </c>
      <c r="I3788" t="s">
        <v>712</v>
      </c>
      <c r="J3788" t="s">
        <v>420</v>
      </c>
      <c r="K3788" t="s">
        <v>99</v>
      </c>
    </row>
    <row r="3789" spans="1:11" x14ac:dyDescent="0.3">
      <c r="A3789" t="s">
        <v>36</v>
      </c>
      <c r="B3789" t="s">
        <v>389</v>
      </c>
      <c r="C3789">
        <v>1578</v>
      </c>
      <c r="D3789" t="s">
        <v>1246</v>
      </c>
      <c r="E3789" t="s">
        <v>223</v>
      </c>
      <c r="F3789" t="s">
        <v>74</v>
      </c>
      <c r="G3789" t="s">
        <v>99</v>
      </c>
      <c r="H3789" t="s">
        <v>136</v>
      </c>
      <c r="I3789" t="s">
        <v>101</v>
      </c>
      <c r="J3789" t="s">
        <v>708</v>
      </c>
      <c r="K3789" t="s">
        <v>99</v>
      </c>
    </row>
    <row r="3790" spans="1:11" x14ac:dyDescent="0.3">
      <c r="A3790" t="s">
        <v>36</v>
      </c>
      <c r="B3790" t="s">
        <v>390</v>
      </c>
      <c r="C3790">
        <v>626</v>
      </c>
      <c r="D3790" t="s">
        <v>1012</v>
      </c>
      <c r="E3790" t="s">
        <v>278</v>
      </c>
      <c r="F3790" t="s">
        <v>675</v>
      </c>
      <c r="G3790" t="s">
        <v>99</v>
      </c>
      <c r="H3790" t="s">
        <v>99</v>
      </c>
      <c r="I3790" t="s">
        <v>268</v>
      </c>
      <c r="J3790" t="s">
        <v>222</v>
      </c>
      <c r="K3790" t="s">
        <v>99</v>
      </c>
    </row>
    <row r="3791" spans="1:11" x14ac:dyDescent="0.3">
      <c r="A3791" t="s">
        <v>36</v>
      </c>
      <c r="B3791" t="s">
        <v>365</v>
      </c>
      <c r="C3791">
        <v>100</v>
      </c>
      <c r="D3791" t="s">
        <v>1135</v>
      </c>
      <c r="E3791" t="s">
        <v>1135</v>
      </c>
      <c r="F3791" t="s">
        <v>158</v>
      </c>
      <c r="G3791" t="s">
        <v>99</v>
      </c>
      <c r="H3791" t="s">
        <v>99</v>
      </c>
      <c r="I3791" t="s">
        <v>110</v>
      </c>
      <c r="J3791" t="s">
        <v>103</v>
      </c>
      <c r="K3791" t="s">
        <v>99</v>
      </c>
    </row>
    <row r="3792" spans="1:11" x14ac:dyDescent="0.3">
      <c r="A3792" t="s">
        <v>34</v>
      </c>
      <c r="B3792" t="s">
        <v>389</v>
      </c>
      <c r="C3792">
        <v>1385</v>
      </c>
      <c r="D3792" t="s">
        <v>445</v>
      </c>
      <c r="E3792" t="s">
        <v>61</v>
      </c>
      <c r="F3792" t="s">
        <v>150</v>
      </c>
      <c r="G3792" t="s">
        <v>99</v>
      </c>
      <c r="H3792" t="s">
        <v>99</v>
      </c>
      <c r="I3792" t="s">
        <v>215</v>
      </c>
      <c r="J3792" t="s">
        <v>222</v>
      </c>
      <c r="K3792" t="s">
        <v>198</v>
      </c>
    </row>
    <row r="3793" spans="1:15" x14ac:dyDescent="0.3">
      <c r="A3793" t="s">
        <v>34</v>
      </c>
      <c r="B3793" t="s">
        <v>390</v>
      </c>
      <c r="C3793">
        <v>614</v>
      </c>
      <c r="D3793" t="s">
        <v>1075</v>
      </c>
      <c r="E3793" t="s">
        <v>59</v>
      </c>
      <c r="F3793" t="s">
        <v>315</v>
      </c>
      <c r="G3793" t="s">
        <v>136</v>
      </c>
      <c r="H3793" t="s">
        <v>207</v>
      </c>
      <c r="I3793" t="s">
        <v>139</v>
      </c>
      <c r="J3793" t="s">
        <v>125</v>
      </c>
      <c r="K3793" t="s">
        <v>99</v>
      </c>
    </row>
    <row r="3794" spans="1:15" x14ac:dyDescent="0.3">
      <c r="A3794" t="s">
        <v>34</v>
      </c>
      <c r="B3794" t="s">
        <v>365</v>
      </c>
      <c r="C3794">
        <v>80</v>
      </c>
      <c r="D3794" t="s">
        <v>535</v>
      </c>
      <c r="E3794" t="s">
        <v>1064</v>
      </c>
      <c r="F3794" t="s">
        <v>911</v>
      </c>
      <c r="G3794" t="s">
        <v>99</v>
      </c>
      <c r="H3794" t="s">
        <v>99</v>
      </c>
      <c r="I3794" t="s">
        <v>680</v>
      </c>
      <c r="J3794" t="s">
        <v>468</v>
      </c>
      <c r="K3794" t="s">
        <v>99</v>
      </c>
    </row>
    <row r="3795" spans="1:15" x14ac:dyDescent="0.3">
      <c r="A3795" t="s">
        <v>33</v>
      </c>
      <c r="B3795" t="s">
        <v>389</v>
      </c>
      <c r="C3795">
        <v>1089</v>
      </c>
      <c r="D3795" t="s">
        <v>1047</v>
      </c>
      <c r="E3795" t="s">
        <v>1015</v>
      </c>
      <c r="F3795" t="s">
        <v>222</v>
      </c>
      <c r="G3795" t="s">
        <v>104</v>
      </c>
      <c r="H3795" t="s">
        <v>198</v>
      </c>
      <c r="I3795" t="s">
        <v>101</v>
      </c>
      <c r="J3795" t="s">
        <v>298</v>
      </c>
      <c r="K3795" t="s">
        <v>99</v>
      </c>
    </row>
    <row r="3796" spans="1:15" x14ac:dyDescent="0.3">
      <c r="A3796" t="s">
        <v>33</v>
      </c>
      <c r="B3796" t="s">
        <v>390</v>
      </c>
      <c r="C3796">
        <v>708</v>
      </c>
      <c r="D3796" t="s">
        <v>1480</v>
      </c>
      <c r="E3796" t="s">
        <v>1327</v>
      </c>
      <c r="F3796" t="s">
        <v>372</v>
      </c>
      <c r="G3796" t="s">
        <v>99</v>
      </c>
      <c r="H3796" t="s">
        <v>99</v>
      </c>
      <c r="I3796" t="s">
        <v>151</v>
      </c>
      <c r="J3796" t="s">
        <v>432</v>
      </c>
      <c r="K3796" t="s">
        <v>99</v>
      </c>
    </row>
    <row r="3797" spans="1:15" x14ac:dyDescent="0.3">
      <c r="A3797" t="s">
        <v>33</v>
      </c>
      <c r="B3797" t="s">
        <v>365</v>
      </c>
      <c r="C3797">
        <v>139</v>
      </c>
      <c r="D3797" t="s">
        <v>290</v>
      </c>
      <c r="E3797" t="s">
        <v>259</v>
      </c>
      <c r="F3797" t="s">
        <v>626</v>
      </c>
      <c r="G3797" t="s">
        <v>99</v>
      </c>
      <c r="H3797" t="s">
        <v>99</v>
      </c>
      <c r="I3797" t="s">
        <v>315</v>
      </c>
      <c r="J3797" t="s">
        <v>379</v>
      </c>
      <c r="K3797" t="s">
        <v>99</v>
      </c>
    </row>
    <row r="3798" spans="1:15" x14ac:dyDescent="0.3">
      <c r="A3798" t="s">
        <v>49</v>
      </c>
      <c r="B3798" t="s">
        <v>389</v>
      </c>
      <c r="C3798">
        <v>8498</v>
      </c>
      <c r="D3798" t="s">
        <v>343</v>
      </c>
      <c r="E3798" t="s">
        <v>1368</v>
      </c>
      <c r="F3798" t="s">
        <v>714</v>
      </c>
      <c r="G3798" t="s">
        <v>198</v>
      </c>
      <c r="H3798" t="s">
        <v>207</v>
      </c>
      <c r="I3798" t="s">
        <v>316</v>
      </c>
      <c r="J3798" t="s">
        <v>440</v>
      </c>
      <c r="K3798" t="s">
        <v>104</v>
      </c>
    </row>
    <row r="3799" spans="1:15" x14ac:dyDescent="0.3">
      <c r="A3799" t="s">
        <v>49</v>
      </c>
      <c r="B3799" t="s">
        <v>390</v>
      </c>
      <c r="C3799">
        <v>4132</v>
      </c>
      <c r="D3799" t="s">
        <v>348</v>
      </c>
      <c r="E3799" t="s">
        <v>1169</v>
      </c>
      <c r="F3799" t="s">
        <v>465</v>
      </c>
      <c r="G3799" t="s">
        <v>207</v>
      </c>
      <c r="H3799" t="s">
        <v>207</v>
      </c>
      <c r="I3799" t="s">
        <v>434</v>
      </c>
      <c r="J3799" t="s">
        <v>167</v>
      </c>
      <c r="K3799" t="s">
        <v>99</v>
      </c>
    </row>
    <row r="3800" spans="1:15" x14ac:dyDescent="0.3">
      <c r="A3800" t="s">
        <v>49</v>
      </c>
      <c r="B3800" t="s">
        <v>365</v>
      </c>
      <c r="C3800">
        <v>689</v>
      </c>
      <c r="D3800" t="s">
        <v>1475</v>
      </c>
      <c r="E3800" t="s">
        <v>475</v>
      </c>
      <c r="F3800" t="s">
        <v>738</v>
      </c>
      <c r="G3800" t="s">
        <v>198</v>
      </c>
      <c r="H3800" t="s">
        <v>99</v>
      </c>
      <c r="I3800" t="s">
        <v>675</v>
      </c>
      <c r="J3800" t="s">
        <v>135</v>
      </c>
      <c r="K3800" t="s">
        <v>99</v>
      </c>
    </row>
    <row r="3802" spans="1:15" x14ac:dyDescent="0.3">
      <c r="A3802" t="s">
        <v>1481</v>
      </c>
    </row>
    <row r="3803" spans="1:15" x14ac:dyDescent="0.3">
      <c r="A3803" t="s">
        <v>44</v>
      </c>
      <c r="B3803" t="s">
        <v>32</v>
      </c>
      <c r="C3803" t="s">
        <v>1482</v>
      </c>
      <c r="D3803" t="s">
        <v>1483</v>
      </c>
      <c r="E3803" t="s">
        <v>1484</v>
      </c>
      <c r="F3803" t="s">
        <v>1485</v>
      </c>
      <c r="G3803" t="s">
        <v>1486</v>
      </c>
      <c r="H3803" t="s">
        <v>1487</v>
      </c>
      <c r="I3803" t="s">
        <v>1488</v>
      </c>
      <c r="J3803" t="s">
        <v>1489</v>
      </c>
      <c r="K3803" t="s">
        <v>1490</v>
      </c>
      <c r="L3803" t="s">
        <v>1491</v>
      </c>
      <c r="M3803" t="s">
        <v>1492</v>
      </c>
      <c r="N3803" t="s">
        <v>1275</v>
      </c>
      <c r="O3803" t="s">
        <v>1353</v>
      </c>
    </row>
    <row r="3804" spans="1:15" x14ac:dyDescent="0.3">
      <c r="A3804" t="s">
        <v>35</v>
      </c>
      <c r="B3804">
        <v>3143</v>
      </c>
      <c r="C3804" t="s">
        <v>794</v>
      </c>
      <c r="D3804" t="s">
        <v>675</v>
      </c>
      <c r="E3804" t="s">
        <v>349</v>
      </c>
      <c r="F3804" t="s">
        <v>145</v>
      </c>
      <c r="G3804" t="s">
        <v>319</v>
      </c>
      <c r="H3804" t="s">
        <v>198</v>
      </c>
      <c r="I3804" t="s">
        <v>382</v>
      </c>
      <c r="J3804" t="s">
        <v>802</v>
      </c>
      <c r="K3804" t="s">
        <v>76</v>
      </c>
      <c r="L3804" t="s">
        <v>104</v>
      </c>
      <c r="M3804" t="s">
        <v>136</v>
      </c>
      <c r="N3804" t="s">
        <v>99</v>
      </c>
      <c r="O3804" t="s">
        <v>99</v>
      </c>
    </row>
    <row r="3805" spans="1:15" x14ac:dyDescent="0.3">
      <c r="A3805" t="s">
        <v>37</v>
      </c>
      <c r="B3805">
        <v>3853</v>
      </c>
      <c r="C3805" t="s">
        <v>799</v>
      </c>
      <c r="D3805" t="s">
        <v>101</v>
      </c>
      <c r="E3805" t="s">
        <v>1173</v>
      </c>
      <c r="F3805" t="s">
        <v>412</v>
      </c>
      <c r="G3805" t="s">
        <v>138</v>
      </c>
      <c r="H3805" t="s">
        <v>99</v>
      </c>
      <c r="I3805" t="s">
        <v>253</v>
      </c>
      <c r="J3805" t="s">
        <v>144</v>
      </c>
      <c r="K3805" t="s">
        <v>206</v>
      </c>
      <c r="L3805" t="s">
        <v>104</v>
      </c>
      <c r="M3805" t="s">
        <v>104</v>
      </c>
      <c r="N3805" t="s">
        <v>99</v>
      </c>
      <c r="O3805" t="s">
        <v>99</v>
      </c>
    </row>
    <row r="3806" spans="1:15" x14ac:dyDescent="0.3">
      <c r="A3806" t="s">
        <v>36</v>
      </c>
      <c r="B3806">
        <v>2303</v>
      </c>
      <c r="C3806" t="s">
        <v>1223</v>
      </c>
      <c r="D3806" t="s">
        <v>118</v>
      </c>
      <c r="E3806" t="s">
        <v>708</v>
      </c>
      <c r="F3806" t="s">
        <v>262</v>
      </c>
      <c r="G3806" t="s">
        <v>157</v>
      </c>
      <c r="H3806" t="s">
        <v>712</v>
      </c>
      <c r="I3806" t="s">
        <v>139</v>
      </c>
      <c r="J3806" t="s">
        <v>712</v>
      </c>
      <c r="K3806" t="s">
        <v>702</v>
      </c>
      <c r="L3806" t="s">
        <v>132</v>
      </c>
      <c r="M3806" t="s">
        <v>99</v>
      </c>
      <c r="N3806" t="s">
        <v>104</v>
      </c>
      <c r="O3806" t="s">
        <v>99</v>
      </c>
    </row>
    <row r="3807" spans="1:15" x14ac:dyDescent="0.3">
      <c r="A3807" t="s">
        <v>34</v>
      </c>
      <c r="B3807">
        <v>2080</v>
      </c>
      <c r="C3807" t="s">
        <v>1113</v>
      </c>
      <c r="D3807" t="s">
        <v>101</v>
      </c>
      <c r="E3807" t="s">
        <v>347</v>
      </c>
      <c r="F3807" t="s">
        <v>468</v>
      </c>
      <c r="G3807" t="s">
        <v>126</v>
      </c>
      <c r="H3807" t="s">
        <v>684</v>
      </c>
      <c r="I3807" t="s">
        <v>434</v>
      </c>
      <c r="J3807" t="s">
        <v>678</v>
      </c>
      <c r="K3807" t="s">
        <v>795</v>
      </c>
      <c r="L3807" t="s">
        <v>121</v>
      </c>
      <c r="M3807" t="s">
        <v>207</v>
      </c>
      <c r="N3807" t="s">
        <v>104</v>
      </c>
      <c r="O3807" t="s">
        <v>104</v>
      </c>
    </row>
    <row r="3808" spans="1:15" x14ac:dyDescent="0.3">
      <c r="A3808" t="s">
        <v>33</v>
      </c>
      <c r="B3808">
        <v>1935</v>
      </c>
      <c r="C3808" t="s">
        <v>496</v>
      </c>
      <c r="D3808" t="s">
        <v>114</v>
      </c>
      <c r="E3808" t="s">
        <v>1118</v>
      </c>
      <c r="F3808" t="s">
        <v>277</v>
      </c>
      <c r="G3808" t="s">
        <v>127</v>
      </c>
      <c r="H3808" t="s">
        <v>132</v>
      </c>
      <c r="I3808" t="s">
        <v>121</v>
      </c>
      <c r="J3808" t="s">
        <v>299</v>
      </c>
      <c r="K3808" t="s">
        <v>804</v>
      </c>
      <c r="L3808" t="s">
        <v>99</v>
      </c>
      <c r="M3808" t="s">
        <v>99</v>
      </c>
      <c r="N3808" t="s">
        <v>99</v>
      </c>
      <c r="O3808" t="s">
        <v>99</v>
      </c>
    </row>
    <row r="3809" spans="1:16" x14ac:dyDescent="0.3">
      <c r="A3809" t="s">
        <v>49</v>
      </c>
      <c r="B3809">
        <v>13314</v>
      </c>
      <c r="C3809" t="s">
        <v>728</v>
      </c>
      <c r="D3809" t="s">
        <v>107</v>
      </c>
      <c r="E3809" t="s">
        <v>801</v>
      </c>
      <c r="F3809" t="s">
        <v>144</v>
      </c>
      <c r="G3809" t="s">
        <v>292</v>
      </c>
      <c r="H3809" t="s">
        <v>126</v>
      </c>
      <c r="I3809" t="s">
        <v>151</v>
      </c>
      <c r="J3809" t="s">
        <v>688</v>
      </c>
      <c r="K3809" t="s">
        <v>444</v>
      </c>
      <c r="L3809" t="s">
        <v>136</v>
      </c>
      <c r="M3809" t="s">
        <v>198</v>
      </c>
      <c r="N3809" t="s">
        <v>99</v>
      </c>
      <c r="O3809" t="s">
        <v>99</v>
      </c>
    </row>
    <row r="3811" spans="1:16" x14ac:dyDescent="0.3">
      <c r="A3811" t="s">
        <v>1493</v>
      </c>
    </row>
    <row r="3812" spans="1:16" x14ac:dyDescent="0.3">
      <c r="A3812" t="s">
        <v>44</v>
      </c>
      <c r="B3812" t="s">
        <v>235</v>
      </c>
      <c r="C3812" t="s">
        <v>32</v>
      </c>
      <c r="D3812" t="s">
        <v>1482</v>
      </c>
      <c r="E3812" t="s">
        <v>1483</v>
      </c>
      <c r="F3812" t="s">
        <v>1484</v>
      </c>
      <c r="G3812" t="s">
        <v>1485</v>
      </c>
      <c r="H3812" t="s">
        <v>1486</v>
      </c>
      <c r="I3812" t="s">
        <v>1487</v>
      </c>
      <c r="J3812" t="s">
        <v>1488</v>
      </c>
      <c r="K3812" t="s">
        <v>1489</v>
      </c>
      <c r="L3812" t="s">
        <v>1490</v>
      </c>
      <c r="M3812" t="s">
        <v>1491</v>
      </c>
      <c r="N3812" t="s">
        <v>1492</v>
      </c>
      <c r="O3812" t="s">
        <v>1275</v>
      </c>
      <c r="P3812" t="s">
        <v>1353</v>
      </c>
    </row>
    <row r="3813" spans="1:16" x14ac:dyDescent="0.3">
      <c r="A3813" t="s">
        <v>35</v>
      </c>
      <c r="B3813" t="s">
        <v>236</v>
      </c>
      <c r="C3813">
        <v>1608</v>
      </c>
      <c r="D3813" t="s">
        <v>894</v>
      </c>
      <c r="E3813" t="s">
        <v>123</v>
      </c>
      <c r="F3813" t="s">
        <v>1193</v>
      </c>
      <c r="G3813" t="s">
        <v>353</v>
      </c>
      <c r="H3813" t="s">
        <v>215</v>
      </c>
      <c r="I3813" t="s">
        <v>99</v>
      </c>
      <c r="J3813" t="s">
        <v>99</v>
      </c>
      <c r="K3813" t="s">
        <v>112</v>
      </c>
      <c r="L3813" t="s">
        <v>363</v>
      </c>
      <c r="M3813" t="s">
        <v>136</v>
      </c>
      <c r="N3813" t="s">
        <v>99</v>
      </c>
      <c r="O3813" t="s">
        <v>99</v>
      </c>
      <c r="P3813" t="s">
        <v>99</v>
      </c>
    </row>
    <row r="3814" spans="1:16" x14ac:dyDescent="0.3">
      <c r="A3814" t="s">
        <v>35</v>
      </c>
      <c r="B3814" t="s">
        <v>238</v>
      </c>
      <c r="C3814">
        <v>1535</v>
      </c>
      <c r="D3814" t="s">
        <v>1494</v>
      </c>
      <c r="E3814" t="s">
        <v>420</v>
      </c>
      <c r="F3814" t="s">
        <v>318</v>
      </c>
      <c r="G3814" t="s">
        <v>468</v>
      </c>
      <c r="H3814" t="s">
        <v>121</v>
      </c>
      <c r="I3814" t="s">
        <v>207</v>
      </c>
      <c r="J3814" t="s">
        <v>111</v>
      </c>
      <c r="K3814" t="s">
        <v>920</v>
      </c>
      <c r="L3814" t="s">
        <v>739</v>
      </c>
      <c r="M3814" t="s">
        <v>99</v>
      </c>
      <c r="N3814" t="s">
        <v>141</v>
      </c>
      <c r="O3814" t="s">
        <v>104</v>
      </c>
      <c r="P3814" t="s">
        <v>99</v>
      </c>
    </row>
    <row r="3815" spans="1:16" x14ac:dyDescent="0.3">
      <c r="A3815" t="s">
        <v>37</v>
      </c>
      <c r="B3815" t="s">
        <v>236</v>
      </c>
      <c r="C3815">
        <v>2210</v>
      </c>
      <c r="D3815" t="s">
        <v>478</v>
      </c>
      <c r="E3815" t="s">
        <v>319</v>
      </c>
      <c r="F3815" t="s">
        <v>245</v>
      </c>
      <c r="G3815" t="s">
        <v>675</v>
      </c>
      <c r="H3815" t="s">
        <v>277</v>
      </c>
      <c r="I3815" t="s">
        <v>99</v>
      </c>
      <c r="J3815" t="s">
        <v>104</v>
      </c>
      <c r="K3815" t="s">
        <v>108</v>
      </c>
      <c r="L3815" t="s">
        <v>120</v>
      </c>
      <c r="M3815" t="s">
        <v>104</v>
      </c>
      <c r="N3815" t="s">
        <v>104</v>
      </c>
      <c r="O3815" t="s">
        <v>99</v>
      </c>
      <c r="P3815" t="s">
        <v>104</v>
      </c>
    </row>
    <row r="3816" spans="1:16" x14ac:dyDescent="0.3">
      <c r="A3816" t="s">
        <v>37</v>
      </c>
      <c r="B3816" t="s">
        <v>238</v>
      </c>
      <c r="C3816">
        <v>1643</v>
      </c>
      <c r="D3816" t="s">
        <v>350</v>
      </c>
      <c r="E3816" t="s">
        <v>121</v>
      </c>
      <c r="F3816" t="s">
        <v>740</v>
      </c>
      <c r="G3816" t="s">
        <v>107</v>
      </c>
      <c r="H3816" t="s">
        <v>108</v>
      </c>
      <c r="I3816" t="s">
        <v>99</v>
      </c>
      <c r="J3816" t="s">
        <v>101</v>
      </c>
      <c r="K3816" t="s">
        <v>218</v>
      </c>
      <c r="L3816" t="s">
        <v>665</v>
      </c>
      <c r="M3816" t="s">
        <v>198</v>
      </c>
      <c r="N3816" t="s">
        <v>99</v>
      </c>
      <c r="O3816" t="s">
        <v>99</v>
      </c>
      <c r="P3816" t="s">
        <v>99</v>
      </c>
    </row>
    <row r="3817" spans="1:16" x14ac:dyDescent="0.3">
      <c r="A3817" t="s">
        <v>36</v>
      </c>
      <c r="B3817" t="s">
        <v>236</v>
      </c>
      <c r="C3817">
        <v>1564</v>
      </c>
      <c r="D3817" t="s">
        <v>603</v>
      </c>
      <c r="E3817" t="s">
        <v>268</v>
      </c>
      <c r="F3817" t="s">
        <v>307</v>
      </c>
      <c r="G3817" t="s">
        <v>671</v>
      </c>
      <c r="H3817" t="s">
        <v>325</v>
      </c>
      <c r="I3817" t="s">
        <v>474</v>
      </c>
      <c r="J3817" t="s">
        <v>72</v>
      </c>
      <c r="K3817" t="s">
        <v>268</v>
      </c>
      <c r="L3817" t="s">
        <v>811</v>
      </c>
      <c r="M3817" t="s">
        <v>126</v>
      </c>
      <c r="N3817" t="s">
        <v>99</v>
      </c>
      <c r="O3817" t="s">
        <v>198</v>
      </c>
      <c r="P3817" t="s">
        <v>99</v>
      </c>
    </row>
    <row r="3818" spans="1:16" x14ac:dyDescent="0.3">
      <c r="A3818" t="s">
        <v>36</v>
      </c>
      <c r="B3818" t="s">
        <v>238</v>
      </c>
      <c r="C3818">
        <v>739</v>
      </c>
      <c r="D3818" t="s">
        <v>346</v>
      </c>
      <c r="E3818" t="s">
        <v>412</v>
      </c>
      <c r="F3818" t="s">
        <v>474</v>
      </c>
      <c r="G3818" t="s">
        <v>291</v>
      </c>
      <c r="H3818" t="s">
        <v>100</v>
      </c>
      <c r="I3818" t="s">
        <v>130</v>
      </c>
      <c r="J3818" t="s">
        <v>127</v>
      </c>
      <c r="K3818" t="s">
        <v>325</v>
      </c>
      <c r="L3818" t="s">
        <v>1167</v>
      </c>
      <c r="M3818" t="s">
        <v>198</v>
      </c>
      <c r="N3818" t="s">
        <v>99</v>
      </c>
      <c r="O3818" t="s">
        <v>99</v>
      </c>
      <c r="P3818" t="s">
        <v>99</v>
      </c>
    </row>
    <row r="3819" spans="1:16" x14ac:dyDescent="0.3">
      <c r="A3819" t="s">
        <v>34</v>
      </c>
      <c r="B3819" t="s">
        <v>236</v>
      </c>
      <c r="C3819">
        <v>717</v>
      </c>
      <c r="D3819" t="s">
        <v>1115</v>
      </c>
      <c r="E3819" t="s">
        <v>151</v>
      </c>
      <c r="F3819" t="s">
        <v>228</v>
      </c>
      <c r="G3819" t="s">
        <v>145</v>
      </c>
      <c r="H3819" t="s">
        <v>103</v>
      </c>
      <c r="I3819" t="s">
        <v>123</v>
      </c>
      <c r="J3819" t="s">
        <v>98</v>
      </c>
      <c r="K3819" t="s">
        <v>129</v>
      </c>
      <c r="L3819" t="s">
        <v>175</v>
      </c>
      <c r="M3819" t="s">
        <v>319</v>
      </c>
      <c r="N3819" t="s">
        <v>99</v>
      </c>
      <c r="O3819" t="s">
        <v>136</v>
      </c>
      <c r="P3819" t="s">
        <v>99</v>
      </c>
    </row>
    <row r="3820" spans="1:16" x14ac:dyDescent="0.3">
      <c r="A3820" t="s">
        <v>34</v>
      </c>
      <c r="B3820" t="s">
        <v>238</v>
      </c>
      <c r="C3820">
        <v>1363</v>
      </c>
      <c r="D3820" t="s">
        <v>918</v>
      </c>
      <c r="E3820" t="s">
        <v>114</v>
      </c>
      <c r="F3820" t="s">
        <v>701</v>
      </c>
      <c r="G3820" t="s">
        <v>158</v>
      </c>
      <c r="H3820" t="s">
        <v>114</v>
      </c>
      <c r="I3820" t="s">
        <v>663</v>
      </c>
      <c r="J3820" t="s">
        <v>134</v>
      </c>
      <c r="K3820" t="s">
        <v>692</v>
      </c>
      <c r="L3820" t="s">
        <v>924</v>
      </c>
      <c r="M3820" t="s">
        <v>100</v>
      </c>
      <c r="N3820" t="s">
        <v>141</v>
      </c>
      <c r="O3820" t="s">
        <v>99</v>
      </c>
      <c r="P3820" t="s">
        <v>104</v>
      </c>
    </row>
    <row r="3821" spans="1:16" x14ac:dyDescent="0.3">
      <c r="A3821" t="s">
        <v>33</v>
      </c>
      <c r="B3821" t="s">
        <v>236</v>
      </c>
      <c r="C3821">
        <v>1114</v>
      </c>
      <c r="D3821" t="s">
        <v>749</v>
      </c>
      <c r="E3821" t="s">
        <v>114</v>
      </c>
      <c r="F3821" t="s">
        <v>1162</v>
      </c>
      <c r="G3821" t="s">
        <v>135</v>
      </c>
      <c r="H3821" t="s">
        <v>316</v>
      </c>
      <c r="I3821" t="s">
        <v>207</v>
      </c>
      <c r="J3821" t="s">
        <v>198</v>
      </c>
      <c r="K3821" t="s">
        <v>215</v>
      </c>
      <c r="L3821" t="s">
        <v>684</v>
      </c>
      <c r="M3821" t="s">
        <v>99</v>
      </c>
      <c r="N3821" t="s">
        <v>99</v>
      </c>
      <c r="O3821" t="s">
        <v>99</v>
      </c>
      <c r="P3821" t="s">
        <v>99</v>
      </c>
    </row>
    <row r="3822" spans="1:16" x14ac:dyDescent="0.3">
      <c r="A3822" t="s">
        <v>33</v>
      </c>
      <c r="B3822" t="s">
        <v>238</v>
      </c>
      <c r="C3822">
        <v>821</v>
      </c>
      <c r="D3822" t="s">
        <v>815</v>
      </c>
      <c r="E3822" t="s">
        <v>100</v>
      </c>
      <c r="F3822" t="s">
        <v>276</v>
      </c>
      <c r="G3822" t="s">
        <v>332</v>
      </c>
      <c r="H3822" t="s">
        <v>114</v>
      </c>
      <c r="I3822" t="s">
        <v>319</v>
      </c>
      <c r="J3822" t="s">
        <v>292</v>
      </c>
      <c r="K3822" t="s">
        <v>726</v>
      </c>
      <c r="L3822" t="s">
        <v>264</v>
      </c>
      <c r="M3822" t="s">
        <v>104</v>
      </c>
      <c r="N3822" t="s">
        <v>99</v>
      </c>
      <c r="O3822" t="s">
        <v>99</v>
      </c>
      <c r="P3822" t="s">
        <v>99</v>
      </c>
    </row>
    <row r="3823" spans="1:16" x14ac:dyDescent="0.3">
      <c r="A3823" t="s">
        <v>49</v>
      </c>
      <c r="B3823" t="s">
        <v>236</v>
      </c>
      <c r="C3823">
        <v>7213</v>
      </c>
      <c r="D3823" t="s">
        <v>860</v>
      </c>
      <c r="E3823" t="s">
        <v>126</v>
      </c>
      <c r="F3823" t="s">
        <v>994</v>
      </c>
      <c r="G3823" t="s">
        <v>160</v>
      </c>
      <c r="H3823" t="s">
        <v>154</v>
      </c>
      <c r="I3823" t="s">
        <v>115</v>
      </c>
      <c r="J3823" t="s">
        <v>382</v>
      </c>
      <c r="K3823" t="s">
        <v>268</v>
      </c>
      <c r="L3823" t="s">
        <v>664</v>
      </c>
      <c r="M3823" t="s">
        <v>136</v>
      </c>
      <c r="N3823" t="s">
        <v>99</v>
      </c>
      <c r="O3823" t="s">
        <v>104</v>
      </c>
      <c r="P3823" t="s">
        <v>99</v>
      </c>
    </row>
    <row r="3824" spans="1:16" x14ac:dyDescent="0.3">
      <c r="A3824" t="s">
        <v>49</v>
      </c>
      <c r="B3824" t="s">
        <v>238</v>
      </c>
      <c r="C3824">
        <v>6101</v>
      </c>
      <c r="D3824" t="s">
        <v>1182</v>
      </c>
      <c r="E3824" t="s">
        <v>129</v>
      </c>
      <c r="F3824" t="s">
        <v>167</v>
      </c>
      <c r="G3824" t="s">
        <v>684</v>
      </c>
      <c r="H3824" t="s">
        <v>100</v>
      </c>
      <c r="I3824" t="s">
        <v>292</v>
      </c>
      <c r="J3824" t="s">
        <v>268</v>
      </c>
      <c r="K3824" t="s">
        <v>743</v>
      </c>
      <c r="L3824" t="s">
        <v>730</v>
      </c>
      <c r="M3824" t="s">
        <v>207</v>
      </c>
      <c r="N3824" t="s">
        <v>207</v>
      </c>
      <c r="O3824" t="s">
        <v>99</v>
      </c>
      <c r="P3824" t="s">
        <v>99</v>
      </c>
    </row>
    <row r="3826" spans="1:16" x14ac:dyDescent="0.3">
      <c r="A3826" t="s">
        <v>1495</v>
      </c>
    </row>
    <row r="3827" spans="1:16" x14ac:dyDescent="0.3">
      <c r="A3827" t="s">
        <v>44</v>
      </c>
      <c r="B3827" t="s">
        <v>361</v>
      </c>
      <c r="C3827" t="s">
        <v>32</v>
      </c>
      <c r="D3827" t="s">
        <v>1482</v>
      </c>
      <c r="E3827" t="s">
        <v>1483</v>
      </c>
      <c r="F3827" t="s">
        <v>1484</v>
      </c>
      <c r="G3827" t="s">
        <v>1485</v>
      </c>
      <c r="H3827" t="s">
        <v>1486</v>
      </c>
      <c r="I3827" t="s">
        <v>1487</v>
      </c>
      <c r="J3827" t="s">
        <v>1488</v>
      </c>
      <c r="K3827" t="s">
        <v>1489</v>
      </c>
      <c r="L3827" t="s">
        <v>1490</v>
      </c>
      <c r="M3827" t="s">
        <v>1491</v>
      </c>
      <c r="N3827" t="s">
        <v>1492</v>
      </c>
      <c r="O3827" t="s">
        <v>1275</v>
      </c>
      <c r="P3827" t="s">
        <v>1353</v>
      </c>
    </row>
    <row r="3828" spans="1:16" x14ac:dyDescent="0.3">
      <c r="A3828" t="s">
        <v>35</v>
      </c>
      <c r="B3828" t="s">
        <v>339</v>
      </c>
      <c r="C3828">
        <v>889</v>
      </c>
      <c r="D3828" t="s">
        <v>1113</v>
      </c>
      <c r="E3828" t="s">
        <v>158</v>
      </c>
      <c r="F3828" t="s">
        <v>668</v>
      </c>
      <c r="G3828" t="s">
        <v>248</v>
      </c>
      <c r="H3828" t="s">
        <v>121</v>
      </c>
      <c r="I3828" t="s">
        <v>115</v>
      </c>
      <c r="J3828" t="s">
        <v>115</v>
      </c>
      <c r="K3828" t="s">
        <v>264</v>
      </c>
      <c r="L3828" t="s">
        <v>251</v>
      </c>
      <c r="M3828" t="s">
        <v>207</v>
      </c>
      <c r="N3828" t="s">
        <v>115</v>
      </c>
      <c r="O3828" t="s">
        <v>99</v>
      </c>
      <c r="P3828" t="s">
        <v>99</v>
      </c>
    </row>
    <row r="3829" spans="1:16" x14ac:dyDescent="0.3">
      <c r="A3829" t="s">
        <v>35</v>
      </c>
      <c r="B3829" t="s">
        <v>340</v>
      </c>
      <c r="C3829">
        <v>2214</v>
      </c>
      <c r="D3829" t="s">
        <v>1115</v>
      </c>
      <c r="E3829" t="s">
        <v>160</v>
      </c>
      <c r="F3829" t="s">
        <v>224</v>
      </c>
      <c r="G3829" t="s">
        <v>468</v>
      </c>
      <c r="H3829" t="s">
        <v>319</v>
      </c>
      <c r="I3829" t="s">
        <v>99</v>
      </c>
      <c r="J3829" t="s">
        <v>151</v>
      </c>
      <c r="K3829" t="s">
        <v>665</v>
      </c>
      <c r="L3829" t="s">
        <v>482</v>
      </c>
      <c r="M3829" t="s">
        <v>99</v>
      </c>
      <c r="N3829" t="s">
        <v>207</v>
      </c>
      <c r="O3829" t="s">
        <v>104</v>
      </c>
      <c r="P3829" t="s">
        <v>99</v>
      </c>
    </row>
    <row r="3830" spans="1:16" x14ac:dyDescent="0.3">
      <c r="A3830" t="s">
        <v>35</v>
      </c>
      <c r="B3830" t="s">
        <v>365</v>
      </c>
      <c r="C3830">
        <v>40</v>
      </c>
      <c r="D3830" t="s">
        <v>925</v>
      </c>
      <c r="E3830" t="s">
        <v>117</v>
      </c>
      <c r="F3830" t="s">
        <v>540</v>
      </c>
      <c r="G3830" t="s">
        <v>325</v>
      </c>
      <c r="H3830" t="s">
        <v>99</v>
      </c>
      <c r="I3830" t="s">
        <v>99</v>
      </c>
      <c r="J3830" t="s">
        <v>99</v>
      </c>
      <c r="K3830" t="s">
        <v>420</v>
      </c>
      <c r="L3830" t="s">
        <v>463</v>
      </c>
      <c r="M3830" t="s">
        <v>99</v>
      </c>
      <c r="N3830" t="s">
        <v>99</v>
      </c>
      <c r="O3830" t="s">
        <v>99</v>
      </c>
      <c r="P3830" t="s">
        <v>99</v>
      </c>
    </row>
    <row r="3831" spans="1:16" x14ac:dyDescent="0.3">
      <c r="A3831" t="s">
        <v>37</v>
      </c>
      <c r="B3831" t="s">
        <v>339</v>
      </c>
      <c r="C3831">
        <v>1092</v>
      </c>
      <c r="D3831" t="s">
        <v>1067</v>
      </c>
      <c r="E3831" t="s">
        <v>126</v>
      </c>
      <c r="F3831" t="s">
        <v>910</v>
      </c>
      <c r="G3831" t="s">
        <v>328</v>
      </c>
      <c r="H3831" t="s">
        <v>149</v>
      </c>
      <c r="I3831" t="s">
        <v>99</v>
      </c>
      <c r="J3831" t="s">
        <v>104</v>
      </c>
      <c r="K3831" t="s">
        <v>292</v>
      </c>
      <c r="L3831" t="s">
        <v>109</v>
      </c>
      <c r="M3831" t="s">
        <v>136</v>
      </c>
      <c r="N3831" t="s">
        <v>207</v>
      </c>
      <c r="O3831" t="s">
        <v>99</v>
      </c>
      <c r="P3831" t="s">
        <v>99</v>
      </c>
    </row>
    <row r="3832" spans="1:16" x14ac:dyDescent="0.3">
      <c r="A3832" t="s">
        <v>37</v>
      </c>
      <c r="B3832" t="s">
        <v>340</v>
      </c>
      <c r="C3832">
        <v>2720</v>
      </c>
      <c r="D3832" t="s">
        <v>527</v>
      </c>
      <c r="E3832" t="s">
        <v>121</v>
      </c>
      <c r="F3832" t="s">
        <v>1178</v>
      </c>
      <c r="G3832" t="s">
        <v>149</v>
      </c>
      <c r="H3832" t="s">
        <v>120</v>
      </c>
      <c r="I3832" t="s">
        <v>99</v>
      </c>
      <c r="J3832" t="s">
        <v>132</v>
      </c>
      <c r="K3832" t="s">
        <v>78</v>
      </c>
      <c r="L3832" t="s">
        <v>175</v>
      </c>
      <c r="M3832" t="s">
        <v>99</v>
      </c>
      <c r="N3832" t="s">
        <v>99</v>
      </c>
      <c r="O3832" t="s">
        <v>99</v>
      </c>
      <c r="P3832" t="s">
        <v>104</v>
      </c>
    </row>
    <row r="3833" spans="1:16" x14ac:dyDescent="0.3">
      <c r="A3833" t="s">
        <v>37</v>
      </c>
      <c r="B3833" t="s">
        <v>365</v>
      </c>
      <c r="C3833">
        <v>41</v>
      </c>
      <c r="D3833" t="s">
        <v>102</v>
      </c>
      <c r="E3833" t="s">
        <v>151</v>
      </c>
      <c r="F3833" t="s">
        <v>863</v>
      </c>
      <c r="G3833" t="s">
        <v>74</v>
      </c>
      <c r="H3833" t="s">
        <v>99</v>
      </c>
      <c r="I3833" t="s">
        <v>99</v>
      </c>
      <c r="J3833" t="s">
        <v>99</v>
      </c>
      <c r="K3833" t="s">
        <v>99</v>
      </c>
      <c r="L3833" t="s">
        <v>721</v>
      </c>
      <c r="M3833" t="s">
        <v>99</v>
      </c>
      <c r="N3833" t="s">
        <v>99</v>
      </c>
      <c r="O3833" t="s">
        <v>99</v>
      </c>
      <c r="P3833" t="s">
        <v>99</v>
      </c>
    </row>
    <row r="3834" spans="1:16" x14ac:dyDescent="0.3">
      <c r="A3834" t="s">
        <v>36</v>
      </c>
      <c r="B3834" t="s">
        <v>339</v>
      </c>
      <c r="C3834">
        <v>769</v>
      </c>
      <c r="D3834" t="s">
        <v>1052</v>
      </c>
      <c r="E3834" t="s">
        <v>382</v>
      </c>
      <c r="F3834" t="s">
        <v>355</v>
      </c>
      <c r="G3834" t="s">
        <v>206</v>
      </c>
      <c r="H3834" t="s">
        <v>103</v>
      </c>
      <c r="I3834" t="s">
        <v>74</v>
      </c>
      <c r="J3834" t="s">
        <v>328</v>
      </c>
      <c r="K3834" t="s">
        <v>412</v>
      </c>
      <c r="L3834" t="s">
        <v>802</v>
      </c>
      <c r="M3834" t="s">
        <v>114</v>
      </c>
      <c r="N3834" t="s">
        <v>99</v>
      </c>
      <c r="O3834" t="s">
        <v>99</v>
      </c>
      <c r="P3834" t="s">
        <v>99</v>
      </c>
    </row>
    <row r="3835" spans="1:16" x14ac:dyDescent="0.3">
      <c r="A3835" t="s">
        <v>36</v>
      </c>
      <c r="B3835" t="s">
        <v>340</v>
      </c>
      <c r="C3835">
        <v>1471</v>
      </c>
      <c r="D3835" t="s">
        <v>522</v>
      </c>
      <c r="E3835" t="s">
        <v>277</v>
      </c>
      <c r="F3835" t="s">
        <v>714</v>
      </c>
      <c r="G3835" t="s">
        <v>142</v>
      </c>
      <c r="H3835" t="s">
        <v>138</v>
      </c>
      <c r="I3835" t="s">
        <v>105</v>
      </c>
      <c r="J3835" t="s">
        <v>434</v>
      </c>
      <c r="K3835" t="s">
        <v>130</v>
      </c>
      <c r="L3835" t="s">
        <v>805</v>
      </c>
      <c r="M3835" t="s">
        <v>253</v>
      </c>
      <c r="N3835" t="s">
        <v>99</v>
      </c>
      <c r="O3835" t="s">
        <v>104</v>
      </c>
      <c r="P3835" t="s">
        <v>99</v>
      </c>
    </row>
    <row r="3836" spans="1:16" x14ac:dyDescent="0.3">
      <c r="A3836" t="s">
        <v>36</v>
      </c>
      <c r="B3836" t="s">
        <v>365</v>
      </c>
      <c r="C3836">
        <v>63</v>
      </c>
      <c r="D3836" t="s">
        <v>1119</v>
      </c>
      <c r="E3836" t="s">
        <v>198</v>
      </c>
      <c r="F3836" t="s">
        <v>277</v>
      </c>
      <c r="G3836" t="s">
        <v>416</v>
      </c>
      <c r="H3836" t="s">
        <v>143</v>
      </c>
      <c r="I3836" t="s">
        <v>684</v>
      </c>
      <c r="J3836" t="s">
        <v>123</v>
      </c>
      <c r="K3836" t="s">
        <v>99</v>
      </c>
      <c r="L3836" t="s">
        <v>140</v>
      </c>
      <c r="M3836" t="s">
        <v>114</v>
      </c>
      <c r="N3836" t="s">
        <v>99</v>
      </c>
      <c r="O3836" t="s">
        <v>99</v>
      </c>
      <c r="P3836" t="s">
        <v>99</v>
      </c>
    </row>
    <row r="3837" spans="1:16" x14ac:dyDescent="0.3">
      <c r="A3837" t="s">
        <v>34</v>
      </c>
      <c r="B3837" t="s">
        <v>339</v>
      </c>
      <c r="C3837">
        <v>555</v>
      </c>
      <c r="D3837" t="s">
        <v>577</v>
      </c>
      <c r="E3837" t="s">
        <v>319</v>
      </c>
      <c r="F3837" t="s">
        <v>54</v>
      </c>
      <c r="G3837" t="s">
        <v>150</v>
      </c>
      <c r="H3837" t="s">
        <v>103</v>
      </c>
      <c r="I3837" t="s">
        <v>184</v>
      </c>
      <c r="J3837" t="s">
        <v>149</v>
      </c>
      <c r="K3837" t="s">
        <v>321</v>
      </c>
      <c r="L3837" t="s">
        <v>540</v>
      </c>
      <c r="M3837" t="s">
        <v>151</v>
      </c>
      <c r="N3837" t="s">
        <v>207</v>
      </c>
      <c r="O3837" t="s">
        <v>99</v>
      </c>
      <c r="P3837" t="s">
        <v>99</v>
      </c>
    </row>
    <row r="3838" spans="1:16" x14ac:dyDescent="0.3">
      <c r="A3838" t="s">
        <v>34</v>
      </c>
      <c r="B3838" t="s">
        <v>340</v>
      </c>
      <c r="C3838">
        <v>1497</v>
      </c>
      <c r="D3838" t="s">
        <v>527</v>
      </c>
      <c r="E3838" t="s">
        <v>101</v>
      </c>
      <c r="F3838" t="s">
        <v>342</v>
      </c>
      <c r="G3838" t="s">
        <v>68</v>
      </c>
      <c r="H3838" t="s">
        <v>108</v>
      </c>
      <c r="I3838" t="s">
        <v>110</v>
      </c>
      <c r="J3838" t="s">
        <v>129</v>
      </c>
      <c r="K3838" t="s">
        <v>673</v>
      </c>
      <c r="L3838" t="s">
        <v>513</v>
      </c>
      <c r="M3838" t="s">
        <v>132</v>
      </c>
      <c r="N3838" t="s">
        <v>136</v>
      </c>
      <c r="O3838" t="s">
        <v>198</v>
      </c>
      <c r="P3838" t="s">
        <v>104</v>
      </c>
    </row>
    <row r="3839" spans="1:16" x14ac:dyDescent="0.3">
      <c r="A3839" t="s">
        <v>34</v>
      </c>
      <c r="B3839" t="s">
        <v>365</v>
      </c>
      <c r="C3839">
        <v>28</v>
      </c>
      <c r="D3839" t="s">
        <v>1180</v>
      </c>
      <c r="E3839" t="s">
        <v>99</v>
      </c>
      <c r="F3839" t="s">
        <v>315</v>
      </c>
      <c r="G3839" t="s">
        <v>461</v>
      </c>
      <c r="H3839" t="s">
        <v>319</v>
      </c>
      <c r="I3839" t="s">
        <v>291</v>
      </c>
      <c r="J3839" t="s">
        <v>114</v>
      </c>
      <c r="K3839" t="s">
        <v>730</v>
      </c>
      <c r="L3839" t="s">
        <v>828</v>
      </c>
      <c r="M3839" t="s">
        <v>99</v>
      </c>
      <c r="N3839" t="s">
        <v>99</v>
      </c>
      <c r="O3839" t="s">
        <v>99</v>
      </c>
      <c r="P3839" t="s">
        <v>99</v>
      </c>
    </row>
    <row r="3840" spans="1:16" x14ac:dyDescent="0.3">
      <c r="A3840" t="s">
        <v>33</v>
      </c>
      <c r="B3840" t="s">
        <v>339</v>
      </c>
      <c r="C3840">
        <v>502</v>
      </c>
      <c r="D3840" t="s">
        <v>549</v>
      </c>
      <c r="E3840" t="s">
        <v>101</v>
      </c>
      <c r="F3840" t="s">
        <v>808</v>
      </c>
      <c r="G3840" t="s">
        <v>144</v>
      </c>
      <c r="H3840" t="s">
        <v>268</v>
      </c>
      <c r="I3840" t="s">
        <v>100</v>
      </c>
      <c r="J3840" t="s">
        <v>382</v>
      </c>
      <c r="K3840" t="s">
        <v>124</v>
      </c>
      <c r="L3840" t="s">
        <v>204</v>
      </c>
      <c r="M3840" t="s">
        <v>99</v>
      </c>
      <c r="N3840" t="s">
        <v>99</v>
      </c>
      <c r="O3840" t="s">
        <v>99</v>
      </c>
      <c r="P3840" t="s">
        <v>99</v>
      </c>
    </row>
    <row r="3841" spans="1:16" x14ac:dyDescent="0.3">
      <c r="A3841" t="s">
        <v>33</v>
      </c>
      <c r="B3841" t="s">
        <v>340</v>
      </c>
      <c r="C3841">
        <v>1414</v>
      </c>
      <c r="D3841" t="s">
        <v>806</v>
      </c>
      <c r="E3841" t="s">
        <v>114</v>
      </c>
      <c r="F3841" t="s">
        <v>577</v>
      </c>
      <c r="G3841" t="s">
        <v>139</v>
      </c>
      <c r="H3841" t="s">
        <v>215</v>
      </c>
      <c r="I3841" t="s">
        <v>132</v>
      </c>
      <c r="J3841" t="s">
        <v>114</v>
      </c>
      <c r="K3841" t="s">
        <v>182</v>
      </c>
      <c r="L3841" t="s">
        <v>163</v>
      </c>
      <c r="M3841" t="s">
        <v>104</v>
      </c>
      <c r="N3841" t="s">
        <v>99</v>
      </c>
      <c r="O3841" t="s">
        <v>99</v>
      </c>
      <c r="P3841" t="s">
        <v>99</v>
      </c>
    </row>
    <row r="3842" spans="1:16" x14ac:dyDescent="0.3">
      <c r="A3842" t="s">
        <v>33</v>
      </c>
      <c r="B3842" t="s">
        <v>365</v>
      </c>
      <c r="C3842">
        <v>19</v>
      </c>
      <c r="D3842" t="s">
        <v>591</v>
      </c>
      <c r="E3842" t="s">
        <v>99</v>
      </c>
      <c r="F3842" t="s">
        <v>1120</v>
      </c>
      <c r="G3842" t="s">
        <v>188</v>
      </c>
      <c r="H3842" t="s">
        <v>99</v>
      </c>
      <c r="I3842" t="s">
        <v>99</v>
      </c>
      <c r="J3842" t="s">
        <v>99</v>
      </c>
      <c r="K3842" t="s">
        <v>139</v>
      </c>
      <c r="L3842" t="s">
        <v>328</v>
      </c>
      <c r="M3842" t="s">
        <v>99</v>
      </c>
      <c r="N3842" t="s">
        <v>99</v>
      </c>
      <c r="O3842" t="s">
        <v>99</v>
      </c>
      <c r="P3842" t="s">
        <v>99</v>
      </c>
    </row>
    <row r="3843" spans="1:16" x14ac:dyDescent="0.3">
      <c r="A3843" t="s">
        <v>49</v>
      </c>
      <c r="B3843" t="s">
        <v>339</v>
      </c>
      <c r="C3843">
        <v>3807</v>
      </c>
      <c r="D3843" t="s">
        <v>609</v>
      </c>
      <c r="E3843" t="s">
        <v>103</v>
      </c>
      <c r="F3843" t="s">
        <v>56</v>
      </c>
      <c r="G3843" t="s">
        <v>122</v>
      </c>
      <c r="H3843" t="s">
        <v>128</v>
      </c>
      <c r="I3843" t="s">
        <v>103</v>
      </c>
      <c r="J3843" t="s">
        <v>151</v>
      </c>
      <c r="K3843" t="s">
        <v>296</v>
      </c>
      <c r="L3843" t="s">
        <v>731</v>
      </c>
      <c r="M3843" t="s">
        <v>115</v>
      </c>
      <c r="N3843" t="s">
        <v>207</v>
      </c>
      <c r="O3843" t="s">
        <v>99</v>
      </c>
      <c r="P3843" t="s">
        <v>99</v>
      </c>
    </row>
    <row r="3844" spans="1:16" x14ac:dyDescent="0.3">
      <c r="A3844" t="s">
        <v>49</v>
      </c>
      <c r="B3844" t="s">
        <v>340</v>
      </c>
      <c r="C3844">
        <v>9316</v>
      </c>
      <c r="D3844" t="s">
        <v>899</v>
      </c>
      <c r="E3844" t="s">
        <v>105</v>
      </c>
      <c r="F3844" t="s">
        <v>1156</v>
      </c>
      <c r="G3844" t="s">
        <v>98</v>
      </c>
      <c r="H3844" t="s">
        <v>123</v>
      </c>
      <c r="I3844" t="s">
        <v>100</v>
      </c>
      <c r="J3844" t="s">
        <v>151</v>
      </c>
      <c r="K3844" t="s">
        <v>201</v>
      </c>
      <c r="L3844" t="s">
        <v>373</v>
      </c>
      <c r="M3844" t="s">
        <v>198</v>
      </c>
      <c r="N3844" t="s">
        <v>198</v>
      </c>
      <c r="O3844" t="s">
        <v>104</v>
      </c>
      <c r="P3844" t="s">
        <v>99</v>
      </c>
    </row>
    <row r="3845" spans="1:16" x14ac:dyDescent="0.3">
      <c r="A3845" t="s">
        <v>49</v>
      </c>
      <c r="B3845" t="s">
        <v>365</v>
      </c>
      <c r="C3845">
        <v>191</v>
      </c>
      <c r="D3845" t="s">
        <v>1256</v>
      </c>
      <c r="E3845" t="s">
        <v>100</v>
      </c>
      <c r="F3845" t="s">
        <v>626</v>
      </c>
      <c r="G3845" t="s">
        <v>125</v>
      </c>
      <c r="H3845" t="s">
        <v>319</v>
      </c>
      <c r="I3845" t="s">
        <v>155</v>
      </c>
      <c r="J3845" t="s">
        <v>141</v>
      </c>
      <c r="K3845" t="s">
        <v>78</v>
      </c>
      <c r="L3845" t="s">
        <v>298</v>
      </c>
      <c r="M3845" t="s">
        <v>198</v>
      </c>
      <c r="N3845" t="s">
        <v>99</v>
      </c>
      <c r="O3845" t="s">
        <v>99</v>
      </c>
      <c r="P3845" t="s">
        <v>99</v>
      </c>
    </row>
    <row r="3847" spans="1:16" x14ac:dyDescent="0.3">
      <c r="A3847" t="s">
        <v>1496</v>
      </c>
    </row>
    <row r="3848" spans="1:16" x14ac:dyDescent="0.3">
      <c r="A3848" t="s">
        <v>44</v>
      </c>
      <c r="B3848" t="s">
        <v>209</v>
      </c>
      <c r="C3848" t="s">
        <v>32</v>
      </c>
      <c r="D3848" t="s">
        <v>1482</v>
      </c>
      <c r="E3848" t="s">
        <v>1483</v>
      </c>
      <c r="F3848" t="s">
        <v>1484</v>
      </c>
      <c r="G3848" t="s">
        <v>1485</v>
      </c>
      <c r="H3848" t="s">
        <v>1486</v>
      </c>
      <c r="I3848" t="s">
        <v>1487</v>
      </c>
      <c r="J3848" t="s">
        <v>1488</v>
      </c>
      <c r="K3848" t="s">
        <v>1489</v>
      </c>
      <c r="L3848" t="s">
        <v>1490</v>
      </c>
      <c r="M3848" t="s">
        <v>1491</v>
      </c>
      <c r="N3848" t="s">
        <v>1492</v>
      </c>
      <c r="O3848" t="s">
        <v>1275</v>
      </c>
      <c r="P3848" t="s">
        <v>1353</v>
      </c>
    </row>
    <row r="3849" spans="1:16" x14ac:dyDescent="0.3">
      <c r="A3849" t="s">
        <v>35</v>
      </c>
      <c r="B3849" t="s">
        <v>210</v>
      </c>
      <c r="C3849">
        <v>136</v>
      </c>
      <c r="D3849" t="s">
        <v>555</v>
      </c>
      <c r="E3849" t="s">
        <v>184</v>
      </c>
      <c r="F3849" t="s">
        <v>440</v>
      </c>
      <c r="G3849" t="s">
        <v>118</v>
      </c>
      <c r="H3849" t="s">
        <v>99</v>
      </c>
      <c r="I3849" t="s">
        <v>99</v>
      </c>
      <c r="J3849" t="s">
        <v>115</v>
      </c>
      <c r="K3849" t="s">
        <v>795</v>
      </c>
      <c r="L3849" t="s">
        <v>106</v>
      </c>
      <c r="M3849" t="s">
        <v>99</v>
      </c>
      <c r="N3849" t="s">
        <v>99</v>
      </c>
      <c r="O3849" t="s">
        <v>99</v>
      </c>
      <c r="P3849" t="s">
        <v>99</v>
      </c>
    </row>
    <row r="3850" spans="1:16" x14ac:dyDescent="0.3">
      <c r="A3850" t="s">
        <v>35</v>
      </c>
      <c r="B3850" t="s">
        <v>212</v>
      </c>
      <c r="C3850">
        <v>2441</v>
      </c>
      <c r="D3850" t="s">
        <v>1232</v>
      </c>
      <c r="E3850" t="s">
        <v>468</v>
      </c>
      <c r="F3850" t="s">
        <v>146</v>
      </c>
      <c r="G3850" t="s">
        <v>109</v>
      </c>
      <c r="H3850" t="s">
        <v>127</v>
      </c>
      <c r="I3850" t="s">
        <v>207</v>
      </c>
      <c r="J3850" t="s">
        <v>207</v>
      </c>
      <c r="K3850" t="s">
        <v>406</v>
      </c>
      <c r="L3850" t="s">
        <v>222</v>
      </c>
      <c r="M3850" t="s">
        <v>198</v>
      </c>
      <c r="N3850" t="s">
        <v>253</v>
      </c>
      <c r="O3850" t="s">
        <v>104</v>
      </c>
      <c r="P3850" t="s">
        <v>99</v>
      </c>
    </row>
    <row r="3851" spans="1:16" x14ac:dyDescent="0.3">
      <c r="A3851" t="s">
        <v>35</v>
      </c>
      <c r="B3851" t="s">
        <v>216</v>
      </c>
      <c r="C3851">
        <v>566</v>
      </c>
      <c r="D3851" t="s">
        <v>650</v>
      </c>
      <c r="E3851" t="s">
        <v>72</v>
      </c>
      <c r="F3851" t="s">
        <v>432</v>
      </c>
      <c r="G3851" t="s">
        <v>158</v>
      </c>
      <c r="H3851" t="s">
        <v>141</v>
      </c>
      <c r="I3851" t="s">
        <v>99</v>
      </c>
      <c r="J3851" t="s">
        <v>412</v>
      </c>
      <c r="K3851" t="s">
        <v>745</v>
      </c>
      <c r="L3851" t="s">
        <v>482</v>
      </c>
      <c r="M3851" t="s">
        <v>99</v>
      </c>
      <c r="N3851" t="s">
        <v>99</v>
      </c>
      <c r="O3851" t="s">
        <v>99</v>
      </c>
      <c r="P3851" t="s">
        <v>99</v>
      </c>
    </row>
    <row r="3852" spans="1:16" x14ac:dyDescent="0.3">
      <c r="A3852" t="s">
        <v>37</v>
      </c>
      <c r="B3852" t="s">
        <v>210</v>
      </c>
      <c r="C3852">
        <v>138</v>
      </c>
      <c r="D3852" t="s">
        <v>818</v>
      </c>
      <c r="E3852" t="s">
        <v>141</v>
      </c>
      <c r="F3852" t="s">
        <v>131</v>
      </c>
      <c r="G3852" t="s">
        <v>712</v>
      </c>
      <c r="H3852" t="s">
        <v>154</v>
      </c>
      <c r="I3852" t="s">
        <v>99</v>
      </c>
      <c r="J3852" t="s">
        <v>100</v>
      </c>
      <c r="K3852" t="s">
        <v>933</v>
      </c>
      <c r="L3852" t="s">
        <v>1214</v>
      </c>
      <c r="M3852" t="s">
        <v>99</v>
      </c>
      <c r="N3852" t="s">
        <v>99</v>
      </c>
      <c r="O3852" t="s">
        <v>99</v>
      </c>
      <c r="P3852" t="s">
        <v>100</v>
      </c>
    </row>
    <row r="3853" spans="1:16" x14ac:dyDescent="0.3">
      <c r="A3853" t="s">
        <v>37</v>
      </c>
      <c r="B3853" t="s">
        <v>212</v>
      </c>
      <c r="C3853">
        <v>3604</v>
      </c>
      <c r="D3853" t="s">
        <v>645</v>
      </c>
      <c r="E3853" t="s">
        <v>101</v>
      </c>
      <c r="F3853" t="s">
        <v>1258</v>
      </c>
      <c r="G3853" t="s">
        <v>412</v>
      </c>
      <c r="H3853" t="s">
        <v>138</v>
      </c>
      <c r="I3853" t="s">
        <v>99</v>
      </c>
      <c r="J3853" t="s">
        <v>141</v>
      </c>
      <c r="K3853" t="s">
        <v>684</v>
      </c>
      <c r="L3853" t="s">
        <v>311</v>
      </c>
      <c r="M3853" t="s">
        <v>198</v>
      </c>
      <c r="N3853" t="s">
        <v>104</v>
      </c>
      <c r="O3853" t="s">
        <v>99</v>
      </c>
      <c r="P3853" t="s">
        <v>99</v>
      </c>
    </row>
    <row r="3854" spans="1:16" x14ac:dyDescent="0.3">
      <c r="A3854" t="s">
        <v>37</v>
      </c>
      <c r="B3854" t="s">
        <v>216</v>
      </c>
      <c r="C3854">
        <v>111</v>
      </c>
      <c r="D3854" t="s">
        <v>1256</v>
      </c>
      <c r="E3854" t="s">
        <v>128</v>
      </c>
      <c r="F3854" t="s">
        <v>806</v>
      </c>
      <c r="G3854" t="s">
        <v>74</v>
      </c>
      <c r="H3854" t="s">
        <v>215</v>
      </c>
      <c r="I3854" t="s">
        <v>99</v>
      </c>
      <c r="J3854" t="s">
        <v>138</v>
      </c>
      <c r="K3854" t="s">
        <v>315</v>
      </c>
      <c r="L3854" t="s">
        <v>731</v>
      </c>
      <c r="M3854" t="s">
        <v>99</v>
      </c>
      <c r="N3854" t="s">
        <v>99</v>
      </c>
      <c r="O3854" t="s">
        <v>99</v>
      </c>
      <c r="P3854" t="s">
        <v>99</v>
      </c>
    </row>
    <row r="3855" spans="1:16" x14ac:dyDescent="0.3">
      <c r="A3855" t="s">
        <v>36</v>
      </c>
      <c r="B3855" t="s">
        <v>210</v>
      </c>
      <c r="C3855">
        <v>165</v>
      </c>
      <c r="D3855" t="s">
        <v>613</v>
      </c>
      <c r="E3855" t="s">
        <v>72</v>
      </c>
      <c r="F3855" t="s">
        <v>412</v>
      </c>
      <c r="G3855" t="s">
        <v>311</v>
      </c>
      <c r="H3855" t="s">
        <v>100</v>
      </c>
      <c r="I3855" t="s">
        <v>714</v>
      </c>
      <c r="J3855" t="s">
        <v>98</v>
      </c>
      <c r="K3855" t="s">
        <v>264</v>
      </c>
      <c r="L3855" t="s">
        <v>344</v>
      </c>
      <c r="M3855" t="s">
        <v>132</v>
      </c>
      <c r="N3855" t="s">
        <v>99</v>
      </c>
      <c r="O3855" t="s">
        <v>99</v>
      </c>
      <c r="P3855" t="s">
        <v>99</v>
      </c>
    </row>
    <row r="3856" spans="1:16" x14ac:dyDescent="0.3">
      <c r="A3856" t="s">
        <v>36</v>
      </c>
      <c r="B3856" t="s">
        <v>212</v>
      </c>
      <c r="C3856">
        <v>1874</v>
      </c>
      <c r="D3856" t="s">
        <v>1069</v>
      </c>
      <c r="E3856" t="s">
        <v>105</v>
      </c>
      <c r="F3856" t="s">
        <v>76</v>
      </c>
      <c r="G3856" t="s">
        <v>804</v>
      </c>
      <c r="H3856" t="s">
        <v>332</v>
      </c>
      <c r="I3856" t="s">
        <v>120</v>
      </c>
      <c r="J3856" t="s">
        <v>139</v>
      </c>
      <c r="K3856" t="s">
        <v>128</v>
      </c>
      <c r="L3856" t="s">
        <v>425</v>
      </c>
      <c r="M3856" t="s">
        <v>132</v>
      </c>
      <c r="N3856" t="s">
        <v>99</v>
      </c>
      <c r="O3856" t="s">
        <v>104</v>
      </c>
      <c r="P3856" t="s">
        <v>99</v>
      </c>
    </row>
    <row r="3857" spans="1:16" x14ac:dyDescent="0.3">
      <c r="A3857" t="s">
        <v>36</v>
      </c>
      <c r="B3857" t="s">
        <v>216</v>
      </c>
      <c r="C3857">
        <v>264</v>
      </c>
      <c r="D3857" t="s">
        <v>507</v>
      </c>
      <c r="E3857" t="s">
        <v>105</v>
      </c>
      <c r="F3857" t="s">
        <v>72</v>
      </c>
      <c r="G3857" t="s">
        <v>76</v>
      </c>
      <c r="H3857" t="s">
        <v>111</v>
      </c>
      <c r="I3857" t="s">
        <v>74</v>
      </c>
      <c r="J3857" t="s">
        <v>118</v>
      </c>
      <c r="K3857" t="s">
        <v>684</v>
      </c>
      <c r="L3857" t="s">
        <v>283</v>
      </c>
      <c r="M3857" t="s">
        <v>115</v>
      </c>
      <c r="N3857" t="s">
        <v>99</v>
      </c>
      <c r="O3857" t="s">
        <v>99</v>
      </c>
      <c r="P3857" t="s">
        <v>99</v>
      </c>
    </row>
    <row r="3858" spans="1:16" x14ac:dyDescent="0.3">
      <c r="A3858" t="s">
        <v>34</v>
      </c>
      <c r="B3858" t="s">
        <v>210</v>
      </c>
      <c r="C3858">
        <v>256</v>
      </c>
      <c r="D3858" t="s">
        <v>923</v>
      </c>
      <c r="E3858" t="s">
        <v>108</v>
      </c>
      <c r="F3858" t="s">
        <v>694</v>
      </c>
      <c r="G3858" t="s">
        <v>468</v>
      </c>
      <c r="H3858" t="s">
        <v>103</v>
      </c>
      <c r="I3858" t="s">
        <v>105</v>
      </c>
      <c r="J3858" t="s">
        <v>332</v>
      </c>
      <c r="K3858" t="s">
        <v>137</v>
      </c>
      <c r="L3858" t="s">
        <v>570</v>
      </c>
      <c r="M3858" t="s">
        <v>215</v>
      </c>
      <c r="N3858" t="s">
        <v>99</v>
      </c>
      <c r="O3858" t="s">
        <v>99</v>
      </c>
      <c r="P3858" t="s">
        <v>99</v>
      </c>
    </row>
    <row r="3859" spans="1:16" x14ac:dyDescent="0.3">
      <c r="A3859" t="s">
        <v>34</v>
      </c>
      <c r="B3859" t="s">
        <v>212</v>
      </c>
      <c r="C3859">
        <v>1582</v>
      </c>
      <c r="D3859" t="s">
        <v>555</v>
      </c>
      <c r="E3859" t="s">
        <v>100</v>
      </c>
      <c r="F3859" t="s">
        <v>64</v>
      </c>
      <c r="G3859" t="s">
        <v>684</v>
      </c>
      <c r="H3859" t="s">
        <v>100</v>
      </c>
      <c r="I3859" t="s">
        <v>98</v>
      </c>
      <c r="J3859" t="s">
        <v>112</v>
      </c>
      <c r="K3859" t="s">
        <v>173</v>
      </c>
      <c r="L3859" t="s">
        <v>802</v>
      </c>
      <c r="M3859" t="s">
        <v>114</v>
      </c>
      <c r="N3859" t="s">
        <v>141</v>
      </c>
      <c r="O3859" t="s">
        <v>198</v>
      </c>
      <c r="P3859" t="s">
        <v>104</v>
      </c>
    </row>
    <row r="3860" spans="1:16" x14ac:dyDescent="0.3">
      <c r="A3860" t="s">
        <v>34</v>
      </c>
      <c r="B3860" t="s">
        <v>216</v>
      </c>
      <c r="C3860">
        <v>242</v>
      </c>
      <c r="D3860" t="s">
        <v>907</v>
      </c>
      <c r="E3860" t="s">
        <v>120</v>
      </c>
      <c r="F3860" t="s">
        <v>499</v>
      </c>
      <c r="G3860" t="s">
        <v>78</v>
      </c>
      <c r="H3860" t="s">
        <v>123</v>
      </c>
      <c r="I3860" t="s">
        <v>145</v>
      </c>
      <c r="J3860" t="s">
        <v>154</v>
      </c>
      <c r="K3860" t="s">
        <v>186</v>
      </c>
      <c r="L3860" t="s">
        <v>1154</v>
      </c>
      <c r="M3860" t="s">
        <v>126</v>
      </c>
      <c r="N3860" t="s">
        <v>99</v>
      </c>
      <c r="O3860" t="s">
        <v>99</v>
      </c>
      <c r="P3860" t="s">
        <v>99</v>
      </c>
    </row>
    <row r="3861" spans="1:16" x14ac:dyDescent="0.3">
      <c r="A3861" t="s">
        <v>33</v>
      </c>
      <c r="B3861" t="s">
        <v>210</v>
      </c>
      <c r="C3861">
        <v>67</v>
      </c>
      <c r="D3861" t="s">
        <v>1497</v>
      </c>
      <c r="E3861" t="s">
        <v>99</v>
      </c>
      <c r="F3861" t="s">
        <v>534</v>
      </c>
      <c r="G3861" t="s">
        <v>328</v>
      </c>
      <c r="H3861" t="s">
        <v>215</v>
      </c>
      <c r="I3861" t="s">
        <v>99</v>
      </c>
      <c r="J3861" t="s">
        <v>215</v>
      </c>
      <c r="K3861" t="s">
        <v>702</v>
      </c>
      <c r="L3861" t="s">
        <v>868</v>
      </c>
      <c r="M3861" t="s">
        <v>99</v>
      </c>
      <c r="N3861" t="s">
        <v>99</v>
      </c>
      <c r="O3861" t="s">
        <v>99</v>
      </c>
      <c r="P3861" t="s">
        <v>99</v>
      </c>
    </row>
    <row r="3862" spans="1:16" x14ac:dyDescent="0.3">
      <c r="A3862" t="s">
        <v>33</v>
      </c>
      <c r="B3862" t="s">
        <v>212</v>
      </c>
      <c r="C3862">
        <v>1799</v>
      </c>
      <c r="D3862" t="s">
        <v>806</v>
      </c>
      <c r="E3862" t="s">
        <v>100</v>
      </c>
      <c r="F3862" t="s">
        <v>1498</v>
      </c>
      <c r="G3862" t="s">
        <v>277</v>
      </c>
      <c r="H3862" t="s">
        <v>123</v>
      </c>
      <c r="I3862" t="s">
        <v>132</v>
      </c>
      <c r="J3862" t="s">
        <v>100</v>
      </c>
      <c r="K3862" t="s">
        <v>152</v>
      </c>
      <c r="L3862" t="s">
        <v>461</v>
      </c>
      <c r="M3862" t="s">
        <v>99</v>
      </c>
      <c r="N3862" t="s">
        <v>99</v>
      </c>
      <c r="O3862" t="s">
        <v>99</v>
      </c>
      <c r="P3862" t="s">
        <v>99</v>
      </c>
    </row>
    <row r="3863" spans="1:16" x14ac:dyDescent="0.3">
      <c r="A3863" t="s">
        <v>33</v>
      </c>
      <c r="B3863" t="s">
        <v>216</v>
      </c>
      <c r="C3863">
        <v>69</v>
      </c>
      <c r="D3863" t="s">
        <v>591</v>
      </c>
      <c r="E3863" t="s">
        <v>99</v>
      </c>
      <c r="F3863" t="s">
        <v>140</v>
      </c>
      <c r="G3863" t="s">
        <v>98</v>
      </c>
      <c r="H3863" t="s">
        <v>99</v>
      </c>
      <c r="I3863" t="s">
        <v>382</v>
      </c>
      <c r="J3863" t="s">
        <v>382</v>
      </c>
      <c r="K3863" t="s">
        <v>499</v>
      </c>
      <c r="L3863" t="s">
        <v>39</v>
      </c>
      <c r="M3863" t="s">
        <v>99</v>
      </c>
      <c r="N3863" t="s">
        <v>99</v>
      </c>
      <c r="O3863" t="s">
        <v>99</v>
      </c>
      <c r="P3863" t="s">
        <v>99</v>
      </c>
    </row>
    <row r="3864" spans="1:16" x14ac:dyDescent="0.3">
      <c r="A3864" t="s">
        <v>49</v>
      </c>
      <c r="B3864" t="s">
        <v>210</v>
      </c>
      <c r="C3864">
        <v>762</v>
      </c>
      <c r="D3864" t="s">
        <v>620</v>
      </c>
      <c r="E3864" t="s">
        <v>105</v>
      </c>
      <c r="F3864" t="s">
        <v>186</v>
      </c>
      <c r="G3864" t="s">
        <v>328</v>
      </c>
      <c r="H3864" t="s">
        <v>123</v>
      </c>
      <c r="I3864" t="s">
        <v>107</v>
      </c>
      <c r="J3864" t="s">
        <v>316</v>
      </c>
      <c r="K3864" t="s">
        <v>894</v>
      </c>
      <c r="L3864" t="s">
        <v>600</v>
      </c>
      <c r="M3864" t="s">
        <v>132</v>
      </c>
      <c r="N3864" t="s">
        <v>99</v>
      </c>
      <c r="O3864" t="s">
        <v>99</v>
      </c>
      <c r="P3864" t="s">
        <v>198</v>
      </c>
    </row>
    <row r="3865" spans="1:16" x14ac:dyDescent="0.3">
      <c r="A3865" t="s">
        <v>49</v>
      </c>
      <c r="B3865" t="s">
        <v>212</v>
      </c>
      <c r="C3865">
        <v>11300</v>
      </c>
      <c r="D3865" t="s">
        <v>824</v>
      </c>
      <c r="E3865" t="s">
        <v>103</v>
      </c>
      <c r="F3865" t="s">
        <v>806</v>
      </c>
      <c r="G3865" t="s">
        <v>204</v>
      </c>
      <c r="H3865" t="s">
        <v>268</v>
      </c>
      <c r="I3865" t="s">
        <v>101</v>
      </c>
      <c r="J3865" t="s">
        <v>382</v>
      </c>
      <c r="K3865" t="s">
        <v>220</v>
      </c>
      <c r="L3865" t="s">
        <v>355</v>
      </c>
      <c r="M3865" t="s">
        <v>207</v>
      </c>
      <c r="N3865" t="s">
        <v>198</v>
      </c>
      <c r="O3865" t="s">
        <v>104</v>
      </c>
      <c r="P3865" t="s">
        <v>99</v>
      </c>
    </row>
    <row r="3866" spans="1:16" x14ac:dyDescent="0.3">
      <c r="A3866" t="s">
        <v>49</v>
      </c>
      <c r="B3866" t="s">
        <v>216</v>
      </c>
      <c r="C3866">
        <v>1252</v>
      </c>
      <c r="D3866" t="s">
        <v>527</v>
      </c>
      <c r="E3866" t="s">
        <v>143</v>
      </c>
      <c r="F3866" t="s">
        <v>740</v>
      </c>
      <c r="G3866" t="s">
        <v>663</v>
      </c>
      <c r="H3866" t="s">
        <v>114</v>
      </c>
      <c r="I3866" t="s">
        <v>123</v>
      </c>
      <c r="J3866" t="s">
        <v>712</v>
      </c>
      <c r="K3866" t="s">
        <v>715</v>
      </c>
      <c r="L3866" t="s">
        <v>741</v>
      </c>
      <c r="M3866" t="s">
        <v>136</v>
      </c>
      <c r="N3866" t="s">
        <v>99</v>
      </c>
      <c r="O3866" t="s">
        <v>99</v>
      </c>
      <c r="P3866" t="s">
        <v>99</v>
      </c>
    </row>
    <row r="3868" spans="1:16" x14ac:dyDescent="0.3">
      <c r="A3868" t="s">
        <v>1499</v>
      </c>
    </row>
    <row r="3869" spans="1:16" x14ac:dyDescent="0.3">
      <c r="A3869" t="s">
        <v>44</v>
      </c>
      <c r="B3869" t="s">
        <v>879</v>
      </c>
      <c r="C3869" t="s">
        <v>32</v>
      </c>
      <c r="D3869" t="s">
        <v>1482</v>
      </c>
      <c r="E3869" t="s">
        <v>1483</v>
      </c>
      <c r="F3869" t="s">
        <v>1484</v>
      </c>
      <c r="G3869" t="s">
        <v>1485</v>
      </c>
      <c r="H3869" t="s">
        <v>1486</v>
      </c>
      <c r="I3869" t="s">
        <v>1487</v>
      </c>
      <c r="J3869" t="s">
        <v>1488</v>
      </c>
      <c r="K3869" t="s">
        <v>1489</v>
      </c>
      <c r="L3869" t="s">
        <v>1490</v>
      </c>
      <c r="M3869" t="s">
        <v>1491</v>
      </c>
      <c r="N3869" t="s">
        <v>1492</v>
      </c>
      <c r="O3869" t="s">
        <v>1275</v>
      </c>
      <c r="P3869" t="s">
        <v>1353</v>
      </c>
    </row>
    <row r="3870" spans="1:16" x14ac:dyDescent="0.3">
      <c r="A3870" t="s">
        <v>35</v>
      </c>
      <c r="B3870" t="s">
        <v>880</v>
      </c>
      <c r="C3870">
        <v>596</v>
      </c>
      <c r="D3870" t="s">
        <v>719</v>
      </c>
      <c r="E3870" t="s">
        <v>157</v>
      </c>
      <c r="F3870" t="s">
        <v>894</v>
      </c>
      <c r="G3870" t="s">
        <v>105</v>
      </c>
      <c r="H3870" t="s">
        <v>319</v>
      </c>
      <c r="I3870" t="s">
        <v>99</v>
      </c>
      <c r="J3870" t="s">
        <v>382</v>
      </c>
      <c r="K3870" t="s">
        <v>485</v>
      </c>
      <c r="L3870" t="s">
        <v>864</v>
      </c>
      <c r="M3870" t="s">
        <v>99</v>
      </c>
      <c r="N3870" t="s">
        <v>99</v>
      </c>
      <c r="O3870" t="s">
        <v>99</v>
      </c>
      <c r="P3870" t="s">
        <v>99</v>
      </c>
    </row>
    <row r="3871" spans="1:16" x14ac:dyDescent="0.3">
      <c r="A3871" t="s">
        <v>35</v>
      </c>
      <c r="B3871" t="s">
        <v>881</v>
      </c>
      <c r="C3871">
        <v>1161</v>
      </c>
      <c r="D3871" t="s">
        <v>1120</v>
      </c>
      <c r="E3871" t="s">
        <v>125</v>
      </c>
      <c r="F3871" t="s">
        <v>703</v>
      </c>
      <c r="G3871" t="s">
        <v>299</v>
      </c>
      <c r="H3871" t="s">
        <v>103</v>
      </c>
      <c r="I3871" t="s">
        <v>99</v>
      </c>
      <c r="J3871" t="s">
        <v>115</v>
      </c>
      <c r="K3871" t="s">
        <v>671</v>
      </c>
      <c r="L3871" t="s">
        <v>150</v>
      </c>
      <c r="M3871" t="s">
        <v>198</v>
      </c>
      <c r="N3871" t="s">
        <v>121</v>
      </c>
      <c r="O3871" t="s">
        <v>104</v>
      </c>
      <c r="P3871" t="s">
        <v>99</v>
      </c>
    </row>
    <row r="3872" spans="1:16" x14ac:dyDescent="0.3">
      <c r="A3872" t="s">
        <v>35</v>
      </c>
      <c r="B3872" t="s">
        <v>882</v>
      </c>
      <c r="C3872">
        <v>1386</v>
      </c>
      <c r="D3872" t="s">
        <v>62</v>
      </c>
      <c r="E3872" t="s">
        <v>135</v>
      </c>
      <c r="F3872" t="s">
        <v>513</v>
      </c>
      <c r="G3872" t="s">
        <v>135</v>
      </c>
      <c r="H3872" t="s">
        <v>141</v>
      </c>
      <c r="I3872" t="s">
        <v>136</v>
      </c>
      <c r="J3872" t="s">
        <v>111</v>
      </c>
      <c r="K3872" t="s">
        <v>959</v>
      </c>
      <c r="L3872" t="s">
        <v>726</v>
      </c>
      <c r="M3872" t="s">
        <v>104</v>
      </c>
      <c r="N3872" t="s">
        <v>99</v>
      </c>
      <c r="O3872" t="s">
        <v>99</v>
      </c>
      <c r="P3872" t="s">
        <v>99</v>
      </c>
    </row>
    <row r="3873" spans="1:16" x14ac:dyDescent="0.3">
      <c r="A3873" t="s">
        <v>37</v>
      </c>
      <c r="B3873" t="s">
        <v>880</v>
      </c>
      <c r="C3873">
        <v>671</v>
      </c>
      <c r="D3873" t="s">
        <v>1258</v>
      </c>
      <c r="E3873" t="s">
        <v>114</v>
      </c>
      <c r="F3873" t="s">
        <v>725</v>
      </c>
      <c r="G3873" t="s">
        <v>474</v>
      </c>
      <c r="H3873" t="s">
        <v>215</v>
      </c>
      <c r="I3873" t="s">
        <v>99</v>
      </c>
      <c r="J3873" t="s">
        <v>382</v>
      </c>
      <c r="K3873" t="s">
        <v>716</v>
      </c>
      <c r="L3873" t="s">
        <v>683</v>
      </c>
      <c r="M3873" t="s">
        <v>99</v>
      </c>
      <c r="N3873" t="s">
        <v>99</v>
      </c>
      <c r="O3873" t="s">
        <v>99</v>
      </c>
      <c r="P3873" t="s">
        <v>99</v>
      </c>
    </row>
    <row r="3874" spans="1:16" x14ac:dyDescent="0.3">
      <c r="A3874" t="s">
        <v>37</v>
      </c>
      <c r="B3874" t="s">
        <v>881</v>
      </c>
      <c r="C3874">
        <v>1370</v>
      </c>
      <c r="D3874" t="s">
        <v>1115</v>
      </c>
      <c r="E3874" t="s">
        <v>126</v>
      </c>
      <c r="F3874" t="s">
        <v>1101</v>
      </c>
      <c r="G3874" t="s">
        <v>98</v>
      </c>
      <c r="H3874" t="s">
        <v>684</v>
      </c>
      <c r="I3874" t="s">
        <v>99</v>
      </c>
      <c r="J3874" t="s">
        <v>104</v>
      </c>
      <c r="K3874" t="s">
        <v>103</v>
      </c>
      <c r="L3874" t="s">
        <v>122</v>
      </c>
      <c r="M3874" t="s">
        <v>136</v>
      </c>
      <c r="N3874" t="s">
        <v>198</v>
      </c>
      <c r="O3874" t="s">
        <v>99</v>
      </c>
      <c r="P3874" t="s">
        <v>99</v>
      </c>
    </row>
    <row r="3875" spans="1:16" x14ac:dyDescent="0.3">
      <c r="A3875" t="s">
        <v>37</v>
      </c>
      <c r="B3875" t="s">
        <v>882</v>
      </c>
      <c r="C3875">
        <v>1812</v>
      </c>
      <c r="D3875" t="s">
        <v>506</v>
      </c>
      <c r="E3875" t="s">
        <v>121</v>
      </c>
      <c r="F3875" t="s">
        <v>1231</v>
      </c>
      <c r="G3875" t="s">
        <v>242</v>
      </c>
      <c r="H3875" t="s">
        <v>117</v>
      </c>
      <c r="I3875" t="s">
        <v>99</v>
      </c>
      <c r="J3875" t="s">
        <v>141</v>
      </c>
      <c r="K3875" t="s">
        <v>150</v>
      </c>
      <c r="L3875" t="s">
        <v>222</v>
      </c>
      <c r="M3875" t="s">
        <v>99</v>
      </c>
      <c r="N3875" t="s">
        <v>99</v>
      </c>
      <c r="O3875" t="s">
        <v>99</v>
      </c>
      <c r="P3875" t="s">
        <v>104</v>
      </c>
    </row>
    <row r="3876" spans="1:16" x14ac:dyDescent="0.3">
      <c r="A3876" t="s">
        <v>36</v>
      </c>
      <c r="B3876" t="s">
        <v>880</v>
      </c>
      <c r="C3876">
        <v>382</v>
      </c>
      <c r="D3876" t="s">
        <v>1119</v>
      </c>
      <c r="E3876" t="s">
        <v>98</v>
      </c>
      <c r="F3876" t="s">
        <v>72</v>
      </c>
      <c r="G3876" t="s">
        <v>714</v>
      </c>
      <c r="H3876" t="s">
        <v>118</v>
      </c>
      <c r="I3876" t="s">
        <v>151</v>
      </c>
      <c r="J3876" t="s">
        <v>105</v>
      </c>
      <c r="K3876" t="s">
        <v>292</v>
      </c>
      <c r="L3876" t="s">
        <v>1008</v>
      </c>
      <c r="M3876" t="s">
        <v>115</v>
      </c>
      <c r="N3876" t="s">
        <v>99</v>
      </c>
      <c r="O3876" t="s">
        <v>99</v>
      </c>
      <c r="P3876" t="s">
        <v>99</v>
      </c>
    </row>
    <row r="3877" spans="1:16" x14ac:dyDescent="0.3">
      <c r="A3877" t="s">
        <v>36</v>
      </c>
      <c r="B3877" t="s">
        <v>881</v>
      </c>
      <c r="C3877">
        <v>864</v>
      </c>
      <c r="D3877" t="s">
        <v>637</v>
      </c>
      <c r="E3877" t="s">
        <v>316</v>
      </c>
      <c r="F3877" t="s">
        <v>175</v>
      </c>
      <c r="G3877" t="s">
        <v>287</v>
      </c>
      <c r="H3877" t="s">
        <v>134</v>
      </c>
      <c r="I3877" t="s">
        <v>277</v>
      </c>
      <c r="J3877" t="s">
        <v>158</v>
      </c>
      <c r="K3877" t="s">
        <v>328</v>
      </c>
      <c r="L3877" t="s">
        <v>309</v>
      </c>
      <c r="M3877" t="s">
        <v>114</v>
      </c>
      <c r="N3877" t="s">
        <v>104</v>
      </c>
      <c r="O3877" t="s">
        <v>99</v>
      </c>
      <c r="P3877" t="s">
        <v>99</v>
      </c>
    </row>
    <row r="3878" spans="1:16" x14ac:dyDescent="0.3">
      <c r="A3878" t="s">
        <v>36</v>
      </c>
      <c r="B3878" t="s">
        <v>882</v>
      </c>
      <c r="C3878">
        <v>1057</v>
      </c>
      <c r="D3878" t="s">
        <v>927</v>
      </c>
      <c r="E3878" t="s">
        <v>110</v>
      </c>
      <c r="F3878" t="s">
        <v>731</v>
      </c>
      <c r="G3878" t="s">
        <v>671</v>
      </c>
      <c r="H3878" t="s">
        <v>268</v>
      </c>
      <c r="I3878" t="s">
        <v>68</v>
      </c>
      <c r="J3878" t="s">
        <v>242</v>
      </c>
      <c r="K3878" t="s">
        <v>139</v>
      </c>
      <c r="L3878" t="s">
        <v>715</v>
      </c>
      <c r="M3878" t="s">
        <v>115</v>
      </c>
      <c r="N3878" t="s">
        <v>99</v>
      </c>
      <c r="O3878" t="s">
        <v>198</v>
      </c>
      <c r="P3878" t="s">
        <v>99</v>
      </c>
    </row>
    <row r="3879" spans="1:16" x14ac:dyDescent="0.3">
      <c r="A3879" t="s">
        <v>34</v>
      </c>
      <c r="B3879" t="s">
        <v>880</v>
      </c>
      <c r="C3879">
        <v>351</v>
      </c>
      <c r="D3879" t="s">
        <v>538</v>
      </c>
      <c r="E3879" t="s">
        <v>207</v>
      </c>
      <c r="F3879" t="s">
        <v>933</v>
      </c>
      <c r="G3879" t="s">
        <v>712</v>
      </c>
      <c r="H3879" t="s">
        <v>115</v>
      </c>
      <c r="I3879" t="s">
        <v>98</v>
      </c>
      <c r="J3879" t="s">
        <v>110</v>
      </c>
      <c r="K3879" t="s">
        <v>423</v>
      </c>
      <c r="L3879" t="s">
        <v>668</v>
      </c>
      <c r="M3879" t="s">
        <v>198</v>
      </c>
      <c r="N3879" t="s">
        <v>141</v>
      </c>
      <c r="O3879" t="s">
        <v>99</v>
      </c>
      <c r="P3879" t="s">
        <v>99</v>
      </c>
    </row>
    <row r="3880" spans="1:16" x14ac:dyDescent="0.3">
      <c r="A3880" t="s">
        <v>34</v>
      </c>
      <c r="B3880" t="s">
        <v>881</v>
      </c>
      <c r="C3880">
        <v>861</v>
      </c>
      <c r="D3880" t="s">
        <v>1051</v>
      </c>
      <c r="E3880" t="s">
        <v>319</v>
      </c>
      <c r="F3880" t="s">
        <v>148</v>
      </c>
      <c r="G3880" t="s">
        <v>325</v>
      </c>
      <c r="H3880" t="s">
        <v>319</v>
      </c>
      <c r="I3880" t="s">
        <v>684</v>
      </c>
      <c r="J3880" t="s">
        <v>105</v>
      </c>
      <c r="K3880" t="s">
        <v>125</v>
      </c>
      <c r="L3880" t="s">
        <v>696</v>
      </c>
      <c r="M3880" t="s">
        <v>382</v>
      </c>
      <c r="N3880" t="s">
        <v>141</v>
      </c>
      <c r="O3880" t="s">
        <v>136</v>
      </c>
      <c r="P3880" t="s">
        <v>198</v>
      </c>
    </row>
    <row r="3881" spans="1:16" x14ac:dyDescent="0.3">
      <c r="A3881" t="s">
        <v>34</v>
      </c>
      <c r="B3881" t="s">
        <v>882</v>
      </c>
      <c r="C3881">
        <v>868</v>
      </c>
      <c r="D3881" t="s">
        <v>799</v>
      </c>
      <c r="E3881" t="s">
        <v>215</v>
      </c>
      <c r="F3881" t="s">
        <v>682</v>
      </c>
      <c r="G3881" t="s">
        <v>144</v>
      </c>
      <c r="H3881" t="s">
        <v>127</v>
      </c>
      <c r="I3881" t="s">
        <v>277</v>
      </c>
      <c r="J3881" t="s">
        <v>277</v>
      </c>
      <c r="K3881" t="s">
        <v>864</v>
      </c>
      <c r="L3881" t="s">
        <v>525</v>
      </c>
      <c r="M3881" t="s">
        <v>101</v>
      </c>
      <c r="N3881" t="s">
        <v>198</v>
      </c>
      <c r="O3881" t="s">
        <v>99</v>
      </c>
      <c r="P3881" t="s">
        <v>99</v>
      </c>
    </row>
    <row r="3882" spans="1:16" x14ac:dyDescent="0.3">
      <c r="A3882" t="s">
        <v>33</v>
      </c>
      <c r="B3882" t="s">
        <v>880</v>
      </c>
      <c r="C3882">
        <v>426</v>
      </c>
      <c r="D3882" t="s">
        <v>887</v>
      </c>
      <c r="E3882" t="s">
        <v>114</v>
      </c>
      <c r="F3882" t="s">
        <v>638</v>
      </c>
      <c r="G3882" t="s">
        <v>111</v>
      </c>
      <c r="H3882" t="s">
        <v>114</v>
      </c>
      <c r="I3882" t="s">
        <v>382</v>
      </c>
      <c r="J3882" t="s">
        <v>319</v>
      </c>
      <c r="K3882" t="s">
        <v>363</v>
      </c>
      <c r="L3882" t="s">
        <v>708</v>
      </c>
      <c r="M3882" t="s">
        <v>99</v>
      </c>
      <c r="N3882" t="s">
        <v>99</v>
      </c>
      <c r="O3882" t="s">
        <v>99</v>
      </c>
      <c r="P3882" t="s">
        <v>99</v>
      </c>
    </row>
    <row r="3883" spans="1:16" x14ac:dyDescent="0.3">
      <c r="A3883" t="s">
        <v>33</v>
      </c>
      <c r="B3883" t="s">
        <v>881</v>
      </c>
      <c r="C3883">
        <v>682</v>
      </c>
      <c r="D3883" t="s">
        <v>647</v>
      </c>
      <c r="E3883" t="s">
        <v>382</v>
      </c>
      <c r="F3883" t="s">
        <v>1497</v>
      </c>
      <c r="G3883" t="s">
        <v>78</v>
      </c>
      <c r="H3883" t="s">
        <v>120</v>
      </c>
      <c r="I3883" t="s">
        <v>141</v>
      </c>
      <c r="J3883" t="s">
        <v>114</v>
      </c>
      <c r="K3883" t="s">
        <v>134</v>
      </c>
      <c r="L3883" t="s">
        <v>332</v>
      </c>
      <c r="M3883" t="s">
        <v>99</v>
      </c>
      <c r="N3883" t="s">
        <v>99</v>
      </c>
      <c r="O3883" t="s">
        <v>99</v>
      </c>
      <c r="P3883" t="s">
        <v>99</v>
      </c>
    </row>
    <row r="3884" spans="1:16" x14ac:dyDescent="0.3">
      <c r="A3884" t="s">
        <v>33</v>
      </c>
      <c r="B3884" t="s">
        <v>882</v>
      </c>
      <c r="C3884">
        <v>827</v>
      </c>
      <c r="D3884" t="s">
        <v>555</v>
      </c>
      <c r="E3884" t="s">
        <v>253</v>
      </c>
      <c r="F3884" t="s">
        <v>1183</v>
      </c>
      <c r="G3884" t="s">
        <v>112</v>
      </c>
      <c r="H3884" t="s">
        <v>319</v>
      </c>
      <c r="I3884" t="s">
        <v>132</v>
      </c>
      <c r="J3884" t="s">
        <v>100</v>
      </c>
      <c r="K3884" t="s">
        <v>416</v>
      </c>
      <c r="L3884" t="s">
        <v>368</v>
      </c>
      <c r="M3884" t="s">
        <v>104</v>
      </c>
      <c r="N3884" t="s">
        <v>99</v>
      </c>
      <c r="O3884" t="s">
        <v>99</v>
      </c>
      <c r="P3884" t="s">
        <v>99</v>
      </c>
    </row>
    <row r="3885" spans="1:16" x14ac:dyDescent="0.3">
      <c r="A3885" t="s">
        <v>49</v>
      </c>
      <c r="B3885" t="s">
        <v>880</v>
      </c>
      <c r="C3885">
        <v>2426</v>
      </c>
      <c r="D3885" t="s">
        <v>565</v>
      </c>
      <c r="E3885" t="s">
        <v>151</v>
      </c>
      <c r="F3885" t="s">
        <v>832</v>
      </c>
      <c r="G3885" t="s">
        <v>474</v>
      </c>
      <c r="H3885" t="s">
        <v>382</v>
      </c>
      <c r="I3885" t="s">
        <v>101</v>
      </c>
      <c r="J3885" t="s">
        <v>292</v>
      </c>
      <c r="K3885" t="s">
        <v>432</v>
      </c>
      <c r="L3885" t="s">
        <v>751</v>
      </c>
      <c r="M3885" t="s">
        <v>104</v>
      </c>
      <c r="N3885" t="s">
        <v>104</v>
      </c>
      <c r="O3885" t="s">
        <v>99</v>
      </c>
      <c r="P3885" t="s">
        <v>99</v>
      </c>
    </row>
    <row r="3886" spans="1:16" x14ac:dyDescent="0.3">
      <c r="A3886" t="s">
        <v>49</v>
      </c>
      <c r="B3886" t="s">
        <v>881</v>
      </c>
      <c r="C3886">
        <v>4938</v>
      </c>
      <c r="D3886" t="s">
        <v>806</v>
      </c>
      <c r="E3886" t="s">
        <v>332</v>
      </c>
      <c r="F3886" t="s">
        <v>1120</v>
      </c>
      <c r="G3886" t="s">
        <v>150</v>
      </c>
      <c r="H3886" t="s">
        <v>105</v>
      </c>
      <c r="I3886" t="s">
        <v>382</v>
      </c>
      <c r="J3886" t="s">
        <v>126</v>
      </c>
      <c r="K3886" t="s">
        <v>144</v>
      </c>
      <c r="L3886" t="s">
        <v>315</v>
      </c>
      <c r="M3886" t="s">
        <v>253</v>
      </c>
      <c r="N3886" t="s">
        <v>141</v>
      </c>
      <c r="O3886" t="s">
        <v>104</v>
      </c>
      <c r="P3886" t="s">
        <v>99</v>
      </c>
    </row>
    <row r="3887" spans="1:16" x14ac:dyDescent="0.3">
      <c r="A3887" t="s">
        <v>49</v>
      </c>
      <c r="B3887" t="s">
        <v>882</v>
      </c>
      <c r="C3887">
        <v>5950</v>
      </c>
      <c r="D3887" t="s">
        <v>1120</v>
      </c>
      <c r="E3887" t="s">
        <v>107</v>
      </c>
      <c r="F3887" t="s">
        <v>56</v>
      </c>
      <c r="G3887" t="s">
        <v>204</v>
      </c>
      <c r="H3887" t="s">
        <v>382</v>
      </c>
      <c r="I3887" t="s">
        <v>382</v>
      </c>
      <c r="J3887" t="s">
        <v>117</v>
      </c>
      <c r="K3887" t="s">
        <v>372</v>
      </c>
      <c r="L3887" t="s">
        <v>811</v>
      </c>
      <c r="M3887" t="s">
        <v>207</v>
      </c>
      <c r="N3887" t="s">
        <v>99</v>
      </c>
      <c r="O3887" t="s">
        <v>99</v>
      </c>
      <c r="P3887" t="s">
        <v>99</v>
      </c>
    </row>
    <row r="3889" spans="1:16" x14ac:dyDescent="0.3">
      <c r="A3889" t="s">
        <v>1500</v>
      </c>
    </row>
    <row r="3890" spans="1:16" x14ac:dyDescent="0.3">
      <c r="A3890" t="s">
        <v>44</v>
      </c>
      <c r="B3890" t="s">
        <v>388</v>
      </c>
      <c r="C3890" t="s">
        <v>32</v>
      </c>
      <c r="D3890" t="s">
        <v>1482</v>
      </c>
      <c r="E3890" t="s">
        <v>1483</v>
      </c>
      <c r="F3890" t="s">
        <v>1484</v>
      </c>
      <c r="G3890" t="s">
        <v>1485</v>
      </c>
      <c r="H3890" t="s">
        <v>1486</v>
      </c>
      <c r="I3890" t="s">
        <v>1487</v>
      </c>
      <c r="J3890" t="s">
        <v>1488</v>
      </c>
      <c r="K3890" t="s">
        <v>1489</v>
      </c>
      <c r="L3890" t="s">
        <v>1490</v>
      </c>
      <c r="M3890" t="s">
        <v>1491</v>
      </c>
      <c r="N3890" t="s">
        <v>1492</v>
      </c>
      <c r="O3890" t="s">
        <v>1275</v>
      </c>
      <c r="P3890" t="s">
        <v>1353</v>
      </c>
    </row>
    <row r="3891" spans="1:16" x14ac:dyDescent="0.3">
      <c r="A3891" t="s">
        <v>35</v>
      </c>
      <c r="B3891" t="s">
        <v>389</v>
      </c>
      <c r="C3891">
        <v>2141</v>
      </c>
      <c r="D3891" t="s">
        <v>914</v>
      </c>
      <c r="E3891" t="s">
        <v>109</v>
      </c>
      <c r="F3891" t="s">
        <v>42</v>
      </c>
      <c r="G3891" t="s">
        <v>144</v>
      </c>
      <c r="H3891" t="s">
        <v>114</v>
      </c>
      <c r="I3891" t="s">
        <v>207</v>
      </c>
      <c r="J3891" t="s">
        <v>382</v>
      </c>
      <c r="K3891" t="s">
        <v>423</v>
      </c>
      <c r="L3891" t="s">
        <v>368</v>
      </c>
      <c r="M3891" t="s">
        <v>104</v>
      </c>
      <c r="N3891" t="s">
        <v>207</v>
      </c>
      <c r="O3891" t="s">
        <v>99</v>
      </c>
      <c r="P3891" t="s">
        <v>99</v>
      </c>
    </row>
    <row r="3892" spans="1:16" x14ac:dyDescent="0.3">
      <c r="A3892" t="s">
        <v>35</v>
      </c>
      <c r="B3892" t="s">
        <v>390</v>
      </c>
      <c r="C3892">
        <v>874</v>
      </c>
      <c r="D3892" t="s">
        <v>647</v>
      </c>
      <c r="E3892" t="s">
        <v>74</v>
      </c>
      <c r="F3892" t="s">
        <v>662</v>
      </c>
      <c r="G3892" t="s">
        <v>679</v>
      </c>
      <c r="H3892" t="s">
        <v>117</v>
      </c>
      <c r="I3892" t="s">
        <v>99</v>
      </c>
      <c r="J3892" t="s">
        <v>114</v>
      </c>
      <c r="K3892" t="s">
        <v>798</v>
      </c>
      <c r="L3892" t="s">
        <v>536</v>
      </c>
      <c r="M3892" t="s">
        <v>104</v>
      </c>
      <c r="N3892" t="s">
        <v>115</v>
      </c>
      <c r="O3892" t="s">
        <v>198</v>
      </c>
      <c r="P3892" t="s">
        <v>99</v>
      </c>
    </row>
    <row r="3893" spans="1:16" x14ac:dyDescent="0.3">
      <c r="A3893" t="s">
        <v>35</v>
      </c>
      <c r="B3893" t="s">
        <v>365</v>
      </c>
      <c r="C3893">
        <v>128</v>
      </c>
      <c r="D3893" t="s">
        <v>525</v>
      </c>
      <c r="E3893" t="s">
        <v>107</v>
      </c>
      <c r="F3893" t="s">
        <v>810</v>
      </c>
      <c r="G3893" t="s">
        <v>316</v>
      </c>
      <c r="H3893" t="s">
        <v>253</v>
      </c>
      <c r="I3893" t="s">
        <v>99</v>
      </c>
      <c r="J3893" t="s">
        <v>412</v>
      </c>
      <c r="K3893" t="s">
        <v>1179</v>
      </c>
      <c r="L3893" t="s">
        <v>38</v>
      </c>
      <c r="M3893" t="s">
        <v>99</v>
      </c>
      <c r="N3893" t="s">
        <v>99</v>
      </c>
      <c r="O3893" t="s">
        <v>99</v>
      </c>
      <c r="P3893" t="s">
        <v>99</v>
      </c>
    </row>
    <row r="3894" spans="1:16" x14ac:dyDescent="0.3">
      <c r="A3894" t="s">
        <v>37</v>
      </c>
      <c r="B3894" t="s">
        <v>389</v>
      </c>
      <c r="C3894">
        <v>2304</v>
      </c>
      <c r="D3894" t="s">
        <v>963</v>
      </c>
      <c r="E3894" t="s">
        <v>319</v>
      </c>
      <c r="F3894" t="s">
        <v>1173</v>
      </c>
      <c r="G3894" t="s">
        <v>144</v>
      </c>
      <c r="H3894" t="s">
        <v>138</v>
      </c>
      <c r="I3894" t="s">
        <v>99</v>
      </c>
      <c r="J3894" t="s">
        <v>141</v>
      </c>
      <c r="K3894" t="s">
        <v>684</v>
      </c>
      <c r="L3894" t="s">
        <v>291</v>
      </c>
      <c r="M3894" t="s">
        <v>198</v>
      </c>
      <c r="N3894" t="s">
        <v>104</v>
      </c>
      <c r="O3894" t="s">
        <v>99</v>
      </c>
      <c r="P3894" t="s">
        <v>99</v>
      </c>
    </row>
    <row r="3895" spans="1:16" x14ac:dyDescent="0.3">
      <c r="A3895" t="s">
        <v>37</v>
      </c>
      <c r="B3895" t="s">
        <v>390</v>
      </c>
      <c r="C3895">
        <v>1308</v>
      </c>
      <c r="D3895" t="s">
        <v>604</v>
      </c>
      <c r="E3895" t="s">
        <v>108</v>
      </c>
      <c r="F3895" t="s">
        <v>1143</v>
      </c>
      <c r="G3895" t="s">
        <v>130</v>
      </c>
      <c r="H3895" t="s">
        <v>118</v>
      </c>
      <c r="I3895" t="s">
        <v>99</v>
      </c>
      <c r="J3895" t="s">
        <v>136</v>
      </c>
      <c r="K3895" t="s">
        <v>254</v>
      </c>
      <c r="L3895" t="s">
        <v>294</v>
      </c>
      <c r="M3895" t="s">
        <v>104</v>
      </c>
      <c r="N3895" t="s">
        <v>99</v>
      </c>
      <c r="O3895" t="s">
        <v>99</v>
      </c>
      <c r="P3895" t="s">
        <v>104</v>
      </c>
    </row>
    <row r="3896" spans="1:16" x14ac:dyDescent="0.3">
      <c r="A3896" t="s">
        <v>37</v>
      </c>
      <c r="B3896" t="s">
        <v>365</v>
      </c>
      <c r="C3896">
        <v>241</v>
      </c>
      <c r="D3896" t="s">
        <v>629</v>
      </c>
      <c r="E3896" t="s">
        <v>316</v>
      </c>
      <c r="F3896" t="s">
        <v>1108</v>
      </c>
      <c r="G3896" t="s">
        <v>126</v>
      </c>
      <c r="H3896" t="s">
        <v>115</v>
      </c>
      <c r="I3896" t="s">
        <v>99</v>
      </c>
      <c r="J3896" t="s">
        <v>103</v>
      </c>
      <c r="K3896" t="s">
        <v>315</v>
      </c>
      <c r="L3896" t="s">
        <v>463</v>
      </c>
      <c r="M3896" t="s">
        <v>99</v>
      </c>
      <c r="N3896" t="s">
        <v>99</v>
      </c>
      <c r="O3896" t="s">
        <v>99</v>
      </c>
      <c r="P3896" t="s">
        <v>99</v>
      </c>
    </row>
    <row r="3897" spans="1:16" x14ac:dyDescent="0.3">
      <c r="A3897" t="s">
        <v>36</v>
      </c>
      <c r="B3897" t="s">
        <v>389</v>
      </c>
      <c r="C3897">
        <v>1576</v>
      </c>
      <c r="D3897" t="s">
        <v>646</v>
      </c>
      <c r="E3897" t="s">
        <v>112</v>
      </c>
      <c r="F3897" t="s">
        <v>244</v>
      </c>
      <c r="G3897" t="s">
        <v>420</v>
      </c>
      <c r="H3897" t="s">
        <v>107</v>
      </c>
      <c r="I3897" t="s">
        <v>139</v>
      </c>
      <c r="J3897" t="s">
        <v>98</v>
      </c>
      <c r="K3897" t="s">
        <v>434</v>
      </c>
      <c r="L3897" t="s">
        <v>735</v>
      </c>
      <c r="M3897" t="s">
        <v>108</v>
      </c>
      <c r="N3897" t="s">
        <v>99</v>
      </c>
      <c r="O3897" t="s">
        <v>104</v>
      </c>
      <c r="P3897" t="s">
        <v>99</v>
      </c>
    </row>
    <row r="3898" spans="1:16" x14ac:dyDescent="0.3">
      <c r="A3898" t="s">
        <v>36</v>
      </c>
      <c r="B3898" t="s">
        <v>390</v>
      </c>
      <c r="C3898">
        <v>627</v>
      </c>
      <c r="D3898" t="s">
        <v>962</v>
      </c>
      <c r="E3898" t="s">
        <v>157</v>
      </c>
      <c r="F3898" t="s">
        <v>716</v>
      </c>
      <c r="G3898" t="s">
        <v>264</v>
      </c>
      <c r="H3898" t="s">
        <v>110</v>
      </c>
      <c r="I3898" t="s">
        <v>268</v>
      </c>
      <c r="J3898" t="s">
        <v>157</v>
      </c>
      <c r="K3898" t="s">
        <v>98</v>
      </c>
      <c r="L3898" t="s">
        <v>911</v>
      </c>
      <c r="M3898" t="s">
        <v>141</v>
      </c>
      <c r="N3898" t="s">
        <v>99</v>
      </c>
      <c r="O3898" t="s">
        <v>99</v>
      </c>
      <c r="P3898" t="s">
        <v>99</v>
      </c>
    </row>
    <row r="3899" spans="1:16" x14ac:dyDescent="0.3">
      <c r="A3899" t="s">
        <v>36</v>
      </c>
      <c r="B3899" t="s">
        <v>365</v>
      </c>
      <c r="C3899">
        <v>100</v>
      </c>
      <c r="D3899" t="s">
        <v>1176</v>
      </c>
      <c r="E3899" t="s">
        <v>207</v>
      </c>
      <c r="F3899" t="s">
        <v>125</v>
      </c>
      <c r="G3899" t="s">
        <v>368</v>
      </c>
      <c r="H3899" t="s">
        <v>207</v>
      </c>
      <c r="I3899" t="s">
        <v>671</v>
      </c>
      <c r="J3899" t="s">
        <v>147</v>
      </c>
      <c r="K3899" t="s">
        <v>101</v>
      </c>
      <c r="L3899" t="s">
        <v>42</v>
      </c>
      <c r="M3899" t="s">
        <v>99</v>
      </c>
      <c r="N3899" t="s">
        <v>99</v>
      </c>
      <c r="O3899" t="s">
        <v>99</v>
      </c>
      <c r="P3899" t="s">
        <v>99</v>
      </c>
    </row>
    <row r="3900" spans="1:16" x14ac:dyDescent="0.3">
      <c r="A3900" t="s">
        <v>34</v>
      </c>
      <c r="B3900" t="s">
        <v>389</v>
      </c>
      <c r="C3900">
        <v>1385</v>
      </c>
      <c r="D3900" t="s">
        <v>831</v>
      </c>
      <c r="E3900" t="s">
        <v>126</v>
      </c>
      <c r="F3900" t="s">
        <v>137</v>
      </c>
      <c r="G3900" t="s">
        <v>325</v>
      </c>
      <c r="H3900" t="s">
        <v>108</v>
      </c>
      <c r="I3900" t="s">
        <v>98</v>
      </c>
      <c r="J3900" t="s">
        <v>139</v>
      </c>
      <c r="K3900" t="s">
        <v>676</v>
      </c>
      <c r="L3900" t="s">
        <v>795</v>
      </c>
      <c r="M3900" t="s">
        <v>121</v>
      </c>
      <c r="N3900" t="s">
        <v>104</v>
      </c>
      <c r="O3900" t="s">
        <v>198</v>
      </c>
      <c r="P3900" t="s">
        <v>104</v>
      </c>
    </row>
    <row r="3901" spans="1:16" x14ac:dyDescent="0.3">
      <c r="A3901" t="s">
        <v>34</v>
      </c>
      <c r="B3901" t="s">
        <v>390</v>
      </c>
      <c r="C3901">
        <v>615</v>
      </c>
      <c r="D3901" t="s">
        <v>549</v>
      </c>
      <c r="E3901" t="s">
        <v>108</v>
      </c>
      <c r="F3901" t="s">
        <v>681</v>
      </c>
      <c r="G3901" t="s">
        <v>158</v>
      </c>
      <c r="H3901" t="s">
        <v>147</v>
      </c>
      <c r="I3901" t="s">
        <v>712</v>
      </c>
      <c r="J3901" t="s">
        <v>147</v>
      </c>
      <c r="K3901" t="s">
        <v>687</v>
      </c>
      <c r="L3901" t="s">
        <v>116</v>
      </c>
      <c r="M3901" t="s">
        <v>101</v>
      </c>
      <c r="N3901" t="s">
        <v>108</v>
      </c>
      <c r="O3901" t="s">
        <v>99</v>
      </c>
      <c r="P3901" t="s">
        <v>99</v>
      </c>
    </row>
    <row r="3902" spans="1:16" x14ac:dyDescent="0.3">
      <c r="A3902" t="s">
        <v>34</v>
      </c>
      <c r="B3902" t="s">
        <v>365</v>
      </c>
      <c r="C3902">
        <v>80</v>
      </c>
      <c r="D3902" t="s">
        <v>1051</v>
      </c>
      <c r="E3902" t="s">
        <v>126</v>
      </c>
      <c r="F3902" t="s">
        <v>795</v>
      </c>
      <c r="G3902" t="s">
        <v>474</v>
      </c>
      <c r="H3902" t="s">
        <v>99</v>
      </c>
      <c r="I3902" t="s">
        <v>299</v>
      </c>
      <c r="J3902" t="s">
        <v>160</v>
      </c>
      <c r="K3902" t="s">
        <v>440</v>
      </c>
      <c r="L3902" t="s">
        <v>751</v>
      </c>
      <c r="M3902" t="s">
        <v>99</v>
      </c>
      <c r="N3902" t="s">
        <v>99</v>
      </c>
      <c r="O3902" t="s">
        <v>99</v>
      </c>
      <c r="P3902" t="s">
        <v>99</v>
      </c>
    </row>
    <row r="3903" spans="1:16" x14ac:dyDescent="0.3">
      <c r="A3903" t="s">
        <v>33</v>
      </c>
      <c r="B3903" t="s">
        <v>389</v>
      </c>
      <c r="C3903">
        <v>1088</v>
      </c>
      <c r="D3903" t="s">
        <v>638</v>
      </c>
      <c r="E3903" t="s">
        <v>126</v>
      </c>
      <c r="F3903" t="s">
        <v>808</v>
      </c>
      <c r="G3903" t="s">
        <v>412</v>
      </c>
      <c r="H3903" t="s">
        <v>151</v>
      </c>
      <c r="I3903" t="s">
        <v>253</v>
      </c>
      <c r="J3903" t="s">
        <v>121</v>
      </c>
      <c r="K3903" t="s">
        <v>113</v>
      </c>
      <c r="L3903" t="s">
        <v>182</v>
      </c>
      <c r="M3903" t="s">
        <v>104</v>
      </c>
      <c r="N3903" t="s">
        <v>99</v>
      </c>
      <c r="O3903" t="s">
        <v>99</v>
      </c>
      <c r="P3903" t="s">
        <v>99</v>
      </c>
    </row>
    <row r="3904" spans="1:16" x14ac:dyDescent="0.3">
      <c r="A3904" t="s">
        <v>33</v>
      </c>
      <c r="B3904" t="s">
        <v>390</v>
      </c>
      <c r="C3904">
        <v>708</v>
      </c>
      <c r="D3904" t="s">
        <v>636</v>
      </c>
      <c r="E3904" t="s">
        <v>141</v>
      </c>
      <c r="F3904" t="s">
        <v>1326</v>
      </c>
      <c r="G3904" t="s">
        <v>158</v>
      </c>
      <c r="H3904" t="s">
        <v>123</v>
      </c>
      <c r="I3904" t="s">
        <v>319</v>
      </c>
      <c r="J3904" t="s">
        <v>121</v>
      </c>
      <c r="K3904" t="s">
        <v>401</v>
      </c>
      <c r="L3904" t="s">
        <v>416</v>
      </c>
      <c r="M3904" t="s">
        <v>99</v>
      </c>
      <c r="N3904" t="s">
        <v>99</v>
      </c>
      <c r="O3904" t="s">
        <v>99</v>
      </c>
      <c r="P3904" t="s">
        <v>99</v>
      </c>
    </row>
    <row r="3905" spans="1:16" x14ac:dyDescent="0.3">
      <c r="A3905" t="s">
        <v>33</v>
      </c>
      <c r="B3905" t="s">
        <v>365</v>
      </c>
      <c r="C3905">
        <v>139</v>
      </c>
      <c r="D3905" t="s">
        <v>906</v>
      </c>
      <c r="E3905" t="s">
        <v>99</v>
      </c>
      <c r="F3905" t="s">
        <v>1143</v>
      </c>
      <c r="G3905" t="s">
        <v>684</v>
      </c>
      <c r="H3905" t="s">
        <v>99</v>
      </c>
      <c r="I3905" t="s">
        <v>99</v>
      </c>
      <c r="J3905" t="s">
        <v>108</v>
      </c>
      <c r="K3905" t="s">
        <v>663</v>
      </c>
      <c r="L3905" t="s">
        <v>129</v>
      </c>
      <c r="M3905" t="s">
        <v>99</v>
      </c>
      <c r="N3905" t="s">
        <v>99</v>
      </c>
      <c r="O3905" t="s">
        <v>99</v>
      </c>
      <c r="P3905" t="s">
        <v>99</v>
      </c>
    </row>
    <row r="3906" spans="1:16" x14ac:dyDescent="0.3">
      <c r="A3906" t="s">
        <v>49</v>
      </c>
      <c r="B3906" t="s">
        <v>389</v>
      </c>
      <c r="C3906">
        <v>8494</v>
      </c>
      <c r="D3906" t="s">
        <v>613</v>
      </c>
      <c r="E3906" t="s">
        <v>155</v>
      </c>
      <c r="F3906" t="s">
        <v>821</v>
      </c>
      <c r="G3906" t="s">
        <v>144</v>
      </c>
      <c r="H3906" t="s">
        <v>123</v>
      </c>
      <c r="I3906" t="s">
        <v>382</v>
      </c>
      <c r="J3906" t="s">
        <v>111</v>
      </c>
      <c r="K3906" t="s">
        <v>267</v>
      </c>
      <c r="L3906" t="s">
        <v>393</v>
      </c>
      <c r="M3906" t="s">
        <v>136</v>
      </c>
      <c r="N3906" t="s">
        <v>104</v>
      </c>
      <c r="O3906" t="s">
        <v>104</v>
      </c>
      <c r="P3906" t="s">
        <v>99</v>
      </c>
    </row>
    <row r="3907" spans="1:16" x14ac:dyDescent="0.3">
      <c r="A3907" t="s">
        <v>49</v>
      </c>
      <c r="B3907" t="s">
        <v>390</v>
      </c>
      <c r="C3907">
        <v>4132</v>
      </c>
      <c r="D3907" t="s">
        <v>1120</v>
      </c>
      <c r="E3907" t="s">
        <v>268</v>
      </c>
      <c r="F3907" t="s">
        <v>827</v>
      </c>
      <c r="G3907" t="s">
        <v>143</v>
      </c>
      <c r="H3907" t="s">
        <v>147</v>
      </c>
      <c r="I3907" t="s">
        <v>121</v>
      </c>
      <c r="J3907" t="s">
        <v>101</v>
      </c>
      <c r="K3907" t="s">
        <v>171</v>
      </c>
      <c r="L3907" t="s">
        <v>542</v>
      </c>
      <c r="M3907" t="s">
        <v>207</v>
      </c>
      <c r="N3907" t="s">
        <v>207</v>
      </c>
      <c r="O3907" t="s">
        <v>99</v>
      </c>
      <c r="P3907" t="s">
        <v>99</v>
      </c>
    </row>
    <row r="3908" spans="1:16" x14ac:dyDescent="0.3">
      <c r="A3908" t="s">
        <v>49</v>
      </c>
      <c r="B3908" t="s">
        <v>365</v>
      </c>
      <c r="C3908">
        <v>688</v>
      </c>
      <c r="D3908" t="s">
        <v>584</v>
      </c>
      <c r="E3908" t="s">
        <v>127</v>
      </c>
      <c r="F3908" t="s">
        <v>913</v>
      </c>
      <c r="G3908" t="s">
        <v>130</v>
      </c>
      <c r="H3908" t="s">
        <v>136</v>
      </c>
      <c r="I3908" t="s">
        <v>111</v>
      </c>
      <c r="J3908" t="s">
        <v>155</v>
      </c>
      <c r="K3908" t="s">
        <v>167</v>
      </c>
      <c r="L3908" t="s">
        <v>700</v>
      </c>
      <c r="M3908" t="s">
        <v>99</v>
      </c>
      <c r="N3908" t="s">
        <v>99</v>
      </c>
      <c r="O3908" t="s">
        <v>99</v>
      </c>
      <c r="P3908" t="s">
        <v>99</v>
      </c>
    </row>
    <row r="3910" spans="1:16" x14ac:dyDescent="0.3">
      <c r="A3910" t="s">
        <v>1501</v>
      </c>
    </row>
    <row r="3911" spans="1:16" x14ac:dyDescent="0.3">
      <c r="A3911" t="s">
        <v>44</v>
      </c>
      <c r="B3911" t="s">
        <v>32</v>
      </c>
      <c r="C3911" t="s">
        <v>45</v>
      </c>
      <c r="D3911" t="s">
        <v>46</v>
      </c>
      <c r="E3911" t="s">
        <v>47</v>
      </c>
      <c r="F3911" t="s">
        <v>48</v>
      </c>
    </row>
    <row r="3912" spans="1:16" x14ac:dyDescent="0.3">
      <c r="A3912" t="s">
        <v>35</v>
      </c>
      <c r="B3912">
        <v>1403</v>
      </c>
      <c r="C3912">
        <v>9.0500000000000007</v>
      </c>
      <c r="D3912">
        <v>7</v>
      </c>
      <c r="E3912">
        <v>0</v>
      </c>
      <c r="F3912">
        <v>60</v>
      </c>
    </row>
    <row r="3913" spans="1:16" x14ac:dyDescent="0.3">
      <c r="A3913" t="s">
        <v>37</v>
      </c>
      <c r="B3913">
        <v>1398</v>
      </c>
      <c r="C3913">
        <v>3.84</v>
      </c>
      <c r="D3913">
        <v>3</v>
      </c>
      <c r="E3913">
        <v>0</v>
      </c>
      <c r="F3913">
        <v>60</v>
      </c>
    </row>
    <row r="3914" spans="1:16" x14ac:dyDescent="0.3">
      <c r="A3914" t="s">
        <v>36</v>
      </c>
      <c r="B3914">
        <v>632</v>
      </c>
      <c r="C3914">
        <v>14.43</v>
      </c>
      <c r="D3914">
        <v>10</v>
      </c>
      <c r="E3914">
        <v>0</v>
      </c>
      <c r="F3914">
        <v>120</v>
      </c>
    </row>
    <row r="3915" spans="1:16" x14ac:dyDescent="0.3">
      <c r="A3915" t="s">
        <v>34</v>
      </c>
      <c r="B3915">
        <v>743</v>
      </c>
      <c r="C3915">
        <v>14.48</v>
      </c>
      <c r="D3915">
        <v>10</v>
      </c>
      <c r="E3915">
        <v>0</v>
      </c>
      <c r="F3915">
        <v>120</v>
      </c>
    </row>
    <row r="3916" spans="1:16" x14ac:dyDescent="0.3">
      <c r="A3916" t="s">
        <v>33</v>
      </c>
      <c r="B3916">
        <v>787</v>
      </c>
      <c r="C3916">
        <v>4.76</v>
      </c>
      <c r="D3916">
        <v>3</v>
      </c>
      <c r="E3916">
        <v>1</v>
      </c>
      <c r="F3916">
        <v>120</v>
      </c>
    </row>
    <row r="3917" spans="1:16" x14ac:dyDescent="0.3">
      <c r="A3917" t="s">
        <v>49</v>
      </c>
      <c r="B3917">
        <v>4963</v>
      </c>
      <c r="C3917">
        <v>8.36</v>
      </c>
      <c r="D3917">
        <v>5</v>
      </c>
      <c r="E3917">
        <v>0</v>
      </c>
      <c r="F3917">
        <v>120</v>
      </c>
    </row>
    <row r="3919" spans="1:16" x14ac:dyDescent="0.3">
      <c r="A3919" t="s">
        <v>1502</v>
      </c>
    </row>
    <row r="3920" spans="1:16" x14ac:dyDescent="0.3">
      <c r="A3920" t="s">
        <v>44</v>
      </c>
      <c r="B3920" t="s">
        <v>235</v>
      </c>
      <c r="C3920" t="s">
        <v>32</v>
      </c>
      <c r="D3920" t="s">
        <v>45</v>
      </c>
      <c r="E3920" t="s">
        <v>46</v>
      </c>
      <c r="F3920" t="s">
        <v>47</v>
      </c>
      <c r="G3920" t="s">
        <v>48</v>
      </c>
    </row>
    <row r="3921" spans="1:7" x14ac:dyDescent="0.3">
      <c r="A3921" t="s">
        <v>35</v>
      </c>
      <c r="B3921" t="s">
        <v>236</v>
      </c>
      <c r="C3921">
        <v>826</v>
      </c>
      <c r="D3921">
        <v>5.26</v>
      </c>
      <c r="E3921">
        <v>5</v>
      </c>
      <c r="F3921">
        <v>0</v>
      </c>
      <c r="G3921">
        <v>60</v>
      </c>
    </row>
    <row r="3922" spans="1:7" x14ac:dyDescent="0.3">
      <c r="A3922" t="s">
        <v>35</v>
      </c>
      <c r="B3922" t="s">
        <v>238</v>
      </c>
      <c r="C3922">
        <v>577</v>
      </c>
      <c r="D3922">
        <v>10.86</v>
      </c>
      <c r="E3922">
        <v>10</v>
      </c>
      <c r="F3922">
        <v>0</v>
      </c>
      <c r="G3922">
        <v>60</v>
      </c>
    </row>
    <row r="3923" spans="1:7" x14ac:dyDescent="0.3">
      <c r="A3923" t="s">
        <v>37</v>
      </c>
      <c r="B3923" t="s">
        <v>236</v>
      </c>
      <c r="C3923">
        <v>1051</v>
      </c>
      <c r="D3923">
        <v>3.42</v>
      </c>
      <c r="E3923">
        <v>2</v>
      </c>
      <c r="F3923">
        <v>0</v>
      </c>
      <c r="G3923">
        <v>60</v>
      </c>
    </row>
    <row r="3924" spans="1:7" x14ac:dyDescent="0.3">
      <c r="A3924" t="s">
        <v>37</v>
      </c>
      <c r="B3924" t="s">
        <v>238</v>
      </c>
      <c r="C3924">
        <v>347</v>
      </c>
      <c r="D3924">
        <v>5.19</v>
      </c>
      <c r="E3924">
        <v>5</v>
      </c>
      <c r="F3924">
        <v>0</v>
      </c>
      <c r="G3924">
        <v>60</v>
      </c>
    </row>
    <row r="3925" spans="1:7" x14ac:dyDescent="0.3">
      <c r="A3925" t="s">
        <v>36</v>
      </c>
      <c r="B3925" t="s">
        <v>236</v>
      </c>
      <c r="C3925">
        <v>496</v>
      </c>
      <c r="D3925">
        <v>12.66</v>
      </c>
      <c r="E3925">
        <v>5</v>
      </c>
      <c r="F3925">
        <v>0</v>
      </c>
      <c r="G3925">
        <v>120</v>
      </c>
    </row>
    <row r="3926" spans="1:7" x14ac:dyDescent="0.3">
      <c r="A3926" t="s">
        <v>36</v>
      </c>
      <c r="B3926" t="s">
        <v>238</v>
      </c>
      <c r="C3926">
        <v>136</v>
      </c>
      <c r="D3926">
        <v>15.89</v>
      </c>
      <c r="E3926">
        <v>12</v>
      </c>
      <c r="F3926">
        <v>0</v>
      </c>
      <c r="G3926">
        <v>120</v>
      </c>
    </row>
    <row r="3927" spans="1:7" x14ac:dyDescent="0.3">
      <c r="A3927" t="s">
        <v>34</v>
      </c>
      <c r="B3927" t="s">
        <v>236</v>
      </c>
      <c r="C3927">
        <v>292</v>
      </c>
      <c r="D3927">
        <v>8.59</v>
      </c>
      <c r="E3927">
        <v>5</v>
      </c>
      <c r="F3927">
        <v>0</v>
      </c>
      <c r="G3927">
        <v>110</v>
      </c>
    </row>
    <row r="3928" spans="1:7" x14ac:dyDescent="0.3">
      <c r="A3928" t="s">
        <v>34</v>
      </c>
      <c r="B3928" t="s">
        <v>238</v>
      </c>
      <c r="C3928">
        <v>451</v>
      </c>
      <c r="D3928">
        <v>17.329999999999998</v>
      </c>
      <c r="E3928">
        <v>10</v>
      </c>
      <c r="F3928">
        <v>0</v>
      </c>
      <c r="G3928">
        <v>120</v>
      </c>
    </row>
    <row r="3929" spans="1:7" x14ac:dyDescent="0.3">
      <c r="A3929" t="s">
        <v>33</v>
      </c>
      <c r="B3929" t="s">
        <v>236</v>
      </c>
      <c r="C3929">
        <v>577</v>
      </c>
      <c r="D3929">
        <v>4.75</v>
      </c>
      <c r="E3929">
        <v>3</v>
      </c>
      <c r="F3929">
        <v>1</v>
      </c>
      <c r="G3929">
        <v>120</v>
      </c>
    </row>
    <row r="3930" spans="1:7" x14ac:dyDescent="0.3">
      <c r="A3930" t="s">
        <v>33</v>
      </c>
      <c r="B3930" t="s">
        <v>238</v>
      </c>
      <c r="C3930">
        <v>210</v>
      </c>
      <c r="D3930">
        <v>4.78</v>
      </c>
      <c r="E3930">
        <v>5</v>
      </c>
      <c r="F3930">
        <v>1</v>
      </c>
      <c r="G3930">
        <v>30</v>
      </c>
    </row>
    <row r="3931" spans="1:7" x14ac:dyDescent="0.3">
      <c r="A3931" t="s">
        <v>49</v>
      </c>
      <c r="B3931" t="s">
        <v>236</v>
      </c>
      <c r="C3931">
        <v>3242</v>
      </c>
      <c r="D3931">
        <v>5.22</v>
      </c>
      <c r="E3931">
        <v>3</v>
      </c>
      <c r="F3931">
        <v>0</v>
      </c>
      <c r="G3931">
        <v>120</v>
      </c>
    </row>
    <row r="3932" spans="1:7" x14ac:dyDescent="0.3">
      <c r="A3932" t="s">
        <v>49</v>
      </c>
      <c r="B3932" t="s">
        <v>238</v>
      </c>
      <c r="C3932">
        <v>1721</v>
      </c>
      <c r="D3932">
        <v>11.44</v>
      </c>
      <c r="E3932">
        <v>8</v>
      </c>
      <c r="F3932">
        <v>0</v>
      </c>
      <c r="G3932">
        <v>120</v>
      </c>
    </row>
    <row r="3934" spans="1:7" x14ac:dyDescent="0.3">
      <c r="A3934" t="s">
        <v>1503</v>
      </c>
    </row>
    <row r="3935" spans="1:7" x14ac:dyDescent="0.3">
      <c r="A3935" t="s">
        <v>44</v>
      </c>
      <c r="B3935" t="s">
        <v>361</v>
      </c>
      <c r="C3935" t="s">
        <v>32</v>
      </c>
      <c r="D3935" t="s">
        <v>45</v>
      </c>
      <c r="E3935" t="s">
        <v>46</v>
      </c>
      <c r="F3935" t="s">
        <v>47</v>
      </c>
      <c r="G3935" t="s">
        <v>48</v>
      </c>
    </row>
    <row r="3936" spans="1:7" x14ac:dyDescent="0.3">
      <c r="A3936" t="s">
        <v>35</v>
      </c>
      <c r="B3936" t="s">
        <v>339</v>
      </c>
      <c r="C3936">
        <v>399</v>
      </c>
      <c r="D3936">
        <v>8</v>
      </c>
      <c r="E3936">
        <v>5</v>
      </c>
      <c r="F3936">
        <v>0</v>
      </c>
      <c r="G3936">
        <v>60</v>
      </c>
    </row>
    <row r="3937" spans="1:7" x14ac:dyDescent="0.3">
      <c r="A3937" t="s">
        <v>35</v>
      </c>
      <c r="B3937" t="s">
        <v>340</v>
      </c>
      <c r="C3937">
        <v>991</v>
      </c>
      <c r="D3937">
        <v>9.4499999999999993</v>
      </c>
      <c r="E3937">
        <v>7</v>
      </c>
      <c r="F3937">
        <v>0</v>
      </c>
      <c r="G3937">
        <v>60</v>
      </c>
    </row>
    <row r="3938" spans="1:7" x14ac:dyDescent="0.3">
      <c r="A3938" t="s">
        <v>35</v>
      </c>
      <c r="B3938" t="s">
        <v>365</v>
      </c>
      <c r="C3938">
        <v>13</v>
      </c>
      <c r="D3938">
        <v>3.66</v>
      </c>
      <c r="E3938">
        <v>5</v>
      </c>
      <c r="F3938">
        <v>0</v>
      </c>
      <c r="G3938">
        <v>10</v>
      </c>
    </row>
    <row r="3939" spans="1:7" x14ac:dyDescent="0.3">
      <c r="A3939" t="s">
        <v>37</v>
      </c>
      <c r="B3939" t="s">
        <v>339</v>
      </c>
      <c r="C3939">
        <v>443</v>
      </c>
      <c r="D3939">
        <v>3.75</v>
      </c>
      <c r="E3939">
        <v>2</v>
      </c>
      <c r="F3939">
        <v>0</v>
      </c>
      <c r="G3939">
        <v>60</v>
      </c>
    </row>
    <row r="3940" spans="1:7" x14ac:dyDescent="0.3">
      <c r="A3940" t="s">
        <v>37</v>
      </c>
      <c r="B3940" t="s">
        <v>340</v>
      </c>
      <c r="C3940">
        <v>942</v>
      </c>
      <c r="D3940">
        <v>3.89</v>
      </c>
      <c r="E3940">
        <v>3</v>
      </c>
      <c r="F3940">
        <v>0</v>
      </c>
      <c r="G3940">
        <v>60</v>
      </c>
    </row>
    <row r="3941" spans="1:7" x14ac:dyDescent="0.3">
      <c r="A3941" t="s">
        <v>37</v>
      </c>
      <c r="B3941" t="s">
        <v>365</v>
      </c>
      <c r="C3941">
        <v>13</v>
      </c>
      <c r="D3941">
        <v>3.43</v>
      </c>
      <c r="E3941">
        <v>4</v>
      </c>
      <c r="F3941">
        <v>1</v>
      </c>
      <c r="G3941">
        <v>5</v>
      </c>
    </row>
    <row r="3942" spans="1:7" x14ac:dyDescent="0.3">
      <c r="A3942" t="s">
        <v>36</v>
      </c>
      <c r="B3942" t="s">
        <v>339</v>
      </c>
      <c r="C3942">
        <v>224</v>
      </c>
      <c r="D3942">
        <v>14.96</v>
      </c>
      <c r="E3942">
        <v>10</v>
      </c>
      <c r="F3942">
        <v>0</v>
      </c>
      <c r="G3942">
        <v>120</v>
      </c>
    </row>
    <row r="3943" spans="1:7" x14ac:dyDescent="0.3">
      <c r="A3943" t="s">
        <v>36</v>
      </c>
      <c r="B3943" t="s">
        <v>340</v>
      </c>
      <c r="C3943">
        <v>398</v>
      </c>
      <c r="D3943">
        <v>14.34</v>
      </c>
      <c r="E3943">
        <v>10</v>
      </c>
      <c r="F3943">
        <v>0</v>
      </c>
      <c r="G3943">
        <v>120</v>
      </c>
    </row>
    <row r="3944" spans="1:7" x14ac:dyDescent="0.3">
      <c r="A3944" t="s">
        <v>36</v>
      </c>
      <c r="B3944" t="s">
        <v>365</v>
      </c>
      <c r="C3944">
        <v>10</v>
      </c>
      <c r="D3944">
        <v>5.65</v>
      </c>
      <c r="E3944">
        <v>5</v>
      </c>
      <c r="F3944">
        <v>1</v>
      </c>
      <c r="G3944">
        <v>30</v>
      </c>
    </row>
    <row r="3945" spans="1:7" x14ac:dyDescent="0.3">
      <c r="A3945" t="s">
        <v>34</v>
      </c>
      <c r="B3945" t="s">
        <v>339</v>
      </c>
      <c r="C3945">
        <v>190</v>
      </c>
      <c r="D3945">
        <v>14.21</v>
      </c>
      <c r="E3945">
        <v>10</v>
      </c>
      <c r="F3945">
        <v>0</v>
      </c>
      <c r="G3945">
        <v>120</v>
      </c>
    </row>
    <row r="3946" spans="1:7" x14ac:dyDescent="0.3">
      <c r="A3946" t="s">
        <v>34</v>
      </c>
      <c r="B3946" t="s">
        <v>340</v>
      </c>
      <c r="C3946">
        <v>545</v>
      </c>
      <c r="D3946">
        <v>14.77</v>
      </c>
      <c r="E3946">
        <v>10</v>
      </c>
      <c r="F3946">
        <v>0</v>
      </c>
      <c r="G3946">
        <v>120</v>
      </c>
    </row>
    <row r="3947" spans="1:7" x14ac:dyDescent="0.3">
      <c r="A3947" t="s">
        <v>34</v>
      </c>
      <c r="B3947" t="s">
        <v>365</v>
      </c>
      <c r="C3947">
        <v>8</v>
      </c>
      <c r="D3947">
        <v>7.94</v>
      </c>
      <c r="E3947">
        <v>2</v>
      </c>
      <c r="F3947">
        <v>0</v>
      </c>
      <c r="G3947">
        <v>25</v>
      </c>
    </row>
    <row r="3948" spans="1:7" x14ac:dyDescent="0.3">
      <c r="A3948" t="s">
        <v>33</v>
      </c>
      <c r="B3948" t="s">
        <v>339</v>
      </c>
      <c r="C3948">
        <v>226</v>
      </c>
      <c r="D3948">
        <v>5.59</v>
      </c>
      <c r="E3948">
        <v>4</v>
      </c>
      <c r="F3948">
        <v>1</v>
      </c>
      <c r="G3948">
        <v>120</v>
      </c>
    </row>
    <row r="3949" spans="1:7" x14ac:dyDescent="0.3">
      <c r="A3949" t="s">
        <v>33</v>
      </c>
      <c r="B3949" t="s">
        <v>340</v>
      </c>
      <c r="C3949">
        <v>552</v>
      </c>
      <c r="D3949">
        <v>4.3899999999999997</v>
      </c>
      <c r="E3949">
        <v>3</v>
      </c>
      <c r="F3949">
        <v>1</v>
      </c>
      <c r="G3949">
        <v>40</v>
      </c>
    </row>
    <row r="3950" spans="1:7" x14ac:dyDescent="0.3">
      <c r="A3950" t="s">
        <v>33</v>
      </c>
      <c r="B3950" t="s">
        <v>365</v>
      </c>
      <c r="C3950">
        <v>9</v>
      </c>
      <c r="D3950">
        <v>4.4800000000000004</v>
      </c>
      <c r="E3950">
        <v>5</v>
      </c>
      <c r="F3950">
        <v>2</v>
      </c>
      <c r="G3950">
        <v>10</v>
      </c>
    </row>
    <row r="3951" spans="1:7" x14ac:dyDescent="0.3">
      <c r="A3951" t="s">
        <v>49</v>
      </c>
      <c r="B3951" t="s">
        <v>339</v>
      </c>
      <c r="C3951">
        <v>1482</v>
      </c>
      <c r="D3951">
        <v>8.3000000000000007</v>
      </c>
      <c r="E3951">
        <v>5</v>
      </c>
      <c r="F3951">
        <v>0</v>
      </c>
      <c r="G3951">
        <v>120</v>
      </c>
    </row>
    <row r="3952" spans="1:7" x14ac:dyDescent="0.3">
      <c r="A3952" t="s">
        <v>49</v>
      </c>
      <c r="B3952" t="s">
        <v>340</v>
      </c>
      <c r="C3952">
        <v>3428</v>
      </c>
      <c r="D3952">
        <v>8.44</v>
      </c>
      <c r="E3952">
        <v>5</v>
      </c>
      <c r="F3952">
        <v>0</v>
      </c>
      <c r="G3952">
        <v>120</v>
      </c>
    </row>
    <row r="3953" spans="1:7" x14ac:dyDescent="0.3">
      <c r="A3953" t="s">
        <v>49</v>
      </c>
      <c r="B3953" t="s">
        <v>365</v>
      </c>
      <c r="C3953">
        <v>53</v>
      </c>
      <c r="D3953">
        <v>4.99</v>
      </c>
      <c r="E3953">
        <v>5</v>
      </c>
      <c r="F3953">
        <v>0</v>
      </c>
      <c r="G3953">
        <v>30</v>
      </c>
    </row>
    <row r="3955" spans="1:7" x14ac:dyDescent="0.3">
      <c r="A3955" t="s">
        <v>1504</v>
      </c>
    </row>
    <row r="3956" spans="1:7" x14ac:dyDescent="0.3">
      <c r="A3956" t="s">
        <v>44</v>
      </c>
      <c r="B3956" t="s">
        <v>209</v>
      </c>
      <c r="C3956" t="s">
        <v>32</v>
      </c>
      <c r="D3956" t="s">
        <v>45</v>
      </c>
      <c r="E3956" t="s">
        <v>46</v>
      </c>
      <c r="F3956" t="s">
        <v>47</v>
      </c>
      <c r="G3956" t="s">
        <v>48</v>
      </c>
    </row>
    <row r="3957" spans="1:7" x14ac:dyDescent="0.3">
      <c r="A3957" t="s">
        <v>35</v>
      </c>
      <c r="B3957" t="s">
        <v>210</v>
      </c>
      <c r="C3957">
        <v>50</v>
      </c>
      <c r="D3957">
        <v>9.7899999999999991</v>
      </c>
      <c r="E3957">
        <v>7</v>
      </c>
      <c r="F3957">
        <v>1</v>
      </c>
      <c r="G3957">
        <v>30</v>
      </c>
    </row>
    <row r="3958" spans="1:7" x14ac:dyDescent="0.3">
      <c r="A3958" t="s">
        <v>35</v>
      </c>
      <c r="B3958" t="s">
        <v>212</v>
      </c>
      <c r="C3958">
        <v>1113</v>
      </c>
      <c r="D3958">
        <v>8.58</v>
      </c>
      <c r="E3958">
        <v>5</v>
      </c>
      <c r="F3958">
        <v>0</v>
      </c>
      <c r="G3958">
        <v>60</v>
      </c>
    </row>
    <row r="3959" spans="1:7" x14ac:dyDescent="0.3">
      <c r="A3959" t="s">
        <v>35</v>
      </c>
      <c r="B3959" t="s">
        <v>216</v>
      </c>
      <c r="C3959">
        <v>240</v>
      </c>
      <c r="D3959">
        <v>10.039999999999999</v>
      </c>
      <c r="E3959">
        <v>8</v>
      </c>
      <c r="F3959">
        <v>0</v>
      </c>
      <c r="G3959">
        <v>60</v>
      </c>
    </row>
    <row r="3960" spans="1:7" x14ac:dyDescent="0.3">
      <c r="A3960" t="s">
        <v>37</v>
      </c>
      <c r="B3960" t="s">
        <v>210</v>
      </c>
      <c r="C3960">
        <v>47</v>
      </c>
      <c r="D3960">
        <v>5.13</v>
      </c>
      <c r="E3960">
        <v>4</v>
      </c>
      <c r="F3960">
        <v>0</v>
      </c>
      <c r="G3960">
        <v>40</v>
      </c>
    </row>
    <row r="3961" spans="1:7" x14ac:dyDescent="0.3">
      <c r="A3961" t="s">
        <v>37</v>
      </c>
      <c r="B3961" t="s">
        <v>212</v>
      </c>
      <c r="C3961">
        <v>1327</v>
      </c>
      <c r="D3961">
        <v>3.8</v>
      </c>
      <c r="E3961">
        <v>3</v>
      </c>
      <c r="F3961">
        <v>0</v>
      </c>
      <c r="G3961">
        <v>60</v>
      </c>
    </row>
    <row r="3962" spans="1:7" s="5" customFormat="1" x14ac:dyDescent="0.3">
      <c r="A3962" s="5" t="s">
        <v>37</v>
      </c>
      <c r="B3962" s="5" t="s">
        <v>216</v>
      </c>
      <c r="C3962" s="5">
        <v>24</v>
      </c>
      <c r="D3962" s="5">
        <v>3.15</v>
      </c>
      <c r="E3962" s="5">
        <v>2</v>
      </c>
      <c r="F3962" s="5">
        <v>0</v>
      </c>
      <c r="G3962" s="5">
        <v>20</v>
      </c>
    </row>
    <row r="3963" spans="1:7" x14ac:dyDescent="0.3">
      <c r="A3963" t="s">
        <v>36</v>
      </c>
      <c r="B3963" t="s">
        <v>210</v>
      </c>
      <c r="C3963">
        <v>64</v>
      </c>
      <c r="D3963">
        <v>18.809999999999999</v>
      </c>
      <c r="E3963">
        <v>15</v>
      </c>
      <c r="F3963">
        <v>0</v>
      </c>
      <c r="G3963">
        <v>120</v>
      </c>
    </row>
    <row r="3964" spans="1:7" x14ac:dyDescent="0.3">
      <c r="A3964" t="s">
        <v>36</v>
      </c>
      <c r="B3964" t="s">
        <v>212</v>
      </c>
      <c r="C3964">
        <v>470</v>
      </c>
      <c r="D3964">
        <v>12.53</v>
      </c>
      <c r="E3964">
        <v>10</v>
      </c>
      <c r="F3964">
        <v>0</v>
      </c>
      <c r="G3964">
        <v>120</v>
      </c>
    </row>
    <row r="3965" spans="1:7" x14ac:dyDescent="0.3">
      <c r="A3965" t="s">
        <v>36</v>
      </c>
      <c r="B3965" t="s">
        <v>216</v>
      </c>
      <c r="C3965">
        <v>98</v>
      </c>
      <c r="D3965">
        <v>17.829999999999998</v>
      </c>
      <c r="E3965">
        <v>15</v>
      </c>
      <c r="F3965">
        <v>0</v>
      </c>
      <c r="G3965">
        <v>90</v>
      </c>
    </row>
    <row r="3966" spans="1:7" x14ac:dyDescent="0.3">
      <c r="A3966" t="s">
        <v>34</v>
      </c>
      <c r="B3966" t="s">
        <v>210</v>
      </c>
      <c r="C3966">
        <v>118</v>
      </c>
      <c r="D3966">
        <v>14.6</v>
      </c>
      <c r="E3966">
        <v>10</v>
      </c>
      <c r="F3966">
        <v>0</v>
      </c>
      <c r="G3966">
        <v>120</v>
      </c>
    </row>
    <row r="3967" spans="1:7" x14ac:dyDescent="0.3">
      <c r="A3967" t="s">
        <v>34</v>
      </c>
      <c r="B3967" t="s">
        <v>212</v>
      </c>
      <c r="C3967">
        <v>540</v>
      </c>
      <c r="D3967">
        <v>13.52</v>
      </c>
      <c r="E3967">
        <v>10</v>
      </c>
      <c r="F3967">
        <v>0</v>
      </c>
      <c r="G3967">
        <v>120</v>
      </c>
    </row>
    <row r="3968" spans="1:7" x14ac:dyDescent="0.3">
      <c r="A3968" t="s">
        <v>34</v>
      </c>
      <c r="B3968" t="s">
        <v>216</v>
      </c>
      <c r="C3968">
        <v>85</v>
      </c>
      <c r="D3968">
        <v>18.02</v>
      </c>
      <c r="E3968">
        <v>10</v>
      </c>
      <c r="F3968">
        <v>0</v>
      </c>
      <c r="G3968">
        <v>120</v>
      </c>
    </row>
    <row r="3969" spans="1:7" s="5" customFormat="1" x14ac:dyDescent="0.3">
      <c r="A3969" s="5" t="s">
        <v>33</v>
      </c>
      <c r="B3969" s="5" t="s">
        <v>210</v>
      </c>
      <c r="C3969" s="5">
        <v>24</v>
      </c>
      <c r="D3969" s="5">
        <v>9.58</v>
      </c>
      <c r="E3969" s="5">
        <v>5</v>
      </c>
      <c r="F3969" s="5">
        <v>1</v>
      </c>
      <c r="G3969" s="5">
        <v>120</v>
      </c>
    </row>
    <row r="3970" spans="1:7" x14ac:dyDescent="0.3">
      <c r="A3970" t="s">
        <v>33</v>
      </c>
      <c r="B3970" t="s">
        <v>212</v>
      </c>
      <c r="C3970">
        <v>733</v>
      </c>
      <c r="D3970">
        <v>4.59</v>
      </c>
      <c r="E3970">
        <v>3</v>
      </c>
      <c r="F3970">
        <v>1</v>
      </c>
      <c r="G3970">
        <v>120</v>
      </c>
    </row>
    <row r="3971" spans="1:7" s="5" customFormat="1" x14ac:dyDescent="0.3">
      <c r="A3971" s="5" t="s">
        <v>33</v>
      </c>
      <c r="B3971" s="5" t="s">
        <v>216</v>
      </c>
      <c r="C3971" s="5">
        <v>30</v>
      </c>
      <c r="D3971" s="5">
        <v>4.57</v>
      </c>
      <c r="E3971" s="5">
        <v>3</v>
      </c>
      <c r="F3971" s="5">
        <v>1</v>
      </c>
      <c r="G3971" s="5">
        <v>20</v>
      </c>
    </row>
    <row r="3972" spans="1:7" x14ac:dyDescent="0.3">
      <c r="A3972" t="s">
        <v>49</v>
      </c>
      <c r="B3972" t="s">
        <v>210</v>
      </c>
      <c r="C3972">
        <v>303</v>
      </c>
      <c r="D3972">
        <v>12.65</v>
      </c>
      <c r="E3972">
        <v>10</v>
      </c>
      <c r="F3972">
        <v>0</v>
      </c>
      <c r="G3972">
        <v>120</v>
      </c>
    </row>
    <row r="3973" spans="1:7" x14ac:dyDescent="0.3">
      <c r="A3973" t="s">
        <v>49</v>
      </c>
      <c r="B3973" t="s">
        <v>212</v>
      </c>
      <c r="C3973">
        <v>4183</v>
      </c>
      <c r="D3973">
        <v>7.29</v>
      </c>
      <c r="E3973">
        <v>5</v>
      </c>
      <c r="F3973">
        <v>0</v>
      </c>
      <c r="G3973">
        <v>120</v>
      </c>
    </row>
    <row r="3974" spans="1:7" x14ac:dyDescent="0.3">
      <c r="A3974" t="s">
        <v>49</v>
      </c>
      <c r="B3974" t="s">
        <v>216</v>
      </c>
      <c r="C3974">
        <v>477</v>
      </c>
      <c r="D3974">
        <v>11.5</v>
      </c>
      <c r="E3974">
        <v>8</v>
      </c>
      <c r="F3974">
        <v>0</v>
      </c>
      <c r="G3974">
        <v>120</v>
      </c>
    </row>
    <row r="3976" spans="1:7" x14ac:dyDescent="0.3">
      <c r="A3976" t="s">
        <v>1505</v>
      </c>
    </row>
    <row r="3977" spans="1:7" x14ac:dyDescent="0.3">
      <c r="A3977" t="s">
        <v>44</v>
      </c>
      <c r="B3977" t="s">
        <v>879</v>
      </c>
      <c r="C3977" t="s">
        <v>32</v>
      </c>
      <c r="D3977" t="s">
        <v>45</v>
      </c>
      <c r="E3977" t="s">
        <v>46</v>
      </c>
      <c r="F3977" t="s">
        <v>47</v>
      </c>
      <c r="G3977" t="s">
        <v>48</v>
      </c>
    </row>
    <row r="3978" spans="1:7" x14ac:dyDescent="0.3">
      <c r="A3978" t="s">
        <v>35</v>
      </c>
      <c r="B3978" t="s">
        <v>880</v>
      </c>
      <c r="C3978">
        <v>263</v>
      </c>
      <c r="D3978">
        <v>9.74</v>
      </c>
      <c r="E3978">
        <v>7</v>
      </c>
      <c r="F3978">
        <v>0</v>
      </c>
      <c r="G3978">
        <v>60</v>
      </c>
    </row>
    <row r="3979" spans="1:7" x14ac:dyDescent="0.3">
      <c r="A3979" t="s">
        <v>35</v>
      </c>
      <c r="B3979" t="s">
        <v>881</v>
      </c>
      <c r="C3979">
        <v>568</v>
      </c>
      <c r="D3979">
        <v>8.07</v>
      </c>
      <c r="E3979">
        <v>5</v>
      </c>
      <c r="F3979">
        <v>0</v>
      </c>
      <c r="G3979">
        <v>60</v>
      </c>
    </row>
    <row r="3980" spans="1:7" x14ac:dyDescent="0.3">
      <c r="A3980" t="s">
        <v>35</v>
      </c>
      <c r="B3980" t="s">
        <v>882</v>
      </c>
      <c r="C3980">
        <v>572</v>
      </c>
      <c r="D3980">
        <v>9.2899999999999991</v>
      </c>
      <c r="E3980">
        <v>7</v>
      </c>
      <c r="F3980">
        <v>0</v>
      </c>
      <c r="G3980">
        <v>60</v>
      </c>
    </row>
    <row r="3981" spans="1:7" x14ac:dyDescent="0.3">
      <c r="A3981" t="s">
        <v>37</v>
      </c>
      <c r="B3981" t="s">
        <v>880</v>
      </c>
      <c r="C3981">
        <v>187</v>
      </c>
      <c r="D3981">
        <v>4.4400000000000004</v>
      </c>
      <c r="E3981">
        <v>3</v>
      </c>
      <c r="F3981">
        <v>0</v>
      </c>
      <c r="G3981">
        <v>60</v>
      </c>
    </row>
    <row r="3982" spans="1:7" x14ac:dyDescent="0.3">
      <c r="A3982" t="s">
        <v>37</v>
      </c>
      <c r="B3982" t="s">
        <v>881</v>
      </c>
      <c r="C3982">
        <v>614</v>
      </c>
      <c r="D3982">
        <v>3.98</v>
      </c>
      <c r="E3982">
        <v>3</v>
      </c>
      <c r="F3982">
        <v>0</v>
      </c>
      <c r="G3982">
        <v>40</v>
      </c>
    </row>
    <row r="3983" spans="1:7" x14ac:dyDescent="0.3">
      <c r="A3983" t="s">
        <v>37</v>
      </c>
      <c r="B3983" t="s">
        <v>882</v>
      </c>
      <c r="C3983">
        <v>597</v>
      </c>
      <c r="D3983">
        <v>3.51</v>
      </c>
      <c r="E3983">
        <v>2</v>
      </c>
      <c r="F3983">
        <v>0</v>
      </c>
      <c r="G3983">
        <v>60</v>
      </c>
    </row>
    <row r="3984" spans="1:7" x14ac:dyDescent="0.3">
      <c r="A3984" t="s">
        <v>36</v>
      </c>
      <c r="B3984" t="s">
        <v>880</v>
      </c>
      <c r="C3984">
        <v>98</v>
      </c>
      <c r="D3984">
        <v>15.89</v>
      </c>
      <c r="E3984">
        <v>10</v>
      </c>
      <c r="F3984">
        <v>0</v>
      </c>
      <c r="G3984">
        <v>120</v>
      </c>
    </row>
    <row r="3985" spans="1:7" x14ac:dyDescent="0.3">
      <c r="A3985" t="s">
        <v>36</v>
      </c>
      <c r="B3985" t="s">
        <v>881</v>
      </c>
      <c r="C3985">
        <v>276</v>
      </c>
      <c r="D3985">
        <v>14.11</v>
      </c>
      <c r="E3985">
        <v>10</v>
      </c>
      <c r="F3985">
        <v>0</v>
      </c>
      <c r="G3985">
        <v>120</v>
      </c>
    </row>
    <row r="3986" spans="1:7" x14ac:dyDescent="0.3">
      <c r="A3986" t="s">
        <v>36</v>
      </c>
      <c r="B3986" t="s">
        <v>882</v>
      </c>
      <c r="C3986">
        <v>258</v>
      </c>
      <c r="D3986">
        <v>13.99</v>
      </c>
      <c r="E3986">
        <v>10</v>
      </c>
      <c r="F3986">
        <v>0</v>
      </c>
      <c r="G3986">
        <v>90</v>
      </c>
    </row>
    <row r="3987" spans="1:7" x14ac:dyDescent="0.3">
      <c r="A3987" t="s">
        <v>34</v>
      </c>
      <c r="B3987" t="s">
        <v>880</v>
      </c>
      <c r="C3987">
        <v>127</v>
      </c>
      <c r="D3987">
        <v>16.670000000000002</v>
      </c>
      <c r="E3987">
        <v>10</v>
      </c>
      <c r="F3987">
        <v>0</v>
      </c>
      <c r="G3987">
        <v>120</v>
      </c>
    </row>
    <row r="3988" spans="1:7" x14ac:dyDescent="0.3">
      <c r="A3988" t="s">
        <v>34</v>
      </c>
      <c r="B3988" t="s">
        <v>881</v>
      </c>
      <c r="C3988">
        <v>279</v>
      </c>
      <c r="D3988">
        <v>13.81</v>
      </c>
      <c r="E3988">
        <v>7</v>
      </c>
      <c r="F3988">
        <v>0</v>
      </c>
      <c r="G3988">
        <v>120</v>
      </c>
    </row>
    <row r="3989" spans="1:7" x14ac:dyDescent="0.3">
      <c r="A3989" t="s">
        <v>34</v>
      </c>
      <c r="B3989" t="s">
        <v>882</v>
      </c>
      <c r="C3989">
        <v>337</v>
      </c>
      <c r="D3989">
        <v>14.1</v>
      </c>
      <c r="E3989">
        <v>10</v>
      </c>
      <c r="F3989">
        <v>0</v>
      </c>
      <c r="G3989">
        <v>120</v>
      </c>
    </row>
    <row r="3990" spans="1:7" x14ac:dyDescent="0.3">
      <c r="A3990" t="s">
        <v>33</v>
      </c>
      <c r="B3990" t="s">
        <v>880</v>
      </c>
      <c r="C3990">
        <v>140</v>
      </c>
      <c r="D3990">
        <v>4.05</v>
      </c>
      <c r="E3990">
        <v>3</v>
      </c>
      <c r="F3990">
        <v>1</v>
      </c>
      <c r="G3990">
        <v>40</v>
      </c>
    </row>
    <row r="3991" spans="1:7" x14ac:dyDescent="0.3">
      <c r="A3991" t="s">
        <v>33</v>
      </c>
      <c r="B3991" t="s">
        <v>881</v>
      </c>
      <c r="C3991">
        <v>338</v>
      </c>
      <c r="D3991">
        <v>5.51</v>
      </c>
      <c r="E3991">
        <v>5</v>
      </c>
      <c r="F3991">
        <v>1</v>
      </c>
      <c r="G3991">
        <v>120</v>
      </c>
    </row>
    <row r="3992" spans="1:7" x14ac:dyDescent="0.3">
      <c r="A3992" t="s">
        <v>33</v>
      </c>
      <c r="B3992" t="s">
        <v>882</v>
      </c>
      <c r="C3992">
        <v>309</v>
      </c>
      <c r="D3992">
        <v>4.24</v>
      </c>
      <c r="E3992">
        <v>3</v>
      </c>
      <c r="F3992">
        <v>1</v>
      </c>
      <c r="G3992">
        <v>40</v>
      </c>
    </row>
    <row r="3993" spans="1:7" x14ac:dyDescent="0.3">
      <c r="A3993" t="s">
        <v>49</v>
      </c>
      <c r="B3993" t="s">
        <v>880</v>
      </c>
      <c r="C3993">
        <v>815</v>
      </c>
      <c r="D3993">
        <v>9.59</v>
      </c>
      <c r="E3993">
        <v>5</v>
      </c>
      <c r="F3993">
        <v>0</v>
      </c>
      <c r="G3993">
        <v>120</v>
      </c>
    </row>
    <row r="3994" spans="1:7" x14ac:dyDescent="0.3">
      <c r="A3994" t="s">
        <v>49</v>
      </c>
      <c r="B3994" t="s">
        <v>881</v>
      </c>
      <c r="C3994">
        <v>2075</v>
      </c>
      <c r="D3994">
        <v>7.59</v>
      </c>
      <c r="E3994">
        <v>5</v>
      </c>
      <c r="F3994">
        <v>0</v>
      </c>
      <c r="G3994">
        <v>120</v>
      </c>
    </row>
    <row r="3995" spans="1:7" x14ac:dyDescent="0.3">
      <c r="A3995" t="s">
        <v>49</v>
      </c>
      <c r="B3995" t="s">
        <v>882</v>
      </c>
      <c r="C3995">
        <v>2073</v>
      </c>
      <c r="D3995">
        <v>8.43</v>
      </c>
      <c r="E3995">
        <v>5</v>
      </c>
      <c r="F3995">
        <v>0</v>
      </c>
      <c r="G3995">
        <v>120</v>
      </c>
    </row>
    <row r="3997" spans="1:7" x14ac:dyDescent="0.3">
      <c r="A3997" t="s">
        <v>1506</v>
      </c>
    </row>
    <row r="3998" spans="1:7" x14ac:dyDescent="0.3">
      <c r="A3998" t="s">
        <v>44</v>
      </c>
      <c r="B3998" t="s">
        <v>388</v>
      </c>
      <c r="C3998" t="s">
        <v>32</v>
      </c>
      <c r="D3998" t="s">
        <v>45</v>
      </c>
      <c r="E3998" t="s">
        <v>46</v>
      </c>
      <c r="F3998" t="s">
        <v>47</v>
      </c>
      <c r="G3998" t="s">
        <v>48</v>
      </c>
    </row>
    <row r="3999" spans="1:7" x14ac:dyDescent="0.3">
      <c r="A3999" t="s">
        <v>35</v>
      </c>
      <c r="B3999" t="s">
        <v>389</v>
      </c>
      <c r="C3999">
        <v>923</v>
      </c>
      <c r="D3999">
        <v>9.2200000000000006</v>
      </c>
      <c r="E3999">
        <v>7</v>
      </c>
      <c r="F3999">
        <v>0</v>
      </c>
      <c r="G3999">
        <v>60</v>
      </c>
    </row>
    <row r="4000" spans="1:7" x14ac:dyDescent="0.3">
      <c r="A4000" t="s">
        <v>35</v>
      </c>
      <c r="B4000" t="s">
        <v>390</v>
      </c>
      <c r="C4000">
        <v>418</v>
      </c>
      <c r="D4000">
        <v>8.8000000000000007</v>
      </c>
      <c r="E4000">
        <v>7</v>
      </c>
      <c r="F4000">
        <v>0</v>
      </c>
      <c r="G4000">
        <v>60</v>
      </c>
    </row>
    <row r="4001" spans="1:7" x14ac:dyDescent="0.3">
      <c r="A4001" t="s">
        <v>35</v>
      </c>
      <c r="B4001" t="s">
        <v>365</v>
      </c>
      <c r="C4001">
        <v>62</v>
      </c>
      <c r="D4001">
        <v>7.94</v>
      </c>
      <c r="E4001">
        <v>10</v>
      </c>
      <c r="F4001">
        <v>0</v>
      </c>
      <c r="G4001">
        <v>35</v>
      </c>
    </row>
    <row r="4002" spans="1:7" x14ac:dyDescent="0.3">
      <c r="A4002" t="s">
        <v>37</v>
      </c>
      <c r="B4002" t="s">
        <v>389</v>
      </c>
      <c r="C4002">
        <v>842</v>
      </c>
      <c r="D4002">
        <v>3.93</v>
      </c>
      <c r="E4002">
        <v>3</v>
      </c>
      <c r="F4002">
        <v>0</v>
      </c>
      <c r="G4002">
        <v>60</v>
      </c>
    </row>
    <row r="4003" spans="1:7" x14ac:dyDescent="0.3">
      <c r="A4003" t="s">
        <v>37</v>
      </c>
      <c r="B4003" t="s">
        <v>390</v>
      </c>
      <c r="C4003">
        <v>483</v>
      </c>
      <c r="D4003">
        <v>3.81</v>
      </c>
      <c r="E4003">
        <v>3</v>
      </c>
      <c r="F4003">
        <v>0</v>
      </c>
      <c r="G4003">
        <v>60</v>
      </c>
    </row>
    <row r="4004" spans="1:7" x14ac:dyDescent="0.3">
      <c r="A4004" t="s">
        <v>37</v>
      </c>
      <c r="B4004" t="s">
        <v>365</v>
      </c>
      <c r="C4004">
        <v>73</v>
      </c>
      <c r="D4004">
        <v>3.05</v>
      </c>
      <c r="E4004">
        <v>2</v>
      </c>
      <c r="F4004">
        <v>0</v>
      </c>
      <c r="G4004">
        <v>25</v>
      </c>
    </row>
    <row r="4005" spans="1:7" x14ac:dyDescent="0.3">
      <c r="A4005" t="s">
        <v>36</v>
      </c>
      <c r="B4005" t="s">
        <v>389</v>
      </c>
      <c r="C4005">
        <v>442</v>
      </c>
      <c r="D4005">
        <v>14.25</v>
      </c>
      <c r="E4005">
        <v>10</v>
      </c>
      <c r="F4005">
        <v>0</v>
      </c>
      <c r="G4005">
        <v>120</v>
      </c>
    </row>
    <row r="4006" spans="1:7" x14ac:dyDescent="0.3">
      <c r="A4006" t="s">
        <v>36</v>
      </c>
      <c r="B4006" t="s">
        <v>390</v>
      </c>
      <c r="C4006">
        <v>161</v>
      </c>
      <c r="D4006">
        <v>15.89</v>
      </c>
      <c r="E4006">
        <v>10</v>
      </c>
      <c r="F4006">
        <v>0</v>
      </c>
      <c r="G4006">
        <v>90</v>
      </c>
    </row>
    <row r="4007" spans="1:7" x14ac:dyDescent="0.3">
      <c r="A4007" t="s">
        <v>36</v>
      </c>
      <c r="B4007" t="s">
        <v>365</v>
      </c>
      <c r="C4007">
        <v>29</v>
      </c>
      <c r="D4007">
        <v>10.3</v>
      </c>
      <c r="E4007">
        <v>5</v>
      </c>
      <c r="F4007">
        <v>0</v>
      </c>
      <c r="G4007">
        <v>60</v>
      </c>
    </row>
    <row r="4008" spans="1:7" x14ac:dyDescent="0.3">
      <c r="A4008" t="s">
        <v>34</v>
      </c>
      <c r="B4008" t="s">
        <v>389</v>
      </c>
      <c r="C4008">
        <v>509</v>
      </c>
      <c r="D4008">
        <v>13.65</v>
      </c>
      <c r="E4008">
        <v>10</v>
      </c>
      <c r="F4008">
        <v>0</v>
      </c>
      <c r="G4008">
        <v>120</v>
      </c>
    </row>
    <row r="4009" spans="1:7" x14ac:dyDescent="0.3">
      <c r="A4009" t="s">
        <v>34</v>
      </c>
      <c r="B4009" t="s">
        <v>390</v>
      </c>
      <c r="C4009">
        <v>212</v>
      </c>
      <c r="D4009">
        <v>16.89</v>
      </c>
      <c r="E4009">
        <v>10</v>
      </c>
      <c r="F4009">
        <v>0</v>
      </c>
      <c r="G4009">
        <v>120</v>
      </c>
    </row>
    <row r="4010" spans="1:7" x14ac:dyDescent="0.3">
      <c r="A4010" t="s">
        <v>34</v>
      </c>
      <c r="B4010" t="s">
        <v>365</v>
      </c>
      <c r="C4010">
        <v>22</v>
      </c>
      <c r="D4010">
        <v>12.06</v>
      </c>
      <c r="E4010">
        <v>10</v>
      </c>
      <c r="F4010">
        <v>1</v>
      </c>
      <c r="G4010">
        <v>60</v>
      </c>
    </row>
    <row r="4011" spans="1:7" x14ac:dyDescent="0.3">
      <c r="A4011" t="s">
        <v>33</v>
      </c>
      <c r="B4011" t="s">
        <v>389</v>
      </c>
      <c r="C4011">
        <v>477</v>
      </c>
      <c r="D4011">
        <v>4.9000000000000004</v>
      </c>
      <c r="E4011">
        <v>4</v>
      </c>
      <c r="F4011">
        <v>1</v>
      </c>
      <c r="G4011">
        <v>120</v>
      </c>
    </row>
    <row r="4012" spans="1:7" x14ac:dyDescent="0.3">
      <c r="A4012" t="s">
        <v>33</v>
      </c>
      <c r="B4012" t="s">
        <v>390</v>
      </c>
      <c r="C4012">
        <v>268</v>
      </c>
      <c r="D4012">
        <v>4.55</v>
      </c>
      <c r="E4012">
        <v>3</v>
      </c>
      <c r="F4012">
        <v>1</v>
      </c>
      <c r="G4012">
        <v>120</v>
      </c>
    </row>
    <row r="4013" spans="1:7" x14ac:dyDescent="0.3">
      <c r="A4013" t="s">
        <v>33</v>
      </c>
      <c r="B4013" t="s">
        <v>365</v>
      </c>
      <c r="C4013">
        <v>42</v>
      </c>
      <c r="D4013">
        <v>4.51</v>
      </c>
      <c r="E4013">
        <v>4</v>
      </c>
      <c r="F4013">
        <v>1</v>
      </c>
      <c r="G4013">
        <v>20</v>
      </c>
    </row>
    <row r="4014" spans="1:7" x14ac:dyDescent="0.3">
      <c r="A4014" t="s">
        <v>49</v>
      </c>
      <c r="B4014" t="s">
        <v>389</v>
      </c>
      <c r="C4014">
        <v>3193</v>
      </c>
      <c r="D4014">
        <v>8.52</v>
      </c>
      <c r="E4014">
        <v>5</v>
      </c>
      <c r="F4014">
        <v>0</v>
      </c>
      <c r="G4014">
        <v>120</v>
      </c>
    </row>
    <row r="4015" spans="1:7" x14ac:dyDescent="0.3">
      <c r="A4015" t="s">
        <v>49</v>
      </c>
      <c r="B4015" t="s">
        <v>390</v>
      </c>
      <c r="C4015">
        <v>1542</v>
      </c>
      <c r="D4015">
        <v>8.27</v>
      </c>
      <c r="E4015">
        <v>5</v>
      </c>
      <c r="F4015">
        <v>0</v>
      </c>
      <c r="G4015">
        <v>120</v>
      </c>
    </row>
    <row r="4016" spans="1:7" x14ac:dyDescent="0.3">
      <c r="A4016" t="s">
        <v>49</v>
      </c>
      <c r="B4016" t="s">
        <v>365</v>
      </c>
      <c r="C4016">
        <v>228</v>
      </c>
      <c r="D4016">
        <v>6.72</v>
      </c>
      <c r="E4016">
        <v>5</v>
      </c>
      <c r="F4016">
        <v>0</v>
      </c>
      <c r="G4016">
        <v>60</v>
      </c>
    </row>
    <row r="4018" spans="1:7" x14ac:dyDescent="0.3">
      <c r="A4018" t="s">
        <v>1507</v>
      </c>
    </row>
    <row r="4019" spans="1:7" x14ac:dyDescent="0.3">
      <c r="A4019" t="s">
        <v>44</v>
      </c>
      <c r="B4019" t="s">
        <v>32</v>
      </c>
      <c r="C4019" t="s">
        <v>66</v>
      </c>
      <c r="D4019" t="s">
        <v>67</v>
      </c>
      <c r="E4019" t="s">
        <v>1508</v>
      </c>
      <c r="F4019" t="s">
        <v>1509</v>
      </c>
    </row>
    <row r="4020" spans="1:7" x14ac:dyDescent="0.3">
      <c r="A4020" t="s">
        <v>35</v>
      </c>
      <c r="B4020">
        <v>3145</v>
      </c>
      <c r="C4020" t="s">
        <v>814</v>
      </c>
      <c r="D4020" t="s">
        <v>1079</v>
      </c>
      <c r="E4020" t="s">
        <v>277</v>
      </c>
      <c r="F4020" t="s">
        <v>332</v>
      </c>
    </row>
    <row r="4021" spans="1:7" x14ac:dyDescent="0.3">
      <c r="A4021" t="s">
        <v>37</v>
      </c>
      <c r="B4021">
        <v>3855</v>
      </c>
      <c r="C4021" t="s">
        <v>664</v>
      </c>
      <c r="D4021" t="s">
        <v>1510</v>
      </c>
      <c r="E4021" t="s">
        <v>150</v>
      </c>
      <c r="F4021" t="s">
        <v>112</v>
      </c>
    </row>
    <row r="4022" spans="1:7" x14ac:dyDescent="0.3">
      <c r="A4022" t="s">
        <v>36</v>
      </c>
      <c r="B4022">
        <v>2305</v>
      </c>
      <c r="C4022" t="s">
        <v>62</v>
      </c>
      <c r="D4022" t="s">
        <v>1340</v>
      </c>
      <c r="E4022" t="s">
        <v>675</v>
      </c>
      <c r="F4022" t="s">
        <v>138</v>
      </c>
    </row>
    <row r="4023" spans="1:7" x14ac:dyDescent="0.3">
      <c r="A4023" t="s">
        <v>34</v>
      </c>
      <c r="B4023">
        <v>2080</v>
      </c>
      <c r="C4023" t="s">
        <v>342</v>
      </c>
      <c r="D4023" t="s">
        <v>1169</v>
      </c>
      <c r="E4023" t="s">
        <v>122</v>
      </c>
      <c r="F4023" t="s">
        <v>123</v>
      </c>
    </row>
    <row r="4024" spans="1:7" x14ac:dyDescent="0.3">
      <c r="A4024" t="s">
        <v>33</v>
      </c>
      <c r="B4024">
        <v>1937</v>
      </c>
      <c r="C4024" t="s">
        <v>113</v>
      </c>
      <c r="D4024" t="s">
        <v>767</v>
      </c>
      <c r="E4024" t="s">
        <v>675</v>
      </c>
      <c r="F4024" t="s">
        <v>379</v>
      </c>
    </row>
    <row r="4025" spans="1:7" x14ac:dyDescent="0.3">
      <c r="A4025" t="s">
        <v>49</v>
      </c>
      <c r="B4025">
        <v>13322</v>
      </c>
      <c r="C4025" t="s">
        <v>38</v>
      </c>
      <c r="D4025" t="s">
        <v>608</v>
      </c>
      <c r="E4025" t="s">
        <v>254</v>
      </c>
      <c r="F4025" t="s">
        <v>112</v>
      </c>
    </row>
    <row r="4027" spans="1:7" x14ac:dyDescent="0.3">
      <c r="A4027" t="s">
        <v>1511</v>
      </c>
    </row>
    <row r="4028" spans="1:7" x14ac:dyDescent="0.3">
      <c r="A4028" t="s">
        <v>44</v>
      </c>
      <c r="B4028" t="s">
        <v>235</v>
      </c>
      <c r="C4028" t="s">
        <v>32</v>
      </c>
      <c r="D4028" t="s">
        <v>66</v>
      </c>
      <c r="E4028" t="s">
        <v>67</v>
      </c>
      <c r="F4028" t="s">
        <v>1508</v>
      </c>
      <c r="G4028" t="s">
        <v>1509</v>
      </c>
    </row>
    <row r="4029" spans="1:7" x14ac:dyDescent="0.3">
      <c r="A4029" t="s">
        <v>35</v>
      </c>
      <c r="B4029" t="s">
        <v>236</v>
      </c>
      <c r="C4029">
        <v>1610</v>
      </c>
      <c r="D4029" t="s">
        <v>710</v>
      </c>
      <c r="E4029" t="s">
        <v>974</v>
      </c>
      <c r="F4029" t="s">
        <v>325</v>
      </c>
      <c r="G4029" t="s">
        <v>712</v>
      </c>
    </row>
    <row r="4030" spans="1:7" x14ac:dyDescent="0.3">
      <c r="A4030" t="s">
        <v>35</v>
      </c>
      <c r="B4030" t="s">
        <v>238</v>
      </c>
      <c r="C4030">
        <v>1535</v>
      </c>
      <c r="D4030" t="s">
        <v>465</v>
      </c>
      <c r="E4030" t="s">
        <v>901</v>
      </c>
      <c r="F4030" t="s">
        <v>68</v>
      </c>
      <c r="G4030" t="s">
        <v>105</v>
      </c>
    </row>
    <row r="4031" spans="1:7" x14ac:dyDescent="0.3">
      <c r="A4031" t="s">
        <v>37</v>
      </c>
      <c r="B4031" t="s">
        <v>236</v>
      </c>
      <c r="C4031">
        <v>2211</v>
      </c>
      <c r="D4031" t="s">
        <v>107</v>
      </c>
      <c r="E4031" t="s">
        <v>858</v>
      </c>
      <c r="F4031" t="s">
        <v>78</v>
      </c>
      <c r="G4031" t="s">
        <v>316</v>
      </c>
    </row>
    <row r="4032" spans="1:7" x14ac:dyDescent="0.3">
      <c r="A4032" t="s">
        <v>37</v>
      </c>
      <c r="B4032" t="s">
        <v>238</v>
      </c>
      <c r="C4032">
        <v>1644</v>
      </c>
      <c r="D4032" t="s">
        <v>222</v>
      </c>
      <c r="E4032" t="s">
        <v>504</v>
      </c>
      <c r="F4032" t="s">
        <v>74</v>
      </c>
      <c r="G4032" t="s">
        <v>160</v>
      </c>
    </row>
    <row r="4033" spans="1:7" x14ac:dyDescent="0.3">
      <c r="A4033" t="s">
        <v>36</v>
      </c>
      <c r="B4033" t="s">
        <v>236</v>
      </c>
      <c r="C4033">
        <v>1566</v>
      </c>
      <c r="D4033" t="s">
        <v>342</v>
      </c>
      <c r="E4033" t="s">
        <v>928</v>
      </c>
      <c r="F4033" t="s">
        <v>118</v>
      </c>
      <c r="G4033" t="s">
        <v>149</v>
      </c>
    </row>
    <row r="4034" spans="1:7" x14ac:dyDescent="0.3">
      <c r="A4034" t="s">
        <v>36</v>
      </c>
      <c r="B4034" t="s">
        <v>238</v>
      </c>
      <c r="C4034">
        <v>739</v>
      </c>
      <c r="D4034" t="s">
        <v>728</v>
      </c>
      <c r="E4034" t="s">
        <v>938</v>
      </c>
      <c r="F4034" t="s">
        <v>305</v>
      </c>
      <c r="G4034" t="s">
        <v>268</v>
      </c>
    </row>
    <row r="4035" spans="1:7" x14ac:dyDescent="0.3">
      <c r="A4035" t="s">
        <v>34</v>
      </c>
      <c r="B4035" t="s">
        <v>236</v>
      </c>
      <c r="C4035">
        <v>717</v>
      </c>
      <c r="D4035" t="s">
        <v>798</v>
      </c>
      <c r="E4035" t="s">
        <v>1360</v>
      </c>
      <c r="F4035" t="s">
        <v>299</v>
      </c>
      <c r="G4035" t="s">
        <v>123</v>
      </c>
    </row>
    <row r="4036" spans="1:7" x14ac:dyDescent="0.3">
      <c r="A4036" t="s">
        <v>34</v>
      </c>
      <c r="B4036" t="s">
        <v>238</v>
      </c>
      <c r="C4036">
        <v>1363</v>
      </c>
      <c r="D4036" t="s">
        <v>729</v>
      </c>
      <c r="E4036" t="s">
        <v>958</v>
      </c>
      <c r="F4036" t="s">
        <v>152</v>
      </c>
      <c r="G4036" t="s">
        <v>123</v>
      </c>
    </row>
    <row r="4037" spans="1:7" x14ac:dyDescent="0.3">
      <c r="A4037" t="s">
        <v>33</v>
      </c>
      <c r="B4037" t="s">
        <v>236</v>
      </c>
      <c r="C4037">
        <v>1116</v>
      </c>
      <c r="D4037" t="s">
        <v>139</v>
      </c>
      <c r="E4037" t="s">
        <v>524</v>
      </c>
      <c r="F4037" t="s">
        <v>143</v>
      </c>
      <c r="G4037" t="s">
        <v>353</v>
      </c>
    </row>
    <row r="4038" spans="1:7" x14ac:dyDescent="0.3">
      <c r="A4038" t="s">
        <v>33</v>
      </c>
      <c r="B4038" t="s">
        <v>238</v>
      </c>
      <c r="C4038">
        <v>821</v>
      </c>
      <c r="D4038" t="s">
        <v>710</v>
      </c>
      <c r="E4038" t="s">
        <v>1470</v>
      </c>
      <c r="F4038" t="s">
        <v>109</v>
      </c>
      <c r="G4038" t="s">
        <v>222</v>
      </c>
    </row>
    <row r="4039" spans="1:7" x14ac:dyDescent="0.3">
      <c r="A4039" t="s">
        <v>49</v>
      </c>
      <c r="B4039" t="s">
        <v>236</v>
      </c>
      <c r="C4039">
        <v>7220</v>
      </c>
      <c r="D4039" t="s">
        <v>125</v>
      </c>
      <c r="E4039" t="s">
        <v>1476</v>
      </c>
      <c r="F4039" t="s">
        <v>135</v>
      </c>
      <c r="G4039" t="s">
        <v>129</v>
      </c>
    </row>
    <row r="4040" spans="1:7" x14ac:dyDescent="0.3">
      <c r="A4040" t="s">
        <v>49</v>
      </c>
      <c r="B4040" t="s">
        <v>238</v>
      </c>
      <c r="C4040">
        <v>6102</v>
      </c>
      <c r="D4040" t="s">
        <v>442</v>
      </c>
      <c r="E4040" t="s">
        <v>1259</v>
      </c>
      <c r="F4040" t="s">
        <v>143</v>
      </c>
      <c r="G4040" t="s">
        <v>242</v>
      </c>
    </row>
    <row r="4042" spans="1:7" x14ac:dyDescent="0.3">
      <c r="A4042" t="s">
        <v>1512</v>
      </c>
    </row>
    <row r="4043" spans="1:7" x14ac:dyDescent="0.3">
      <c r="A4043" t="s">
        <v>44</v>
      </c>
      <c r="B4043" t="s">
        <v>361</v>
      </c>
      <c r="C4043" t="s">
        <v>32</v>
      </c>
      <c r="D4043" t="s">
        <v>66</v>
      </c>
      <c r="E4043" t="s">
        <v>67</v>
      </c>
      <c r="F4043" t="s">
        <v>1508</v>
      </c>
      <c r="G4043" t="s">
        <v>1509</v>
      </c>
    </row>
    <row r="4044" spans="1:7" x14ac:dyDescent="0.3">
      <c r="A4044" t="s">
        <v>35</v>
      </c>
      <c r="B4044" t="s">
        <v>339</v>
      </c>
      <c r="C4044">
        <v>890</v>
      </c>
      <c r="D4044" t="s">
        <v>444</v>
      </c>
      <c r="E4044" t="s">
        <v>348</v>
      </c>
      <c r="F4044" t="s">
        <v>679</v>
      </c>
      <c r="G4044" t="s">
        <v>332</v>
      </c>
    </row>
    <row r="4045" spans="1:7" x14ac:dyDescent="0.3">
      <c r="A4045" t="s">
        <v>35</v>
      </c>
      <c r="B4045" t="s">
        <v>340</v>
      </c>
      <c r="C4045">
        <v>2215</v>
      </c>
      <c r="D4045" t="s">
        <v>710</v>
      </c>
      <c r="E4045" t="s">
        <v>1023</v>
      </c>
      <c r="F4045" t="s">
        <v>130</v>
      </c>
      <c r="G4045" t="s">
        <v>154</v>
      </c>
    </row>
    <row r="4046" spans="1:7" x14ac:dyDescent="0.3">
      <c r="A4046" t="s">
        <v>35</v>
      </c>
      <c r="B4046" t="s">
        <v>365</v>
      </c>
      <c r="C4046">
        <v>40</v>
      </c>
      <c r="D4046" t="s">
        <v>533</v>
      </c>
      <c r="E4046" t="s">
        <v>650</v>
      </c>
      <c r="F4046" t="s">
        <v>117</v>
      </c>
      <c r="G4046" t="s">
        <v>126</v>
      </c>
    </row>
    <row r="4047" spans="1:7" x14ac:dyDescent="0.3">
      <c r="A4047" t="s">
        <v>37</v>
      </c>
      <c r="B4047" t="s">
        <v>339</v>
      </c>
      <c r="C4047">
        <v>1093</v>
      </c>
      <c r="D4047" t="s">
        <v>135</v>
      </c>
      <c r="E4047" t="s">
        <v>261</v>
      </c>
      <c r="F4047" t="s">
        <v>125</v>
      </c>
      <c r="G4047" t="s">
        <v>68</v>
      </c>
    </row>
    <row r="4048" spans="1:7" x14ac:dyDescent="0.3">
      <c r="A4048" t="s">
        <v>37</v>
      </c>
      <c r="B4048" t="s">
        <v>340</v>
      </c>
      <c r="C4048">
        <v>2721</v>
      </c>
      <c r="D4048" t="s">
        <v>122</v>
      </c>
      <c r="E4048" t="s">
        <v>189</v>
      </c>
      <c r="F4048" t="s">
        <v>145</v>
      </c>
      <c r="G4048" t="s">
        <v>112</v>
      </c>
    </row>
    <row r="4049" spans="1:7" x14ac:dyDescent="0.3">
      <c r="A4049" t="s">
        <v>37</v>
      </c>
      <c r="B4049" t="s">
        <v>365</v>
      </c>
      <c r="C4049">
        <v>41</v>
      </c>
      <c r="D4049" t="s">
        <v>233</v>
      </c>
      <c r="E4049" t="s">
        <v>187</v>
      </c>
      <c r="F4049" t="s">
        <v>98</v>
      </c>
      <c r="G4049" t="s">
        <v>99</v>
      </c>
    </row>
    <row r="4050" spans="1:7" x14ac:dyDescent="0.3">
      <c r="A4050" t="s">
        <v>36</v>
      </c>
      <c r="B4050" t="s">
        <v>339</v>
      </c>
      <c r="C4050">
        <v>770</v>
      </c>
      <c r="D4050" t="s">
        <v>843</v>
      </c>
      <c r="E4050" t="s">
        <v>1340</v>
      </c>
      <c r="F4050" t="s">
        <v>158</v>
      </c>
      <c r="G4050" t="s">
        <v>68</v>
      </c>
    </row>
    <row r="4051" spans="1:7" x14ac:dyDescent="0.3">
      <c r="A4051" t="s">
        <v>36</v>
      </c>
      <c r="B4051" t="s">
        <v>340</v>
      </c>
      <c r="C4051">
        <v>1472</v>
      </c>
      <c r="D4051" t="s">
        <v>797</v>
      </c>
      <c r="E4051" t="s">
        <v>1061</v>
      </c>
      <c r="F4051" t="s">
        <v>664</v>
      </c>
      <c r="G4051" t="s">
        <v>103</v>
      </c>
    </row>
    <row r="4052" spans="1:7" x14ac:dyDescent="0.3">
      <c r="A4052" t="s">
        <v>36</v>
      </c>
      <c r="B4052" t="s">
        <v>365</v>
      </c>
      <c r="C4052">
        <v>63</v>
      </c>
      <c r="D4052" t="s">
        <v>119</v>
      </c>
      <c r="E4052" t="s">
        <v>819</v>
      </c>
      <c r="F4052" t="s">
        <v>105</v>
      </c>
      <c r="G4052" t="s">
        <v>124</v>
      </c>
    </row>
    <row r="4053" spans="1:7" x14ac:dyDescent="0.3">
      <c r="A4053" t="s">
        <v>34</v>
      </c>
      <c r="B4053" t="s">
        <v>339</v>
      </c>
      <c r="C4053">
        <v>555</v>
      </c>
      <c r="D4053" t="s">
        <v>116</v>
      </c>
      <c r="E4053" t="s">
        <v>562</v>
      </c>
      <c r="F4053" t="s">
        <v>220</v>
      </c>
      <c r="G4053" t="s">
        <v>127</v>
      </c>
    </row>
    <row r="4054" spans="1:7" x14ac:dyDescent="0.3">
      <c r="A4054" t="s">
        <v>34</v>
      </c>
      <c r="B4054" t="s">
        <v>340</v>
      </c>
      <c r="C4054">
        <v>1497</v>
      </c>
      <c r="D4054" t="s">
        <v>795</v>
      </c>
      <c r="E4054" t="s">
        <v>1063</v>
      </c>
      <c r="F4054" t="s">
        <v>143</v>
      </c>
      <c r="G4054" t="s">
        <v>123</v>
      </c>
    </row>
    <row r="4055" spans="1:7" x14ac:dyDescent="0.3">
      <c r="A4055" t="s">
        <v>34</v>
      </c>
      <c r="B4055" t="s">
        <v>365</v>
      </c>
      <c r="C4055">
        <v>28</v>
      </c>
      <c r="D4055" t="s">
        <v>457</v>
      </c>
      <c r="E4055" t="s">
        <v>350</v>
      </c>
      <c r="F4055" t="s">
        <v>134</v>
      </c>
      <c r="G4055" t="s">
        <v>138</v>
      </c>
    </row>
    <row r="4056" spans="1:7" x14ac:dyDescent="0.3">
      <c r="A4056" t="s">
        <v>33</v>
      </c>
      <c r="B4056" t="s">
        <v>339</v>
      </c>
      <c r="C4056">
        <v>503</v>
      </c>
      <c r="D4056" t="s">
        <v>804</v>
      </c>
      <c r="E4056" t="s">
        <v>1451</v>
      </c>
      <c r="F4056" t="s">
        <v>363</v>
      </c>
      <c r="G4056" t="s">
        <v>171</v>
      </c>
    </row>
    <row r="4057" spans="1:7" x14ac:dyDescent="0.3">
      <c r="A4057" t="s">
        <v>33</v>
      </c>
      <c r="B4057" t="s">
        <v>340</v>
      </c>
      <c r="C4057">
        <v>1415</v>
      </c>
      <c r="D4057" t="s">
        <v>78</v>
      </c>
      <c r="E4057" t="s">
        <v>1166</v>
      </c>
      <c r="F4057" t="s">
        <v>204</v>
      </c>
      <c r="G4057" t="s">
        <v>369</v>
      </c>
    </row>
    <row r="4058" spans="1:7" x14ac:dyDescent="0.3">
      <c r="A4058" t="s">
        <v>33</v>
      </c>
      <c r="B4058" t="s">
        <v>365</v>
      </c>
      <c r="C4058">
        <v>19</v>
      </c>
      <c r="D4058" t="s">
        <v>680</v>
      </c>
      <c r="E4058" t="s">
        <v>518</v>
      </c>
      <c r="F4058" t="s">
        <v>99</v>
      </c>
      <c r="G4058" t="s">
        <v>222</v>
      </c>
    </row>
    <row r="4059" spans="1:7" x14ac:dyDescent="0.3">
      <c r="A4059" t="s">
        <v>49</v>
      </c>
      <c r="B4059" t="s">
        <v>339</v>
      </c>
      <c r="C4059">
        <v>3811</v>
      </c>
      <c r="D4059" t="s">
        <v>177</v>
      </c>
      <c r="E4059" t="s">
        <v>1455</v>
      </c>
      <c r="F4059" t="s">
        <v>363</v>
      </c>
      <c r="G4059" t="s">
        <v>139</v>
      </c>
    </row>
    <row r="4060" spans="1:7" x14ac:dyDescent="0.3">
      <c r="A4060" t="s">
        <v>49</v>
      </c>
      <c r="B4060" t="s">
        <v>340</v>
      </c>
      <c r="C4060">
        <v>9320</v>
      </c>
      <c r="D4060" t="s">
        <v>318</v>
      </c>
      <c r="E4060" t="s">
        <v>767</v>
      </c>
      <c r="F4060" t="s">
        <v>468</v>
      </c>
      <c r="G4060" t="s">
        <v>112</v>
      </c>
    </row>
    <row r="4061" spans="1:7" x14ac:dyDescent="0.3">
      <c r="A4061" t="s">
        <v>49</v>
      </c>
      <c r="B4061" t="s">
        <v>365</v>
      </c>
      <c r="C4061">
        <v>191</v>
      </c>
      <c r="D4061" t="s">
        <v>60</v>
      </c>
      <c r="E4061" t="s">
        <v>55</v>
      </c>
      <c r="F4061" t="s">
        <v>105</v>
      </c>
      <c r="G4061" t="s">
        <v>154</v>
      </c>
    </row>
    <row r="4063" spans="1:7" x14ac:dyDescent="0.3">
      <c r="A4063" t="s">
        <v>1513</v>
      </c>
    </row>
    <row r="4064" spans="1:7" x14ac:dyDescent="0.3">
      <c r="A4064" t="s">
        <v>44</v>
      </c>
      <c r="B4064" t="s">
        <v>209</v>
      </c>
      <c r="C4064" t="s">
        <v>32</v>
      </c>
      <c r="D4064" t="s">
        <v>66</v>
      </c>
      <c r="E4064" t="s">
        <v>67</v>
      </c>
      <c r="F4064" t="s">
        <v>1508</v>
      </c>
      <c r="G4064" t="s">
        <v>1509</v>
      </c>
    </row>
    <row r="4065" spans="1:7" x14ac:dyDescent="0.3">
      <c r="A4065" t="s">
        <v>35</v>
      </c>
      <c r="B4065" t="s">
        <v>210</v>
      </c>
      <c r="C4065">
        <v>136</v>
      </c>
      <c r="D4065" t="s">
        <v>444</v>
      </c>
      <c r="E4065" t="s">
        <v>1050</v>
      </c>
      <c r="F4065" t="s">
        <v>78</v>
      </c>
      <c r="G4065" t="s">
        <v>332</v>
      </c>
    </row>
    <row r="4066" spans="1:7" x14ac:dyDescent="0.3">
      <c r="A4066" t="s">
        <v>35</v>
      </c>
      <c r="B4066" t="s">
        <v>212</v>
      </c>
      <c r="C4066">
        <v>2442</v>
      </c>
      <c r="D4066" t="s">
        <v>449</v>
      </c>
      <c r="E4066" t="s">
        <v>968</v>
      </c>
      <c r="F4066" t="s">
        <v>242</v>
      </c>
      <c r="G4066" t="s">
        <v>154</v>
      </c>
    </row>
    <row r="4067" spans="1:7" x14ac:dyDescent="0.3">
      <c r="A4067" t="s">
        <v>35</v>
      </c>
      <c r="B4067" t="s">
        <v>216</v>
      </c>
      <c r="C4067">
        <v>567</v>
      </c>
      <c r="D4067" t="s">
        <v>303</v>
      </c>
      <c r="E4067" t="s">
        <v>486</v>
      </c>
      <c r="F4067" t="s">
        <v>242</v>
      </c>
      <c r="G4067" t="s">
        <v>138</v>
      </c>
    </row>
    <row r="4068" spans="1:7" x14ac:dyDescent="0.3">
      <c r="A4068" t="s">
        <v>37</v>
      </c>
      <c r="B4068" t="s">
        <v>210</v>
      </c>
      <c r="C4068">
        <v>138</v>
      </c>
      <c r="D4068" t="s">
        <v>370</v>
      </c>
      <c r="E4068" t="s">
        <v>1065</v>
      </c>
      <c r="F4068" t="s">
        <v>103</v>
      </c>
      <c r="G4068" t="s">
        <v>251</v>
      </c>
    </row>
    <row r="4069" spans="1:7" x14ac:dyDescent="0.3">
      <c r="A4069" t="s">
        <v>37</v>
      </c>
      <c r="B4069" t="s">
        <v>212</v>
      </c>
      <c r="C4069">
        <v>3606</v>
      </c>
      <c r="D4069" t="s">
        <v>143</v>
      </c>
      <c r="E4069" t="s">
        <v>178</v>
      </c>
      <c r="F4069" t="s">
        <v>160</v>
      </c>
      <c r="G4069" t="s">
        <v>712</v>
      </c>
    </row>
    <row r="4070" spans="1:7" x14ac:dyDescent="0.3">
      <c r="A4070" t="s">
        <v>37</v>
      </c>
      <c r="B4070" t="s">
        <v>216</v>
      </c>
      <c r="C4070">
        <v>111</v>
      </c>
      <c r="D4070" t="s">
        <v>457</v>
      </c>
      <c r="E4070" t="s">
        <v>1015</v>
      </c>
      <c r="F4070" t="s">
        <v>165</v>
      </c>
      <c r="G4070" t="s">
        <v>143</v>
      </c>
    </row>
    <row r="4071" spans="1:7" x14ac:dyDescent="0.3">
      <c r="A4071" t="s">
        <v>36</v>
      </c>
      <c r="B4071" t="s">
        <v>210</v>
      </c>
      <c r="C4071">
        <v>165</v>
      </c>
      <c r="D4071" t="s">
        <v>580</v>
      </c>
      <c r="E4071" t="s">
        <v>573</v>
      </c>
      <c r="F4071" t="s">
        <v>434</v>
      </c>
      <c r="G4071" t="s">
        <v>120</v>
      </c>
    </row>
    <row r="4072" spans="1:7" x14ac:dyDescent="0.3">
      <c r="A4072" t="s">
        <v>36</v>
      </c>
      <c r="B4072" t="s">
        <v>212</v>
      </c>
      <c r="C4072">
        <v>1875</v>
      </c>
      <c r="D4072" t="s">
        <v>146</v>
      </c>
      <c r="E4072" t="s">
        <v>552</v>
      </c>
      <c r="F4072" t="s">
        <v>145</v>
      </c>
      <c r="G4072" t="s">
        <v>155</v>
      </c>
    </row>
    <row r="4073" spans="1:7" x14ac:dyDescent="0.3">
      <c r="A4073" t="s">
        <v>36</v>
      </c>
      <c r="B4073" t="s">
        <v>216</v>
      </c>
      <c r="C4073">
        <v>265</v>
      </c>
      <c r="D4073" t="s">
        <v>631</v>
      </c>
      <c r="E4073" t="s">
        <v>652</v>
      </c>
      <c r="F4073" t="s">
        <v>470</v>
      </c>
      <c r="G4073" t="s">
        <v>332</v>
      </c>
    </row>
    <row r="4074" spans="1:7" x14ac:dyDescent="0.3">
      <c r="A4074" t="s">
        <v>34</v>
      </c>
      <c r="B4074" t="s">
        <v>210</v>
      </c>
      <c r="C4074">
        <v>256</v>
      </c>
      <c r="D4074" t="s">
        <v>153</v>
      </c>
      <c r="E4074" t="s">
        <v>213</v>
      </c>
      <c r="F4074" t="s">
        <v>277</v>
      </c>
      <c r="G4074" t="s">
        <v>104</v>
      </c>
    </row>
    <row r="4075" spans="1:7" x14ac:dyDescent="0.3">
      <c r="A4075" t="s">
        <v>34</v>
      </c>
      <c r="B4075" t="s">
        <v>212</v>
      </c>
      <c r="C4075">
        <v>1582</v>
      </c>
      <c r="D4075" t="s">
        <v>534</v>
      </c>
      <c r="E4075" t="s">
        <v>284</v>
      </c>
      <c r="F4075" t="s">
        <v>78</v>
      </c>
      <c r="G4075" t="s">
        <v>123</v>
      </c>
    </row>
    <row r="4076" spans="1:7" x14ac:dyDescent="0.3">
      <c r="A4076" t="s">
        <v>34</v>
      </c>
      <c r="B4076" t="s">
        <v>216</v>
      </c>
      <c r="C4076">
        <v>242</v>
      </c>
      <c r="D4076" t="s">
        <v>642</v>
      </c>
      <c r="E4076" t="s">
        <v>1183</v>
      </c>
      <c r="F4076" t="s">
        <v>70</v>
      </c>
      <c r="G4076" t="s">
        <v>332</v>
      </c>
    </row>
    <row r="4077" spans="1:7" x14ac:dyDescent="0.3">
      <c r="A4077" t="s">
        <v>33</v>
      </c>
      <c r="B4077" t="s">
        <v>210</v>
      </c>
      <c r="C4077">
        <v>68</v>
      </c>
      <c r="D4077" t="s">
        <v>737</v>
      </c>
      <c r="E4077" t="s">
        <v>308</v>
      </c>
      <c r="F4077" t="s">
        <v>70</v>
      </c>
      <c r="G4077" t="s">
        <v>379</v>
      </c>
    </row>
    <row r="4078" spans="1:7" x14ac:dyDescent="0.3">
      <c r="A4078" t="s">
        <v>33</v>
      </c>
      <c r="B4078" t="s">
        <v>212</v>
      </c>
      <c r="C4078">
        <v>1800</v>
      </c>
      <c r="D4078" t="s">
        <v>70</v>
      </c>
      <c r="E4078" t="s">
        <v>1235</v>
      </c>
      <c r="F4078" t="s">
        <v>254</v>
      </c>
      <c r="G4078" t="s">
        <v>171</v>
      </c>
    </row>
    <row r="4079" spans="1:7" x14ac:dyDescent="0.3">
      <c r="A4079" t="s">
        <v>33</v>
      </c>
      <c r="B4079" t="s">
        <v>216</v>
      </c>
      <c r="C4079">
        <v>69</v>
      </c>
      <c r="D4079" t="s">
        <v>720</v>
      </c>
      <c r="E4079" t="s">
        <v>1257</v>
      </c>
      <c r="F4079" t="s">
        <v>109</v>
      </c>
      <c r="G4079" t="s">
        <v>145</v>
      </c>
    </row>
    <row r="4080" spans="1:7" x14ac:dyDescent="0.3">
      <c r="A4080" t="s">
        <v>49</v>
      </c>
      <c r="B4080" t="s">
        <v>210</v>
      </c>
      <c r="C4080">
        <v>763</v>
      </c>
      <c r="D4080" t="s">
        <v>860</v>
      </c>
      <c r="E4080" t="s">
        <v>1194</v>
      </c>
      <c r="F4080" t="s">
        <v>158</v>
      </c>
      <c r="G4080" t="s">
        <v>154</v>
      </c>
    </row>
    <row r="4081" spans="1:7" x14ac:dyDescent="0.3">
      <c r="A4081" t="s">
        <v>49</v>
      </c>
      <c r="B4081" t="s">
        <v>212</v>
      </c>
      <c r="C4081">
        <v>11305</v>
      </c>
      <c r="D4081" t="s">
        <v>731</v>
      </c>
      <c r="E4081" t="s">
        <v>1235</v>
      </c>
      <c r="F4081" t="s">
        <v>675</v>
      </c>
      <c r="G4081" t="s">
        <v>68</v>
      </c>
    </row>
    <row r="4082" spans="1:7" x14ac:dyDescent="0.3">
      <c r="A4082" t="s">
        <v>49</v>
      </c>
      <c r="B4082" t="s">
        <v>216</v>
      </c>
      <c r="C4082">
        <v>1254</v>
      </c>
      <c r="D4082" t="s">
        <v>54</v>
      </c>
      <c r="E4082" t="s">
        <v>1350</v>
      </c>
      <c r="F4082" t="s">
        <v>145</v>
      </c>
      <c r="G4082" t="s">
        <v>134</v>
      </c>
    </row>
    <row r="4084" spans="1:7" x14ac:dyDescent="0.3">
      <c r="A4084" t="s">
        <v>1514</v>
      </c>
    </row>
    <row r="4085" spans="1:7" x14ac:dyDescent="0.3">
      <c r="A4085" t="s">
        <v>44</v>
      </c>
      <c r="B4085" t="s">
        <v>879</v>
      </c>
      <c r="C4085" t="s">
        <v>32</v>
      </c>
      <c r="D4085" t="s">
        <v>66</v>
      </c>
      <c r="E4085" t="s">
        <v>67</v>
      </c>
      <c r="F4085" t="s">
        <v>1508</v>
      </c>
      <c r="G4085" t="s">
        <v>1509</v>
      </c>
    </row>
    <row r="4086" spans="1:7" x14ac:dyDescent="0.3">
      <c r="A4086" t="s">
        <v>35</v>
      </c>
      <c r="B4086" t="s">
        <v>880</v>
      </c>
      <c r="C4086">
        <v>596</v>
      </c>
      <c r="D4086" t="s">
        <v>311</v>
      </c>
      <c r="E4086" t="s">
        <v>502</v>
      </c>
      <c r="F4086" t="s">
        <v>124</v>
      </c>
      <c r="G4086" t="s">
        <v>117</v>
      </c>
    </row>
    <row r="4087" spans="1:7" x14ac:dyDescent="0.3">
      <c r="A4087" t="s">
        <v>35</v>
      </c>
      <c r="B4087" t="s">
        <v>881</v>
      </c>
      <c r="C4087">
        <v>1162</v>
      </c>
      <c r="D4087" t="s">
        <v>186</v>
      </c>
      <c r="E4087" t="s">
        <v>767</v>
      </c>
      <c r="F4087" t="s">
        <v>277</v>
      </c>
      <c r="G4087" t="s">
        <v>110</v>
      </c>
    </row>
    <row r="4088" spans="1:7" x14ac:dyDescent="0.3">
      <c r="A4088" t="s">
        <v>35</v>
      </c>
      <c r="B4088" t="s">
        <v>882</v>
      </c>
      <c r="C4088">
        <v>1387</v>
      </c>
      <c r="D4088" t="s">
        <v>321</v>
      </c>
      <c r="E4088" t="s">
        <v>1515</v>
      </c>
      <c r="F4088" t="s">
        <v>68</v>
      </c>
      <c r="G4088" t="s">
        <v>110</v>
      </c>
    </row>
    <row r="4089" spans="1:7" x14ac:dyDescent="0.3">
      <c r="A4089" t="s">
        <v>37</v>
      </c>
      <c r="B4089" t="s">
        <v>880</v>
      </c>
      <c r="C4089">
        <v>671</v>
      </c>
      <c r="D4089" t="s">
        <v>289</v>
      </c>
      <c r="E4089" t="s">
        <v>1364</v>
      </c>
      <c r="F4089" t="s">
        <v>145</v>
      </c>
      <c r="G4089" t="s">
        <v>124</v>
      </c>
    </row>
    <row r="4090" spans="1:7" x14ac:dyDescent="0.3">
      <c r="A4090" t="s">
        <v>37</v>
      </c>
      <c r="B4090" t="s">
        <v>881</v>
      </c>
      <c r="C4090">
        <v>1371</v>
      </c>
      <c r="D4090" t="s">
        <v>277</v>
      </c>
      <c r="E4090" t="s">
        <v>469</v>
      </c>
      <c r="F4090" t="s">
        <v>160</v>
      </c>
      <c r="G4090" t="s">
        <v>434</v>
      </c>
    </row>
    <row r="4091" spans="1:7" x14ac:dyDescent="0.3">
      <c r="A4091" t="s">
        <v>37</v>
      </c>
      <c r="B4091" t="s">
        <v>882</v>
      </c>
      <c r="C4091">
        <v>1813</v>
      </c>
      <c r="D4091" t="s">
        <v>160</v>
      </c>
      <c r="E4091" t="s">
        <v>1510</v>
      </c>
      <c r="F4091" t="s">
        <v>664</v>
      </c>
      <c r="G4091" t="s">
        <v>112</v>
      </c>
    </row>
    <row r="4092" spans="1:7" x14ac:dyDescent="0.3">
      <c r="A4092" t="s">
        <v>36</v>
      </c>
      <c r="B4092" t="s">
        <v>880</v>
      </c>
      <c r="C4092">
        <v>382</v>
      </c>
      <c r="D4092" t="s">
        <v>1068</v>
      </c>
      <c r="E4092" t="s">
        <v>1190</v>
      </c>
      <c r="F4092" t="s">
        <v>305</v>
      </c>
      <c r="G4092" t="s">
        <v>126</v>
      </c>
    </row>
    <row r="4093" spans="1:7" x14ac:dyDescent="0.3">
      <c r="A4093" t="s">
        <v>36</v>
      </c>
      <c r="B4093" t="s">
        <v>881</v>
      </c>
      <c r="C4093">
        <v>866</v>
      </c>
      <c r="D4093" t="s">
        <v>914</v>
      </c>
      <c r="E4093" t="s">
        <v>576</v>
      </c>
      <c r="F4093" t="s">
        <v>68</v>
      </c>
      <c r="G4093" t="s">
        <v>139</v>
      </c>
    </row>
    <row r="4094" spans="1:7" x14ac:dyDescent="0.3">
      <c r="A4094" t="s">
        <v>36</v>
      </c>
      <c r="B4094" t="s">
        <v>882</v>
      </c>
      <c r="C4094">
        <v>1057</v>
      </c>
      <c r="D4094" t="s">
        <v>934</v>
      </c>
      <c r="E4094" t="s">
        <v>556</v>
      </c>
      <c r="F4094" t="s">
        <v>675</v>
      </c>
      <c r="G4094" t="s">
        <v>155</v>
      </c>
    </row>
    <row r="4095" spans="1:7" x14ac:dyDescent="0.3">
      <c r="A4095" t="s">
        <v>34</v>
      </c>
      <c r="B4095" t="s">
        <v>880</v>
      </c>
      <c r="C4095">
        <v>351</v>
      </c>
      <c r="D4095" t="s">
        <v>503</v>
      </c>
      <c r="E4095" t="s">
        <v>346</v>
      </c>
      <c r="F4095" t="s">
        <v>254</v>
      </c>
      <c r="G4095" t="s">
        <v>111</v>
      </c>
    </row>
    <row r="4096" spans="1:7" x14ac:dyDescent="0.3">
      <c r="A4096" t="s">
        <v>34</v>
      </c>
      <c r="B4096" t="s">
        <v>881</v>
      </c>
      <c r="C4096">
        <v>861</v>
      </c>
      <c r="D4096" t="s">
        <v>503</v>
      </c>
      <c r="E4096" t="s">
        <v>648</v>
      </c>
      <c r="F4096" t="s">
        <v>122</v>
      </c>
      <c r="G4096" t="s">
        <v>127</v>
      </c>
    </row>
    <row r="4097" spans="1:7" x14ac:dyDescent="0.3">
      <c r="A4097" t="s">
        <v>34</v>
      </c>
      <c r="B4097" t="s">
        <v>882</v>
      </c>
      <c r="C4097">
        <v>868</v>
      </c>
      <c r="D4097" t="s">
        <v>916</v>
      </c>
      <c r="E4097" t="s">
        <v>1223</v>
      </c>
      <c r="F4097" t="s">
        <v>78</v>
      </c>
      <c r="G4097" t="s">
        <v>215</v>
      </c>
    </row>
    <row r="4098" spans="1:7" x14ac:dyDescent="0.3">
      <c r="A4098" t="s">
        <v>33</v>
      </c>
      <c r="B4098" t="s">
        <v>880</v>
      </c>
      <c r="C4098">
        <v>426</v>
      </c>
      <c r="D4098" t="s">
        <v>125</v>
      </c>
      <c r="E4098" t="s">
        <v>1279</v>
      </c>
      <c r="F4098" t="s">
        <v>277</v>
      </c>
      <c r="G4098" t="s">
        <v>267</v>
      </c>
    </row>
    <row r="4099" spans="1:7" x14ac:dyDescent="0.3">
      <c r="A4099" t="s">
        <v>33</v>
      </c>
      <c r="B4099" t="s">
        <v>881</v>
      </c>
      <c r="C4099">
        <v>682</v>
      </c>
      <c r="D4099" t="s">
        <v>663</v>
      </c>
      <c r="E4099" t="s">
        <v>1515</v>
      </c>
      <c r="F4099" t="s">
        <v>401</v>
      </c>
      <c r="G4099" t="s">
        <v>248</v>
      </c>
    </row>
    <row r="4100" spans="1:7" x14ac:dyDescent="0.3">
      <c r="A4100" t="s">
        <v>33</v>
      </c>
      <c r="B4100" t="s">
        <v>882</v>
      </c>
      <c r="C4100">
        <v>829</v>
      </c>
      <c r="D4100" t="s">
        <v>671</v>
      </c>
      <c r="E4100" t="s">
        <v>869</v>
      </c>
      <c r="F4100" t="s">
        <v>204</v>
      </c>
      <c r="G4100" t="s">
        <v>233</v>
      </c>
    </row>
    <row r="4101" spans="1:7" x14ac:dyDescent="0.3">
      <c r="A4101" t="s">
        <v>49</v>
      </c>
      <c r="B4101" t="s">
        <v>880</v>
      </c>
      <c r="C4101">
        <v>2426</v>
      </c>
      <c r="D4101" t="s">
        <v>186</v>
      </c>
      <c r="E4101" t="s">
        <v>486</v>
      </c>
      <c r="F4101" t="s">
        <v>144</v>
      </c>
      <c r="G4101" t="s">
        <v>242</v>
      </c>
    </row>
    <row r="4102" spans="1:7" x14ac:dyDescent="0.3">
      <c r="A4102" t="s">
        <v>49</v>
      </c>
      <c r="B4102" t="s">
        <v>881</v>
      </c>
      <c r="C4102">
        <v>4942</v>
      </c>
      <c r="D4102" t="s">
        <v>694</v>
      </c>
      <c r="E4102" t="s">
        <v>504</v>
      </c>
      <c r="F4102" t="s">
        <v>663</v>
      </c>
      <c r="G4102" t="s">
        <v>434</v>
      </c>
    </row>
    <row r="4103" spans="1:7" x14ac:dyDescent="0.3">
      <c r="A4103" t="s">
        <v>49</v>
      </c>
      <c r="B4103" t="s">
        <v>882</v>
      </c>
      <c r="C4103">
        <v>5954</v>
      </c>
      <c r="D4103" t="s">
        <v>444</v>
      </c>
      <c r="E4103" t="s">
        <v>1124</v>
      </c>
      <c r="F4103" t="s">
        <v>254</v>
      </c>
      <c r="G4103" t="s">
        <v>139</v>
      </c>
    </row>
    <row r="4105" spans="1:7" x14ac:dyDescent="0.3">
      <c r="A4105" t="s">
        <v>1516</v>
      </c>
    </row>
    <row r="4106" spans="1:7" x14ac:dyDescent="0.3">
      <c r="A4106" t="s">
        <v>44</v>
      </c>
      <c r="B4106" t="s">
        <v>388</v>
      </c>
      <c r="C4106" t="s">
        <v>32</v>
      </c>
      <c r="D4106" t="s">
        <v>66</v>
      </c>
      <c r="E4106" t="s">
        <v>67</v>
      </c>
      <c r="F4106" t="s">
        <v>1508</v>
      </c>
      <c r="G4106" t="s">
        <v>1509</v>
      </c>
    </row>
    <row r="4107" spans="1:7" x14ac:dyDescent="0.3">
      <c r="A4107" t="s">
        <v>35</v>
      </c>
      <c r="B4107" t="s">
        <v>389</v>
      </c>
      <c r="C4107">
        <v>2141</v>
      </c>
      <c r="D4107" t="s">
        <v>264</v>
      </c>
      <c r="E4107" t="s">
        <v>1364</v>
      </c>
      <c r="F4107" t="s">
        <v>328</v>
      </c>
      <c r="G4107" t="s">
        <v>154</v>
      </c>
    </row>
    <row r="4108" spans="1:7" x14ac:dyDescent="0.3">
      <c r="A4108" t="s">
        <v>35</v>
      </c>
      <c r="B4108" t="s">
        <v>390</v>
      </c>
      <c r="C4108">
        <v>875</v>
      </c>
      <c r="D4108" t="s">
        <v>416</v>
      </c>
      <c r="E4108" t="s">
        <v>524</v>
      </c>
      <c r="F4108" t="s">
        <v>129</v>
      </c>
      <c r="G4108" t="s">
        <v>157</v>
      </c>
    </row>
    <row r="4109" spans="1:7" x14ac:dyDescent="0.3">
      <c r="A4109" t="s">
        <v>35</v>
      </c>
      <c r="B4109" t="s">
        <v>365</v>
      </c>
      <c r="C4109">
        <v>129</v>
      </c>
      <c r="D4109" t="s">
        <v>410</v>
      </c>
      <c r="E4109" t="s">
        <v>985</v>
      </c>
      <c r="F4109" t="s">
        <v>382</v>
      </c>
      <c r="G4109" t="s">
        <v>412</v>
      </c>
    </row>
    <row r="4110" spans="1:7" x14ac:dyDescent="0.3">
      <c r="A4110" t="s">
        <v>37</v>
      </c>
      <c r="B4110" t="s">
        <v>389</v>
      </c>
      <c r="C4110">
        <v>2305</v>
      </c>
      <c r="D4110" t="s">
        <v>70</v>
      </c>
      <c r="E4110" t="s">
        <v>371</v>
      </c>
      <c r="F4110" t="s">
        <v>664</v>
      </c>
      <c r="G4110" t="s">
        <v>277</v>
      </c>
    </row>
    <row r="4111" spans="1:7" x14ac:dyDescent="0.3">
      <c r="A4111" t="s">
        <v>37</v>
      </c>
      <c r="B4111" t="s">
        <v>390</v>
      </c>
      <c r="C4111">
        <v>1309</v>
      </c>
      <c r="D4111" t="s">
        <v>663</v>
      </c>
      <c r="E4111" t="s">
        <v>543</v>
      </c>
      <c r="F4111" t="s">
        <v>74</v>
      </c>
      <c r="G4111" t="s">
        <v>129</v>
      </c>
    </row>
    <row r="4112" spans="1:7" x14ac:dyDescent="0.3">
      <c r="A4112" t="s">
        <v>37</v>
      </c>
      <c r="B4112" t="s">
        <v>365</v>
      </c>
      <c r="C4112">
        <v>241</v>
      </c>
      <c r="D4112" t="s">
        <v>254</v>
      </c>
      <c r="E4112" t="s">
        <v>462</v>
      </c>
      <c r="F4112" t="s">
        <v>470</v>
      </c>
      <c r="G4112" t="s">
        <v>147</v>
      </c>
    </row>
    <row r="4113" spans="1:13" x14ac:dyDescent="0.3">
      <c r="A4113" t="s">
        <v>36</v>
      </c>
      <c r="B4113" t="s">
        <v>389</v>
      </c>
      <c r="C4113">
        <v>1578</v>
      </c>
      <c r="D4113" t="s">
        <v>1156</v>
      </c>
      <c r="E4113" t="s">
        <v>1255</v>
      </c>
      <c r="F4113" t="s">
        <v>145</v>
      </c>
      <c r="G4113" t="s">
        <v>332</v>
      </c>
    </row>
    <row r="4114" spans="1:13" x14ac:dyDescent="0.3">
      <c r="A4114" t="s">
        <v>36</v>
      </c>
      <c r="B4114" t="s">
        <v>390</v>
      </c>
      <c r="C4114">
        <v>627</v>
      </c>
      <c r="D4114" t="s">
        <v>669</v>
      </c>
      <c r="E4114" t="s">
        <v>1190</v>
      </c>
      <c r="F4114" t="s">
        <v>401</v>
      </c>
      <c r="G4114" t="s">
        <v>134</v>
      </c>
    </row>
    <row r="4115" spans="1:13" x14ac:dyDescent="0.3">
      <c r="A4115" t="s">
        <v>36</v>
      </c>
      <c r="B4115" t="s">
        <v>365</v>
      </c>
      <c r="C4115">
        <v>100</v>
      </c>
      <c r="D4115" t="s">
        <v>713</v>
      </c>
      <c r="E4115" t="s">
        <v>55</v>
      </c>
      <c r="F4115" t="s">
        <v>123</v>
      </c>
      <c r="G4115" t="s">
        <v>141</v>
      </c>
    </row>
    <row r="4116" spans="1:13" x14ac:dyDescent="0.3">
      <c r="A4116" t="s">
        <v>34</v>
      </c>
      <c r="B4116" t="s">
        <v>389</v>
      </c>
      <c r="C4116">
        <v>1385</v>
      </c>
      <c r="D4116" t="s">
        <v>60</v>
      </c>
      <c r="E4116" t="s">
        <v>533</v>
      </c>
      <c r="F4116" t="s">
        <v>78</v>
      </c>
      <c r="G4116" t="s">
        <v>123</v>
      </c>
    </row>
    <row r="4117" spans="1:13" x14ac:dyDescent="0.3">
      <c r="A4117" t="s">
        <v>34</v>
      </c>
      <c r="B4117" t="s">
        <v>390</v>
      </c>
      <c r="C4117">
        <v>615</v>
      </c>
      <c r="D4117" t="s">
        <v>1045</v>
      </c>
      <c r="E4117" t="s">
        <v>1329</v>
      </c>
      <c r="F4117" t="s">
        <v>160</v>
      </c>
      <c r="G4117" t="s">
        <v>292</v>
      </c>
    </row>
    <row r="4118" spans="1:13" x14ac:dyDescent="0.3">
      <c r="A4118" t="s">
        <v>34</v>
      </c>
      <c r="B4118" t="s">
        <v>365</v>
      </c>
      <c r="C4118">
        <v>80</v>
      </c>
      <c r="D4118" t="s">
        <v>820</v>
      </c>
      <c r="E4118" t="s">
        <v>1405</v>
      </c>
      <c r="F4118" t="s">
        <v>103</v>
      </c>
      <c r="G4118" t="s">
        <v>99</v>
      </c>
    </row>
    <row r="4119" spans="1:13" x14ac:dyDescent="0.3">
      <c r="A4119" t="s">
        <v>33</v>
      </c>
      <c r="B4119" t="s">
        <v>389</v>
      </c>
      <c r="C4119">
        <v>1090</v>
      </c>
      <c r="D4119" t="s">
        <v>461</v>
      </c>
      <c r="E4119" t="s">
        <v>939</v>
      </c>
      <c r="F4119" t="s">
        <v>679</v>
      </c>
      <c r="G4119" t="s">
        <v>125</v>
      </c>
    </row>
    <row r="4120" spans="1:13" x14ac:dyDescent="0.3">
      <c r="A4120" t="s">
        <v>33</v>
      </c>
      <c r="B4120" t="s">
        <v>390</v>
      </c>
      <c r="C4120">
        <v>708</v>
      </c>
      <c r="D4120" t="s">
        <v>122</v>
      </c>
      <c r="E4120" t="s">
        <v>424</v>
      </c>
      <c r="F4120" t="s">
        <v>684</v>
      </c>
      <c r="G4120" t="s">
        <v>262</v>
      </c>
    </row>
    <row r="4121" spans="1:13" x14ac:dyDescent="0.3">
      <c r="A4121" t="s">
        <v>33</v>
      </c>
      <c r="B4121" t="s">
        <v>365</v>
      </c>
      <c r="C4121">
        <v>139</v>
      </c>
      <c r="D4121" t="s">
        <v>233</v>
      </c>
      <c r="E4121" t="s">
        <v>1192</v>
      </c>
      <c r="F4121" t="s">
        <v>130</v>
      </c>
      <c r="G4121" t="s">
        <v>743</v>
      </c>
    </row>
    <row r="4122" spans="1:13" x14ac:dyDescent="0.3">
      <c r="A4122" t="s">
        <v>49</v>
      </c>
      <c r="B4122" t="s">
        <v>389</v>
      </c>
      <c r="C4122">
        <v>8499</v>
      </c>
      <c r="D4122" t="s">
        <v>440</v>
      </c>
      <c r="E4122" t="s">
        <v>1469</v>
      </c>
      <c r="F4122" t="s">
        <v>109</v>
      </c>
      <c r="G4122" t="s">
        <v>474</v>
      </c>
    </row>
    <row r="4123" spans="1:13" x14ac:dyDescent="0.3">
      <c r="A4123" t="s">
        <v>49</v>
      </c>
      <c r="B4123" t="s">
        <v>390</v>
      </c>
      <c r="C4123">
        <v>4134</v>
      </c>
      <c r="D4123" t="s">
        <v>267</v>
      </c>
      <c r="E4123" t="s">
        <v>1405</v>
      </c>
      <c r="F4123" t="s">
        <v>325</v>
      </c>
      <c r="G4123" t="s">
        <v>139</v>
      </c>
    </row>
    <row r="4124" spans="1:13" x14ac:dyDescent="0.3">
      <c r="A4124" t="s">
        <v>49</v>
      </c>
      <c r="B4124" t="s">
        <v>365</v>
      </c>
      <c r="C4124">
        <v>689</v>
      </c>
      <c r="D4124" t="s">
        <v>255</v>
      </c>
      <c r="E4124" t="s">
        <v>1325</v>
      </c>
      <c r="F4124" t="s">
        <v>277</v>
      </c>
      <c r="G4124" t="s">
        <v>144</v>
      </c>
    </row>
    <row r="4126" spans="1:13" x14ac:dyDescent="0.3">
      <c r="A4126" t="s">
        <v>1517</v>
      </c>
    </row>
    <row r="4127" spans="1:13" x14ac:dyDescent="0.3">
      <c r="A4127" t="s">
        <v>44</v>
      </c>
      <c r="B4127" t="s">
        <v>32</v>
      </c>
      <c r="C4127" t="s">
        <v>1518</v>
      </c>
      <c r="D4127" t="s">
        <v>1519</v>
      </c>
      <c r="E4127" t="s">
        <v>1520</v>
      </c>
      <c r="F4127" t="s">
        <v>1521</v>
      </c>
      <c r="G4127" t="s">
        <v>1522</v>
      </c>
      <c r="H4127" t="s">
        <v>1523</v>
      </c>
      <c r="I4127" t="s">
        <v>1524</v>
      </c>
      <c r="J4127" t="s">
        <v>1525</v>
      </c>
      <c r="K4127" t="s">
        <v>1526</v>
      </c>
      <c r="L4127" t="s">
        <v>193</v>
      </c>
      <c r="M4127" t="s">
        <v>1527</v>
      </c>
    </row>
    <row r="4128" spans="1:13" x14ac:dyDescent="0.3">
      <c r="A4128" t="s">
        <v>35</v>
      </c>
      <c r="B4128">
        <v>718</v>
      </c>
      <c r="C4128" t="s">
        <v>1214</v>
      </c>
      <c r="D4128" t="s">
        <v>685</v>
      </c>
      <c r="E4128" t="s">
        <v>220</v>
      </c>
      <c r="F4128" t="s">
        <v>1497</v>
      </c>
      <c r="G4128" t="s">
        <v>99</v>
      </c>
      <c r="H4128" t="s">
        <v>99</v>
      </c>
      <c r="I4128" t="s">
        <v>104</v>
      </c>
      <c r="J4128" t="s">
        <v>105</v>
      </c>
      <c r="K4128" t="s">
        <v>141</v>
      </c>
      <c r="L4128" t="s">
        <v>207</v>
      </c>
      <c r="M4128" t="s">
        <v>117</v>
      </c>
    </row>
    <row r="4129" spans="1:14" x14ac:dyDescent="0.3">
      <c r="A4129" t="s">
        <v>37</v>
      </c>
      <c r="B4129">
        <v>732</v>
      </c>
      <c r="C4129" t="s">
        <v>669</v>
      </c>
      <c r="D4129" t="s">
        <v>76</v>
      </c>
      <c r="E4129" t="s">
        <v>478</v>
      </c>
      <c r="F4129" t="s">
        <v>603</v>
      </c>
      <c r="G4129" t="s">
        <v>316</v>
      </c>
      <c r="H4129" t="s">
        <v>99</v>
      </c>
      <c r="I4129" t="s">
        <v>207</v>
      </c>
      <c r="J4129" t="s">
        <v>120</v>
      </c>
      <c r="K4129" t="s">
        <v>319</v>
      </c>
      <c r="L4129" t="s">
        <v>136</v>
      </c>
      <c r="M4129" t="s">
        <v>68</v>
      </c>
    </row>
    <row r="4130" spans="1:14" x14ac:dyDescent="0.3">
      <c r="A4130" t="s">
        <v>36</v>
      </c>
      <c r="B4130">
        <v>915</v>
      </c>
      <c r="C4130" t="s">
        <v>911</v>
      </c>
      <c r="D4130" t="s">
        <v>747</v>
      </c>
      <c r="E4130" t="s">
        <v>294</v>
      </c>
      <c r="F4130" t="s">
        <v>590</v>
      </c>
      <c r="G4130" t="s">
        <v>108</v>
      </c>
      <c r="H4130" t="s">
        <v>99</v>
      </c>
      <c r="I4130" t="s">
        <v>253</v>
      </c>
      <c r="J4130" t="s">
        <v>154</v>
      </c>
      <c r="K4130" t="s">
        <v>215</v>
      </c>
      <c r="L4130" t="s">
        <v>104</v>
      </c>
      <c r="M4130" t="s">
        <v>155</v>
      </c>
    </row>
    <row r="4131" spans="1:14" x14ac:dyDescent="0.3">
      <c r="A4131" t="s">
        <v>34</v>
      </c>
      <c r="B4131">
        <v>719</v>
      </c>
      <c r="C4131" t="s">
        <v>177</v>
      </c>
      <c r="D4131" t="s">
        <v>244</v>
      </c>
      <c r="E4131" t="s">
        <v>536</v>
      </c>
      <c r="F4131" t="s">
        <v>815</v>
      </c>
      <c r="G4131" t="s">
        <v>121</v>
      </c>
      <c r="H4131" t="s">
        <v>99</v>
      </c>
      <c r="I4131" t="s">
        <v>136</v>
      </c>
      <c r="J4131" t="s">
        <v>103</v>
      </c>
      <c r="K4131" t="s">
        <v>144</v>
      </c>
      <c r="L4131" t="s">
        <v>104</v>
      </c>
      <c r="M4131" t="s">
        <v>468</v>
      </c>
    </row>
    <row r="4132" spans="1:14" x14ac:dyDescent="0.3">
      <c r="A4132" t="s">
        <v>33</v>
      </c>
      <c r="B4132">
        <v>476</v>
      </c>
      <c r="C4132" t="s">
        <v>795</v>
      </c>
      <c r="D4132" t="s">
        <v>420</v>
      </c>
      <c r="E4132" t="s">
        <v>721</v>
      </c>
      <c r="F4132" t="s">
        <v>935</v>
      </c>
      <c r="G4132" t="s">
        <v>207</v>
      </c>
      <c r="H4132" t="s">
        <v>99</v>
      </c>
      <c r="I4132" t="s">
        <v>207</v>
      </c>
      <c r="J4132" t="s">
        <v>126</v>
      </c>
      <c r="K4132" t="s">
        <v>115</v>
      </c>
      <c r="L4132" t="s">
        <v>198</v>
      </c>
      <c r="M4132" t="s">
        <v>139</v>
      </c>
    </row>
    <row r="4133" spans="1:14" x14ac:dyDescent="0.3">
      <c r="A4133" t="s">
        <v>49</v>
      </c>
      <c r="B4133">
        <v>3560</v>
      </c>
      <c r="C4133" t="s">
        <v>519</v>
      </c>
      <c r="D4133" t="s">
        <v>465</v>
      </c>
      <c r="E4133" t="s">
        <v>321</v>
      </c>
      <c r="F4133" t="s">
        <v>618</v>
      </c>
      <c r="G4133" t="s">
        <v>114</v>
      </c>
      <c r="H4133" t="s">
        <v>99</v>
      </c>
      <c r="I4133" t="s">
        <v>207</v>
      </c>
      <c r="J4133" t="s">
        <v>120</v>
      </c>
      <c r="K4133" t="s">
        <v>268</v>
      </c>
      <c r="L4133" t="s">
        <v>198</v>
      </c>
      <c r="M4133" t="s">
        <v>434</v>
      </c>
    </row>
    <row r="4135" spans="1:14" x14ac:dyDescent="0.3">
      <c r="A4135" t="s">
        <v>1528</v>
      </c>
    </row>
    <row r="4136" spans="1:14" x14ac:dyDescent="0.3">
      <c r="A4136" t="s">
        <v>44</v>
      </c>
      <c r="B4136" t="s">
        <v>235</v>
      </c>
      <c r="C4136" t="s">
        <v>32</v>
      </c>
      <c r="D4136" t="s">
        <v>1518</v>
      </c>
      <c r="E4136" t="s">
        <v>1519</v>
      </c>
      <c r="F4136" t="s">
        <v>1520</v>
      </c>
      <c r="G4136" t="s">
        <v>1521</v>
      </c>
      <c r="H4136" t="s">
        <v>1522</v>
      </c>
      <c r="I4136" t="s">
        <v>1523</v>
      </c>
      <c r="J4136" t="s">
        <v>1524</v>
      </c>
      <c r="K4136" t="s">
        <v>1525</v>
      </c>
      <c r="L4136" t="s">
        <v>1526</v>
      </c>
      <c r="M4136" t="s">
        <v>193</v>
      </c>
      <c r="N4136" t="s">
        <v>1527</v>
      </c>
    </row>
    <row r="4137" spans="1:14" x14ac:dyDescent="0.3">
      <c r="A4137" t="s">
        <v>35</v>
      </c>
      <c r="B4137" t="s">
        <v>236</v>
      </c>
      <c r="C4137">
        <v>326</v>
      </c>
      <c r="D4137" t="s">
        <v>666</v>
      </c>
      <c r="E4137" t="s">
        <v>664</v>
      </c>
      <c r="F4137" t="s">
        <v>716</v>
      </c>
      <c r="G4137" t="s">
        <v>983</v>
      </c>
      <c r="H4137" t="s">
        <v>99</v>
      </c>
      <c r="I4137" t="s">
        <v>99</v>
      </c>
      <c r="J4137" t="s">
        <v>198</v>
      </c>
      <c r="K4137" t="s">
        <v>268</v>
      </c>
      <c r="L4137" t="s">
        <v>198</v>
      </c>
      <c r="M4137" t="s">
        <v>99</v>
      </c>
      <c r="N4137" t="s">
        <v>154</v>
      </c>
    </row>
    <row r="4138" spans="1:14" x14ac:dyDescent="0.3">
      <c r="A4138" t="s">
        <v>35</v>
      </c>
      <c r="B4138" t="s">
        <v>238</v>
      </c>
      <c r="C4138">
        <v>392</v>
      </c>
      <c r="D4138" t="s">
        <v>944</v>
      </c>
      <c r="E4138" t="s">
        <v>542</v>
      </c>
      <c r="F4138" t="s">
        <v>671</v>
      </c>
      <c r="G4138" t="s">
        <v>1143</v>
      </c>
      <c r="H4138" t="s">
        <v>99</v>
      </c>
      <c r="I4138" t="s">
        <v>99</v>
      </c>
      <c r="J4138" t="s">
        <v>99</v>
      </c>
      <c r="K4138" t="s">
        <v>154</v>
      </c>
      <c r="L4138" t="s">
        <v>115</v>
      </c>
      <c r="M4138" t="s">
        <v>136</v>
      </c>
      <c r="N4138" t="s">
        <v>151</v>
      </c>
    </row>
    <row r="4139" spans="1:14" x14ac:dyDescent="0.3">
      <c r="A4139" t="s">
        <v>37</v>
      </c>
      <c r="B4139" t="s">
        <v>236</v>
      </c>
      <c r="C4139">
        <v>286</v>
      </c>
      <c r="D4139" t="s">
        <v>519</v>
      </c>
      <c r="E4139" t="s">
        <v>716</v>
      </c>
      <c r="F4139" t="s">
        <v>734</v>
      </c>
      <c r="G4139" t="s">
        <v>563</v>
      </c>
      <c r="H4139" t="s">
        <v>112</v>
      </c>
      <c r="I4139" t="s">
        <v>99</v>
      </c>
      <c r="J4139" t="s">
        <v>115</v>
      </c>
      <c r="K4139" t="s">
        <v>105</v>
      </c>
      <c r="L4139" t="s">
        <v>319</v>
      </c>
      <c r="M4139" t="s">
        <v>207</v>
      </c>
      <c r="N4139" t="s">
        <v>328</v>
      </c>
    </row>
    <row r="4140" spans="1:14" x14ac:dyDescent="0.3">
      <c r="A4140" t="s">
        <v>37</v>
      </c>
      <c r="B4140" t="s">
        <v>238</v>
      </c>
      <c r="C4140">
        <v>446</v>
      </c>
      <c r="D4140" t="s">
        <v>578</v>
      </c>
      <c r="E4140" t="s">
        <v>739</v>
      </c>
      <c r="F4140" t="s">
        <v>406</v>
      </c>
      <c r="G4140" t="s">
        <v>1123</v>
      </c>
      <c r="H4140" t="s">
        <v>319</v>
      </c>
      <c r="I4140" t="s">
        <v>99</v>
      </c>
      <c r="J4140" t="s">
        <v>99</v>
      </c>
      <c r="K4140" t="s">
        <v>103</v>
      </c>
      <c r="L4140" t="s">
        <v>319</v>
      </c>
      <c r="M4140" t="s">
        <v>141</v>
      </c>
      <c r="N4140" t="s">
        <v>434</v>
      </c>
    </row>
    <row r="4141" spans="1:14" x14ac:dyDescent="0.3">
      <c r="A4141" t="s">
        <v>36</v>
      </c>
      <c r="B4141" t="s">
        <v>236</v>
      </c>
      <c r="C4141">
        <v>541</v>
      </c>
      <c r="D4141" t="s">
        <v>406</v>
      </c>
      <c r="E4141" t="s">
        <v>814</v>
      </c>
      <c r="F4141" t="s">
        <v>508</v>
      </c>
      <c r="G4141" t="s">
        <v>1153</v>
      </c>
      <c r="H4141" t="s">
        <v>292</v>
      </c>
      <c r="I4141" t="s">
        <v>99</v>
      </c>
      <c r="J4141" t="s">
        <v>215</v>
      </c>
      <c r="K4141" t="s">
        <v>118</v>
      </c>
      <c r="L4141" t="s">
        <v>101</v>
      </c>
      <c r="M4141" t="s">
        <v>99</v>
      </c>
      <c r="N4141" t="s">
        <v>107</v>
      </c>
    </row>
    <row r="4142" spans="1:14" x14ac:dyDescent="0.3">
      <c r="A4142" t="s">
        <v>36</v>
      </c>
      <c r="B4142" t="s">
        <v>238</v>
      </c>
      <c r="C4142">
        <v>374</v>
      </c>
      <c r="D4142" t="s">
        <v>517</v>
      </c>
      <c r="E4142" t="s">
        <v>711</v>
      </c>
      <c r="F4142" t="s">
        <v>353</v>
      </c>
      <c r="G4142" t="s">
        <v>1326</v>
      </c>
      <c r="H4142" t="s">
        <v>207</v>
      </c>
      <c r="I4142" t="s">
        <v>99</v>
      </c>
      <c r="J4142" t="s">
        <v>99</v>
      </c>
      <c r="K4142" t="s">
        <v>332</v>
      </c>
      <c r="L4142" t="s">
        <v>123</v>
      </c>
      <c r="M4142" t="s">
        <v>104</v>
      </c>
      <c r="N4142" t="s">
        <v>154</v>
      </c>
    </row>
    <row r="4143" spans="1:14" x14ac:dyDescent="0.3">
      <c r="A4143" t="s">
        <v>34</v>
      </c>
      <c r="B4143" t="s">
        <v>236</v>
      </c>
      <c r="C4143">
        <v>150</v>
      </c>
      <c r="D4143" t="s">
        <v>508</v>
      </c>
      <c r="E4143" t="s">
        <v>165</v>
      </c>
      <c r="F4143" t="s">
        <v>687</v>
      </c>
      <c r="G4143" t="s">
        <v>1368</v>
      </c>
      <c r="H4143" t="s">
        <v>99</v>
      </c>
      <c r="I4143" t="s">
        <v>99</v>
      </c>
      <c r="J4143" t="s">
        <v>126</v>
      </c>
      <c r="K4143" t="s">
        <v>120</v>
      </c>
      <c r="L4143" t="s">
        <v>149</v>
      </c>
      <c r="M4143" t="s">
        <v>99</v>
      </c>
      <c r="N4143" t="s">
        <v>70</v>
      </c>
    </row>
    <row r="4144" spans="1:14" x14ac:dyDescent="0.3">
      <c r="A4144" t="s">
        <v>34</v>
      </c>
      <c r="B4144" t="s">
        <v>238</v>
      </c>
      <c r="C4144">
        <v>569</v>
      </c>
      <c r="D4144" t="s">
        <v>700</v>
      </c>
      <c r="E4144" t="s">
        <v>175</v>
      </c>
      <c r="F4144" t="s">
        <v>38</v>
      </c>
      <c r="G4144" t="s">
        <v>1066</v>
      </c>
      <c r="H4144" t="s">
        <v>126</v>
      </c>
      <c r="I4144" t="s">
        <v>99</v>
      </c>
      <c r="J4144" t="s">
        <v>104</v>
      </c>
      <c r="K4144" t="s">
        <v>103</v>
      </c>
      <c r="L4144" t="s">
        <v>145</v>
      </c>
      <c r="M4144" t="s">
        <v>198</v>
      </c>
      <c r="N4144" t="s">
        <v>277</v>
      </c>
    </row>
    <row r="4145" spans="1:14" x14ac:dyDescent="0.3">
      <c r="A4145" t="s">
        <v>33</v>
      </c>
      <c r="B4145" t="s">
        <v>236</v>
      </c>
      <c r="C4145">
        <v>216</v>
      </c>
      <c r="D4145" t="s">
        <v>491</v>
      </c>
      <c r="E4145" t="s">
        <v>412</v>
      </c>
      <c r="F4145" t="s">
        <v>167</v>
      </c>
      <c r="G4145" t="s">
        <v>1047</v>
      </c>
      <c r="H4145" t="s">
        <v>99</v>
      </c>
      <c r="I4145" t="s">
        <v>99</v>
      </c>
      <c r="J4145" t="s">
        <v>99</v>
      </c>
      <c r="K4145" t="s">
        <v>253</v>
      </c>
      <c r="L4145" t="s">
        <v>121</v>
      </c>
      <c r="M4145" t="s">
        <v>99</v>
      </c>
      <c r="N4145" t="s">
        <v>468</v>
      </c>
    </row>
    <row r="4146" spans="1:14" x14ac:dyDescent="0.3">
      <c r="A4146" t="s">
        <v>33</v>
      </c>
      <c r="B4146" t="s">
        <v>238</v>
      </c>
      <c r="C4146">
        <v>260</v>
      </c>
      <c r="D4146" t="s">
        <v>666</v>
      </c>
      <c r="E4146" t="s">
        <v>716</v>
      </c>
      <c r="F4146" t="s">
        <v>163</v>
      </c>
      <c r="G4146" t="s">
        <v>585</v>
      </c>
      <c r="H4146" t="s">
        <v>141</v>
      </c>
      <c r="I4146" t="s">
        <v>99</v>
      </c>
      <c r="J4146" t="s">
        <v>141</v>
      </c>
      <c r="K4146" t="s">
        <v>292</v>
      </c>
      <c r="L4146" t="s">
        <v>136</v>
      </c>
      <c r="M4146" t="s">
        <v>136</v>
      </c>
      <c r="N4146" t="s">
        <v>110</v>
      </c>
    </row>
    <row r="4147" spans="1:14" x14ac:dyDescent="0.3">
      <c r="A4147" t="s">
        <v>49</v>
      </c>
      <c r="B4147" t="s">
        <v>236</v>
      </c>
      <c r="C4147">
        <v>1519</v>
      </c>
      <c r="D4147" t="s">
        <v>240</v>
      </c>
      <c r="E4147" t="s">
        <v>142</v>
      </c>
      <c r="F4147" t="s">
        <v>705</v>
      </c>
      <c r="G4147" t="s">
        <v>1069</v>
      </c>
      <c r="H4147" t="s">
        <v>126</v>
      </c>
      <c r="I4147" t="s">
        <v>99</v>
      </c>
      <c r="J4147" t="s">
        <v>132</v>
      </c>
      <c r="K4147" t="s">
        <v>316</v>
      </c>
      <c r="L4147" t="s">
        <v>382</v>
      </c>
      <c r="M4147" t="s">
        <v>104</v>
      </c>
      <c r="N4147" t="s">
        <v>277</v>
      </c>
    </row>
    <row r="4148" spans="1:14" x14ac:dyDescent="0.3">
      <c r="A4148" t="s">
        <v>49</v>
      </c>
      <c r="B4148" t="s">
        <v>238</v>
      </c>
      <c r="C4148">
        <v>2041</v>
      </c>
      <c r="D4148" t="s">
        <v>1157</v>
      </c>
      <c r="E4148" t="s">
        <v>542</v>
      </c>
      <c r="F4148" t="s">
        <v>737</v>
      </c>
      <c r="G4148" t="s">
        <v>564</v>
      </c>
      <c r="H4148" t="s">
        <v>132</v>
      </c>
      <c r="I4148" t="s">
        <v>99</v>
      </c>
      <c r="J4148" t="s">
        <v>104</v>
      </c>
      <c r="K4148" t="s">
        <v>147</v>
      </c>
      <c r="L4148" t="s">
        <v>316</v>
      </c>
      <c r="M4148" t="s">
        <v>207</v>
      </c>
      <c r="N4148" t="s">
        <v>118</v>
      </c>
    </row>
    <row r="4150" spans="1:14" x14ac:dyDescent="0.3">
      <c r="A4150" t="s">
        <v>1529</v>
      </c>
    </row>
    <row r="4151" spans="1:14" x14ac:dyDescent="0.3">
      <c r="A4151" t="s">
        <v>44</v>
      </c>
      <c r="B4151" t="s">
        <v>361</v>
      </c>
      <c r="C4151" t="s">
        <v>32</v>
      </c>
      <c r="D4151" t="s">
        <v>1518</v>
      </c>
      <c r="E4151" t="s">
        <v>1519</v>
      </c>
      <c r="F4151" t="s">
        <v>1520</v>
      </c>
      <c r="G4151" t="s">
        <v>1521</v>
      </c>
      <c r="H4151" t="s">
        <v>1522</v>
      </c>
      <c r="I4151" t="s">
        <v>1523</v>
      </c>
      <c r="J4151" t="s">
        <v>1524</v>
      </c>
      <c r="K4151" t="s">
        <v>1525</v>
      </c>
      <c r="L4151" t="s">
        <v>1526</v>
      </c>
      <c r="M4151" t="s">
        <v>193</v>
      </c>
      <c r="N4151" t="s">
        <v>1527</v>
      </c>
    </row>
    <row r="4152" spans="1:14" x14ac:dyDescent="0.3">
      <c r="A4152" t="s">
        <v>35</v>
      </c>
      <c r="B4152" t="s">
        <v>339</v>
      </c>
      <c r="C4152">
        <v>212</v>
      </c>
      <c r="D4152" t="s">
        <v>140</v>
      </c>
      <c r="E4152" t="s">
        <v>694</v>
      </c>
      <c r="F4152" t="s">
        <v>677</v>
      </c>
      <c r="G4152" t="s">
        <v>942</v>
      </c>
      <c r="H4152" t="s">
        <v>99</v>
      </c>
      <c r="I4152" t="s">
        <v>99</v>
      </c>
      <c r="J4152" t="s">
        <v>104</v>
      </c>
      <c r="K4152" t="s">
        <v>248</v>
      </c>
      <c r="L4152" t="s">
        <v>100</v>
      </c>
      <c r="M4152" t="s">
        <v>99</v>
      </c>
      <c r="N4152" t="s">
        <v>107</v>
      </c>
    </row>
    <row r="4153" spans="1:14" x14ac:dyDescent="0.3">
      <c r="A4153" t="s">
        <v>35</v>
      </c>
      <c r="B4153" t="s">
        <v>340</v>
      </c>
      <c r="C4153">
        <v>488</v>
      </c>
      <c r="D4153" t="s">
        <v>642</v>
      </c>
      <c r="E4153" t="s">
        <v>267</v>
      </c>
      <c r="F4153" t="s">
        <v>401</v>
      </c>
      <c r="G4153" t="s">
        <v>616</v>
      </c>
      <c r="H4153" t="s">
        <v>99</v>
      </c>
      <c r="I4153" t="s">
        <v>99</v>
      </c>
      <c r="J4153" t="s">
        <v>104</v>
      </c>
      <c r="K4153" t="s">
        <v>108</v>
      </c>
      <c r="L4153" t="s">
        <v>99</v>
      </c>
      <c r="M4153" t="s">
        <v>136</v>
      </c>
      <c r="N4153" t="s">
        <v>268</v>
      </c>
    </row>
    <row r="4154" spans="1:14" x14ac:dyDescent="0.3">
      <c r="A4154" t="s">
        <v>35</v>
      </c>
      <c r="B4154" t="s">
        <v>365</v>
      </c>
      <c r="C4154">
        <v>18</v>
      </c>
      <c r="D4154" t="s">
        <v>294</v>
      </c>
      <c r="E4154" t="s">
        <v>679</v>
      </c>
      <c r="F4154" t="s">
        <v>412</v>
      </c>
      <c r="G4154" t="s">
        <v>419</v>
      </c>
      <c r="H4154" t="s">
        <v>99</v>
      </c>
      <c r="I4154" t="s">
        <v>99</v>
      </c>
      <c r="J4154" t="s">
        <v>99</v>
      </c>
      <c r="K4154" t="s">
        <v>99</v>
      </c>
      <c r="L4154" t="s">
        <v>118</v>
      </c>
      <c r="M4154" t="s">
        <v>99</v>
      </c>
      <c r="N4154" t="s">
        <v>99</v>
      </c>
    </row>
    <row r="4155" spans="1:14" x14ac:dyDescent="0.3">
      <c r="A4155" t="s">
        <v>37</v>
      </c>
      <c r="B4155" t="s">
        <v>339</v>
      </c>
      <c r="C4155">
        <v>221</v>
      </c>
      <c r="D4155" t="s">
        <v>499</v>
      </c>
      <c r="E4155" t="s">
        <v>175</v>
      </c>
      <c r="F4155" t="s">
        <v>743</v>
      </c>
      <c r="G4155" t="s">
        <v>651</v>
      </c>
      <c r="H4155" t="s">
        <v>103</v>
      </c>
      <c r="I4155" t="s">
        <v>99</v>
      </c>
      <c r="J4155" t="s">
        <v>141</v>
      </c>
      <c r="K4155" t="s">
        <v>74</v>
      </c>
      <c r="L4155" t="s">
        <v>126</v>
      </c>
      <c r="M4155" t="s">
        <v>319</v>
      </c>
      <c r="N4155" t="s">
        <v>204</v>
      </c>
    </row>
    <row r="4156" spans="1:14" x14ac:dyDescent="0.3">
      <c r="A4156" t="s">
        <v>37</v>
      </c>
      <c r="B4156" t="s">
        <v>340</v>
      </c>
      <c r="C4156">
        <v>506</v>
      </c>
      <c r="D4156" t="s">
        <v>588</v>
      </c>
      <c r="E4156" t="s">
        <v>264</v>
      </c>
      <c r="F4156" t="s">
        <v>373</v>
      </c>
      <c r="G4156" t="s">
        <v>1498</v>
      </c>
      <c r="H4156" t="s">
        <v>128</v>
      </c>
      <c r="I4156" t="s">
        <v>99</v>
      </c>
      <c r="J4156" t="s">
        <v>198</v>
      </c>
      <c r="K4156" t="s">
        <v>101</v>
      </c>
      <c r="L4156" t="s">
        <v>121</v>
      </c>
      <c r="M4156" t="s">
        <v>99</v>
      </c>
      <c r="N4156" t="s">
        <v>474</v>
      </c>
    </row>
    <row r="4157" spans="1:14" x14ac:dyDescent="0.3">
      <c r="A4157" t="s">
        <v>37</v>
      </c>
      <c r="B4157" t="s">
        <v>365</v>
      </c>
      <c r="C4157">
        <v>5</v>
      </c>
      <c r="D4157" t="s">
        <v>624</v>
      </c>
      <c r="E4157" t="s">
        <v>99</v>
      </c>
      <c r="F4157" t="s">
        <v>683</v>
      </c>
      <c r="G4157" t="s">
        <v>1104</v>
      </c>
      <c r="H4157" t="s">
        <v>99</v>
      </c>
      <c r="I4157" t="s">
        <v>99</v>
      </c>
      <c r="J4157" t="s">
        <v>99</v>
      </c>
      <c r="K4157" t="s">
        <v>99</v>
      </c>
      <c r="L4157" t="s">
        <v>683</v>
      </c>
      <c r="M4157" t="s">
        <v>99</v>
      </c>
      <c r="N4157" t="s">
        <v>99</v>
      </c>
    </row>
    <row r="4158" spans="1:14" x14ac:dyDescent="0.3">
      <c r="A4158" t="s">
        <v>36</v>
      </c>
      <c r="B4158" t="s">
        <v>339</v>
      </c>
      <c r="C4158">
        <v>318</v>
      </c>
      <c r="D4158" t="s">
        <v>440</v>
      </c>
      <c r="E4158" t="s">
        <v>393</v>
      </c>
      <c r="F4158" t="s">
        <v>694</v>
      </c>
      <c r="G4158" t="s">
        <v>648</v>
      </c>
      <c r="H4158" t="s">
        <v>127</v>
      </c>
      <c r="I4158" t="s">
        <v>99</v>
      </c>
      <c r="J4158" t="s">
        <v>215</v>
      </c>
      <c r="K4158" t="s">
        <v>115</v>
      </c>
      <c r="L4158" t="s">
        <v>111</v>
      </c>
      <c r="M4158" t="s">
        <v>104</v>
      </c>
      <c r="N4158" t="s">
        <v>154</v>
      </c>
    </row>
    <row r="4159" spans="1:14" x14ac:dyDescent="0.3">
      <c r="A4159" t="s">
        <v>36</v>
      </c>
      <c r="B4159" t="s">
        <v>340</v>
      </c>
      <c r="C4159">
        <v>564</v>
      </c>
      <c r="D4159" t="s">
        <v>307</v>
      </c>
      <c r="E4159" t="s">
        <v>1045</v>
      </c>
      <c r="F4159" t="s">
        <v>165</v>
      </c>
      <c r="G4159" t="s">
        <v>938</v>
      </c>
      <c r="H4159" t="s">
        <v>141</v>
      </c>
      <c r="I4159" t="s">
        <v>99</v>
      </c>
      <c r="J4159" t="s">
        <v>99</v>
      </c>
      <c r="K4159" t="s">
        <v>684</v>
      </c>
      <c r="L4159" t="s">
        <v>319</v>
      </c>
      <c r="M4159" t="s">
        <v>104</v>
      </c>
      <c r="N4159" t="s">
        <v>105</v>
      </c>
    </row>
    <row r="4160" spans="1:14" x14ac:dyDescent="0.3">
      <c r="A4160" t="s">
        <v>36</v>
      </c>
      <c r="B4160" t="s">
        <v>365</v>
      </c>
      <c r="C4160">
        <v>33</v>
      </c>
      <c r="D4160" t="s">
        <v>701</v>
      </c>
      <c r="E4160" t="s">
        <v>357</v>
      </c>
      <c r="F4160" t="s">
        <v>722</v>
      </c>
      <c r="G4160" t="s">
        <v>1407</v>
      </c>
      <c r="H4160" t="s">
        <v>99</v>
      </c>
      <c r="I4160" t="s">
        <v>99</v>
      </c>
      <c r="J4160" t="s">
        <v>136</v>
      </c>
      <c r="K4160" t="s">
        <v>99</v>
      </c>
      <c r="L4160" t="s">
        <v>99</v>
      </c>
      <c r="M4160" t="s">
        <v>99</v>
      </c>
      <c r="N4160" t="s">
        <v>363</v>
      </c>
    </row>
    <row r="4161" spans="1:14" x14ac:dyDescent="0.3">
      <c r="A4161" t="s">
        <v>34</v>
      </c>
      <c r="B4161" t="s">
        <v>339</v>
      </c>
      <c r="C4161">
        <v>246</v>
      </c>
      <c r="D4161" t="s">
        <v>710</v>
      </c>
      <c r="E4161" t="s">
        <v>173</v>
      </c>
      <c r="F4161" t="s">
        <v>726</v>
      </c>
      <c r="G4161" t="s">
        <v>55</v>
      </c>
      <c r="H4161" t="s">
        <v>151</v>
      </c>
      <c r="I4161" t="s">
        <v>99</v>
      </c>
      <c r="J4161" t="s">
        <v>198</v>
      </c>
      <c r="K4161" t="s">
        <v>110</v>
      </c>
      <c r="L4161" t="s">
        <v>663</v>
      </c>
      <c r="M4161" t="s">
        <v>99</v>
      </c>
      <c r="N4161" t="s">
        <v>98</v>
      </c>
    </row>
    <row r="4162" spans="1:14" x14ac:dyDescent="0.3">
      <c r="A4162" t="s">
        <v>34</v>
      </c>
      <c r="B4162" t="s">
        <v>340</v>
      </c>
      <c r="C4162">
        <v>464</v>
      </c>
      <c r="D4162" t="s">
        <v>911</v>
      </c>
      <c r="E4162" t="s">
        <v>688</v>
      </c>
      <c r="F4162" t="s">
        <v>440</v>
      </c>
      <c r="G4162" t="s">
        <v>1474</v>
      </c>
      <c r="H4162" t="s">
        <v>115</v>
      </c>
      <c r="I4162" t="s">
        <v>99</v>
      </c>
      <c r="J4162" t="s">
        <v>141</v>
      </c>
      <c r="K4162" t="s">
        <v>127</v>
      </c>
      <c r="L4162" t="s">
        <v>328</v>
      </c>
      <c r="M4162" t="s">
        <v>198</v>
      </c>
      <c r="N4162" t="s">
        <v>468</v>
      </c>
    </row>
    <row r="4163" spans="1:14" x14ac:dyDescent="0.3">
      <c r="A4163" t="s">
        <v>34</v>
      </c>
      <c r="B4163" t="s">
        <v>365</v>
      </c>
      <c r="C4163">
        <v>9</v>
      </c>
      <c r="D4163" t="s">
        <v>99</v>
      </c>
      <c r="E4163" t="s">
        <v>99</v>
      </c>
      <c r="F4163" t="s">
        <v>99</v>
      </c>
      <c r="G4163" t="s">
        <v>460</v>
      </c>
      <c r="H4163" t="s">
        <v>99</v>
      </c>
      <c r="I4163" t="s">
        <v>99</v>
      </c>
      <c r="J4163" t="s">
        <v>99</v>
      </c>
      <c r="K4163" t="s">
        <v>99</v>
      </c>
      <c r="L4163" t="s">
        <v>99</v>
      </c>
      <c r="M4163" t="s">
        <v>99</v>
      </c>
      <c r="N4163" t="s">
        <v>38</v>
      </c>
    </row>
    <row r="4164" spans="1:14" x14ac:dyDescent="0.3">
      <c r="A4164" t="s">
        <v>33</v>
      </c>
      <c r="B4164" t="s">
        <v>339</v>
      </c>
      <c r="C4164">
        <v>145</v>
      </c>
      <c r="D4164" t="s">
        <v>714</v>
      </c>
      <c r="E4164" t="s">
        <v>142</v>
      </c>
      <c r="F4164" t="s">
        <v>743</v>
      </c>
      <c r="G4164" t="s">
        <v>455</v>
      </c>
      <c r="H4164" t="s">
        <v>114</v>
      </c>
      <c r="I4164" t="s">
        <v>99</v>
      </c>
      <c r="J4164" t="s">
        <v>114</v>
      </c>
      <c r="K4164" t="s">
        <v>215</v>
      </c>
      <c r="L4164" t="s">
        <v>268</v>
      </c>
      <c r="M4164" t="s">
        <v>132</v>
      </c>
      <c r="N4164" t="s">
        <v>118</v>
      </c>
    </row>
    <row r="4165" spans="1:14" x14ac:dyDescent="0.3">
      <c r="A4165" t="s">
        <v>33</v>
      </c>
      <c r="B4165" t="s">
        <v>340</v>
      </c>
      <c r="C4165">
        <v>326</v>
      </c>
      <c r="D4165" t="s">
        <v>713</v>
      </c>
      <c r="E4165" t="s">
        <v>363</v>
      </c>
      <c r="F4165" t="s">
        <v>369</v>
      </c>
      <c r="G4165" t="s">
        <v>579</v>
      </c>
      <c r="H4165" t="s">
        <v>99</v>
      </c>
      <c r="I4165" t="s">
        <v>99</v>
      </c>
      <c r="J4165" t="s">
        <v>99</v>
      </c>
      <c r="K4165" t="s">
        <v>126</v>
      </c>
      <c r="L4165" t="s">
        <v>99</v>
      </c>
      <c r="M4165" t="s">
        <v>99</v>
      </c>
      <c r="N4165" t="s">
        <v>242</v>
      </c>
    </row>
    <row r="4166" spans="1:14" x14ac:dyDescent="0.3">
      <c r="A4166" t="s">
        <v>33</v>
      </c>
      <c r="B4166" t="s">
        <v>365</v>
      </c>
      <c r="C4166">
        <v>5</v>
      </c>
      <c r="D4166" t="s">
        <v>1510</v>
      </c>
      <c r="E4166" t="s">
        <v>99</v>
      </c>
      <c r="F4166" t="s">
        <v>99</v>
      </c>
      <c r="G4166" t="s">
        <v>1184</v>
      </c>
      <c r="H4166" t="s">
        <v>99</v>
      </c>
      <c r="I4166" t="s">
        <v>99</v>
      </c>
      <c r="J4166" t="s">
        <v>99</v>
      </c>
      <c r="K4166" t="s">
        <v>99</v>
      </c>
      <c r="L4166" t="s">
        <v>99</v>
      </c>
      <c r="M4166" t="s">
        <v>99</v>
      </c>
      <c r="N4166" t="s">
        <v>99</v>
      </c>
    </row>
    <row r="4167" spans="1:14" x14ac:dyDescent="0.3">
      <c r="A4167" t="s">
        <v>49</v>
      </c>
      <c r="B4167" t="s">
        <v>339</v>
      </c>
      <c r="C4167">
        <v>1142</v>
      </c>
      <c r="D4167" t="s">
        <v>990</v>
      </c>
      <c r="E4167" t="s">
        <v>465</v>
      </c>
      <c r="F4167" t="s">
        <v>186</v>
      </c>
      <c r="G4167" t="s">
        <v>983</v>
      </c>
      <c r="H4167" t="s">
        <v>319</v>
      </c>
      <c r="I4167" t="s">
        <v>99</v>
      </c>
      <c r="J4167" t="s">
        <v>141</v>
      </c>
      <c r="K4167" t="s">
        <v>112</v>
      </c>
      <c r="L4167" t="s">
        <v>157</v>
      </c>
      <c r="M4167" t="s">
        <v>136</v>
      </c>
      <c r="N4167" t="s">
        <v>474</v>
      </c>
    </row>
    <row r="4168" spans="1:14" x14ac:dyDescent="0.3">
      <c r="A4168" t="s">
        <v>49</v>
      </c>
      <c r="B4168" t="s">
        <v>340</v>
      </c>
      <c r="C4168">
        <v>2348</v>
      </c>
      <c r="D4168" t="s">
        <v>666</v>
      </c>
      <c r="E4168" t="s">
        <v>201</v>
      </c>
      <c r="F4168" t="s">
        <v>721</v>
      </c>
      <c r="G4168" t="s">
        <v>1182</v>
      </c>
      <c r="H4168" t="s">
        <v>132</v>
      </c>
      <c r="I4168" t="s">
        <v>99</v>
      </c>
      <c r="J4168" t="s">
        <v>198</v>
      </c>
      <c r="K4168" t="s">
        <v>123</v>
      </c>
      <c r="L4168" t="s">
        <v>123</v>
      </c>
      <c r="M4168" t="s">
        <v>198</v>
      </c>
      <c r="N4168" t="s">
        <v>130</v>
      </c>
    </row>
    <row r="4169" spans="1:14" x14ac:dyDescent="0.3">
      <c r="A4169" t="s">
        <v>49</v>
      </c>
      <c r="B4169" t="s">
        <v>365</v>
      </c>
      <c r="C4169">
        <v>70</v>
      </c>
      <c r="D4169" t="s">
        <v>501</v>
      </c>
      <c r="E4169" t="s">
        <v>663</v>
      </c>
      <c r="F4169" t="s">
        <v>325</v>
      </c>
      <c r="G4169" t="s">
        <v>991</v>
      </c>
      <c r="H4169" t="s">
        <v>99</v>
      </c>
      <c r="I4169" t="s">
        <v>99</v>
      </c>
      <c r="J4169" t="s">
        <v>104</v>
      </c>
      <c r="K4169" t="s">
        <v>99</v>
      </c>
      <c r="L4169" t="s">
        <v>332</v>
      </c>
      <c r="M4169" t="s">
        <v>99</v>
      </c>
      <c r="N4169" t="s">
        <v>474</v>
      </c>
    </row>
    <row r="4171" spans="1:14" x14ac:dyDescent="0.3">
      <c r="A4171" t="s">
        <v>1530</v>
      </c>
    </row>
    <row r="4172" spans="1:14" x14ac:dyDescent="0.3">
      <c r="A4172" t="s">
        <v>44</v>
      </c>
      <c r="B4172" t="s">
        <v>209</v>
      </c>
      <c r="C4172" t="s">
        <v>32</v>
      </c>
      <c r="D4172" t="s">
        <v>1518</v>
      </c>
      <c r="E4172" t="s">
        <v>1519</v>
      </c>
      <c r="F4172" t="s">
        <v>1520</v>
      </c>
      <c r="G4172" t="s">
        <v>1521</v>
      </c>
      <c r="H4172" t="s">
        <v>1522</v>
      </c>
      <c r="I4172" t="s">
        <v>1523</v>
      </c>
      <c r="J4172" t="s">
        <v>1524</v>
      </c>
      <c r="K4172" t="s">
        <v>1525</v>
      </c>
      <c r="L4172" t="s">
        <v>1526</v>
      </c>
      <c r="M4172" t="s">
        <v>193</v>
      </c>
      <c r="N4172" t="s">
        <v>1527</v>
      </c>
    </row>
    <row r="4173" spans="1:14" x14ac:dyDescent="0.3">
      <c r="A4173" t="s">
        <v>35</v>
      </c>
      <c r="B4173" t="s">
        <v>210</v>
      </c>
      <c r="C4173">
        <v>49</v>
      </c>
      <c r="D4173" t="s">
        <v>1414</v>
      </c>
      <c r="E4173" t="s">
        <v>294</v>
      </c>
      <c r="F4173" t="s">
        <v>671</v>
      </c>
      <c r="G4173" t="s">
        <v>585</v>
      </c>
      <c r="H4173" t="s">
        <v>99</v>
      </c>
      <c r="I4173" t="s">
        <v>99</v>
      </c>
      <c r="J4173" t="s">
        <v>99</v>
      </c>
      <c r="K4173" t="s">
        <v>115</v>
      </c>
      <c r="L4173" t="s">
        <v>118</v>
      </c>
      <c r="M4173" t="s">
        <v>99</v>
      </c>
      <c r="N4173" t="s">
        <v>149</v>
      </c>
    </row>
    <row r="4174" spans="1:14" x14ac:dyDescent="0.3">
      <c r="A4174" t="s">
        <v>35</v>
      </c>
      <c r="B4174" t="s">
        <v>212</v>
      </c>
      <c r="C4174">
        <v>485</v>
      </c>
      <c r="D4174" t="s">
        <v>840</v>
      </c>
      <c r="E4174" t="s">
        <v>173</v>
      </c>
      <c r="F4174" t="s">
        <v>408</v>
      </c>
      <c r="G4174" t="s">
        <v>556</v>
      </c>
      <c r="H4174" t="s">
        <v>99</v>
      </c>
      <c r="I4174" t="s">
        <v>99</v>
      </c>
      <c r="J4174" t="s">
        <v>104</v>
      </c>
      <c r="K4174" t="s">
        <v>242</v>
      </c>
      <c r="L4174" t="s">
        <v>136</v>
      </c>
      <c r="M4174" t="s">
        <v>207</v>
      </c>
      <c r="N4174" t="s">
        <v>151</v>
      </c>
    </row>
    <row r="4175" spans="1:14" x14ac:dyDescent="0.3">
      <c r="A4175" t="s">
        <v>35</v>
      </c>
      <c r="B4175" t="s">
        <v>216</v>
      </c>
      <c r="C4175">
        <v>184</v>
      </c>
      <c r="D4175" t="s">
        <v>602</v>
      </c>
      <c r="E4175" t="s">
        <v>311</v>
      </c>
      <c r="F4175" t="s">
        <v>145</v>
      </c>
      <c r="G4175" t="s">
        <v>925</v>
      </c>
      <c r="H4175" t="s">
        <v>99</v>
      </c>
      <c r="I4175" t="s">
        <v>99</v>
      </c>
      <c r="J4175" t="s">
        <v>99</v>
      </c>
      <c r="K4175" t="s">
        <v>253</v>
      </c>
      <c r="L4175" t="s">
        <v>99</v>
      </c>
      <c r="M4175" t="s">
        <v>207</v>
      </c>
      <c r="N4175" t="s">
        <v>128</v>
      </c>
    </row>
    <row r="4176" spans="1:14" x14ac:dyDescent="0.3">
      <c r="A4176" t="s">
        <v>37</v>
      </c>
      <c r="B4176" t="s">
        <v>210</v>
      </c>
      <c r="C4176">
        <v>42</v>
      </c>
      <c r="D4176" t="s">
        <v>1102</v>
      </c>
      <c r="E4176" t="s">
        <v>355</v>
      </c>
      <c r="F4176" t="s">
        <v>124</v>
      </c>
      <c r="G4176" t="s">
        <v>1058</v>
      </c>
      <c r="H4176" t="s">
        <v>99</v>
      </c>
      <c r="I4176" t="s">
        <v>99</v>
      </c>
      <c r="J4176" t="s">
        <v>99</v>
      </c>
      <c r="K4176" t="s">
        <v>663</v>
      </c>
      <c r="L4176" t="s">
        <v>112</v>
      </c>
      <c r="M4176" t="s">
        <v>215</v>
      </c>
      <c r="N4176" t="s">
        <v>101</v>
      </c>
    </row>
    <row r="4177" spans="1:14" x14ac:dyDescent="0.3">
      <c r="A4177" t="s">
        <v>37</v>
      </c>
      <c r="B4177" t="s">
        <v>212</v>
      </c>
      <c r="C4177">
        <v>647</v>
      </c>
      <c r="D4177" t="s">
        <v>146</v>
      </c>
      <c r="E4177" t="s">
        <v>321</v>
      </c>
      <c r="F4177" t="s">
        <v>301</v>
      </c>
      <c r="G4177" t="s">
        <v>1002</v>
      </c>
      <c r="H4177" t="s">
        <v>120</v>
      </c>
      <c r="I4177" t="s">
        <v>99</v>
      </c>
      <c r="J4177" t="s">
        <v>207</v>
      </c>
      <c r="K4177" t="s">
        <v>103</v>
      </c>
      <c r="L4177" t="s">
        <v>100</v>
      </c>
      <c r="M4177" t="s">
        <v>207</v>
      </c>
      <c r="N4177" t="s">
        <v>242</v>
      </c>
    </row>
    <row r="4178" spans="1:14" x14ac:dyDescent="0.3">
      <c r="A4178" t="s">
        <v>37</v>
      </c>
      <c r="B4178" t="s">
        <v>216</v>
      </c>
      <c r="C4178">
        <v>43</v>
      </c>
      <c r="D4178" t="s">
        <v>1494</v>
      </c>
      <c r="E4178" t="s">
        <v>683</v>
      </c>
      <c r="F4178" t="s">
        <v>465</v>
      </c>
      <c r="G4178" t="s">
        <v>588</v>
      </c>
      <c r="H4178" t="s">
        <v>120</v>
      </c>
      <c r="I4178" t="s">
        <v>99</v>
      </c>
      <c r="J4178" t="s">
        <v>99</v>
      </c>
      <c r="K4178" t="s">
        <v>382</v>
      </c>
      <c r="L4178" t="s">
        <v>151</v>
      </c>
      <c r="M4178" t="s">
        <v>99</v>
      </c>
      <c r="N4178" t="s">
        <v>679</v>
      </c>
    </row>
    <row r="4179" spans="1:14" x14ac:dyDescent="0.3">
      <c r="A4179" t="s">
        <v>36</v>
      </c>
      <c r="B4179" t="s">
        <v>210</v>
      </c>
      <c r="C4179">
        <v>78</v>
      </c>
      <c r="D4179" t="s">
        <v>470</v>
      </c>
      <c r="E4179" t="s">
        <v>702</v>
      </c>
      <c r="F4179" t="s">
        <v>76</v>
      </c>
      <c r="G4179" t="s">
        <v>282</v>
      </c>
      <c r="H4179" t="s">
        <v>138</v>
      </c>
      <c r="I4179" t="s">
        <v>99</v>
      </c>
      <c r="J4179" t="s">
        <v>99</v>
      </c>
      <c r="K4179" t="s">
        <v>198</v>
      </c>
      <c r="L4179" t="s">
        <v>135</v>
      </c>
      <c r="M4179" t="s">
        <v>99</v>
      </c>
      <c r="N4179" t="s">
        <v>135</v>
      </c>
    </row>
    <row r="4180" spans="1:14" x14ac:dyDescent="0.3">
      <c r="A4180" t="s">
        <v>36</v>
      </c>
      <c r="B4180" t="s">
        <v>212</v>
      </c>
      <c r="C4180">
        <v>708</v>
      </c>
      <c r="D4180" t="s">
        <v>442</v>
      </c>
      <c r="E4180" t="s">
        <v>437</v>
      </c>
      <c r="F4180" t="s">
        <v>746</v>
      </c>
      <c r="G4180" t="s">
        <v>630</v>
      </c>
      <c r="H4180" t="s">
        <v>141</v>
      </c>
      <c r="I4180" t="s">
        <v>99</v>
      </c>
      <c r="J4180" t="s">
        <v>115</v>
      </c>
      <c r="K4180" t="s">
        <v>129</v>
      </c>
      <c r="L4180" t="s">
        <v>114</v>
      </c>
      <c r="M4180" t="s">
        <v>104</v>
      </c>
      <c r="N4180" t="s">
        <v>316</v>
      </c>
    </row>
    <row r="4181" spans="1:14" x14ac:dyDescent="0.3">
      <c r="A4181" t="s">
        <v>36</v>
      </c>
      <c r="B4181" t="s">
        <v>216</v>
      </c>
      <c r="C4181">
        <v>129</v>
      </c>
      <c r="D4181" t="s">
        <v>666</v>
      </c>
      <c r="E4181" t="s">
        <v>715</v>
      </c>
      <c r="F4181" t="s">
        <v>675</v>
      </c>
      <c r="G4181" t="s">
        <v>728</v>
      </c>
      <c r="H4181" t="s">
        <v>319</v>
      </c>
      <c r="I4181" t="s">
        <v>99</v>
      </c>
      <c r="J4181" t="s">
        <v>104</v>
      </c>
      <c r="K4181" t="s">
        <v>129</v>
      </c>
      <c r="L4181" t="s">
        <v>319</v>
      </c>
      <c r="M4181" t="s">
        <v>99</v>
      </c>
      <c r="N4181" t="s">
        <v>98</v>
      </c>
    </row>
    <row r="4182" spans="1:14" x14ac:dyDescent="0.3">
      <c r="A4182" t="s">
        <v>34</v>
      </c>
      <c r="B4182" t="s">
        <v>210</v>
      </c>
      <c r="C4182">
        <v>91</v>
      </c>
      <c r="D4182" t="s">
        <v>468</v>
      </c>
      <c r="E4182" t="s">
        <v>501</v>
      </c>
      <c r="F4182" t="s">
        <v>731</v>
      </c>
      <c r="G4182" t="s">
        <v>546</v>
      </c>
      <c r="H4182" t="s">
        <v>99</v>
      </c>
      <c r="I4182" t="s">
        <v>99</v>
      </c>
      <c r="J4182" t="s">
        <v>99</v>
      </c>
      <c r="K4182" t="s">
        <v>99</v>
      </c>
      <c r="L4182" t="s">
        <v>369</v>
      </c>
      <c r="M4182" t="s">
        <v>99</v>
      </c>
      <c r="N4182" t="s">
        <v>138</v>
      </c>
    </row>
    <row r="4183" spans="1:14" x14ac:dyDescent="0.3">
      <c r="A4183" t="s">
        <v>34</v>
      </c>
      <c r="B4183" t="s">
        <v>212</v>
      </c>
      <c r="C4183">
        <v>493</v>
      </c>
      <c r="D4183" t="s">
        <v>911</v>
      </c>
      <c r="E4183" t="s">
        <v>416</v>
      </c>
      <c r="F4183" t="s">
        <v>807</v>
      </c>
      <c r="G4183" t="s">
        <v>935</v>
      </c>
      <c r="H4183" t="s">
        <v>132</v>
      </c>
      <c r="I4183" t="s">
        <v>99</v>
      </c>
      <c r="J4183" t="s">
        <v>141</v>
      </c>
      <c r="K4183" t="s">
        <v>157</v>
      </c>
      <c r="L4183" t="s">
        <v>107</v>
      </c>
      <c r="M4183" t="s">
        <v>198</v>
      </c>
      <c r="N4183" t="s">
        <v>143</v>
      </c>
    </row>
    <row r="4184" spans="1:14" x14ac:dyDescent="0.3">
      <c r="A4184" t="s">
        <v>34</v>
      </c>
      <c r="B4184" t="s">
        <v>216</v>
      </c>
      <c r="C4184">
        <v>135</v>
      </c>
      <c r="D4184" t="s">
        <v>38</v>
      </c>
      <c r="E4184" t="s">
        <v>38</v>
      </c>
      <c r="F4184" t="s">
        <v>369</v>
      </c>
      <c r="G4184" t="s">
        <v>1472</v>
      </c>
      <c r="H4184" t="s">
        <v>105</v>
      </c>
      <c r="I4184" t="s">
        <v>99</v>
      </c>
      <c r="J4184" t="s">
        <v>207</v>
      </c>
      <c r="K4184" t="s">
        <v>120</v>
      </c>
      <c r="L4184" t="s">
        <v>289</v>
      </c>
      <c r="M4184" t="s">
        <v>99</v>
      </c>
      <c r="N4184" t="s">
        <v>144</v>
      </c>
    </row>
    <row r="4185" spans="1:14" s="5" customFormat="1" x14ac:dyDescent="0.3">
      <c r="A4185" s="5" t="s">
        <v>33</v>
      </c>
      <c r="B4185" s="5" t="s">
        <v>210</v>
      </c>
      <c r="C4185" s="5">
        <v>21</v>
      </c>
      <c r="D4185" s="5" t="s">
        <v>482</v>
      </c>
      <c r="E4185" s="5" t="s">
        <v>710</v>
      </c>
      <c r="F4185" s="5" t="s">
        <v>99</v>
      </c>
      <c r="G4185" s="5" t="s">
        <v>1325</v>
      </c>
      <c r="H4185" s="5" t="s">
        <v>99</v>
      </c>
      <c r="I4185" s="5" t="s">
        <v>99</v>
      </c>
      <c r="J4185" s="5" t="s">
        <v>99</v>
      </c>
      <c r="K4185" s="5" t="s">
        <v>99</v>
      </c>
      <c r="L4185" s="5" t="s">
        <v>99</v>
      </c>
      <c r="M4185" s="5" t="s">
        <v>99</v>
      </c>
      <c r="N4185" s="5" t="s">
        <v>233</v>
      </c>
    </row>
    <row r="4186" spans="1:14" x14ac:dyDescent="0.3">
      <c r="A4186" t="s">
        <v>33</v>
      </c>
      <c r="B4186" t="s">
        <v>212</v>
      </c>
      <c r="C4186">
        <v>432</v>
      </c>
      <c r="D4186" t="s">
        <v>1414</v>
      </c>
      <c r="E4186" t="s">
        <v>363</v>
      </c>
      <c r="F4186" t="s">
        <v>264</v>
      </c>
      <c r="G4186" t="s">
        <v>1368</v>
      </c>
      <c r="H4186" t="s">
        <v>207</v>
      </c>
      <c r="I4186" t="s">
        <v>99</v>
      </c>
      <c r="J4186" t="s">
        <v>207</v>
      </c>
      <c r="K4186" t="s">
        <v>319</v>
      </c>
      <c r="L4186" t="s">
        <v>132</v>
      </c>
      <c r="M4186" t="s">
        <v>207</v>
      </c>
      <c r="N4186" t="s">
        <v>118</v>
      </c>
    </row>
    <row r="4187" spans="1:14" s="5" customFormat="1" x14ac:dyDescent="0.3">
      <c r="A4187" s="5" t="s">
        <v>33</v>
      </c>
      <c r="B4187" s="5" t="s">
        <v>216</v>
      </c>
      <c r="C4187" s="5">
        <v>23</v>
      </c>
      <c r="D4187" s="5" t="s">
        <v>1120</v>
      </c>
      <c r="E4187" s="5" t="s">
        <v>379</v>
      </c>
      <c r="F4187" s="5" t="s">
        <v>105</v>
      </c>
      <c r="G4187" s="5" t="s">
        <v>913</v>
      </c>
      <c r="H4187" s="5" t="s">
        <v>99</v>
      </c>
      <c r="I4187" s="5" t="s">
        <v>99</v>
      </c>
      <c r="J4187" s="5" t="s">
        <v>99</v>
      </c>
      <c r="K4187" s="5" t="s">
        <v>149</v>
      </c>
      <c r="L4187" s="5" t="s">
        <v>99</v>
      </c>
      <c r="M4187" s="5" t="s">
        <v>99</v>
      </c>
      <c r="N4187" s="5" t="s">
        <v>708</v>
      </c>
    </row>
    <row r="4188" spans="1:14" x14ac:dyDescent="0.3">
      <c r="A4188" t="s">
        <v>49</v>
      </c>
      <c r="B4188" t="s">
        <v>210</v>
      </c>
      <c r="C4188">
        <v>281</v>
      </c>
      <c r="D4188" t="s">
        <v>798</v>
      </c>
      <c r="E4188" t="s">
        <v>705</v>
      </c>
      <c r="F4188" t="s">
        <v>716</v>
      </c>
      <c r="G4188" t="s">
        <v>1100</v>
      </c>
      <c r="H4188" t="s">
        <v>253</v>
      </c>
      <c r="I4188" t="s">
        <v>99</v>
      </c>
      <c r="J4188" t="s">
        <v>99</v>
      </c>
      <c r="K4188" t="s">
        <v>121</v>
      </c>
      <c r="L4188" t="s">
        <v>152</v>
      </c>
      <c r="M4188" t="s">
        <v>207</v>
      </c>
      <c r="N4188" t="s">
        <v>712</v>
      </c>
    </row>
    <row r="4189" spans="1:14" x14ac:dyDescent="0.3">
      <c r="A4189" t="s">
        <v>49</v>
      </c>
      <c r="B4189" t="s">
        <v>212</v>
      </c>
      <c r="C4189">
        <v>2765</v>
      </c>
      <c r="D4189" t="s">
        <v>519</v>
      </c>
      <c r="E4189" t="s">
        <v>685</v>
      </c>
      <c r="F4189" t="s">
        <v>38</v>
      </c>
      <c r="G4189" t="s">
        <v>1236</v>
      </c>
      <c r="H4189" t="s">
        <v>114</v>
      </c>
      <c r="I4189" t="s">
        <v>99</v>
      </c>
      <c r="J4189" t="s">
        <v>136</v>
      </c>
      <c r="K4189" t="s">
        <v>105</v>
      </c>
      <c r="L4189" t="s">
        <v>101</v>
      </c>
      <c r="M4189" t="s">
        <v>207</v>
      </c>
      <c r="N4189" t="s">
        <v>129</v>
      </c>
    </row>
    <row r="4190" spans="1:14" x14ac:dyDescent="0.3">
      <c r="A4190" t="s">
        <v>49</v>
      </c>
      <c r="B4190" t="s">
        <v>216</v>
      </c>
      <c r="C4190">
        <v>514</v>
      </c>
      <c r="D4190" t="s">
        <v>967</v>
      </c>
      <c r="E4190" t="s">
        <v>231</v>
      </c>
      <c r="F4190" t="s">
        <v>353</v>
      </c>
      <c r="G4190" t="s">
        <v>1143</v>
      </c>
      <c r="H4190" t="s">
        <v>319</v>
      </c>
      <c r="I4190" t="s">
        <v>99</v>
      </c>
      <c r="J4190" t="s">
        <v>104</v>
      </c>
      <c r="K4190" t="s">
        <v>151</v>
      </c>
      <c r="L4190" t="s">
        <v>130</v>
      </c>
      <c r="M4190" t="s">
        <v>104</v>
      </c>
      <c r="N4190" t="s">
        <v>68</v>
      </c>
    </row>
    <row r="4192" spans="1:14" x14ac:dyDescent="0.3">
      <c r="A4192" t="s">
        <v>1531</v>
      </c>
    </row>
    <row r="4193" spans="1:14" x14ac:dyDescent="0.3">
      <c r="A4193" t="s">
        <v>44</v>
      </c>
      <c r="B4193" t="s">
        <v>879</v>
      </c>
      <c r="C4193" t="s">
        <v>32</v>
      </c>
      <c r="D4193" t="s">
        <v>1518</v>
      </c>
      <c r="E4193" t="s">
        <v>1519</v>
      </c>
      <c r="F4193" t="s">
        <v>1520</v>
      </c>
      <c r="G4193" t="s">
        <v>1521</v>
      </c>
      <c r="H4193" t="s">
        <v>1522</v>
      </c>
      <c r="I4193" t="s">
        <v>1523</v>
      </c>
      <c r="J4193" t="s">
        <v>1524</v>
      </c>
      <c r="K4193" t="s">
        <v>1525</v>
      </c>
      <c r="L4193" t="s">
        <v>1526</v>
      </c>
      <c r="M4193" t="s">
        <v>193</v>
      </c>
      <c r="N4193" t="s">
        <v>1527</v>
      </c>
    </row>
    <row r="4194" spans="1:14" x14ac:dyDescent="0.3">
      <c r="A4194" t="s">
        <v>35</v>
      </c>
      <c r="B4194" t="s">
        <v>880</v>
      </c>
      <c r="C4194">
        <v>155</v>
      </c>
      <c r="D4194" t="s">
        <v>613</v>
      </c>
      <c r="E4194" t="s">
        <v>287</v>
      </c>
      <c r="F4194" t="s">
        <v>144</v>
      </c>
      <c r="G4194" t="s">
        <v>618</v>
      </c>
      <c r="H4194" t="s">
        <v>99</v>
      </c>
      <c r="I4194" t="s">
        <v>99</v>
      </c>
      <c r="J4194" t="s">
        <v>99</v>
      </c>
      <c r="K4194" t="s">
        <v>115</v>
      </c>
      <c r="L4194" t="s">
        <v>99</v>
      </c>
      <c r="M4194" t="s">
        <v>108</v>
      </c>
      <c r="N4194" t="s">
        <v>151</v>
      </c>
    </row>
    <row r="4195" spans="1:14" x14ac:dyDescent="0.3">
      <c r="A4195" t="s">
        <v>35</v>
      </c>
      <c r="B4195" t="s">
        <v>881</v>
      </c>
      <c r="C4195">
        <v>255</v>
      </c>
      <c r="D4195" t="s">
        <v>715</v>
      </c>
      <c r="E4195" t="s">
        <v>231</v>
      </c>
      <c r="F4195" t="s">
        <v>708</v>
      </c>
      <c r="G4195" t="s">
        <v>579</v>
      </c>
      <c r="H4195" t="s">
        <v>99</v>
      </c>
      <c r="I4195" t="s">
        <v>99</v>
      </c>
      <c r="J4195" t="s">
        <v>198</v>
      </c>
      <c r="K4195" t="s">
        <v>679</v>
      </c>
      <c r="L4195" t="s">
        <v>114</v>
      </c>
      <c r="M4195" t="s">
        <v>99</v>
      </c>
      <c r="N4195" t="s">
        <v>107</v>
      </c>
    </row>
    <row r="4196" spans="1:14" x14ac:dyDescent="0.3">
      <c r="A4196" t="s">
        <v>35</v>
      </c>
      <c r="B4196" t="s">
        <v>882</v>
      </c>
      <c r="C4196">
        <v>308</v>
      </c>
      <c r="D4196" t="s">
        <v>824</v>
      </c>
      <c r="E4196" t="s">
        <v>201</v>
      </c>
      <c r="F4196" t="s">
        <v>125</v>
      </c>
      <c r="G4196" t="s">
        <v>839</v>
      </c>
      <c r="H4196" t="s">
        <v>99</v>
      </c>
      <c r="I4196" t="s">
        <v>99</v>
      </c>
      <c r="J4196" t="s">
        <v>99</v>
      </c>
      <c r="K4196" t="s">
        <v>100</v>
      </c>
      <c r="L4196" t="s">
        <v>207</v>
      </c>
      <c r="M4196" t="s">
        <v>198</v>
      </c>
      <c r="N4196" t="s">
        <v>111</v>
      </c>
    </row>
    <row r="4197" spans="1:14" x14ac:dyDescent="0.3">
      <c r="A4197" t="s">
        <v>37</v>
      </c>
      <c r="B4197" t="s">
        <v>880</v>
      </c>
      <c r="C4197">
        <v>162</v>
      </c>
      <c r="D4197" t="s">
        <v>1049</v>
      </c>
      <c r="E4197" t="s">
        <v>677</v>
      </c>
      <c r="F4197" t="s">
        <v>710</v>
      </c>
      <c r="G4197" t="s">
        <v>943</v>
      </c>
      <c r="H4197" t="s">
        <v>157</v>
      </c>
      <c r="I4197" t="s">
        <v>99</v>
      </c>
      <c r="J4197" t="s">
        <v>99</v>
      </c>
      <c r="K4197" t="s">
        <v>292</v>
      </c>
      <c r="L4197" t="s">
        <v>117</v>
      </c>
      <c r="M4197" t="s">
        <v>253</v>
      </c>
      <c r="N4197" t="s">
        <v>474</v>
      </c>
    </row>
    <row r="4198" spans="1:14" x14ac:dyDescent="0.3">
      <c r="A4198" t="s">
        <v>37</v>
      </c>
      <c r="B4198" t="s">
        <v>881</v>
      </c>
      <c r="C4198">
        <v>229</v>
      </c>
      <c r="D4198" t="s">
        <v>701</v>
      </c>
      <c r="E4198" t="s">
        <v>688</v>
      </c>
      <c r="F4198" t="s">
        <v>307</v>
      </c>
      <c r="G4198" t="s">
        <v>490</v>
      </c>
      <c r="H4198" t="s">
        <v>132</v>
      </c>
      <c r="I4198" t="s">
        <v>99</v>
      </c>
      <c r="J4198" t="s">
        <v>141</v>
      </c>
      <c r="K4198" t="s">
        <v>68</v>
      </c>
      <c r="L4198" t="s">
        <v>127</v>
      </c>
      <c r="M4198" t="s">
        <v>115</v>
      </c>
      <c r="N4198" t="s">
        <v>328</v>
      </c>
    </row>
    <row r="4199" spans="1:14" x14ac:dyDescent="0.3">
      <c r="A4199" t="s">
        <v>37</v>
      </c>
      <c r="B4199" t="s">
        <v>882</v>
      </c>
      <c r="C4199">
        <v>341</v>
      </c>
      <c r="D4199" t="s">
        <v>1098</v>
      </c>
      <c r="E4199" t="s">
        <v>482</v>
      </c>
      <c r="F4199" t="s">
        <v>676</v>
      </c>
      <c r="G4199" t="s">
        <v>946</v>
      </c>
      <c r="H4199" t="s">
        <v>154</v>
      </c>
      <c r="I4199" t="s">
        <v>99</v>
      </c>
      <c r="J4199" t="s">
        <v>207</v>
      </c>
      <c r="K4199" t="s">
        <v>127</v>
      </c>
      <c r="L4199" t="s">
        <v>115</v>
      </c>
      <c r="M4199" t="s">
        <v>198</v>
      </c>
      <c r="N4199" t="s">
        <v>474</v>
      </c>
    </row>
    <row r="4200" spans="1:14" x14ac:dyDescent="0.3">
      <c r="A4200" t="s">
        <v>36</v>
      </c>
      <c r="B4200" t="s">
        <v>880</v>
      </c>
      <c r="C4200">
        <v>154</v>
      </c>
      <c r="D4200" t="s">
        <v>140</v>
      </c>
      <c r="E4200" t="s">
        <v>751</v>
      </c>
      <c r="F4200" t="s">
        <v>294</v>
      </c>
      <c r="G4200" t="s">
        <v>1123</v>
      </c>
      <c r="H4200" t="s">
        <v>104</v>
      </c>
      <c r="I4200" t="s">
        <v>99</v>
      </c>
      <c r="J4200" t="s">
        <v>99</v>
      </c>
      <c r="K4200" t="s">
        <v>664</v>
      </c>
      <c r="L4200" t="s">
        <v>99</v>
      </c>
      <c r="M4200" t="s">
        <v>104</v>
      </c>
      <c r="N4200" t="s">
        <v>268</v>
      </c>
    </row>
    <row r="4201" spans="1:14" x14ac:dyDescent="0.3">
      <c r="A4201" t="s">
        <v>36</v>
      </c>
      <c r="B4201" t="s">
        <v>881</v>
      </c>
      <c r="C4201">
        <v>343</v>
      </c>
      <c r="D4201" t="s">
        <v>737</v>
      </c>
      <c r="E4201" t="s">
        <v>748</v>
      </c>
      <c r="F4201" t="s">
        <v>482</v>
      </c>
      <c r="G4201" t="s">
        <v>819</v>
      </c>
      <c r="H4201" t="s">
        <v>123</v>
      </c>
      <c r="I4201" t="s">
        <v>99</v>
      </c>
      <c r="J4201" t="s">
        <v>104</v>
      </c>
      <c r="K4201" t="s">
        <v>101</v>
      </c>
      <c r="L4201" t="s">
        <v>154</v>
      </c>
      <c r="M4201" t="s">
        <v>104</v>
      </c>
      <c r="N4201" t="s">
        <v>139</v>
      </c>
    </row>
    <row r="4202" spans="1:14" x14ac:dyDescent="0.3">
      <c r="A4202" t="s">
        <v>36</v>
      </c>
      <c r="B4202" t="s">
        <v>882</v>
      </c>
      <c r="C4202">
        <v>418</v>
      </c>
      <c r="D4202" t="s">
        <v>842</v>
      </c>
      <c r="E4202" t="s">
        <v>240</v>
      </c>
      <c r="F4202" t="s">
        <v>251</v>
      </c>
      <c r="G4202" t="s">
        <v>1108</v>
      </c>
      <c r="H4202" t="s">
        <v>115</v>
      </c>
      <c r="I4202" t="s">
        <v>99</v>
      </c>
      <c r="J4202" t="s">
        <v>121</v>
      </c>
      <c r="K4202" t="s">
        <v>138</v>
      </c>
      <c r="L4202" t="s">
        <v>121</v>
      </c>
      <c r="M4202" t="s">
        <v>99</v>
      </c>
      <c r="N4202" t="s">
        <v>105</v>
      </c>
    </row>
    <row r="4203" spans="1:14" x14ac:dyDescent="0.3">
      <c r="A4203" t="s">
        <v>34</v>
      </c>
      <c r="B4203" t="s">
        <v>880</v>
      </c>
      <c r="C4203">
        <v>123</v>
      </c>
      <c r="D4203" t="s">
        <v>842</v>
      </c>
      <c r="E4203" t="s">
        <v>416</v>
      </c>
      <c r="F4203" t="s">
        <v>811</v>
      </c>
      <c r="G4203" t="s">
        <v>917</v>
      </c>
      <c r="H4203" t="s">
        <v>319</v>
      </c>
      <c r="I4203" t="s">
        <v>99</v>
      </c>
      <c r="J4203" t="s">
        <v>99</v>
      </c>
      <c r="K4203" t="s">
        <v>108</v>
      </c>
      <c r="L4203" t="s">
        <v>135</v>
      </c>
      <c r="M4203" t="s">
        <v>132</v>
      </c>
      <c r="N4203" t="s">
        <v>130</v>
      </c>
    </row>
    <row r="4204" spans="1:14" x14ac:dyDescent="0.3">
      <c r="A4204" t="s">
        <v>34</v>
      </c>
      <c r="B4204" t="s">
        <v>881</v>
      </c>
      <c r="C4204">
        <v>281</v>
      </c>
      <c r="D4204" t="s">
        <v>716</v>
      </c>
      <c r="E4204" t="s">
        <v>716</v>
      </c>
      <c r="F4204" t="s">
        <v>740</v>
      </c>
      <c r="G4204" t="s">
        <v>1125</v>
      </c>
      <c r="H4204" t="s">
        <v>198</v>
      </c>
      <c r="I4204" t="s">
        <v>99</v>
      </c>
      <c r="J4204" t="s">
        <v>198</v>
      </c>
      <c r="K4204" t="s">
        <v>157</v>
      </c>
      <c r="L4204" t="s">
        <v>70</v>
      </c>
      <c r="M4204" t="s">
        <v>99</v>
      </c>
      <c r="N4204" t="s">
        <v>664</v>
      </c>
    </row>
    <row r="4205" spans="1:14" x14ac:dyDescent="0.3">
      <c r="A4205" t="s">
        <v>34</v>
      </c>
      <c r="B4205" t="s">
        <v>882</v>
      </c>
      <c r="C4205">
        <v>315</v>
      </c>
      <c r="D4205" t="s">
        <v>720</v>
      </c>
      <c r="E4205" t="s">
        <v>739</v>
      </c>
      <c r="F4205" t="s">
        <v>708</v>
      </c>
      <c r="G4205" t="s">
        <v>951</v>
      </c>
      <c r="H4205" t="s">
        <v>127</v>
      </c>
      <c r="I4205" t="s">
        <v>99</v>
      </c>
      <c r="J4205" t="s">
        <v>253</v>
      </c>
      <c r="K4205" t="s">
        <v>128</v>
      </c>
      <c r="L4205" t="s">
        <v>112</v>
      </c>
      <c r="M4205" t="s">
        <v>99</v>
      </c>
      <c r="N4205" t="s">
        <v>412</v>
      </c>
    </row>
    <row r="4206" spans="1:14" x14ac:dyDescent="0.3">
      <c r="A4206" t="s">
        <v>33</v>
      </c>
      <c r="B4206" t="s">
        <v>880</v>
      </c>
      <c r="C4206">
        <v>115</v>
      </c>
      <c r="D4206" t="s">
        <v>56</v>
      </c>
      <c r="E4206" t="s">
        <v>72</v>
      </c>
      <c r="F4206" t="s">
        <v>416</v>
      </c>
      <c r="G4206" t="s">
        <v>927</v>
      </c>
      <c r="H4206" t="s">
        <v>99</v>
      </c>
      <c r="I4206" t="s">
        <v>99</v>
      </c>
      <c r="J4206" t="s">
        <v>99</v>
      </c>
      <c r="K4206" t="s">
        <v>99</v>
      </c>
      <c r="L4206" t="s">
        <v>99</v>
      </c>
      <c r="M4206" t="s">
        <v>99</v>
      </c>
      <c r="N4206" t="s">
        <v>149</v>
      </c>
    </row>
    <row r="4207" spans="1:14" x14ac:dyDescent="0.3">
      <c r="A4207" t="s">
        <v>33</v>
      </c>
      <c r="B4207" t="s">
        <v>881</v>
      </c>
      <c r="C4207">
        <v>153</v>
      </c>
      <c r="D4207" t="s">
        <v>664</v>
      </c>
      <c r="E4207" t="s">
        <v>363</v>
      </c>
      <c r="F4207" t="s">
        <v>131</v>
      </c>
      <c r="G4207" t="s">
        <v>1337</v>
      </c>
      <c r="H4207" t="s">
        <v>108</v>
      </c>
      <c r="I4207" t="s">
        <v>99</v>
      </c>
      <c r="J4207" t="s">
        <v>99</v>
      </c>
      <c r="K4207" t="s">
        <v>382</v>
      </c>
      <c r="L4207" t="s">
        <v>99</v>
      </c>
      <c r="M4207" t="s">
        <v>99</v>
      </c>
      <c r="N4207" t="s">
        <v>152</v>
      </c>
    </row>
    <row r="4208" spans="1:14" x14ac:dyDescent="0.3">
      <c r="A4208" t="s">
        <v>33</v>
      </c>
      <c r="B4208" t="s">
        <v>882</v>
      </c>
      <c r="C4208">
        <v>208</v>
      </c>
      <c r="D4208" t="s">
        <v>1185</v>
      </c>
      <c r="E4208" t="s">
        <v>461</v>
      </c>
      <c r="F4208" t="s">
        <v>70</v>
      </c>
      <c r="G4208" t="s">
        <v>1151</v>
      </c>
      <c r="H4208" t="s">
        <v>99</v>
      </c>
      <c r="I4208" t="s">
        <v>99</v>
      </c>
      <c r="J4208" t="s">
        <v>115</v>
      </c>
      <c r="K4208" t="s">
        <v>117</v>
      </c>
      <c r="L4208" t="s">
        <v>382</v>
      </c>
      <c r="M4208" t="s">
        <v>253</v>
      </c>
      <c r="N4208" t="s">
        <v>120</v>
      </c>
    </row>
    <row r="4209" spans="1:14" x14ac:dyDescent="0.3">
      <c r="A4209" t="s">
        <v>49</v>
      </c>
      <c r="B4209" t="s">
        <v>880</v>
      </c>
      <c r="C4209">
        <v>709</v>
      </c>
      <c r="D4209" t="s">
        <v>1222</v>
      </c>
      <c r="E4209" t="s">
        <v>218</v>
      </c>
      <c r="F4209" t="s">
        <v>449</v>
      </c>
      <c r="G4209" t="s">
        <v>640</v>
      </c>
      <c r="H4209" t="s">
        <v>108</v>
      </c>
      <c r="I4209" t="s">
        <v>99</v>
      </c>
      <c r="J4209" t="s">
        <v>99</v>
      </c>
      <c r="K4209" t="s">
        <v>292</v>
      </c>
      <c r="L4209" t="s">
        <v>123</v>
      </c>
      <c r="M4209" t="s">
        <v>141</v>
      </c>
      <c r="N4209" t="s">
        <v>332</v>
      </c>
    </row>
    <row r="4210" spans="1:14" x14ac:dyDescent="0.3">
      <c r="A4210" t="s">
        <v>49</v>
      </c>
      <c r="B4210" t="s">
        <v>881</v>
      </c>
      <c r="C4210">
        <v>1261</v>
      </c>
      <c r="D4210" t="s">
        <v>255</v>
      </c>
      <c r="E4210" t="s">
        <v>731</v>
      </c>
      <c r="F4210" t="s">
        <v>691</v>
      </c>
      <c r="G4210" t="s">
        <v>1331</v>
      </c>
      <c r="H4210" t="s">
        <v>253</v>
      </c>
      <c r="I4210" t="s">
        <v>99</v>
      </c>
      <c r="J4210" t="s">
        <v>198</v>
      </c>
      <c r="K4210" t="s">
        <v>129</v>
      </c>
      <c r="L4210" t="s">
        <v>105</v>
      </c>
      <c r="M4210" t="s">
        <v>104</v>
      </c>
      <c r="N4210" t="s">
        <v>98</v>
      </c>
    </row>
    <row r="4211" spans="1:14" x14ac:dyDescent="0.3">
      <c r="A4211" t="s">
        <v>49</v>
      </c>
      <c r="B4211" t="s">
        <v>882</v>
      </c>
      <c r="C4211">
        <v>1590</v>
      </c>
      <c r="D4211" t="s">
        <v>810</v>
      </c>
      <c r="E4211" t="s">
        <v>186</v>
      </c>
      <c r="F4211" t="s">
        <v>289</v>
      </c>
      <c r="G4211" t="s">
        <v>1258</v>
      </c>
      <c r="H4211" t="s">
        <v>101</v>
      </c>
      <c r="I4211" t="s">
        <v>99</v>
      </c>
      <c r="J4211" t="s">
        <v>141</v>
      </c>
      <c r="K4211" t="s">
        <v>111</v>
      </c>
      <c r="L4211" t="s">
        <v>123</v>
      </c>
      <c r="M4211" t="s">
        <v>198</v>
      </c>
      <c r="N4211" t="s">
        <v>154</v>
      </c>
    </row>
    <row r="4213" spans="1:14" x14ac:dyDescent="0.3">
      <c r="A4213" t="s">
        <v>1532</v>
      </c>
    </row>
    <row r="4214" spans="1:14" x14ac:dyDescent="0.3">
      <c r="A4214" t="s">
        <v>44</v>
      </c>
      <c r="B4214" t="s">
        <v>388</v>
      </c>
      <c r="C4214" t="s">
        <v>32</v>
      </c>
      <c r="D4214" t="s">
        <v>1518</v>
      </c>
      <c r="E4214" t="s">
        <v>1519</v>
      </c>
      <c r="F4214" t="s">
        <v>1520</v>
      </c>
      <c r="G4214" t="s">
        <v>1521</v>
      </c>
      <c r="H4214" t="s">
        <v>1522</v>
      </c>
      <c r="I4214" t="s">
        <v>1523</v>
      </c>
      <c r="J4214" t="s">
        <v>1524</v>
      </c>
      <c r="K4214" t="s">
        <v>1525</v>
      </c>
      <c r="L4214" t="s">
        <v>1526</v>
      </c>
      <c r="M4214" t="s">
        <v>193</v>
      </c>
      <c r="N4214" t="s">
        <v>1527</v>
      </c>
    </row>
    <row r="4215" spans="1:14" x14ac:dyDescent="0.3">
      <c r="A4215" t="s">
        <v>35</v>
      </c>
      <c r="B4215" t="s">
        <v>389</v>
      </c>
      <c r="C4215">
        <v>509</v>
      </c>
      <c r="D4215" t="s">
        <v>1067</v>
      </c>
      <c r="E4215" t="s">
        <v>708</v>
      </c>
      <c r="F4215" t="s">
        <v>220</v>
      </c>
      <c r="G4215" t="s">
        <v>564</v>
      </c>
      <c r="H4215" t="s">
        <v>99</v>
      </c>
      <c r="I4215" t="s">
        <v>99</v>
      </c>
      <c r="J4215" t="s">
        <v>99</v>
      </c>
      <c r="K4215" t="s">
        <v>128</v>
      </c>
      <c r="L4215" t="s">
        <v>207</v>
      </c>
      <c r="M4215" t="s">
        <v>136</v>
      </c>
      <c r="N4215" t="s">
        <v>316</v>
      </c>
    </row>
    <row r="4216" spans="1:14" x14ac:dyDescent="0.3">
      <c r="A4216" t="s">
        <v>35</v>
      </c>
      <c r="B4216" t="s">
        <v>390</v>
      </c>
      <c r="C4216">
        <v>179</v>
      </c>
      <c r="D4216" t="s">
        <v>1102</v>
      </c>
      <c r="E4216" t="s">
        <v>720</v>
      </c>
      <c r="F4216" t="s">
        <v>311</v>
      </c>
      <c r="G4216" t="s">
        <v>1533</v>
      </c>
      <c r="H4216" t="s">
        <v>99</v>
      </c>
      <c r="I4216" t="s">
        <v>99</v>
      </c>
      <c r="J4216" t="s">
        <v>198</v>
      </c>
      <c r="K4216" t="s">
        <v>412</v>
      </c>
      <c r="L4216" t="s">
        <v>319</v>
      </c>
      <c r="M4216" t="s">
        <v>99</v>
      </c>
      <c r="N4216" t="s">
        <v>103</v>
      </c>
    </row>
    <row r="4217" spans="1:14" x14ac:dyDescent="0.3">
      <c r="A4217" t="s">
        <v>35</v>
      </c>
      <c r="B4217" t="s">
        <v>365</v>
      </c>
      <c r="C4217">
        <v>30</v>
      </c>
      <c r="D4217" t="s">
        <v>924</v>
      </c>
      <c r="E4217" t="s">
        <v>145</v>
      </c>
      <c r="F4217" t="s">
        <v>147</v>
      </c>
      <c r="G4217" t="s">
        <v>1119</v>
      </c>
      <c r="H4217" t="s">
        <v>99</v>
      </c>
      <c r="I4217" t="s">
        <v>99</v>
      </c>
      <c r="J4217" t="s">
        <v>99</v>
      </c>
      <c r="K4217" t="s">
        <v>147</v>
      </c>
      <c r="L4217" t="s">
        <v>99</v>
      </c>
      <c r="M4217" t="s">
        <v>99</v>
      </c>
      <c r="N4217" t="s">
        <v>99</v>
      </c>
    </row>
    <row r="4218" spans="1:14" x14ac:dyDescent="0.3">
      <c r="A4218" t="s">
        <v>37</v>
      </c>
      <c r="B4218" t="s">
        <v>389</v>
      </c>
      <c r="C4218">
        <v>452</v>
      </c>
      <c r="D4218" t="s">
        <v>897</v>
      </c>
      <c r="E4218" t="s">
        <v>672</v>
      </c>
      <c r="F4218" t="s">
        <v>432</v>
      </c>
      <c r="G4218" t="s">
        <v>641</v>
      </c>
      <c r="H4218" t="s">
        <v>103</v>
      </c>
      <c r="I4218" t="s">
        <v>99</v>
      </c>
      <c r="J4218" t="s">
        <v>207</v>
      </c>
      <c r="K4218" t="s">
        <v>105</v>
      </c>
      <c r="L4218" t="s">
        <v>215</v>
      </c>
      <c r="M4218" t="s">
        <v>198</v>
      </c>
      <c r="N4218" t="s">
        <v>139</v>
      </c>
    </row>
    <row r="4219" spans="1:14" x14ac:dyDescent="0.3">
      <c r="A4219" t="s">
        <v>37</v>
      </c>
      <c r="B4219" t="s">
        <v>390</v>
      </c>
      <c r="C4219">
        <v>222</v>
      </c>
      <c r="D4219" t="s">
        <v>698</v>
      </c>
      <c r="E4219" t="s">
        <v>206</v>
      </c>
      <c r="F4219" t="s">
        <v>298</v>
      </c>
      <c r="G4219" t="s">
        <v>943</v>
      </c>
      <c r="H4219" t="s">
        <v>155</v>
      </c>
      <c r="I4219" t="s">
        <v>99</v>
      </c>
      <c r="J4219" t="s">
        <v>136</v>
      </c>
      <c r="K4219" t="s">
        <v>316</v>
      </c>
      <c r="L4219" t="s">
        <v>253</v>
      </c>
      <c r="M4219" t="s">
        <v>114</v>
      </c>
      <c r="N4219" t="s">
        <v>68</v>
      </c>
    </row>
    <row r="4220" spans="1:14" x14ac:dyDescent="0.3">
      <c r="A4220" t="s">
        <v>37</v>
      </c>
      <c r="B4220" t="s">
        <v>365</v>
      </c>
      <c r="C4220">
        <v>58</v>
      </c>
      <c r="D4220" t="s">
        <v>1494</v>
      </c>
      <c r="E4220" t="s">
        <v>276</v>
      </c>
      <c r="F4220" t="s">
        <v>318</v>
      </c>
      <c r="G4220" t="s">
        <v>751</v>
      </c>
      <c r="H4220" t="s">
        <v>99</v>
      </c>
      <c r="I4220" t="s">
        <v>99</v>
      </c>
      <c r="J4220" t="s">
        <v>99</v>
      </c>
      <c r="K4220" t="s">
        <v>99</v>
      </c>
      <c r="L4220" t="s">
        <v>117</v>
      </c>
      <c r="M4220" t="s">
        <v>99</v>
      </c>
      <c r="N4220" t="s">
        <v>663</v>
      </c>
    </row>
    <row r="4221" spans="1:14" x14ac:dyDescent="0.3">
      <c r="A4221" t="s">
        <v>36</v>
      </c>
      <c r="B4221" t="s">
        <v>389</v>
      </c>
      <c r="C4221">
        <v>635</v>
      </c>
      <c r="D4221" t="s">
        <v>395</v>
      </c>
      <c r="E4221" t="s">
        <v>670</v>
      </c>
      <c r="F4221" t="s">
        <v>175</v>
      </c>
      <c r="G4221" t="s">
        <v>625</v>
      </c>
      <c r="H4221" t="s">
        <v>114</v>
      </c>
      <c r="I4221" t="s">
        <v>99</v>
      </c>
      <c r="J4221" t="s">
        <v>132</v>
      </c>
      <c r="K4221" t="s">
        <v>128</v>
      </c>
      <c r="L4221" t="s">
        <v>319</v>
      </c>
      <c r="M4221" t="s">
        <v>99</v>
      </c>
      <c r="N4221" t="s">
        <v>134</v>
      </c>
    </row>
    <row r="4222" spans="1:14" x14ac:dyDescent="0.3">
      <c r="A4222" t="s">
        <v>36</v>
      </c>
      <c r="B4222" t="s">
        <v>390</v>
      </c>
      <c r="C4222">
        <v>244</v>
      </c>
      <c r="D4222" t="s">
        <v>58</v>
      </c>
      <c r="E4222" t="s">
        <v>864</v>
      </c>
      <c r="F4222" t="s">
        <v>113</v>
      </c>
      <c r="G4222" t="s">
        <v>1077</v>
      </c>
      <c r="H4222" t="s">
        <v>104</v>
      </c>
      <c r="I4222" t="s">
        <v>99</v>
      </c>
      <c r="J4222" t="s">
        <v>99</v>
      </c>
      <c r="K4222" t="s">
        <v>675</v>
      </c>
      <c r="L4222" t="s">
        <v>128</v>
      </c>
      <c r="M4222" t="s">
        <v>198</v>
      </c>
      <c r="N4222" t="s">
        <v>138</v>
      </c>
    </row>
    <row r="4223" spans="1:14" x14ac:dyDescent="0.3">
      <c r="A4223" t="s">
        <v>36</v>
      </c>
      <c r="B4223" t="s">
        <v>365</v>
      </c>
      <c r="C4223">
        <v>36</v>
      </c>
      <c r="D4223" t="s">
        <v>56</v>
      </c>
      <c r="E4223" t="s">
        <v>705</v>
      </c>
      <c r="F4223" t="s">
        <v>461</v>
      </c>
      <c r="G4223" t="s">
        <v>615</v>
      </c>
      <c r="H4223" t="s">
        <v>118</v>
      </c>
      <c r="I4223" t="s">
        <v>99</v>
      </c>
      <c r="J4223" t="s">
        <v>99</v>
      </c>
      <c r="K4223" t="s">
        <v>99</v>
      </c>
      <c r="L4223" t="s">
        <v>198</v>
      </c>
      <c r="M4223" t="s">
        <v>99</v>
      </c>
      <c r="N4223" t="s">
        <v>198</v>
      </c>
    </row>
    <row r="4224" spans="1:14" x14ac:dyDescent="0.3">
      <c r="A4224" t="s">
        <v>34</v>
      </c>
      <c r="B4224" t="s">
        <v>389</v>
      </c>
      <c r="C4224">
        <v>501</v>
      </c>
      <c r="D4224" t="s">
        <v>694</v>
      </c>
      <c r="E4224" t="s">
        <v>218</v>
      </c>
      <c r="F4224" t="s">
        <v>704</v>
      </c>
      <c r="G4224" t="s">
        <v>1331</v>
      </c>
      <c r="H4224" t="s">
        <v>101</v>
      </c>
      <c r="I4224" t="s">
        <v>99</v>
      </c>
      <c r="J4224" t="s">
        <v>141</v>
      </c>
      <c r="K4224" t="s">
        <v>138</v>
      </c>
      <c r="L4224" t="s">
        <v>144</v>
      </c>
      <c r="M4224" t="s">
        <v>198</v>
      </c>
      <c r="N4224" t="s">
        <v>204</v>
      </c>
    </row>
    <row r="4225" spans="1:14" x14ac:dyDescent="0.3">
      <c r="A4225" t="s">
        <v>34</v>
      </c>
      <c r="B4225" t="s">
        <v>390</v>
      </c>
      <c r="C4225">
        <v>199</v>
      </c>
      <c r="D4225" t="s">
        <v>692</v>
      </c>
      <c r="E4225" t="s">
        <v>542</v>
      </c>
      <c r="F4225" t="s">
        <v>718</v>
      </c>
      <c r="G4225" t="s">
        <v>1151</v>
      </c>
      <c r="H4225" t="s">
        <v>100</v>
      </c>
      <c r="I4225" t="s">
        <v>99</v>
      </c>
      <c r="J4225" t="s">
        <v>99</v>
      </c>
      <c r="K4225" t="s">
        <v>136</v>
      </c>
      <c r="L4225" t="s">
        <v>412</v>
      </c>
      <c r="M4225" t="s">
        <v>99</v>
      </c>
      <c r="N4225" t="s">
        <v>158</v>
      </c>
    </row>
    <row r="4226" spans="1:14" x14ac:dyDescent="0.3">
      <c r="A4226" t="s">
        <v>34</v>
      </c>
      <c r="B4226" t="s">
        <v>365</v>
      </c>
      <c r="C4226">
        <v>19</v>
      </c>
      <c r="D4226" t="s">
        <v>868</v>
      </c>
      <c r="E4226" t="s">
        <v>292</v>
      </c>
      <c r="F4226" t="s">
        <v>730</v>
      </c>
      <c r="G4226" t="s">
        <v>1497</v>
      </c>
      <c r="H4226" t="s">
        <v>99</v>
      </c>
      <c r="I4226" t="s">
        <v>99</v>
      </c>
      <c r="J4226" t="s">
        <v>99</v>
      </c>
      <c r="K4226" t="s">
        <v>412</v>
      </c>
      <c r="L4226" t="s">
        <v>731</v>
      </c>
      <c r="M4226" t="s">
        <v>99</v>
      </c>
      <c r="N4226" t="s">
        <v>292</v>
      </c>
    </row>
    <row r="4227" spans="1:14" x14ac:dyDescent="0.3">
      <c r="A4227" t="s">
        <v>33</v>
      </c>
      <c r="B4227" t="s">
        <v>389</v>
      </c>
      <c r="C4227">
        <v>262</v>
      </c>
      <c r="D4227" t="s">
        <v>697</v>
      </c>
      <c r="E4227" t="s">
        <v>305</v>
      </c>
      <c r="F4227" t="s">
        <v>222</v>
      </c>
      <c r="G4227" t="s">
        <v>1100</v>
      </c>
      <c r="H4227" t="s">
        <v>99</v>
      </c>
      <c r="I4227" t="s">
        <v>99</v>
      </c>
      <c r="J4227" t="s">
        <v>141</v>
      </c>
      <c r="K4227" t="s">
        <v>111</v>
      </c>
      <c r="L4227" t="s">
        <v>132</v>
      </c>
      <c r="M4227" t="s">
        <v>99</v>
      </c>
      <c r="N4227" t="s">
        <v>468</v>
      </c>
    </row>
    <row r="4228" spans="1:14" x14ac:dyDescent="0.3">
      <c r="A4228" t="s">
        <v>33</v>
      </c>
      <c r="B4228" t="s">
        <v>390</v>
      </c>
      <c r="C4228">
        <v>163</v>
      </c>
      <c r="D4228" t="s">
        <v>574</v>
      </c>
      <c r="E4228" t="s">
        <v>420</v>
      </c>
      <c r="F4228" t="s">
        <v>677</v>
      </c>
      <c r="G4228" t="s">
        <v>554</v>
      </c>
      <c r="H4228" t="s">
        <v>99</v>
      </c>
      <c r="I4228" t="s">
        <v>99</v>
      </c>
      <c r="J4228" t="s">
        <v>99</v>
      </c>
      <c r="K4228" t="s">
        <v>108</v>
      </c>
      <c r="L4228" t="s">
        <v>115</v>
      </c>
      <c r="M4228" t="s">
        <v>115</v>
      </c>
      <c r="N4228" t="s">
        <v>130</v>
      </c>
    </row>
    <row r="4229" spans="1:14" x14ac:dyDescent="0.3">
      <c r="A4229" t="s">
        <v>33</v>
      </c>
      <c r="B4229" t="s">
        <v>365</v>
      </c>
      <c r="C4229">
        <v>51</v>
      </c>
      <c r="D4229" t="s">
        <v>820</v>
      </c>
      <c r="E4229" t="s">
        <v>182</v>
      </c>
      <c r="F4229" t="s">
        <v>167</v>
      </c>
      <c r="G4229" t="s">
        <v>1174</v>
      </c>
      <c r="H4229" t="s">
        <v>157</v>
      </c>
      <c r="I4229" t="s">
        <v>99</v>
      </c>
      <c r="J4229" t="s">
        <v>99</v>
      </c>
      <c r="K4229" t="s">
        <v>99</v>
      </c>
      <c r="L4229" t="s">
        <v>99</v>
      </c>
      <c r="M4229" t="s">
        <v>99</v>
      </c>
      <c r="N4229" t="s">
        <v>99</v>
      </c>
    </row>
    <row r="4230" spans="1:14" x14ac:dyDescent="0.3">
      <c r="A4230" t="s">
        <v>49</v>
      </c>
      <c r="B4230" t="s">
        <v>389</v>
      </c>
      <c r="C4230">
        <v>2359</v>
      </c>
      <c r="D4230" t="s">
        <v>137</v>
      </c>
      <c r="E4230" t="s">
        <v>672</v>
      </c>
      <c r="F4230" t="s">
        <v>814</v>
      </c>
      <c r="G4230" t="s">
        <v>579</v>
      </c>
      <c r="H4230" t="s">
        <v>114</v>
      </c>
      <c r="I4230" t="s">
        <v>99</v>
      </c>
      <c r="J4230" t="s">
        <v>136</v>
      </c>
      <c r="K4230" t="s">
        <v>147</v>
      </c>
      <c r="L4230" t="s">
        <v>117</v>
      </c>
      <c r="M4230" t="s">
        <v>198</v>
      </c>
      <c r="N4230" t="s">
        <v>474</v>
      </c>
    </row>
    <row r="4231" spans="1:14" x14ac:dyDescent="0.3">
      <c r="A4231" t="s">
        <v>49</v>
      </c>
      <c r="B4231" t="s">
        <v>390</v>
      </c>
      <c r="C4231">
        <v>1007</v>
      </c>
      <c r="D4231" t="s">
        <v>916</v>
      </c>
      <c r="E4231" t="s">
        <v>38</v>
      </c>
      <c r="F4231" t="s">
        <v>465</v>
      </c>
      <c r="G4231" t="s">
        <v>1383</v>
      </c>
      <c r="H4231" t="s">
        <v>114</v>
      </c>
      <c r="I4231" t="s">
        <v>99</v>
      </c>
      <c r="J4231" t="s">
        <v>104</v>
      </c>
      <c r="K4231" t="s">
        <v>120</v>
      </c>
      <c r="L4231" t="s">
        <v>111</v>
      </c>
      <c r="M4231" t="s">
        <v>136</v>
      </c>
      <c r="N4231" t="s">
        <v>130</v>
      </c>
    </row>
    <row r="4232" spans="1:14" x14ac:dyDescent="0.3">
      <c r="A4232" t="s">
        <v>49</v>
      </c>
      <c r="B4232" t="s">
        <v>365</v>
      </c>
      <c r="C4232">
        <v>194</v>
      </c>
      <c r="D4232" t="s">
        <v>545</v>
      </c>
      <c r="E4232" t="s">
        <v>218</v>
      </c>
      <c r="F4232" t="s">
        <v>677</v>
      </c>
      <c r="G4232" t="s">
        <v>1386</v>
      </c>
      <c r="H4232" t="s">
        <v>319</v>
      </c>
      <c r="I4232" t="s">
        <v>99</v>
      </c>
      <c r="J4232" t="s">
        <v>99</v>
      </c>
      <c r="K4232" t="s">
        <v>101</v>
      </c>
      <c r="L4232" t="s">
        <v>117</v>
      </c>
      <c r="M4232" t="s">
        <v>99</v>
      </c>
      <c r="N4232" t="s">
        <v>151</v>
      </c>
    </row>
    <row r="4234" spans="1:14" x14ac:dyDescent="0.3">
      <c r="A4234" t="s">
        <v>1534</v>
      </c>
    </row>
    <row r="4235" spans="1:14" x14ac:dyDescent="0.3">
      <c r="A4235" t="s">
        <v>44</v>
      </c>
      <c r="B4235" t="s">
        <v>32</v>
      </c>
      <c r="C4235" t="s">
        <v>1535</v>
      </c>
      <c r="D4235" t="s">
        <v>1536</v>
      </c>
      <c r="E4235" t="s">
        <v>1537</v>
      </c>
      <c r="F4235" t="s">
        <v>1538</v>
      </c>
      <c r="G4235" t="s">
        <v>1539</v>
      </c>
      <c r="H4235" t="s">
        <v>1353</v>
      </c>
    </row>
    <row r="4236" spans="1:14" x14ac:dyDescent="0.3">
      <c r="A4236" t="s">
        <v>35</v>
      </c>
      <c r="B4236">
        <v>3145</v>
      </c>
      <c r="C4236" t="s">
        <v>99</v>
      </c>
      <c r="D4236" t="s">
        <v>336</v>
      </c>
      <c r="E4236" t="s">
        <v>104</v>
      </c>
      <c r="F4236" t="s">
        <v>103</v>
      </c>
      <c r="G4236" t="s">
        <v>115</v>
      </c>
      <c r="H4236" t="s">
        <v>99</v>
      </c>
    </row>
    <row r="4237" spans="1:14" x14ac:dyDescent="0.3">
      <c r="A4237" t="s">
        <v>37</v>
      </c>
      <c r="B4237">
        <v>3855</v>
      </c>
      <c r="C4237" t="s">
        <v>99</v>
      </c>
      <c r="D4237" t="s">
        <v>383</v>
      </c>
      <c r="E4237" t="s">
        <v>99</v>
      </c>
      <c r="F4237" t="s">
        <v>126</v>
      </c>
      <c r="G4237" t="s">
        <v>198</v>
      </c>
      <c r="H4237" t="s">
        <v>99</v>
      </c>
    </row>
    <row r="4238" spans="1:14" x14ac:dyDescent="0.3">
      <c r="A4238" t="s">
        <v>36</v>
      </c>
      <c r="B4238">
        <v>2305</v>
      </c>
      <c r="C4238" t="s">
        <v>99</v>
      </c>
      <c r="D4238" t="s">
        <v>978</v>
      </c>
      <c r="E4238" t="s">
        <v>253</v>
      </c>
      <c r="F4238" t="s">
        <v>712</v>
      </c>
      <c r="G4238" t="s">
        <v>123</v>
      </c>
      <c r="H4238" t="s">
        <v>104</v>
      </c>
    </row>
    <row r="4239" spans="1:14" x14ac:dyDescent="0.3">
      <c r="A4239" t="s">
        <v>34</v>
      </c>
      <c r="B4239">
        <v>2080</v>
      </c>
      <c r="C4239" t="s">
        <v>121</v>
      </c>
      <c r="D4239" t="s">
        <v>448</v>
      </c>
      <c r="E4239" t="s">
        <v>108</v>
      </c>
      <c r="F4239" t="s">
        <v>98</v>
      </c>
      <c r="G4239" t="s">
        <v>130</v>
      </c>
      <c r="H4239" t="s">
        <v>104</v>
      </c>
    </row>
    <row r="4240" spans="1:14" x14ac:dyDescent="0.3">
      <c r="A4240" t="s">
        <v>33</v>
      </c>
      <c r="B4240">
        <v>1937</v>
      </c>
      <c r="C4240" t="s">
        <v>104</v>
      </c>
      <c r="D4240" t="s">
        <v>986</v>
      </c>
      <c r="E4240" t="s">
        <v>99</v>
      </c>
      <c r="F4240" t="s">
        <v>215</v>
      </c>
      <c r="G4240" t="s">
        <v>207</v>
      </c>
      <c r="H4240" t="s">
        <v>99</v>
      </c>
    </row>
    <row r="4241" spans="1:9" x14ac:dyDescent="0.3">
      <c r="A4241" t="s">
        <v>49</v>
      </c>
      <c r="B4241">
        <v>13322</v>
      </c>
      <c r="C4241" t="s">
        <v>207</v>
      </c>
      <c r="D4241" t="s">
        <v>367</v>
      </c>
      <c r="E4241" t="s">
        <v>207</v>
      </c>
      <c r="F4241" t="s">
        <v>120</v>
      </c>
      <c r="G4241" t="s">
        <v>121</v>
      </c>
      <c r="H4241" t="s">
        <v>99</v>
      </c>
    </row>
    <row r="4243" spans="1:9" x14ac:dyDescent="0.3">
      <c r="A4243" t="s">
        <v>1540</v>
      </c>
    </row>
    <row r="4244" spans="1:9" x14ac:dyDescent="0.3">
      <c r="A4244" t="s">
        <v>44</v>
      </c>
      <c r="B4244" t="s">
        <v>235</v>
      </c>
      <c r="C4244" t="s">
        <v>32</v>
      </c>
      <c r="D4244" t="s">
        <v>1535</v>
      </c>
      <c r="E4244" t="s">
        <v>1536</v>
      </c>
      <c r="F4244" t="s">
        <v>1537</v>
      </c>
      <c r="G4244" t="s">
        <v>1538</v>
      </c>
      <c r="H4244" t="s">
        <v>1539</v>
      </c>
      <c r="I4244" t="s">
        <v>1353</v>
      </c>
    </row>
    <row r="4245" spans="1:9" x14ac:dyDescent="0.3">
      <c r="A4245" t="s">
        <v>35</v>
      </c>
      <c r="B4245" t="s">
        <v>236</v>
      </c>
      <c r="C4245">
        <v>1610</v>
      </c>
      <c r="D4245" t="s">
        <v>99</v>
      </c>
      <c r="E4245" t="s">
        <v>265</v>
      </c>
      <c r="F4245" t="s">
        <v>198</v>
      </c>
      <c r="G4245" t="s">
        <v>316</v>
      </c>
      <c r="H4245" t="s">
        <v>115</v>
      </c>
      <c r="I4245" t="s">
        <v>99</v>
      </c>
    </row>
    <row r="4246" spans="1:9" x14ac:dyDescent="0.3">
      <c r="A4246" t="s">
        <v>35</v>
      </c>
      <c r="B4246" t="s">
        <v>238</v>
      </c>
      <c r="C4246">
        <v>1535</v>
      </c>
      <c r="D4246" t="s">
        <v>99</v>
      </c>
      <c r="E4246" t="s">
        <v>336</v>
      </c>
      <c r="F4246" t="s">
        <v>104</v>
      </c>
      <c r="G4246" t="s">
        <v>103</v>
      </c>
      <c r="H4246" t="s">
        <v>115</v>
      </c>
      <c r="I4246" t="s">
        <v>104</v>
      </c>
    </row>
    <row r="4247" spans="1:9" x14ac:dyDescent="0.3">
      <c r="A4247" t="s">
        <v>37</v>
      </c>
      <c r="B4247" t="s">
        <v>236</v>
      </c>
      <c r="C4247">
        <v>2211</v>
      </c>
      <c r="D4247" t="s">
        <v>104</v>
      </c>
      <c r="E4247" t="s">
        <v>438</v>
      </c>
      <c r="F4247" t="s">
        <v>99</v>
      </c>
      <c r="G4247" t="s">
        <v>382</v>
      </c>
      <c r="H4247" t="s">
        <v>198</v>
      </c>
      <c r="I4247" t="s">
        <v>99</v>
      </c>
    </row>
    <row r="4248" spans="1:9" x14ac:dyDescent="0.3">
      <c r="A4248" t="s">
        <v>37</v>
      </c>
      <c r="B4248" t="s">
        <v>238</v>
      </c>
      <c r="C4248">
        <v>1644</v>
      </c>
      <c r="D4248" t="s">
        <v>99</v>
      </c>
      <c r="E4248" t="s">
        <v>229</v>
      </c>
      <c r="F4248" t="s">
        <v>99</v>
      </c>
      <c r="G4248" t="s">
        <v>101</v>
      </c>
      <c r="H4248" t="s">
        <v>198</v>
      </c>
      <c r="I4248" t="s">
        <v>99</v>
      </c>
    </row>
    <row r="4249" spans="1:9" x14ac:dyDescent="0.3">
      <c r="A4249" t="s">
        <v>36</v>
      </c>
      <c r="B4249" t="s">
        <v>236</v>
      </c>
      <c r="C4249">
        <v>1566</v>
      </c>
      <c r="D4249" t="s">
        <v>99</v>
      </c>
      <c r="E4249" t="s">
        <v>419</v>
      </c>
      <c r="F4249" t="s">
        <v>108</v>
      </c>
      <c r="G4249" t="s">
        <v>98</v>
      </c>
      <c r="H4249" t="s">
        <v>126</v>
      </c>
      <c r="I4249" t="s">
        <v>99</v>
      </c>
    </row>
    <row r="4250" spans="1:9" x14ac:dyDescent="0.3">
      <c r="A4250" t="s">
        <v>36</v>
      </c>
      <c r="B4250" t="s">
        <v>238</v>
      </c>
      <c r="C4250">
        <v>739</v>
      </c>
      <c r="D4250" t="s">
        <v>99</v>
      </c>
      <c r="E4250" t="s">
        <v>75</v>
      </c>
      <c r="F4250" t="s">
        <v>207</v>
      </c>
      <c r="G4250" t="s">
        <v>332</v>
      </c>
      <c r="H4250" t="s">
        <v>111</v>
      </c>
      <c r="I4250" t="s">
        <v>104</v>
      </c>
    </row>
    <row r="4251" spans="1:9" x14ac:dyDescent="0.3">
      <c r="A4251" t="s">
        <v>34</v>
      </c>
      <c r="B4251" t="s">
        <v>236</v>
      </c>
      <c r="C4251">
        <v>717</v>
      </c>
      <c r="D4251" t="s">
        <v>99</v>
      </c>
      <c r="E4251" t="s">
        <v>293</v>
      </c>
      <c r="F4251" t="s">
        <v>99</v>
      </c>
      <c r="G4251" t="s">
        <v>143</v>
      </c>
      <c r="H4251" t="s">
        <v>118</v>
      </c>
      <c r="I4251" t="s">
        <v>99</v>
      </c>
    </row>
    <row r="4252" spans="1:9" x14ac:dyDescent="0.3">
      <c r="A4252" t="s">
        <v>34</v>
      </c>
      <c r="B4252" t="s">
        <v>238</v>
      </c>
      <c r="C4252">
        <v>1363</v>
      </c>
      <c r="D4252" t="s">
        <v>215</v>
      </c>
      <c r="E4252" t="s">
        <v>1007</v>
      </c>
      <c r="F4252" t="s">
        <v>101</v>
      </c>
      <c r="G4252" t="s">
        <v>684</v>
      </c>
      <c r="H4252" t="s">
        <v>434</v>
      </c>
      <c r="I4252" t="s">
        <v>198</v>
      </c>
    </row>
    <row r="4253" spans="1:9" x14ac:dyDescent="0.3">
      <c r="A4253" t="s">
        <v>33</v>
      </c>
      <c r="B4253" t="s">
        <v>236</v>
      </c>
      <c r="C4253">
        <v>1116</v>
      </c>
      <c r="D4253" t="s">
        <v>104</v>
      </c>
      <c r="E4253" t="s">
        <v>466</v>
      </c>
      <c r="F4253" t="s">
        <v>104</v>
      </c>
      <c r="G4253" t="s">
        <v>268</v>
      </c>
      <c r="H4253" t="s">
        <v>207</v>
      </c>
      <c r="I4253" t="s">
        <v>99</v>
      </c>
    </row>
    <row r="4254" spans="1:9" x14ac:dyDescent="0.3">
      <c r="A4254" t="s">
        <v>33</v>
      </c>
      <c r="B4254" t="s">
        <v>238</v>
      </c>
      <c r="C4254">
        <v>821</v>
      </c>
      <c r="D4254" t="s">
        <v>104</v>
      </c>
      <c r="E4254" t="s">
        <v>483</v>
      </c>
      <c r="F4254" t="s">
        <v>99</v>
      </c>
      <c r="G4254" t="s">
        <v>100</v>
      </c>
      <c r="H4254" t="s">
        <v>198</v>
      </c>
      <c r="I4254" t="s">
        <v>99</v>
      </c>
    </row>
    <row r="4255" spans="1:9" x14ac:dyDescent="0.3">
      <c r="A4255" t="s">
        <v>49</v>
      </c>
      <c r="B4255" t="s">
        <v>236</v>
      </c>
      <c r="C4255">
        <v>7220</v>
      </c>
      <c r="D4255" t="s">
        <v>104</v>
      </c>
      <c r="E4255" t="s">
        <v>782</v>
      </c>
      <c r="F4255" t="s">
        <v>198</v>
      </c>
      <c r="G4255" t="s">
        <v>147</v>
      </c>
      <c r="H4255" t="s">
        <v>108</v>
      </c>
      <c r="I4255" t="s">
        <v>99</v>
      </c>
    </row>
    <row r="4256" spans="1:9" x14ac:dyDescent="0.3">
      <c r="A4256" t="s">
        <v>49</v>
      </c>
      <c r="B4256" t="s">
        <v>238</v>
      </c>
      <c r="C4256">
        <v>6102</v>
      </c>
      <c r="D4256" t="s">
        <v>136</v>
      </c>
      <c r="E4256" t="s">
        <v>413</v>
      </c>
      <c r="F4256" t="s">
        <v>136</v>
      </c>
      <c r="G4256" t="s">
        <v>128</v>
      </c>
      <c r="H4256" t="s">
        <v>319</v>
      </c>
      <c r="I4256" t="s">
        <v>104</v>
      </c>
    </row>
    <row r="4258" spans="1:9" x14ac:dyDescent="0.3">
      <c r="A4258" t="s">
        <v>1541</v>
      </c>
    </row>
    <row r="4259" spans="1:9" x14ac:dyDescent="0.3">
      <c r="A4259" t="s">
        <v>44</v>
      </c>
      <c r="B4259" t="s">
        <v>361</v>
      </c>
      <c r="C4259" t="s">
        <v>32</v>
      </c>
      <c r="D4259" t="s">
        <v>1535</v>
      </c>
      <c r="E4259" t="s">
        <v>1536</v>
      </c>
      <c r="F4259" t="s">
        <v>1538</v>
      </c>
      <c r="G4259" t="s">
        <v>1539</v>
      </c>
      <c r="H4259" t="s">
        <v>1537</v>
      </c>
      <c r="I4259" t="s">
        <v>1353</v>
      </c>
    </row>
    <row r="4260" spans="1:9" x14ac:dyDescent="0.3">
      <c r="A4260" t="s">
        <v>35</v>
      </c>
      <c r="B4260" t="s">
        <v>339</v>
      </c>
      <c r="C4260">
        <v>890</v>
      </c>
      <c r="D4260" t="s">
        <v>99</v>
      </c>
      <c r="E4260" t="s">
        <v>391</v>
      </c>
      <c r="F4260" t="s">
        <v>158</v>
      </c>
      <c r="G4260" t="s">
        <v>114</v>
      </c>
      <c r="H4260" t="s">
        <v>104</v>
      </c>
      <c r="I4260" t="s">
        <v>104</v>
      </c>
    </row>
    <row r="4261" spans="1:9" x14ac:dyDescent="0.3">
      <c r="A4261" t="s">
        <v>35</v>
      </c>
      <c r="B4261" t="s">
        <v>340</v>
      </c>
      <c r="C4261">
        <v>2215</v>
      </c>
      <c r="D4261" t="s">
        <v>99</v>
      </c>
      <c r="E4261" t="s">
        <v>986</v>
      </c>
      <c r="F4261" t="s">
        <v>319</v>
      </c>
      <c r="G4261" t="s">
        <v>141</v>
      </c>
      <c r="H4261" t="s">
        <v>104</v>
      </c>
      <c r="I4261" t="s">
        <v>99</v>
      </c>
    </row>
    <row r="4262" spans="1:9" x14ac:dyDescent="0.3">
      <c r="A4262" t="s">
        <v>35</v>
      </c>
      <c r="B4262" t="s">
        <v>365</v>
      </c>
      <c r="C4262">
        <v>40</v>
      </c>
      <c r="D4262" t="s">
        <v>99</v>
      </c>
      <c r="E4262" t="s">
        <v>766</v>
      </c>
      <c r="F4262" t="s">
        <v>151</v>
      </c>
      <c r="G4262" t="s">
        <v>99</v>
      </c>
      <c r="H4262" t="s">
        <v>99</v>
      </c>
      <c r="I4262" t="s">
        <v>99</v>
      </c>
    </row>
    <row r="4263" spans="1:9" x14ac:dyDescent="0.3">
      <c r="A4263" t="s">
        <v>37</v>
      </c>
      <c r="B4263" t="s">
        <v>339</v>
      </c>
      <c r="C4263">
        <v>1093</v>
      </c>
      <c r="D4263" t="s">
        <v>198</v>
      </c>
      <c r="E4263" t="s">
        <v>386</v>
      </c>
      <c r="F4263" t="s">
        <v>127</v>
      </c>
      <c r="G4263" t="s">
        <v>207</v>
      </c>
      <c r="H4263" t="s">
        <v>99</v>
      </c>
      <c r="I4263" t="s">
        <v>99</v>
      </c>
    </row>
    <row r="4264" spans="1:9" x14ac:dyDescent="0.3">
      <c r="A4264" t="s">
        <v>37</v>
      </c>
      <c r="B4264" t="s">
        <v>340</v>
      </c>
      <c r="C4264">
        <v>2721</v>
      </c>
      <c r="D4264" t="s">
        <v>99</v>
      </c>
      <c r="E4264" t="s">
        <v>993</v>
      </c>
      <c r="F4264" t="s">
        <v>101</v>
      </c>
      <c r="G4264" t="s">
        <v>198</v>
      </c>
      <c r="H4264" t="s">
        <v>104</v>
      </c>
      <c r="I4264" t="s">
        <v>99</v>
      </c>
    </row>
    <row r="4265" spans="1:9" x14ac:dyDescent="0.3">
      <c r="A4265" t="s">
        <v>37</v>
      </c>
      <c r="B4265" t="s">
        <v>365</v>
      </c>
      <c r="C4265">
        <v>41</v>
      </c>
      <c r="D4265" t="s">
        <v>99</v>
      </c>
      <c r="E4265" t="s">
        <v>211</v>
      </c>
      <c r="F4265" t="s">
        <v>99</v>
      </c>
      <c r="G4265" t="s">
        <v>99</v>
      </c>
      <c r="H4265" t="s">
        <v>99</v>
      </c>
      <c r="I4265" t="s">
        <v>99</v>
      </c>
    </row>
    <row r="4266" spans="1:9" x14ac:dyDescent="0.3">
      <c r="A4266" t="s">
        <v>36</v>
      </c>
      <c r="B4266" t="s">
        <v>339</v>
      </c>
      <c r="C4266">
        <v>770</v>
      </c>
      <c r="D4266" t="s">
        <v>99</v>
      </c>
      <c r="E4266" t="s">
        <v>400</v>
      </c>
      <c r="F4266" t="s">
        <v>468</v>
      </c>
      <c r="G4266" t="s">
        <v>268</v>
      </c>
      <c r="H4266" t="s">
        <v>207</v>
      </c>
      <c r="I4266" t="s">
        <v>198</v>
      </c>
    </row>
    <row r="4267" spans="1:9" x14ac:dyDescent="0.3">
      <c r="A4267" t="s">
        <v>36</v>
      </c>
      <c r="B4267" t="s">
        <v>340</v>
      </c>
      <c r="C4267">
        <v>1472</v>
      </c>
      <c r="D4267" t="s">
        <v>99</v>
      </c>
      <c r="E4267" t="s">
        <v>415</v>
      </c>
      <c r="F4267" t="s">
        <v>134</v>
      </c>
      <c r="G4267" t="s">
        <v>382</v>
      </c>
      <c r="H4267" t="s">
        <v>115</v>
      </c>
      <c r="I4267" t="s">
        <v>99</v>
      </c>
    </row>
    <row r="4268" spans="1:9" x14ac:dyDescent="0.3">
      <c r="A4268" t="s">
        <v>36</v>
      </c>
      <c r="B4268" t="s">
        <v>365</v>
      </c>
      <c r="C4268">
        <v>63</v>
      </c>
      <c r="D4268" t="s">
        <v>99</v>
      </c>
      <c r="E4268" t="s">
        <v>857</v>
      </c>
      <c r="F4268" t="s">
        <v>149</v>
      </c>
      <c r="G4268" t="s">
        <v>118</v>
      </c>
      <c r="H4268" t="s">
        <v>108</v>
      </c>
      <c r="I4268" t="s">
        <v>99</v>
      </c>
    </row>
    <row r="4269" spans="1:9" x14ac:dyDescent="0.3">
      <c r="A4269" t="s">
        <v>34</v>
      </c>
      <c r="B4269" t="s">
        <v>339</v>
      </c>
      <c r="C4269">
        <v>555</v>
      </c>
      <c r="D4269" t="s">
        <v>114</v>
      </c>
      <c r="E4269" t="s">
        <v>439</v>
      </c>
      <c r="F4269" t="s">
        <v>142</v>
      </c>
      <c r="G4269" t="s">
        <v>468</v>
      </c>
      <c r="H4269" t="s">
        <v>115</v>
      </c>
      <c r="I4269" t="s">
        <v>207</v>
      </c>
    </row>
    <row r="4270" spans="1:9" x14ac:dyDescent="0.3">
      <c r="A4270" t="s">
        <v>34</v>
      </c>
      <c r="B4270" t="s">
        <v>340</v>
      </c>
      <c r="C4270">
        <v>1497</v>
      </c>
      <c r="D4270" t="s">
        <v>101</v>
      </c>
      <c r="E4270" t="s">
        <v>73</v>
      </c>
      <c r="F4270" t="s">
        <v>155</v>
      </c>
      <c r="G4270" t="s">
        <v>107</v>
      </c>
      <c r="H4270" t="s">
        <v>108</v>
      </c>
      <c r="I4270" t="s">
        <v>104</v>
      </c>
    </row>
    <row r="4271" spans="1:9" x14ac:dyDescent="0.3">
      <c r="A4271" t="s">
        <v>34</v>
      </c>
      <c r="B4271" t="s">
        <v>365</v>
      </c>
      <c r="C4271">
        <v>28</v>
      </c>
      <c r="D4271" t="s">
        <v>99</v>
      </c>
      <c r="E4271" t="s">
        <v>985</v>
      </c>
      <c r="F4271" t="s">
        <v>204</v>
      </c>
      <c r="G4271" t="s">
        <v>175</v>
      </c>
      <c r="H4271" t="s">
        <v>204</v>
      </c>
      <c r="I4271" t="s">
        <v>99</v>
      </c>
    </row>
    <row r="4272" spans="1:9" x14ac:dyDescent="0.3">
      <c r="A4272" t="s">
        <v>33</v>
      </c>
      <c r="B4272" t="s">
        <v>339</v>
      </c>
      <c r="C4272">
        <v>503</v>
      </c>
      <c r="D4272" t="s">
        <v>198</v>
      </c>
      <c r="E4272" t="s">
        <v>776</v>
      </c>
      <c r="F4272" t="s">
        <v>120</v>
      </c>
      <c r="G4272" t="s">
        <v>136</v>
      </c>
      <c r="H4272" t="s">
        <v>99</v>
      </c>
      <c r="I4272" t="s">
        <v>99</v>
      </c>
    </row>
    <row r="4273" spans="1:9" x14ac:dyDescent="0.3">
      <c r="A4273" t="s">
        <v>33</v>
      </c>
      <c r="B4273" t="s">
        <v>340</v>
      </c>
      <c r="C4273">
        <v>1415</v>
      </c>
      <c r="D4273" t="s">
        <v>104</v>
      </c>
      <c r="E4273" t="s">
        <v>383</v>
      </c>
      <c r="F4273" t="s">
        <v>101</v>
      </c>
      <c r="G4273" t="s">
        <v>198</v>
      </c>
      <c r="H4273" t="s">
        <v>104</v>
      </c>
      <c r="I4273" t="s">
        <v>99</v>
      </c>
    </row>
    <row r="4274" spans="1:9" x14ac:dyDescent="0.3">
      <c r="A4274" t="s">
        <v>33</v>
      </c>
      <c r="B4274" t="s">
        <v>365</v>
      </c>
      <c r="C4274">
        <v>19</v>
      </c>
      <c r="D4274" t="s">
        <v>99</v>
      </c>
      <c r="E4274" t="s">
        <v>211</v>
      </c>
      <c r="F4274" t="s">
        <v>99</v>
      </c>
      <c r="G4274" t="s">
        <v>99</v>
      </c>
      <c r="H4274" t="s">
        <v>99</v>
      </c>
      <c r="I4274" t="s">
        <v>99</v>
      </c>
    </row>
    <row r="4275" spans="1:9" x14ac:dyDescent="0.3">
      <c r="A4275" t="s">
        <v>49</v>
      </c>
      <c r="B4275" t="s">
        <v>339</v>
      </c>
      <c r="C4275">
        <v>3811</v>
      </c>
      <c r="D4275" t="s">
        <v>207</v>
      </c>
      <c r="E4275" t="s">
        <v>185</v>
      </c>
      <c r="F4275" t="s">
        <v>242</v>
      </c>
      <c r="G4275" t="s">
        <v>127</v>
      </c>
      <c r="H4275" t="s">
        <v>198</v>
      </c>
      <c r="I4275" t="s">
        <v>104</v>
      </c>
    </row>
    <row r="4276" spans="1:9" x14ac:dyDescent="0.3">
      <c r="A4276" t="s">
        <v>49</v>
      </c>
      <c r="B4276" t="s">
        <v>340</v>
      </c>
      <c r="C4276">
        <v>9320</v>
      </c>
      <c r="D4276" t="s">
        <v>198</v>
      </c>
      <c r="E4276" t="s">
        <v>336</v>
      </c>
      <c r="F4276" t="s">
        <v>123</v>
      </c>
      <c r="G4276" t="s">
        <v>108</v>
      </c>
      <c r="H4276" t="s">
        <v>207</v>
      </c>
      <c r="I4276" t="s">
        <v>99</v>
      </c>
    </row>
    <row r="4277" spans="1:9" x14ac:dyDescent="0.3">
      <c r="A4277" t="s">
        <v>49</v>
      </c>
      <c r="B4277" t="s">
        <v>365</v>
      </c>
      <c r="C4277">
        <v>191</v>
      </c>
      <c r="D4277" t="s">
        <v>99</v>
      </c>
      <c r="E4277" t="s">
        <v>419</v>
      </c>
      <c r="F4277" t="s">
        <v>316</v>
      </c>
      <c r="G4277" t="s">
        <v>118</v>
      </c>
      <c r="H4277" t="s">
        <v>126</v>
      </c>
      <c r="I4277" t="s">
        <v>99</v>
      </c>
    </row>
    <row r="4279" spans="1:9" x14ac:dyDescent="0.3">
      <c r="A4279" t="s">
        <v>1542</v>
      </c>
    </row>
    <row r="4280" spans="1:9" x14ac:dyDescent="0.3">
      <c r="A4280" t="s">
        <v>44</v>
      </c>
      <c r="B4280" t="s">
        <v>209</v>
      </c>
      <c r="C4280" t="s">
        <v>32</v>
      </c>
      <c r="D4280" t="s">
        <v>1536</v>
      </c>
      <c r="E4280" t="s">
        <v>1538</v>
      </c>
      <c r="F4280" t="s">
        <v>1539</v>
      </c>
      <c r="G4280" t="s">
        <v>1535</v>
      </c>
      <c r="H4280" t="s">
        <v>1537</v>
      </c>
      <c r="I4280" t="s">
        <v>1353</v>
      </c>
    </row>
    <row r="4281" spans="1:9" x14ac:dyDescent="0.3">
      <c r="A4281" t="s">
        <v>35</v>
      </c>
      <c r="B4281" t="s">
        <v>210</v>
      </c>
      <c r="C4281">
        <v>136</v>
      </c>
      <c r="D4281" t="s">
        <v>384</v>
      </c>
      <c r="E4281" t="s">
        <v>151</v>
      </c>
      <c r="F4281" t="s">
        <v>121</v>
      </c>
      <c r="G4281" t="s">
        <v>99</v>
      </c>
      <c r="H4281" t="s">
        <v>99</v>
      </c>
      <c r="I4281" t="s">
        <v>99</v>
      </c>
    </row>
    <row r="4282" spans="1:9" x14ac:dyDescent="0.3">
      <c r="A4282" t="s">
        <v>35</v>
      </c>
      <c r="B4282" t="s">
        <v>212</v>
      </c>
      <c r="C4282">
        <v>2442</v>
      </c>
      <c r="D4282" t="s">
        <v>782</v>
      </c>
      <c r="E4282" t="s">
        <v>157</v>
      </c>
      <c r="F4282" t="s">
        <v>253</v>
      </c>
      <c r="G4282" t="s">
        <v>99</v>
      </c>
      <c r="H4282" t="s">
        <v>104</v>
      </c>
      <c r="I4282" t="s">
        <v>104</v>
      </c>
    </row>
    <row r="4283" spans="1:9" x14ac:dyDescent="0.3">
      <c r="A4283" t="s">
        <v>35</v>
      </c>
      <c r="B4283" t="s">
        <v>216</v>
      </c>
      <c r="C4283">
        <v>567</v>
      </c>
      <c r="D4283" t="s">
        <v>1026</v>
      </c>
      <c r="E4283" t="s">
        <v>100</v>
      </c>
      <c r="F4283" t="s">
        <v>253</v>
      </c>
      <c r="G4283" t="s">
        <v>99</v>
      </c>
      <c r="H4283" t="s">
        <v>104</v>
      </c>
      <c r="I4283" t="s">
        <v>99</v>
      </c>
    </row>
    <row r="4284" spans="1:9" x14ac:dyDescent="0.3">
      <c r="A4284" t="s">
        <v>37</v>
      </c>
      <c r="B4284" t="s">
        <v>210</v>
      </c>
      <c r="C4284">
        <v>138</v>
      </c>
      <c r="D4284" t="s">
        <v>237</v>
      </c>
      <c r="E4284" t="s">
        <v>138</v>
      </c>
      <c r="F4284" t="s">
        <v>132</v>
      </c>
      <c r="G4284" t="s">
        <v>99</v>
      </c>
      <c r="H4284" t="s">
        <v>99</v>
      </c>
      <c r="I4284" t="s">
        <v>99</v>
      </c>
    </row>
    <row r="4285" spans="1:9" x14ac:dyDescent="0.3">
      <c r="A4285" t="s">
        <v>37</v>
      </c>
      <c r="B4285" t="s">
        <v>212</v>
      </c>
      <c r="C4285">
        <v>3606</v>
      </c>
      <c r="D4285" t="s">
        <v>383</v>
      </c>
      <c r="E4285" t="s">
        <v>319</v>
      </c>
      <c r="F4285" t="s">
        <v>198</v>
      </c>
      <c r="G4285" t="s">
        <v>104</v>
      </c>
      <c r="H4285" t="s">
        <v>99</v>
      </c>
      <c r="I4285" t="s">
        <v>99</v>
      </c>
    </row>
    <row r="4286" spans="1:9" x14ac:dyDescent="0.3">
      <c r="A4286" t="s">
        <v>37</v>
      </c>
      <c r="B4286" t="s">
        <v>216</v>
      </c>
      <c r="C4286">
        <v>111</v>
      </c>
      <c r="D4286" t="s">
        <v>982</v>
      </c>
      <c r="E4286" t="s">
        <v>100</v>
      </c>
      <c r="F4286" t="s">
        <v>99</v>
      </c>
      <c r="G4286" t="s">
        <v>99</v>
      </c>
      <c r="H4286" t="s">
        <v>99</v>
      </c>
      <c r="I4286" t="s">
        <v>99</v>
      </c>
    </row>
    <row r="4287" spans="1:9" x14ac:dyDescent="0.3">
      <c r="A4287" t="s">
        <v>36</v>
      </c>
      <c r="B4287" t="s">
        <v>210</v>
      </c>
      <c r="C4287">
        <v>165</v>
      </c>
      <c r="D4287" t="s">
        <v>417</v>
      </c>
      <c r="E4287" t="s">
        <v>712</v>
      </c>
      <c r="F4287" t="s">
        <v>675</v>
      </c>
      <c r="G4287" t="s">
        <v>99</v>
      </c>
      <c r="H4287" t="s">
        <v>115</v>
      </c>
      <c r="I4287" t="s">
        <v>99</v>
      </c>
    </row>
    <row r="4288" spans="1:9" x14ac:dyDescent="0.3">
      <c r="A4288" t="s">
        <v>36</v>
      </c>
      <c r="B4288" t="s">
        <v>212</v>
      </c>
      <c r="C4288">
        <v>1875</v>
      </c>
      <c r="D4288" t="s">
        <v>778</v>
      </c>
      <c r="E4288" t="s">
        <v>154</v>
      </c>
      <c r="F4288" t="s">
        <v>114</v>
      </c>
      <c r="G4288" t="s">
        <v>99</v>
      </c>
      <c r="H4288" t="s">
        <v>141</v>
      </c>
      <c r="I4288" t="s">
        <v>99</v>
      </c>
    </row>
    <row r="4289" spans="1:9" x14ac:dyDescent="0.3">
      <c r="A4289" t="s">
        <v>36</v>
      </c>
      <c r="B4289" t="s">
        <v>216</v>
      </c>
      <c r="C4289">
        <v>265</v>
      </c>
      <c r="D4289" t="s">
        <v>356</v>
      </c>
      <c r="E4289" t="s">
        <v>182</v>
      </c>
      <c r="F4289" t="s">
        <v>105</v>
      </c>
      <c r="G4289" t="s">
        <v>99</v>
      </c>
      <c r="H4289" t="s">
        <v>132</v>
      </c>
      <c r="I4289" t="s">
        <v>115</v>
      </c>
    </row>
    <row r="4290" spans="1:9" x14ac:dyDescent="0.3">
      <c r="A4290" t="s">
        <v>34</v>
      </c>
      <c r="B4290" t="s">
        <v>210</v>
      </c>
      <c r="C4290">
        <v>256</v>
      </c>
      <c r="D4290" t="s">
        <v>460</v>
      </c>
      <c r="E4290" t="s">
        <v>248</v>
      </c>
      <c r="F4290" t="s">
        <v>124</v>
      </c>
      <c r="G4290" t="s">
        <v>100</v>
      </c>
      <c r="H4290" t="s">
        <v>121</v>
      </c>
      <c r="I4290" t="s">
        <v>104</v>
      </c>
    </row>
    <row r="4291" spans="1:9" x14ac:dyDescent="0.3">
      <c r="A4291" t="s">
        <v>34</v>
      </c>
      <c r="B4291" t="s">
        <v>212</v>
      </c>
      <c r="C4291">
        <v>1582</v>
      </c>
      <c r="D4291" t="s">
        <v>252</v>
      </c>
      <c r="E4291" t="s">
        <v>712</v>
      </c>
      <c r="F4291" t="s">
        <v>268</v>
      </c>
      <c r="G4291" t="s">
        <v>108</v>
      </c>
      <c r="H4291" t="s">
        <v>141</v>
      </c>
      <c r="I4291" t="s">
        <v>104</v>
      </c>
    </row>
    <row r="4292" spans="1:9" x14ac:dyDescent="0.3">
      <c r="A4292" t="s">
        <v>34</v>
      </c>
      <c r="B4292" t="s">
        <v>216</v>
      </c>
      <c r="C4292">
        <v>242</v>
      </c>
      <c r="D4292" t="s">
        <v>530</v>
      </c>
      <c r="E4292" t="s">
        <v>299</v>
      </c>
      <c r="F4292" t="s">
        <v>716</v>
      </c>
      <c r="G4292" t="s">
        <v>316</v>
      </c>
      <c r="H4292" t="s">
        <v>316</v>
      </c>
      <c r="I4292" t="s">
        <v>104</v>
      </c>
    </row>
    <row r="4293" spans="1:9" x14ac:dyDescent="0.3">
      <c r="A4293" t="s">
        <v>33</v>
      </c>
      <c r="B4293" t="s">
        <v>210</v>
      </c>
      <c r="C4293">
        <v>68</v>
      </c>
      <c r="D4293" t="s">
        <v>79</v>
      </c>
      <c r="E4293" t="s">
        <v>144</v>
      </c>
      <c r="F4293" t="s">
        <v>215</v>
      </c>
      <c r="G4293" t="s">
        <v>99</v>
      </c>
      <c r="H4293" t="s">
        <v>99</v>
      </c>
      <c r="I4293" t="s">
        <v>99</v>
      </c>
    </row>
    <row r="4294" spans="1:9" x14ac:dyDescent="0.3">
      <c r="A4294" t="s">
        <v>33</v>
      </c>
      <c r="B4294" t="s">
        <v>212</v>
      </c>
      <c r="C4294">
        <v>1800</v>
      </c>
      <c r="D4294" t="s">
        <v>383</v>
      </c>
      <c r="E4294" t="s">
        <v>101</v>
      </c>
      <c r="F4294" t="s">
        <v>198</v>
      </c>
      <c r="G4294" t="s">
        <v>104</v>
      </c>
      <c r="H4294" t="s">
        <v>104</v>
      </c>
      <c r="I4294" t="s">
        <v>99</v>
      </c>
    </row>
    <row r="4295" spans="1:9" x14ac:dyDescent="0.3">
      <c r="A4295" t="s">
        <v>33</v>
      </c>
      <c r="B4295" t="s">
        <v>216</v>
      </c>
      <c r="C4295">
        <v>69</v>
      </c>
      <c r="D4295" t="s">
        <v>324</v>
      </c>
      <c r="E4295" t="s">
        <v>679</v>
      </c>
      <c r="F4295" t="s">
        <v>99</v>
      </c>
      <c r="G4295" t="s">
        <v>99</v>
      </c>
      <c r="H4295" t="s">
        <v>99</v>
      </c>
      <c r="I4295" t="s">
        <v>99</v>
      </c>
    </row>
    <row r="4296" spans="1:9" x14ac:dyDescent="0.3">
      <c r="A4296" t="s">
        <v>49</v>
      </c>
      <c r="B4296" t="s">
        <v>210</v>
      </c>
      <c r="C4296">
        <v>763</v>
      </c>
      <c r="D4296" t="s">
        <v>250</v>
      </c>
      <c r="E4296" t="s">
        <v>684</v>
      </c>
      <c r="F4296" t="s">
        <v>154</v>
      </c>
      <c r="G4296" t="s">
        <v>136</v>
      </c>
      <c r="H4296" t="s">
        <v>253</v>
      </c>
      <c r="I4296" t="s">
        <v>104</v>
      </c>
    </row>
    <row r="4297" spans="1:9" x14ac:dyDescent="0.3">
      <c r="A4297" t="s">
        <v>49</v>
      </c>
      <c r="B4297" t="s">
        <v>212</v>
      </c>
      <c r="C4297">
        <v>11305</v>
      </c>
      <c r="D4297" t="s">
        <v>759</v>
      </c>
      <c r="E4297" t="s">
        <v>103</v>
      </c>
      <c r="F4297" t="s">
        <v>115</v>
      </c>
      <c r="G4297" t="s">
        <v>198</v>
      </c>
      <c r="H4297" t="s">
        <v>198</v>
      </c>
      <c r="I4297" t="s">
        <v>99</v>
      </c>
    </row>
    <row r="4298" spans="1:9" x14ac:dyDescent="0.3">
      <c r="A4298" t="s">
        <v>49</v>
      </c>
      <c r="B4298" t="s">
        <v>216</v>
      </c>
      <c r="C4298">
        <v>1254</v>
      </c>
      <c r="D4298" t="s">
        <v>247</v>
      </c>
      <c r="E4298" t="s">
        <v>154</v>
      </c>
      <c r="F4298" t="s">
        <v>147</v>
      </c>
      <c r="G4298" t="s">
        <v>253</v>
      </c>
      <c r="H4298" t="s">
        <v>115</v>
      </c>
      <c r="I4298" t="s">
        <v>104</v>
      </c>
    </row>
    <row r="4300" spans="1:9" x14ac:dyDescent="0.3">
      <c r="A4300" t="s">
        <v>1543</v>
      </c>
    </row>
    <row r="4301" spans="1:9" x14ac:dyDescent="0.3">
      <c r="A4301" t="s">
        <v>44</v>
      </c>
      <c r="B4301" t="s">
        <v>879</v>
      </c>
      <c r="C4301" t="s">
        <v>32</v>
      </c>
      <c r="D4301" t="s">
        <v>1536</v>
      </c>
      <c r="E4301" t="s">
        <v>1538</v>
      </c>
      <c r="F4301" t="s">
        <v>1535</v>
      </c>
      <c r="G4301" t="s">
        <v>1537</v>
      </c>
      <c r="H4301" t="s">
        <v>1539</v>
      </c>
      <c r="I4301" t="s">
        <v>1353</v>
      </c>
    </row>
    <row r="4302" spans="1:9" x14ac:dyDescent="0.3">
      <c r="A4302" t="s">
        <v>35</v>
      </c>
      <c r="B4302" t="s">
        <v>880</v>
      </c>
      <c r="C4302">
        <v>596</v>
      </c>
      <c r="D4302" t="s">
        <v>386</v>
      </c>
      <c r="E4302" t="s">
        <v>123</v>
      </c>
      <c r="F4302" t="s">
        <v>99</v>
      </c>
      <c r="G4302" t="s">
        <v>104</v>
      </c>
      <c r="H4302" t="s">
        <v>207</v>
      </c>
      <c r="I4302" t="s">
        <v>99</v>
      </c>
    </row>
    <row r="4303" spans="1:9" x14ac:dyDescent="0.3">
      <c r="A4303" t="s">
        <v>35</v>
      </c>
      <c r="B4303" t="s">
        <v>881</v>
      </c>
      <c r="C4303">
        <v>1162</v>
      </c>
      <c r="D4303" t="s">
        <v>331</v>
      </c>
      <c r="E4303" t="s">
        <v>105</v>
      </c>
      <c r="F4303" t="s">
        <v>99</v>
      </c>
      <c r="G4303" t="s">
        <v>104</v>
      </c>
      <c r="H4303" t="s">
        <v>121</v>
      </c>
      <c r="I4303" t="s">
        <v>99</v>
      </c>
    </row>
    <row r="4304" spans="1:9" x14ac:dyDescent="0.3">
      <c r="A4304" t="s">
        <v>35</v>
      </c>
      <c r="B4304" t="s">
        <v>882</v>
      </c>
      <c r="C4304">
        <v>1387</v>
      </c>
      <c r="D4304" t="s">
        <v>404</v>
      </c>
      <c r="E4304" t="s">
        <v>117</v>
      </c>
      <c r="F4304" t="s">
        <v>99</v>
      </c>
      <c r="G4304" t="s">
        <v>104</v>
      </c>
      <c r="H4304" t="s">
        <v>141</v>
      </c>
      <c r="I4304" t="s">
        <v>104</v>
      </c>
    </row>
    <row r="4305" spans="1:9" x14ac:dyDescent="0.3">
      <c r="A4305" t="s">
        <v>37</v>
      </c>
      <c r="B4305" t="s">
        <v>880</v>
      </c>
      <c r="C4305">
        <v>671</v>
      </c>
      <c r="D4305" t="s">
        <v>476</v>
      </c>
      <c r="E4305" t="s">
        <v>111</v>
      </c>
      <c r="F4305" t="s">
        <v>99</v>
      </c>
      <c r="G4305" t="s">
        <v>104</v>
      </c>
      <c r="H4305" t="s">
        <v>99</v>
      </c>
      <c r="I4305" t="s">
        <v>99</v>
      </c>
    </row>
    <row r="4306" spans="1:9" x14ac:dyDescent="0.3">
      <c r="A4306" t="s">
        <v>37</v>
      </c>
      <c r="B4306" t="s">
        <v>881</v>
      </c>
      <c r="C4306">
        <v>1371</v>
      </c>
      <c r="D4306" t="s">
        <v>476</v>
      </c>
      <c r="E4306" t="s">
        <v>123</v>
      </c>
      <c r="F4306" t="s">
        <v>104</v>
      </c>
      <c r="G4306" t="s">
        <v>99</v>
      </c>
      <c r="H4306" t="s">
        <v>136</v>
      </c>
      <c r="I4306" t="s">
        <v>99</v>
      </c>
    </row>
    <row r="4307" spans="1:9" x14ac:dyDescent="0.3">
      <c r="A4307" t="s">
        <v>37</v>
      </c>
      <c r="B4307" t="s">
        <v>882</v>
      </c>
      <c r="C4307">
        <v>1813</v>
      </c>
      <c r="D4307" t="s">
        <v>225</v>
      </c>
      <c r="E4307" t="s">
        <v>132</v>
      </c>
      <c r="F4307" t="s">
        <v>99</v>
      </c>
      <c r="G4307" t="s">
        <v>99</v>
      </c>
      <c r="H4307" t="s">
        <v>198</v>
      </c>
      <c r="I4307" t="s">
        <v>99</v>
      </c>
    </row>
    <row r="4308" spans="1:9" x14ac:dyDescent="0.3">
      <c r="A4308" t="s">
        <v>36</v>
      </c>
      <c r="B4308" t="s">
        <v>880</v>
      </c>
      <c r="C4308">
        <v>382</v>
      </c>
      <c r="D4308" t="s">
        <v>162</v>
      </c>
      <c r="E4308" t="s">
        <v>103</v>
      </c>
      <c r="F4308" t="s">
        <v>99</v>
      </c>
      <c r="G4308" t="s">
        <v>136</v>
      </c>
      <c r="H4308" t="s">
        <v>138</v>
      </c>
      <c r="I4308" t="s">
        <v>99</v>
      </c>
    </row>
    <row r="4309" spans="1:9" x14ac:dyDescent="0.3">
      <c r="A4309" t="s">
        <v>36</v>
      </c>
      <c r="B4309" t="s">
        <v>881</v>
      </c>
      <c r="C4309">
        <v>866</v>
      </c>
      <c r="D4309" t="s">
        <v>185</v>
      </c>
      <c r="E4309" t="s">
        <v>98</v>
      </c>
      <c r="F4309" t="s">
        <v>99</v>
      </c>
      <c r="G4309" t="s">
        <v>136</v>
      </c>
      <c r="H4309" t="s">
        <v>101</v>
      </c>
      <c r="I4309" t="s">
        <v>207</v>
      </c>
    </row>
    <row r="4310" spans="1:9" x14ac:dyDescent="0.3">
      <c r="A4310" t="s">
        <v>36</v>
      </c>
      <c r="B4310" t="s">
        <v>882</v>
      </c>
      <c r="C4310">
        <v>1057</v>
      </c>
      <c r="D4310" t="s">
        <v>978</v>
      </c>
      <c r="E4310" t="s">
        <v>112</v>
      </c>
      <c r="F4310" t="s">
        <v>99</v>
      </c>
      <c r="G4310" t="s">
        <v>132</v>
      </c>
      <c r="H4310" t="s">
        <v>382</v>
      </c>
      <c r="I4310" t="s">
        <v>99</v>
      </c>
    </row>
    <row r="4311" spans="1:9" x14ac:dyDescent="0.3">
      <c r="A4311" t="s">
        <v>34</v>
      </c>
      <c r="B4311" t="s">
        <v>880</v>
      </c>
      <c r="C4311">
        <v>351</v>
      </c>
      <c r="D4311" t="s">
        <v>400</v>
      </c>
      <c r="E4311" t="s">
        <v>149</v>
      </c>
      <c r="F4311" t="s">
        <v>114</v>
      </c>
      <c r="G4311" t="s">
        <v>104</v>
      </c>
      <c r="H4311" t="s">
        <v>268</v>
      </c>
      <c r="I4311" t="s">
        <v>141</v>
      </c>
    </row>
    <row r="4312" spans="1:9" x14ac:dyDescent="0.3">
      <c r="A4312" t="s">
        <v>34</v>
      </c>
      <c r="B4312" t="s">
        <v>881</v>
      </c>
      <c r="C4312">
        <v>861</v>
      </c>
      <c r="D4312" t="s">
        <v>447</v>
      </c>
      <c r="E4312" t="s">
        <v>675</v>
      </c>
      <c r="F4312" t="s">
        <v>132</v>
      </c>
      <c r="G4312" t="s">
        <v>115</v>
      </c>
      <c r="H4312" t="s">
        <v>110</v>
      </c>
      <c r="I4312" t="s">
        <v>104</v>
      </c>
    </row>
    <row r="4313" spans="1:9" x14ac:dyDescent="0.3">
      <c r="A4313" t="s">
        <v>34</v>
      </c>
      <c r="B4313" t="s">
        <v>882</v>
      </c>
      <c r="C4313">
        <v>868</v>
      </c>
      <c r="D4313" t="s">
        <v>286</v>
      </c>
      <c r="E4313" t="s">
        <v>242</v>
      </c>
      <c r="F4313" t="s">
        <v>126</v>
      </c>
      <c r="G4313" t="s">
        <v>319</v>
      </c>
      <c r="H4313" t="s">
        <v>242</v>
      </c>
      <c r="I4313" t="s">
        <v>99</v>
      </c>
    </row>
    <row r="4314" spans="1:9" x14ac:dyDescent="0.3">
      <c r="A4314" t="s">
        <v>33</v>
      </c>
      <c r="B4314" t="s">
        <v>880</v>
      </c>
      <c r="C4314">
        <v>426</v>
      </c>
      <c r="D4314" t="s">
        <v>982</v>
      </c>
      <c r="E4314" t="s">
        <v>100</v>
      </c>
      <c r="F4314" t="s">
        <v>99</v>
      </c>
      <c r="G4314" t="s">
        <v>99</v>
      </c>
      <c r="H4314" t="s">
        <v>99</v>
      </c>
      <c r="I4314" t="s">
        <v>99</v>
      </c>
    </row>
    <row r="4315" spans="1:9" x14ac:dyDescent="0.3">
      <c r="A4315" t="s">
        <v>33</v>
      </c>
      <c r="B4315" t="s">
        <v>881</v>
      </c>
      <c r="C4315">
        <v>682</v>
      </c>
      <c r="D4315" t="s">
        <v>202</v>
      </c>
      <c r="E4315" t="s">
        <v>215</v>
      </c>
      <c r="F4315" t="s">
        <v>207</v>
      </c>
      <c r="G4315" t="s">
        <v>104</v>
      </c>
      <c r="H4315" t="s">
        <v>104</v>
      </c>
      <c r="I4315" t="s">
        <v>99</v>
      </c>
    </row>
    <row r="4316" spans="1:9" x14ac:dyDescent="0.3">
      <c r="A4316" t="s">
        <v>33</v>
      </c>
      <c r="B4316" t="s">
        <v>882</v>
      </c>
      <c r="C4316">
        <v>829</v>
      </c>
      <c r="D4316" t="s">
        <v>249</v>
      </c>
      <c r="E4316" t="s">
        <v>292</v>
      </c>
      <c r="F4316" t="s">
        <v>99</v>
      </c>
      <c r="G4316" t="s">
        <v>99</v>
      </c>
      <c r="H4316" t="s">
        <v>141</v>
      </c>
      <c r="I4316" t="s">
        <v>99</v>
      </c>
    </row>
    <row r="4317" spans="1:9" x14ac:dyDescent="0.3">
      <c r="A4317" t="s">
        <v>49</v>
      </c>
      <c r="B4317" t="s">
        <v>880</v>
      </c>
      <c r="C4317">
        <v>2426</v>
      </c>
      <c r="D4317" t="s">
        <v>265</v>
      </c>
      <c r="E4317" t="s">
        <v>268</v>
      </c>
      <c r="F4317" t="s">
        <v>198</v>
      </c>
      <c r="G4317" t="s">
        <v>104</v>
      </c>
      <c r="H4317" t="s">
        <v>132</v>
      </c>
      <c r="I4317" t="s">
        <v>104</v>
      </c>
    </row>
    <row r="4318" spans="1:9" x14ac:dyDescent="0.3">
      <c r="A4318" t="s">
        <v>49</v>
      </c>
      <c r="B4318" t="s">
        <v>881</v>
      </c>
      <c r="C4318">
        <v>4942</v>
      </c>
      <c r="D4318" t="s">
        <v>335</v>
      </c>
      <c r="E4318" t="s">
        <v>155</v>
      </c>
      <c r="F4318" t="s">
        <v>207</v>
      </c>
      <c r="G4318" t="s">
        <v>198</v>
      </c>
      <c r="H4318" t="s">
        <v>101</v>
      </c>
      <c r="I4318" t="s">
        <v>99</v>
      </c>
    </row>
    <row r="4319" spans="1:9" x14ac:dyDescent="0.3">
      <c r="A4319" t="s">
        <v>49</v>
      </c>
      <c r="B4319" t="s">
        <v>882</v>
      </c>
      <c r="C4319">
        <v>5954</v>
      </c>
      <c r="D4319" t="s">
        <v>331</v>
      </c>
      <c r="E4319" t="s">
        <v>103</v>
      </c>
      <c r="F4319" t="s">
        <v>207</v>
      </c>
      <c r="G4319" t="s">
        <v>136</v>
      </c>
      <c r="H4319" t="s">
        <v>101</v>
      </c>
      <c r="I4319" t="s">
        <v>99</v>
      </c>
    </row>
    <row r="4321" spans="1:9" x14ac:dyDescent="0.3">
      <c r="A4321" t="s">
        <v>1544</v>
      </c>
    </row>
    <row r="4322" spans="1:9" x14ac:dyDescent="0.3">
      <c r="A4322" t="s">
        <v>44</v>
      </c>
      <c r="B4322" t="s">
        <v>32</v>
      </c>
      <c r="C4322" t="s">
        <v>1545</v>
      </c>
      <c r="D4322" t="s">
        <v>1546</v>
      </c>
      <c r="E4322" t="s">
        <v>1547</v>
      </c>
      <c r="F4322" t="s">
        <v>1548</v>
      </c>
      <c r="G4322" t="s">
        <v>1303</v>
      </c>
      <c r="H4322" t="s">
        <v>1549</v>
      </c>
    </row>
    <row r="4323" spans="1:9" x14ac:dyDescent="0.3">
      <c r="A4323" t="s">
        <v>35</v>
      </c>
      <c r="B4323">
        <v>3145</v>
      </c>
      <c r="C4323" t="s">
        <v>385</v>
      </c>
      <c r="D4323" t="s">
        <v>1026</v>
      </c>
      <c r="E4323" t="s">
        <v>776</v>
      </c>
      <c r="F4323" t="s">
        <v>759</v>
      </c>
      <c r="G4323" t="s">
        <v>141</v>
      </c>
      <c r="H4323" t="s">
        <v>99</v>
      </c>
    </row>
    <row r="4324" spans="1:9" x14ac:dyDescent="0.3">
      <c r="A4324" t="s">
        <v>37</v>
      </c>
      <c r="B4324">
        <v>3855</v>
      </c>
      <c r="C4324" t="s">
        <v>383</v>
      </c>
      <c r="D4324" t="s">
        <v>993</v>
      </c>
      <c r="E4324" t="s">
        <v>476</v>
      </c>
      <c r="F4324" t="s">
        <v>398</v>
      </c>
      <c r="G4324" t="s">
        <v>114</v>
      </c>
      <c r="H4324" t="s">
        <v>104</v>
      </c>
    </row>
    <row r="4325" spans="1:9" x14ac:dyDescent="0.3">
      <c r="A4325" t="s">
        <v>36</v>
      </c>
      <c r="B4325">
        <v>2305</v>
      </c>
      <c r="C4325" t="s">
        <v>386</v>
      </c>
      <c r="D4325" t="s">
        <v>986</v>
      </c>
      <c r="E4325" t="s">
        <v>466</v>
      </c>
      <c r="F4325" t="s">
        <v>398</v>
      </c>
      <c r="G4325" t="s">
        <v>253</v>
      </c>
      <c r="H4325" t="s">
        <v>198</v>
      </c>
    </row>
    <row r="4326" spans="1:9" x14ac:dyDescent="0.3">
      <c r="A4326" t="s">
        <v>34</v>
      </c>
      <c r="B4326">
        <v>2080</v>
      </c>
      <c r="C4326" t="s">
        <v>398</v>
      </c>
      <c r="D4326" t="s">
        <v>782</v>
      </c>
      <c r="E4326" t="s">
        <v>75</v>
      </c>
      <c r="F4326" t="s">
        <v>415</v>
      </c>
      <c r="G4326" t="s">
        <v>132</v>
      </c>
      <c r="H4326" t="s">
        <v>253</v>
      </c>
    </row>
    <row r="4327" spans="1:9" x14ac:dyDescent="0.3">
      <c r="A4327" t="s">
        <v>33</v>
      </c>
      <c r="B4327">
        <v>1937</v>
      </c>
      <c r="C4327" t="s">
        <v>786</v>
      </c>
      <c r="D4327" t="s">
        <v>786</v>
      </c>
      <c r="E4327" t="s">
        <v>758</v>
      </c>
      <c r="F4327" t="s">
        <v>326</v>
      </c>
      <c r="G4327" t="s">
        <v>712</v>
      </c>
      <c r="H4327" t="s">
        <v>99</v>
      </c>
    </row>
    <row r="4328" spans="1:9" x14ac:dyDescent="0.3">
      <c r="A4328" t="s">
        <v>49</v>
      </c>
      <c r="B4328">
        <v>13322</v>
      </c>
      <c r="C4328" t="s">
        <v>386</v>
      </c>
      <c r="D4328" t="s">
        <v>249</v>
      </c>
      <c r="E4328" t="s">
        <v>768</v>
      </c>
      <c r="F4328" t="s">
        <v>1017</v>
      </c>
      <c r="G4328" t="s">
        <v>101</v>
      </c>
      <c r="H4328" t="s">
        <v>104</v>
      </c>
    </row>
    <row r="4330" spans="1:9" x14ac:dyDescent="0.3">
      <c r="A4330" t="s">
        <v>1550</v>
      </c>
    </row>
    <row r="4331" spans="1:9" x14ac:dyDescent="0.3">
      <c r="A4331" t="s">
        <v>44</v>
      </c>
      <c r="B4331" t="s">
        <v>388</v>
      </c>
      <c r="C4331" t="s">
        <v>32</v>
      </c>
      <c r="D4331" t="s">
        <v>1545</v>
      </c>
      <c r="E4331" t="s">
        <v>1546</v>
      </c>
      <c r="F4331" t="s">
        <v>1547</v>
      </c>
      <c r="G4331" t="s">
        <v>1548</v>
      </c>
      <c r="H4331" t="s">
        <v>1303</v>
      </c>
      <c r="I4331" t="s">
        <v>1549</v>
      </c>
    </row>
    <row r="4332" spans="1:9" x14ac:dyDescent="0.3">
      <c r="A4332" t="s">
        <v>35</v>
      </c>
      <c r="B4332" t="s">
        <v>389</v>
      </c>
      <c r="C4332">
        <v>2141</v>
      </c>
      <c r="D4332" t="s">
        <v>385</v>
      </c>
      <c r="E4332" t="s">
        <v>225</v>
      </c>
      <c r="F4332" t="s">
        <v>476</v>
      </c>
      <c r="G4332" t="s">
        <v>398</v>
      </c>
      <c r="H4332" t="s">
        <v>136</v>
      </c>
      <c r="I4332" t="s">
        <v>99</v>
      </c>
    </row>
    <row r="4333" spans="1:9" x14ac:dyDescent="0.3">
      <c r="A4333" t="s">
        <v>35</v>
      </c>
      <c r="B4333" t="s">
        <v>390</v>
      </c>
      <c r="C4333">
        <v>875</v>
      </c>
      <c r="D4333" t="s">
        <v>385</v>
      </c>
      <c r="E4333" t="s">
        <v>433</v>
      </c>
      <c r="F4333" t="s">
        <v>391</v>
      </c>
      <c r="G4333" t="s">
        <v>327</v>
      </c>
      <c r="H4333" t="s">
        <v>115</v>
      </c>
      <c r="I4333" t="s">
        <v>99</v>
      </c>
    </row>
    <row r="4334" spans="1:9" x14ac:dyDescent="0.3">
      <c r="A4334" t="s">
        <v>35</v>
      </c>
      <c r="B4334" t="s">
        <v>365</v>
      </c>
      <c r="C4334">
        <v>129</v>
      </c>
      <c r="D4334" t="s">
        <v>996</v>
      </c>
      <c r="E4334" t="s">
        <v>996</v>
      </c>
      <c r="F4334" t="s">
        <v>996</v>
      </c>
      <c r="G4334" t="s">
        <v>996</v>
      </c>
      <c r="H4334" t="s">
        <v>115</v>
      </c>
      <c r="I4334" t="s">
        <v>99</v>
      </c>
    </row>
    <row r="4335" spans="1:9" x14ac:dyDescent="0.3">
      <c r="A4335" t="s">
        <v>37</v>
      </c>
      <c r="B4335" t="s">
        <v>389</v>
      </c>
      <c r="C4335">
        <v>2305</v>
      </c>
      <c r="D4335" t="s">
        <v>438</v>
      </c>
      <c r="E4335" t="s">
        <v>383</v>
      </c>
      <c r="F4335" t="s">
        <v>202</v>
      </c>
      <c r="G4335" t="s">
        <v>249</v>
      </c>
      <c r="H4335" t="s">
        <v>121</v>
      </c>
      <c r="I4335" t="s">
        <v>99</v>
      </c>
    </row>
    <row r="4336" spans="1:9" x14ac:dyDescent="0.3">
      <c r="A4336" t="s">
        <v>37</v>
      </c>
      <c r="B4336" t="s">
        <v>390</v>
      </c>
      <c r="C4336">
        <v>1309</v>
      </c>
      <c r="D4336" t="s">
        <v>993</v>
      </c>
      <c r="E4336" t="s">
        <v>993</v>
      </c>
      <c r="F4336" t="s">
        <v>249</v>
      </c>
      <c r="G4336" t="s">
        <v>384</v>
      </c>
      <c r="H4336" t="s">
        <v>132</v>
      </c>
      <c r="I4336" t="s">
        <v>198</v>
      </c>
    </row>
    <row r="4337" spans="1:9" x14ac:dyDescent="0.3">
      <c r="A4337" t="s">
        <v>37</v>
      </c>
      <c r="B4337" t="s">
        <v>365</v>
      </c>
      <c r="C4337">
        <v>241</v>
      </c>
      <c r="D4337" t="s">
        <v>981</v>
      </c>
      <c r="E4337" t="s">
        <v>980</v>
      </c>
      <c r="F4337" t="s">
        <v>336</v>
      </c>
      <c r="G4337" t="s">
        <v>768</v>
      </c>
      <c r="H4337" t="s">
        <v>207</v>
      </c>
      <c r="I4337" t="s">
        <v>99</v>
      </c>
    </row>
    <row r="4338" spans="1:9" x14ac:dyDescent="0.3">
      <c r="A4338" t="s">
        <v>36</v>
      </c>
      <c r="B4338" t="s">
        <v>389</v>
      </c>
      <c r="C4338">
        <v>1578</v>
      </c>
      <c r="D4338" t="s">
        <v>851</v>
      </c>
      <c r="E4338" t="s">
        <v>386</v>
      </c>
      <c r="F4338" t="s">
        <v>476</v>
      </c>
      <c r="G4338" t="s">
        <v>986</v>
      </c>
      <c r="H4338" t="s">
        <v>136</v>
      </c>
      <c r="I4338" t="s">
        <v>104</v>
      </c>
    </row>
    <row r="4339" spans="1:9" x14ac:dyDescent="0.3">
      <c r="A4339" t="s">
        <v>36</v>
      </c>
      <c r="B4339" t="s">
        <v>390</v>
      </c>
      <c r="C4339">
        <v>627</v>
      </c>
      <c r="D4339" t="s">
        <v>986</v>
      </c>
      <c r="E4339" t="s">
        <v>766</v>
      </c>
      <c r="F4339" t="s">
        <v>433</v>
      </c>
      <c r="G4339" t="s">
        <v>335</v>
      </c>
      <c r="H4339" t="s">
        <v>121</v>
      </c>
      <c r="I4339" t="s">
        <v>207</v>
      </c>
    </row>
    <row r="4340" spans="1:9" x14ac:dyDescent="0.3">
      <c r="A4340" t="s">
        <v>36</v>
      </c>
      <c r="B4340" t="s">
        <v>365</v>
      </c>
      <c r="C4340">
        <v>100</v>
      </c>
      <c r="D4340" t="s">
        <v>511</v>
      </c>
      <c r="E4340" t="s">
        <v>1551</v>
      </c>
      <c r="F4340" t="s">
        <v>999</v>
      </c>
      <c r="G4340" t="s">
        <v>999</v>
      </c>
      <c r="H4340" t="s">
        <v>104</v>
      </c>
      <c r="I4340" t="s">
        <v>99</v>
      </c>
    </row>
    <row r="4341" spans="1:9" x14ac:dyDescent="0.3">
      <c r="A4341" t="s">
        <v>34</v>
      </c>
      <c r="B4341" t="s">
        <v>389</v>
      </c>
      <c r="C4341">
        <v>1385</v>
      </c>
      <c r="D4341" t="s">
        <v>998</v>
      </c>
      <c r="E4341" t="s">
        <v>782</v>
      </c>
      <c r="F4341" t="s">
        <v>467</v>
      </c>
      <c r="G4341" t="s">
        <v>358</v>
      </c>
      <c r="H4341" t="s">
        <v>108</v>
      </c>
      <c r="I4341" t="s">
        <v>115</v>
      </c>
    </row>
    <row r="4342" spans="1:9" x14ac:dyDescent="0.3">
      <c r="A4342" t="s">
        <v>34</v>
      </c>
      <c r="B4342" t="s">
        <v>390</v>
      </c>
      <c r="C4342">
        <v>615</v>
      </c>
      <c r="D4342" t="s">
        <v>851</v>
      </c>
      <c r="E4342" t="s">
        <v>768</v>
      </c>
      <c r="F4342" t="s">
        <v>329</v>
      </c>
      <c r="G4342" t="s">
        <v>327</v>
      </c>
      <c r="H4342" t="s">
        <v>108</v>
      </c>
      <c r="I4342" t="s">
        <v>141</v>
      </c>
    </row>
    <row r="4343" spans="1:9" x14ac:dyDescent="0.3">
      <c r="A4343" t="s">
        <v>34</v>
      </c>
      <c r="B4343" t="s">
        <v>365</v>
      </c>
      <c r="C4343">
        <v>80</v>
      </c>
      <c r="D4343" t="s">
        <v>1438</v>
      </c>
      <c r="E4343" t="s">
        <v>367</v>
      </c>
      <c r="F4343" t="s">
        <v>252</v>
      </c>
      <c r="G4343" t="s">
        <v>392</v>
      </c>
      <c r="H4343" t="s">
        <v>99</v>
      </c>
      <c r="I4343" t="s">
        <v>99</v>
      </c>
    </row>
    <row r="4344" spans="1:9" x14ac:dyDescent="0.3">
      <c r="A4344" t="s">
        <v>33</v>
      </c>
      <c r="B4344" t="s">
        <v>389</v>
      </c>
      <c r="C4344">
        <v>1090</v>
      </c>
      <c r="D4344" t="s">
        <v>786</v>
      </c>
      <c r="E4344" t="s">
        <v>375</v>
      </c>
      <c r="F4344" t="s">
        <v>358</v>
      </c>
      <c r="G4344" t="s">
        <v>978</v>
      </c>
      <c r="H4344" t="s">
        <v>112</v>
      </c>
      <c r="I4344" t="s">
        <v>99</v>
      </c>
    </row>
    <row r="4345" spans="1:9" x14ac:dyDescent="0.3">
      <c r="A4345" t="s">
        <v>33</v>
      </c>
      <c r="B4345" t="s">
        <v>390</v>
      </c>
      <c r="C4345">
        <v>708</v>
      </c>
      <c r="D4345" t="s">
        <v>69</v>
      </c>
      <c r="E4345" t="s">
        <v>331</v>
      </c>
      <c r="F4345" t="s">
        <v>505</v>
      </c>
      <c r="G4345" t="s">
        <v>326</v>
      </c>
      <c r="H4345" t="s">
        <v>110</v>
      </c>
      <c r="I4345" t="s">
        <v>99</v>
      </c>
    </row>
    <row r="4346" spans="1:9" x14ac:dyDescent="0.3">
      <c r="A4346" t="s">
        <v>33</v>
      </c>
      <c r="B4346" t="s">
        <v>365</v>
      </c>
      <c r="C4346">
        <v>139</v>
      </c>
      <c r="D4346" t="s">
        <v>331</v>
      </c>
      <c r="E4346" t="s">
        <v>331</v>
      </c>
      <c r="F4346" t="s">
        <v>331</v>
      </c>
      <c r="G4346" t="s">
        <v>414</v>
      </c>
      <c r="H4346" t="s">
        <v>112</v>
      </c>
      <c r="I4346" t="s">
        <v>99</v>
      </c>
    </row>
    <row r="4347" spans="1:9" x14ac:dyDescent="0.3">
      <c r="A4347" t="s">
        <v>49</v>
      </c>
      <c r="B4347" t="s">
        <v>389</v>
      </c>
      <c r="C4347">
        <v>8499</v>
      </c>
      <c r="D4347" t="s">
        <v>386</v>
      </c>
      <c r="E4347" t="s">
        <v>476</v>
      </c>
      <c r="F4347" t="s">
        <v>776</v>
      </c>
      <c r="G4347" t="s">
        <v>779</v>
      </c>
      <c r="H4347" t="s">
        <v>101</v>
      </c>
      <c r="I4347" t="s">
        <v>198</v>
      </c>
    </row>
    <row r="4348" spans="1:9" x14ac:dyDescent="0.3">
      <c r="A4348" t="s">
        <v>49</v>
      </c>
      <c r="B4348" t="s">
        <v>390</v>
      </c>
      <c r="C4348">
        <v>4134</v>
      </c>
      <c r="D4348" t="s">
        <v>386</v>
      </c>
      <c r="E4348" t="s">
        <v>384</v>
      </c>
      <c r="F4348" t="s">
        <v>413</v>
      </c>
      <c r="G4348" t="s">
        <v>778</v>
      </c>
      <c r="H4348" t="s">
        <v>319</v>
      </c>
      <c r="I4348" t="s">
        <v>198</v>
      </c>
    </row>
    <row r="4349" spans="1:9" x14ac:dyDescent="0.3">
      <c r="A4349" t="s">
        <v>49</v>
      </c>
      <c r="B4349" t="s">
        <v>365</v>
      </c>
      <c r="C4349">
        <v>689</v>
      </c>
      <c r="D4349" t="s">
        <v>438</v>
      </c>
      <c r="E4349" t="s">
        <v>438</v>
      </c>
      <c r="F4349" t="s">
        <v>265</v>
      </c>
      <c r="G4349" t="s">
        <v>1017</v>
      </c>
      <c r="H4349" t="s">
        <v>100</v>
      </c>
      <c r="I4349" t="s">
        <v>99</v>
      </c>
    </row>
    <row r="4351" spans="1:9" x14ac:dyDescent="0.3">
      <c r="A4351" t="s">
        <v>1552</v>
      </c>
    </row>
    <row r="4352" spans="1:9" x14ac:dyDescent="0.3">
      <c r="A4352" t="s">
        <v>44</v>
      </c>
      <c r="B4352" t="s">
        <v>235</v>
      </c>
      <c r="C4352" t="s">
        <v>32</v>
      </c>
      <c r="D4352" t="s">
        <v>1545</v>
      </c>
      <c r="E4352" t="s">
        <v>1546</v>
      </c>
      <c r="F4352" t="s">
        <v>1547</v>
      </c>
      <c r="G4352" t="s">
        <v>1548</v>
      </c>
      <c r="H4352" t="s">
        <v>1303</v>
      </c>
      <c r="I4352" t="s">
        <v>1549</v>
      </c>
    </row>
    <row r="4353" spans="1:9" x14ac:dyDescent="0.3">
      <c r="A4353" t="s">
        <v>35</v>
      </c>
      <c r="B4353" t="s">
        <v>236</v>
      </c>
      <c r="C4353">
        <v>1610</v>
      </c>
      <c r="D4353" t="s">
        <v>229</v>
      </c>
      <c r="E4353" t="s">
        <v>993</v>
      </c>
      <c r="F4353" t="s">
        <v>766</v>
      </c>
      <c r="G4353" t="s">
        <v>476</v>
      </c>
      <c r="H4353" t="s">
        <v>132</v>
      </c>
      <c r="I4353" t="s">
        <v>99</v>
      </c>
    </row>
    <row r="4354" spans="1:9" x14ac:dyDescent="0.3">
      <c r="A4354" t="s">
        <v>35</v>
      </c>
      <c r="B4354" t="s">
        <v>238</v>
      </c>
      <c r="C4354">
        <v>1535</v>
      </c>
      <c r="D4354" t="s">
        <v>225</v>
      </c>
      <c r="E4354" t="s">
        <v>1026</v>
      </c>
      <c r="F4354" t="s">
        <v>782</v>
      </c>
      <c r="G4354" t="s">
        <v>782</v>
      </c>
      <c r="H4354" t="s">
        <v>136</v>
      </c>
      <c r="I4354" t="s">
        <v>99</v>
      </c>
    </row>
    <row r="4355" spans="1:9" x14ac:dyDescent="0.3">
      <c r="A4355" t="s">
        <v>37</v>
      </c>
      <c r="B4355" t="s">
        <v>236</v>
      </c>
      <c r="C4355">
        <v>2211</v>
      </c>
      <c r="D4355" t="s">
        <v>982</v>
      </c>
      <c r="E4355" t="s">
        <v>385</v>
      </c>
      <c r="F4355" t="s">
        <v>386</v>
      </c>
      <c r="G4355" t="s">
        <v>404</v>
      </c>
      <c r="H4355" t="s">
        <v>115</v>
      </c>
      <c r="I4355" t="s">
        <v>99</v>
      </c>
    </row>
    <row r="4356" spans="1:9" x14ac:dyDescent="0.3">
      <c r="A4356" t="s">
        <v>37</v>
      </c>
      <c r="B4356" t="s">
        <v>238</v>
      </c>
      <c r="C4356">
        <v>1644</v>
      </c>
      <c r="D4356" t="s">
        <v>851</v>
      </c>
      <c r="E4356" t="s">
        <v>986</v>
      </c>
      <c r="F4356" t="s">
        <v>249</v>
      </c>
      <c r="G4356" t="s">
        <v>249</v>
      </c>
      <c r="H4356" t="s">
        <v>101</v>
      </c>
      <c r="I4356" t="s">
        <v>198</v>
      </c>
    </row>
    <row r="4357" spans="1:9" x14ac:dyDescent="0.3">
      <c r="A4357" t="s">
        <v>36</v>
      </c>
      <c r="B4357" t="s">
        <v>236</v>
      </c>
      <c r="C4357">
        <v>1566</v>
      </c>
      <c r="D4357" t="s">
        <v>1026</v>
      </c>
      <c r="E4357" t="s">
        <v>766</v>
      </c>
      <c r="F4357" t="s">
        <v>249</v>
      </c>
      <c r="G4357" t="s">
        <v>998</v>
      </c>
      <c r="H4357" t="s">
        <v>141</v>
      </c>
      <c r="I4357" t="s">
        <v>99</v>
      </c>
    </row>
    <row r="4358" spans="1:9" x14ac:dyDescent="0.3">
      <c r="A4358" t="s">
        <v>36</v>
      </c>
      <c r="B4358" t="s">
        <v>238</v>
      </c>
      <c r="C4358">
        <v>739</v>
      </c>
      <c r="D4358" t="s">
        <v>249</v>
      </c>
      <c r="E4358" t="s">
        <v>986</v>
      </c>
      <c r="F4358" t="s">
        <v>398</v>
      </c>
      <c r="G4358" t="s">
        <v>466</v>
      </c>
      <c r="H4358" t="s">
        <v>115</v>
      </c>
      <c r="I4358" t="s">
        <v>207</v>
      </c>
    </row>
    <row r="4359" spans="1:9" x14ac:dyDescent="0.3">
      <c r="A4359" t="s">
        <v>34</v>
      </c>
      <c r="B4359" t="s">
        <v>236</v>
      </c>
      <c r="C4359">
        <v>717</v>
      </c>
      <c r="D4359" t="s">
        <v>970</v>
      </c>
      <c r="E4359" t="s">
        <v>483</v>
      </c>
      <c r="F4359" t="s">
        <v>766</v>
      </c>
      <c r="G4359" t="s">
        <v>202</v>
      </c>
      <c r="H4359" t="s">
        <v>99</v>
      </c>
      <c r="I4359" t="s">
        <v>99</v>
      </c>
    </row>
    <row r="4360" spans="1:9" x14ac:dyDescent="0.3">
      <c r="A4360" t="s">
        <v>34</v>
      </c>
      <c r="B4360" t="s">
        <v>238</v>
      </c>
      <c r="C4360">
        <v>1363</v>
      </c>
      <c r="D4360" t="s">
        <v>782</v>
      </c>
      <c r="E4360" t="s">
        <v>778</v>
      </c>
      <c r="F4360" t="s">
        <v>252</v>
      </c>
      <c r="G4360" t="s">
        <v>71</v>
      </c>
      <c r="H4360" t="s">
        <v>121</v>
      </c>
      <c r="I4360" t="s">
        <v>108</v>
      </c>
    </row>
    <row r="4361" spans="1:9" x14ac:dyDescent="0.3">
      <c r="A4361" t="s">
        <v>33</v>
      </c>
      <c r="B4361" t="s">
        <v>236</v>
      </c>
      <c r="C4361">
        <v>1116</v>
      </c>
      <c r="D4361" t="s">
        <v>415</v>
      </c>
      <c r="E4361" t="s">
        <v>358</v>
      </c>
      <c r="F4361" t="s">
        <v>241</v>
      </c>
      <c r="G4361" t="s">
        <v>323</v>
      </c>
      <c r="H4361" t="s">
        <v>98</v>
      </c>
      <c r="I4361" t="s">
        <v>99</v>
      </c>
    </row>
    <row r="4362" spans="1:9" x14ac:dyDescent="0.3">
      <c r="A4362" t="s">
        <v>33</v>
      </c>
      <c r="B4362" t="s">
        <v>238</v>
      </c>
      <c r="C4362">
        <v>821</v>
      </c>
      <c r="D4362" t="s">
        <v>265</v>
      </c>
      <c r="E4362" t="s">
        <v>333</v>
      </c>
      <c r="F4362" t="s">
        <v>1017</v>
      </c>
      <c r="G4362" t="s">
        <v>1438</v>
      </c>
      <c r="H4362" t="s">
        <v>157</v>
      </c>
      <c r="I4362" t="s">
        <v>99</v>
      </c>
    </row>
    <row r="4363" spans="1:9" x14ac:dyDescent="0.3">
      <c r="A4363" t="s">
        <v>49</v>
      </c>
      <c r="B4363" t="s">
        <v>236</v>
      </c>
      <c r="C4363">
        <v>7220</v>
      </c>
      <c r="D4363" t="s">
        <v>986</v>
      </c>
      <c r="E4363" t="s">
        <v>202</v>
      </c>
      <c r="F4363" t="s">
        <v>404</v>
      </c>
      <c r="G4363" t="s">
        <v>779</v>
      </c>
      <c r="H4363" t="s">
        <v>126</v>
      </c>
      <c r="I4363" t="s">
        <v>99</v>
      </c>
    </row>
    <row r="4364" spans="1:9" x14ac:dyDescent="0.3">
      <c r="A4364" t="s">
        <v>49</v>
      </c>
      <c r="B4364" t="s">
        <v>238</v>
      </c>
      <c r="C4364">
        <v>6102</v>
      </c>
      <c r="D4364" t="s">
        <v>851</v>
      </c>
      <c r="E4364" t="s">
        <v>398</v>
      </c>
      <c r="F4364" t="s">
        <v>331</v>
      </c>
      <c r="G4364" t="s">
        <v>367</v>
      </c>
      <c r="H4364" t="s">
        <v>121</v>
      </c>
      <c r="I4364" t="s">
        <v>207</v>
      </c>
    </row>
    <row r="4366" spans="1:9" x14ac:dyDescent="0.3">
      <c r="A4366" t="s">
        <v>1553</v>
      </c>
    </row>
    <row r="4367" spans="1:9" x14ac:dyDescent="0.3">
      <c r="A4367" t="s">
        <v>44</v>
      </c>
      <c r="B4367" t="s">
        <v>361</v>
      </c>
      <c r="C4367" t="s">
        <v>32</v>
      </c>
      <c r="D4367" t="s">
        <v>1545</v>
      </c>
      <c r="E4367" t="s">
        <v>1546</v>
      </c>
      <c r="F4367" t="s">
        <v>1547</v>
      </c>
      <c r="G4367" t="s">
        <v>1548</v>
      </c>
      <c r="H4367" t="s">
        <v>1303</v>
      </c>
      <c r="I4367" t="s">
        <v>1549</v>
      </c>
    </row>
    <row r="4368" spans="1:9" x14ac:dyDescent="0.3">
      <c r="A4368" t="s">
        <v>35</v>
      </c>
      <c r="B4368" t="s">
        <v>339</v>
      </c>
      <c r="C4368">
        <v>890</v>
      </c>
      <c r="D4368" t="s">
        <v>385</v>
      </c>
      <c r="E4368" t="s">
        <v>1026</v>
      </c>
      <c r="F4368" t="s">
        <v>413</v>
      </c>
      <c r="G4368" t="s">
        <v>505</v>
      </c>
      <c r="H4368" t="s">
        <v>132</v>
      </c>
      <c r="I4368" t="s">
        <v>99</v>
      </c>
    </row>
    <row r="4369" spans="1:9" x14ac:dyDescent="0.3">
      <c r="A4369" t="s">
        <v>35</v>
      </c>
      <c r="B4369" t="s">
        <v>340</v>
      </c>
      <c r="C4369">
        <v>2215</v>
      </c>
      <c r="D4369" t="s">
        <v>982</v>
      </c>
      <c r="E4369" t="s">
        <v>383</v>
      </c>
      <c r="F4369" t="s">
        <v>780</v>
      </c>
      <c r="G4369" t="s">
        <v>466</v>
      </c>
      <c r="H4369" t="s">
        <v>136</v>
      </c>
      <c r="I4369" t="s">
        <v>99</v>
      </c>
    </row>
    <row r="4370" spans="1:9" x14ac:dyDescent="0.3">
      <c r="A4370" t="s">
        <v>35</v>
      </c>
      <c r="B4370" t="s">
        <v>365</v>
      </c>
      <c r="C4370">
        <v>40</v>
      </c>
      <c r="D4370" t="s">
        <v>252</v>
      </c>
      <c r="E4370" t="s">
        <v>252</v>
      </c>
      <c r="F4370" t="s">
        <v>467</v>
      </c>
      <c r="G4370" t="s">
        <v>367</v>
      </c>
      <c r="H4370" t="s">
        <v>151</v>
      </c>
      <c r="I4370" t="s">
        <v>99</v>
      </c>
    </row>
    <row r="4371" spans="1:9" x14ac:dyDescent="0.3">
      <c r="A4371" t="s">
        <v>37</v>
      </c>
      <c r="B4371" t="s">
        <v>339</v>
      </c>
      <c r="C4371">
        <v>1093</v>
      </c>
      <c r="D4371" t="s">
        <v>249</v>
      </c>
      <c r="E4371" t="s">
        <v>386</v>
      </c>
      <c r="F4371" t="s">
        <v>779</v>
      </c>
      <c r="G4371" t="s">
        <v>778</v>
      </c>
      <c r="H4371" t="s">
        <v>215</v>
      </c>
      <c r="I4371" t="s">
        <v>99</v>
      </c>
    </row>
    <row r="4372" spans="1:9" x14ac:dyDescent="0.3">
      <c r="A4372" t="s">
        <v>37</v>
      </c>
      <c r="B4372" t="s">
        <v>340</v>
      </c>
      <c r="C4372">
        <v>2721</v>
      </c>
      <c r="D4372" t="s">
        <v>385</v>
      </c>
      <c r="E4372" t="s">
        <v>385</v>
      </c>
      <c r="F4372" t="s">
        <v>1026</v>
      </c>
      <c r="G4372" t="s">
        <v>438</v>
      </c>
      <c r="H4372" t="s">
        <v>253</v>
      </c>
      <c r="I4372" t="s">
        <v>104</v>
      </c>
    </row>
    <row r="4373" spans="1:9" x14ac:dyDescent="0.3">
      <c r="A4373" t="s">
        <v>37</v>
      </c>
      <c r="B4373" t="s">
        <v>365</v>
      </c>
      <c r="C4373">
        <v>41</v>
      </c>
      <c r="D4373" t="s">
        <v>250</v>
      </c>
      <c r="E4373" t="s">
        <v>250</v>
      </c>
      <c r="F4373" t="s">
        <v>250</v>
      </c>
      <c r="G4373" t="s">
        <v>250</v>
      </c>
      <c r="H4373" t="s">
        <v>251</v>
      </c>
      <c r="I4373" t="s">
        <v>99</v>
      </c>
    </row>
    <row r="4374" spans="1:9" x14ac:dyDescent="0.3">
      <c r="A4374" t="s">
        <v>36</v>
      </c>
      <c r="B4374" t="s">
        <v>339</v>
      </c>
      <c r="C4374">
        <v>770</v>
      </c>
      <c r="D4374" t="s">
        <v>851</v>
      </c>
      <c r="E4374" t="s">
        <v>404</v>
      </c>
      <c r="F4374" t="s">
        <v>782</v>
      </c>
      <c r="G4374" t="s">
        <v>768</v>
      </c>
      <c r="H4374" t="s">
        <v>382</v>
      </c>
      <c r="I4374" t="s">
        <v>198</v>
      </c>
    </row>
    <row r="4375" spans="1:9" x14ac:dyDescent="0.3">
      <c r="A4375" t="s">
        <v>36</v>
      </c>
      <c r="B4375" t="s">
        <v>340</v>
      </c>
      <c r="C4375">
        <v>1472</v>
      </c>
      <c r="D4375" t="s">
        <v>986</v>
      </c>
      <c r="E4375" t="s">
        <v>483</v>
      </c>
      <c r="F4375" t="s">
        <v>986</v>
      </c>
      <c r="G4375" t="s">
        <v>386</v>
      </c>
      <c r="H4375" t="s">
        <v>99</v>
      </c>
      <c r="I4375" t="s">
        <v>104</v>
      </c>
    </row>
    <row r="4376" spans="1:9" x14ac:dyDescent="0.3">
      <c r="A4376" t="s">
        <v>36</v>
      </c>
      <c r="B4376" t="s">
        <v>365</v>
      </c>
      <c r="C4376">
        <v>63</v>
      </c>
      <c r="D4376" t="s">
        <v>413</v>
      </c>
      <c r="E4376" t="s">
        <v>758</v>
      </c>
      <c r="F4376" t="s">
        <v>758</v>
      </c>
      <c r="G4376" t="s">
        <v>375</v>
      </c>
      <c r="H4376" t="s">
        <v>105</v>
      </c>
      <c r="I4376" t="s">
        <v>99</v>
      </c>
    </row>
    <row r="4377" spans="1:9" x14ac:dyDescent="0.3">
      <c r="A4377" t="s">
        <v>34</v>
      </c>
      <c r="B4377" t="s">
        <v>339</v>
      </c>
      <c r="C4377">
        <v>555</v>
      </c>
      <c r="D4377" t="s">
        <v>998</v>
      </c>
      <c r="E4377" t="s">
        <v>779</v>
      </c>
      <c r="F4377" t="s">
        <v>79</v>
      </c>
      <c r="G4377" t="s">
        <v>241</v>
      </c>
      <c r="H4377" t="s">
        <v>101</v>
      </c>
      <c r="I4377" t="s">
        <v>207</v>
      </c>
    </row>
    <row r="4378" spans="1:9" x14ac:dyDescent="0.3">
      <c r="A4378" t="s">
        <v>34</v>
      </c>
      <c r="B4378" t="s">
        <v>340</v>
      </c>
      <c r="C4378">
        <v>1497</v>
      </c>
      <c r="D4378" t="s">
        <v>476</v>
      </c>
      <c r="E4378" t="s">
        <v>265</v>
      </c>
      <c r="F4378" t="s">
        <v>69</v>
      </c>
      <c r="G4378" t="s">
        <v>505</v>
      </c>
      <c r="H4378" t="s">
        <v>253</v>
      </c>
      <c r="I4378" t="s">
        <v>115</v>
      </c>
    </row>
    <row r="4379" spans="1:9" x14ac:dyDescent="0.3">
      <c r="A4379" t="s">
        <v>34</v>
      </c>
      <c r="B4379" t="s">
        <v>365</v>
      </c>
      <c r="C4379">
        <v>28</v>
      </c>
      <c r="D4379" t="s">
        <v>472</v>
      </c>
      <c r="E4379" t="s">
        <v>428</v>
      </c>
      <c r="F4379" t="s">
        <v>223</v>
      </c>
      <c r="G4379" t="s">
        <v>219</v>
      </c>
      <c r="H4379" t="s">
        <v>207</v>
      </c>
      <c r="I4379" t="s">
        <v>468</v>
      </c>
    </row>
    <row r="4380" spans="1:9" x14ac:dyDescent="0.3">
      <c r="A4380" t="s">
        <v>33</v>
      </c>
      <c r="B4380" t="s">
        <v>339</v>
      </c>
      <c r="C4380">
        <v>503</v>
      </c>
      <c r="D4380" t="s">
        <v>252</v>
      </c>
      <c r="E4380" t="s">
        <v>323</v>
      </c>
      <c r="F4380" t="s">
        <v>1276</v>
      </c>
      <c r="G4380" t="s">
        <v>219</v>
      </c>
      <c r="H4380" t="s">
        <v>184</v>
      </c>
      <c r="I4380" t="s">
        <v>99</v>
      </c>
    </row>
    <row r="4381" spans="1:9" x14ac:dyDescent="0.3">
      <c r="A4381" t="s">
        <v>33</v>
      </c>
      <c r="B4381" t="s">
        <v>340</v>
      </c>
      <c r="C4381">
        <v>1415</v>
      </c>
      <c r="D4381" t="s">
        <v>998</v>
      </c>
      <c r="E4381" t="s">
        <v>998</v>
      </c>
      <c r="F4381" t="s">
        <v>776</v>
      </c>
      <c r="G4381" t="s">
        <v>786</v>
      </c>
      <c r="H4381" t="s">
        <v>128</v>
      </c>
      <c r="I4381" t="s">
        <v>99</v>
      </c>
    </row>
    <row r="4382" spans="1:9" x14ac:dyDescent="0.3">
      <c r="A4382" t="s">
        <v>33</v>
      </c>
      <c r="B4382" t="s">
        <v>365</v>
      </c>
      <c r="C4382">
        <v>19</v>
      </c>
      <c r="D4382" t="s">
        <v>1146</v>
      </c>
      <c r="E4382" t="s">
        <v>1146</v>
      </c>
      <c r="F4382" t="s">
        <v>586</v>
      </c>
      <c r="G4382" t="s">
        <v>1146</v>
      </c>
      <c r="H4382" t="s">
        <v>148</v>
      </c>
      <c r="I4382" t="s">
        <v>99</v>
      </c>
    </row>
    <row r="4383" spans="1:9" x14ac:dyDescent="0.3">
      <c r="A4383" t="s">
        <v>49</v>
      </c>
      <c r="B4383" t="s">
        <v>339</v>
      </c>
      <c r="C4383">
        <v>3811</v>
      </c>
      <c r="D4383" t="s">
        <v>404</v>
      </c>
      <c r="E4383" t="s">
        <v>776</v>
      </c>
      <c r="F4383" t="s">
        <v>415</v>
      </c>
      <c r="G4383" t="s">
        <v>334</v>
      </c>
      <c r="H4383" t="s">
        <v>111</v>
      </c>
      <c r="I4383" t="s">
        <v>104</v>
      </c>
    </row>
    <row r="4384" spans="1:9" x14ac:dyDescent="0.3">
      <c r="A4384" t="s">
        <v>49</v>
      </c>
      <c r="B4384" t="s">
        <v>340</v>
      </c>
      <c r="C4384">
        <v>9320</v>
      </c>
      <c r="D4384" t="s">
        <v>383</v>
      </c>
      <c r="E4384" t="s">
        <v>766</v>
      </c>
      <c r="F4384" t="s">
        <v>398</v>
      </c>
      <c r="G4384" t="s">
        <v>336</v>
      </c>
      <c r="H4384" t="s">
        <v>132</v>
      </c>
      <c r="I4384" t="s">
        <v>198</v>
      </c>
    </row>
    <row r="4385" spans="1:9" x14ac:dyDescent="0.3">
      <c r="A4385" t="s">
        <v>49</v>
      </c>
      <c r="B4385" t="s">
        <v>365</v>
      </c>
      <c r="C4385">
        <v>191</v>
      </c>
      <c r="D4385" t="s">
        <v>1135</v>
      </c>
      <c r="E4385" t="s">
        <v>394</v>
      </c>
      <c r="F4385" t="s">
        <v>769</v>
      </c>
      <c r="G4385" t="s">
        <v>164</v>
      </c>
      <c r="H4385" t="s">
        <v>150</v>
      </c>
      <c r="I4385" t="s">
        <v>121</v>
      </c>
    </row>
    <row r="4387" spans="1:9" x14ac:dyDescent="0.3">
      <c r="A4387" t="s">
        <v>1554</v>
      </c>
    </row>
    <row r="4388" spans="1:9" x14ac:dyDescent="0.3">
      <c r="A4388" t="s">
        <v>44</v>
      </c>
      <c r="B4388" t="s">
        <v>209</v>
      </c>
      <c r="C4388" t="s">
        <v>32</v>
      </c>
      <c r="D4388" t="s">
        <v>1545</v>
      </c>
      <c r="E4388" t="s">
        <v>1546</v>
      </c>
      <c r="F4388" t="s">
        <v>1547</v>
      </c>
      <c r="G4388" t="s">
        <v>1548</v>
      </c>
      <c r="H4388" t="s">
        <v>1303</v>
      </c>
      <c r="I4388" t="s">
        <v>1549</v>
      </c>
    </row>
    <row r="4389" spans="1:9" x14ac:dyDescent="0.3">
      <c r="A4389" t="s">
        <v>35</v>
      </c>
      <c r="B4389" t="s">
        <v>210</v>
      </c>
      <c r="C4389">
        <v>136</v>
      </c>
      <c r="D4389" t="s">
        <v>453</v>
      </c>
      <c r="E4389" t="s">
        <v>211</v>
      </c>
      <c r="F4389" t="s">
        <v>225</v>
      </c>
      <c r="G4389" t="s">
        <v>483</v>
      </c>
      <c r="H4389" t="s">
        <v>99</v>
      </c>
      <c r="I4389" t="s">
        <v>99</v>
      </c>
    </row>
    <row r="4390" spans="1:9" x14ac:dyDescent="0.3">
      <c r="A4390" t="s">
        <v>35</v>
      </c>
      <c r="B4390" t="s">
        <v>212</v>
      </c>
      <c r="C4390">
        <v>2442</v>
      </c>
      <c r="D4390" t="s">
        <v>999</v>
      </c>
      <c r="E4390" t="s">
        <v>386</v>
      </c>
      <c r="F4390" t="s">
        <v>782</v>
      </c>
      <c r="G4390" t="s">
        <v>1017</v>
      </c>
      <c r="H4390" t="s">
        <v>253</v>
      </c>
      <c r="I4390" t="s">
        <v>99</v>
      </c>
    </row>
    <row r="4391" spans="1:9" x14ac:dyDescent="0.3">
      <c r="A4391" t="s">
        <v>35</v>
      </c>
      <c r="B4391" t="s">
        <v>216</v>
      </c>
      <c r="C4391">
        <v>567</v>
      </c>
      <c r="D4391" t="s">
        <v>1022</v>
      </c>
      <c r="E4391" t="s">
        <v>989</v>
      </c>
      <c r="F4391" t="s">
        <v>386</v>
      </c>
      <c r="G4391" t="s">
        <v>386</v>
      </c>
      <c r="H4391" t="s">
        <v>207</v>
      </c>
      <c r="I4391" t="s">
        <v>99</v>
      </c>
    </row>
    <row r="4392" spans="1:9" x14ac:dyDescent="0.3">
      <c r="A4392" t="s">
        <v>37</v>
      </c>
      <c r="B4392" t="s">
        <v>210</v>
      </c>
      <c r="C4392">
        <v>138</v>
      </c>
      <c r="D4392" t="s">
        <v>993</v>
      </c>
      <c r="E4392" t="s">
        <v>982</v>
      </c>
      <c r="F4392" t="s">
        <v>993</v>
      </c>
      <c r="G4392" t="s">
        <v>386</v>
      </c>
      <c r="H4392" t="s">
        <v>115</v>
      </c>
      <c r="I4392" t="s">
        <v>99</v>
      </c>
    </row>
    <row r="4393" spans="1:9" x14ac:dyDescent="0.3">
      <c r="A4393" t="s">
        <v>37</v>
      </c>
      <c r="B4393" t="s">
        <v>212</v>
      </c>
      <c r="C4393">
        <v>3606</v>
      </c>
      <c r="D4393" t="s">
        <v>383</v>
      </c>
      <c r="E4393" t="s">
        <v>993</v>
      </c>
      <c r="F4393" t="s">
        <v>851</v>
      </c>
      <c r="G4393" t="s">
        <v>398</v>
      </c>
      <c r="H4393" t="s">
        <v>114</v>
      </c>
      <c r="I4393" t="s">
        <v>104</v>
      </c>
    </row>
    <row r="4394" spans="1:9" x14ac:dyDescent="0.3">
      <c r="A4394" t="s">
        <v>37</v>
      </c>
      <c r="B4394" t="s">
        <v>216</v>
      </c>
      <c r="C4394">
        <v>111</v>
      </c>
      <c r="D4394" t="s">
        <v>202</v>
      </c>
      <c r="E4394" t="s">
        <v>993</v>
      </c>
      <c r="F4394" t="s">
        <v>980</v>
      </c>
      <c r="G4394" t="s">
        <v>398</v>
      </c>
      <c r="H4394" t="s">
        <v>253</v>
      </c>
      <c r="I4394" t="s">
        <v>99</v>
      </c>
    </row>
    <row r="4395" spans="1:9" x14ac:dyDescent="0.3">
      <c r="A4395" t="s">
        <v>36</v>
      </c>
      <c r="B4395" t="s">
        <v>210</v>
      </c>
      <c r="C4395">
        <v>165</v>
      </c>
      <c r="D4395" t="s">
        <v>759</v>
      </c>
      <c r="E4395" t="s">
        <v>69</v>
      </c>
      <c r="F4395" t="s">
        <v>505</v>
      </c>
      <c r="G4395" t="s">
        <v>433</v>
      </c>
      <c r="H4395" t="s">
        <v>99</v>
      </c>
      <c r="I4395" t="s">
        <v>115</v>
      </c>
    </row>
    <row r="4396" spans="1:9" x14ac:dyDescent="0.3">
      <c r="A4396" t="s">
        <v>36</v>
      </c>
      <c r="B4396" t="s">
        <v>212</v>
      </c>
      <c r="C4396">
        <v>1875</v>
      </c>
      <c r="D4396" t="s">
        <v>229</v>
      </c>
      <c r="E4396" t="s">
        <v>483</v>
      </c>
      <c r="F4396" t="s">
        <v>202</v>
      </c>
      <c r="G4396" t="s">
        <v>466</v>
      </c>
      <c r="H4396" t="s">
        <v>141</v>
      </c>
      <c r="I4396" t="s">
        <v>104</v>
      </c>
    </row>
    <row r="4397" spans="1:9" x14ac:dyDescent="0.3">
      <c r="A4397" t="s">
        <v>36</v>
      </c>
      <c r="B4397" t="s">
        <v>216</v>
      </c>
      <c r="C4397">
        <v>265</v>
      </c>
      <c r="D4397" t="s">
        <v>334</v>
      </c>
      <c r="E4397" t="s">
        <v>265</v>
      </c>
      <c r="F4397" t="s">
        <v>433</v>
      </c>
      <c r="G4397" t="s">
        <v>202</v>
      </c>
      <c r="H4397" t="s">
        <v>292</v>
      </c>
      <c r="I4397" t="s">
        <v>99</v>
      </c>
    </row>
    <row r="4398" spans="1:9" x14ac:dyDescent="0.3">
      <c r="A4398" t="s">
        <v>34</v>
      </c>
      <c r="B4398" t="s">
        <v>210</v>
      </c>
      <c r="C4398">
        <v>256</v>
      </c>
      <c r="D4398" t="s">
        <v>384</v>
      </c>
      <c r="E4398" t="s">
        <v>782</v>
      </c>
      <c r="F4398" t="s">
        <v>377</v>
      </c>
      <c r="G4398" t="s">
        <v>203</v>
      </c>
      <c r="H4398" t="s">
        <v>99</v>
      </c>
      <c r="I4398" t="s">
        <v>141</v>
      </c>
    </row>
    <row r="4399" spans="1:9" x14ac:dyDescent="0.3">
      <c r="A4399" t="s">
        <v>34</v>
      </c>
      <c r="B4399" t="s">
        <v>212</v>
      </c>
      <c r="C4399">
        <v>1582</v>
      </c>
      <c r="D4399" t="s">
        <v>1026</v>
      </c>
      <c r="E4399" t="s">
        <v>780</v>
      </c>
      <c r="F4399" t="s">
        <v>768</v>
      </c>
      <c r="G4399" t="s">
        <v>768</v>
      </c>
      <c r="H4399" t="s">
        <v>132</v>
      </c>
      <c r="I4399" t="s">
        <v>104</v>
      </c>
    </row>
    <row r="4400" spans="1:9" x14ac:dyDescent="0.3">
      <c r="A4400" t="s">
        <v>34</v>
      </c>
      <c r="B4400" t="s">
        <v>216</v>
      </c>
      <c r="C4400">
        <v>242</v>
      </c>
      <c r="D4400" t="s">
        <v>252</v>
      </c>
      <c r="E4400" t="s">
        <v>293</v>
      </c>
      <c r="F4400" t="s">
        <v>866</v>
      </c>
      <c r="G4400" t="s">
        <v>221</v>
      </c>
      <c r="H4400" t="s">
        <v>111</v>
      </c>
      <c r="I4400" t="s">
        <v>107</v>
      </c>
    </row>
    <row r="4401" spans="1:9" x14ac:dyDescent="0.3">
      <c r="A4401" t="s">
        <v>33</v>
      </c>
      <c r="B4401" t="s">
        <v>210</v>
      </c>
      <c r="C4401">
        <v>68</v>
      </c>
      <c r="D4401" t="s">
        <v>398</v>
      </c>
      <c r="E4401" t="s">
        <v>229</v>
      </c>
      <c r="F4401" t="s">
        <v>376</v>
      </c>
      <c r="G4401" t="s">
        <v>421</v>
      </c>
      <c r="H4401" t="s">
        <v>126</v>
      </c>
      <c r="I4401" t="s">
        <v>99</v>
      </c>
    </row>
    <row r="4402" spans="1:9" x14ac:dyDescent="0.3">
      <c r="A4402" t="s">
        <v>33</v>
      </c>
      <c r="B4402" t="s">
        <v>212</v>
      </c>
      <c r="C4402">
        <v>1800</v>
      </c>
      <c r="D4402" t="s">
        <v>375</v>
      </c>
      <c r="E4402" t="s">
        <v>413</v>
      </c>
      <c r="F4402" t="s">
        <v>467</v>
      </c>
      <c r="G4402" t="s">
        <v>978</v>
      </c>
      <c r="H4402" t="s">
        <v>112</v>
      </c>
      <c r="I4402" t="s">
        <v>99</v>
      </c>
    </row>
    <row r="4403" spans="1:9" x14ac:dyDescent="0.3">
      <c r="A4403" t="s">
        <v>33</v>
      </c>
      <c r="B4403" t="s">
        <v>216</v>
      </c>
      <c r="C4403">
        <v>69</v>
      </c>
      <c r="D4403" t="s">
        <v>483</v>
      </c>
      <c r="E4403" t="s">
        <v>483</v>
      </c>
      <c r="F4403" t="s">
        <v>483</v>
      </c>
      <c r="G4403" t="s">
        <v>466</v>
      </c>
      <c r="H4403" t="s">
        <v>319</v>
      </c>
      <c r="I4403" t="s">
        <v>99</v>
      </c>
    </row>
    <row r="4404" spans="1:9" x14ac:dyDescent="0.3">
      <c r="A4404" t="s">
        <v>49</v>
      </c>
      <c r="B4404" t="s">
        <v>210</v>
      </c>
      <c r="C4404">
        <v>763</v>
      </c>
      <c r="D4404" t="s">
        <v>386</v>
      </c>
      <c r="E4404" t="s">
        <v>249</v>
      </c>
      <c r="F4404" t="s">
        <v>467</v>
      </c>
      <c r="G4404" t="s">
        <v>505</v>
      </c>
      <c r="H4404" t="s">
        <v>198</v>
      </c>
      <c r="I4404" t="s">
        <v>207</v>
      </c>
    </row>
    <row r="4405" spans="1:9" x14ac:dyDescent="0.3">
      <c r="A4405" t="s">
        <v>49</v>
      </c>
      <c r="B4405" t="s">
        <v>212</v>
      </c>
      <c r="C4405">
        <v>11305</v>
      </c>
      <c r="D4405" t="s">
        <v>202</v>
      </c>
      <c r="E4405" t="s">
        <v>249</v>
      </c>
      <c r="F4405" t="s">
        <v>333</v>
      </c>
      <c r="G4405" t="s">
        <v>237</v>
      </c>
      <c r="H4405" t="s">
        <v>126</v>
      </c>
      <c r="I4405" t="s">
        <v>104</v>
      </c>
    </row>
    <row r="4406" spans="1:9" x14ac:dyDescent="0.3">
      <c r="A4406" t="s">
        <v>49</v>
      </c>
      <c r="B4406" t="s">
        <v>216</v>
      </c>
      <c r="C4406">
        <v>1254</v>
      </c>
      <c r="D4406" t="s">
        <v>998</v>
      </c>
      <c r="E4406" t="s">
        <v>404</v>
      </c>
      <c r="F4406" t="s">
        <v>367</v>
      </c>
      <c r="G4406" t="s">
        <v>331</v>
      </c>
      <c r="H4406" t="s">
        <v>108</v>
      </c>
      <c r="I4406" t="s">
        <v>253</v>
      </c>
    </row>
    <row r="4408" spans="1:9" x14ac:dyDescent="0.3">
      <c r="A4408" t="s">
        <v>1555</v>
      </c>
    </row>
    <row r="4409" spans="1:9" x14ac:dyDescent="0.3">
      <c r="A4409" t="s">
        <v>44</v>
      </c>
      <c r="B4409" t="s">
        <v>879</v>
      </c>
      <c r="C4409" t="s">
        <v>32</v>
      </c>
      <c r="D4409" t="s">
        <v>1545</v>
      </c>
      <c r="E4409" t="s">
        <v>1546</v>
      </c>
      <c r="F4409" t="s">
        <v>1547</v>
      </c>
      <c r="G4409" t="s">
        <v>1548</v>
      </c>
      <c r="H4409" t="s">
        <v>1303</v>
      </c>
      <c r="I4409" t="s">
        <v>1549</v>
      </c>
    </row>
    <row r="4410" spans="1:9" x14ac:dyDescent="0.3">
      <c r="A4410" t="s">
        <v>35</v>
      </c>
      <c r="B4410" t="s">
        <v>880</v>
      </c>
      <c r="C4410">
        <v>596</v>
      </c>
      <c r="D4410" t="s">
        <v>511</v>
      </c>
      <c r="E4410" t="s">
        <v>202</v>
      </c>
      <c r="F4410" t="s">
        <v>384</v>
      </c>
      <c r="G4410" t="s">
        <v>398</v>
      </c>
      <c r="H4410" t="s">
        <v>136</v>
      </c>
      <c r="I4410" t="s">
        <v>99</v>
      </c>
    </row>
    <row r="4411" spans="1:9" x14ac:dyDescent="0.3">
      <c r="A4411" t="s">
        <v>35</v>
      </c>
      <c r="B4411" t="s">
        <v>881</v>
      </c>
      <c r="C4411">
        <v>1162</v>
      </c>
      <c r="D4411" t="s">
        <v>438</v>
      </c>
      <c r="E4411" t="s">
        <v>404</v>
      </c>
      <c r="F4411" t="s">
        <v>226</v>
      </c>
      <c r="G4411" t="s">
        <v>252</v>
      </c>
      <c r="H4411" t="s">
        <v>132</v>
      </c>
      <c r="I4411" t="s">
        <v>99</v>
      </c>
    </row>
    <row r="4412" spans="1:9" x14ac:dyDescent="0.3">
      <c r="A4412" t="s">
        <v>35</v>
      </c>
      <c r="B4412" t="s">
        <v>882</v>
      </c>
      <c r="C4412">
        <v>1387</v>
      </c>
      <c r="D4412" t="s">
        <v>982</v>
      </c>
      <c r="E4412" t="s">
        <v>980</v>
      </c>
      <c r="F4412" t="s">
        <v>225</v>
      </c>
      <c r="G4412" t="s">
        <v>989</v>
      </c>
      <c r="H4412" t="s">
        <v>207</v>
      </c>
      <c r="I4412" t="s">
        <v>99</v>
      </c>
    </row>
    <row r="4413" spans="1:9" x14ac:dyDescent="0.3">
      <c r="A4413" t="s">
        <v>37</v>
      </c>
      <c r="B4413" t="s">
        <v>880</v>
      </c>
      <c r="C4413">
        <v>671</v>
      </c>
      <c r="D4413" t="s">
        <v>996</v>
      </c>
      <c r="E4413" t="s">
        <v>980</v>
      </c>
      <c r="F4413" t="s">
        <v>385</v>
      </c>
      <c r="G4413" t="s">
        <v>438</v>
      </c>
      <c r="H4413" t="s">
        <v>198</v>
      </c>
      <c r="I4413" t="s">
        <v>99</v>
      </c>
    </row>
    <row r="4414" spans="1:9" x14ac:dyDescent="0.3">
      <c r="A4414" t="s">
        <v>37</v>
      </c>
      <c r="B4414" t="s">
        <v>881</v>
      </c>
      <c r="C4414">
        <v>1371</v>
      </c>
      <c r="D4414" t="s">
        <v>398</v>
      </c>
      <c r="E4414" t="s">
        <v>851</v>
      </c>
      <c r="F4414" t="s">
        <v>237</v>
      </c>
      <c r="G4414" t="s">
        <v>1017</v>
      </c>
      <c r="H4414" t="s">
        <v>382</v>
      </c>
      <c r="I4414" t="s">
        <v>198</v>
      </c>
    </row>
    <row r="4415" spans="1:9" x14ac:dyDescent="0.3">
      <c r="A4415" t="s">
        <v>37</v>
      </c>
      <c r="B4415" t="s">
        <v>882</v>
      </c>
      <c r="C4415">
        <v>1813</v>
      </c>
      <c r="D4415" t="s">
        <v>385</v>
      </c>
      <c r="E4415" t="s">
        <v>999</v>
      </c>
      <c r="F4415" t="s">
        <v>993</v>
      </c>
      <c r="G4415" t="s">
        <v>202</v>
      </c>
      <c r="H4415" t="s">
        <v>132</v>
      </c>
      <c r="I4415" t="s">
        <v>99</v>
      </c>
    </row>
    <row r="4416" spans="1:9" x14ac:dyDescent="0.3">
      <c r="A4416" t="s">
        <v>36</v>
      </c>
      <c r="B4416" t="s">
        <v>880</v>
      </c>
      <c r="C4416">
        <v>382</v>
      </c>
      <c r="D4416" t="s">
        <v>768</v>
      </c>
      <c r="E4416" t="s">
        <v>851</v>
      </c>
      <c r="F4416" t="s">
        <v>265</v>
      </c>
      <c r="G4416" t="s">
        <v>759</v>
      </c>
      <c r="H4416" t="s">
        <v>319</v>
      </c>
      <c r="I4416" t="s">
        <v>207</v>
      </c>
    </row>
    <row r="4417" spans="1:16" x14ac:dyDescent="0.3">
      <c r="A4417" t="s">
        <v>36</v>
      </c>
      <c r="B4417" t="s">
        <v>881</v>
      </c>
      <c r="C4417">
        <v>866</v>
      </c>
      <c r="D4417" t="s">
        <v>986</v>
      </c>
      <c r="E4417" t="s">
        <v>986</v>
      </c>
      <c r="F4417" t="s">
        <v>404</v>
      </c>
      <c r="G4417" t="s">
        <v>759</v>
      </c>
      <c r="H4417" t="s">
        <v>136</v>
      </c>
      <c r="I4417" t="s">
        <v>207</v>
      </c>
    </row>
    <row r="4418" spans="1:16" x14ac:dyDescent="0.3">
      <c r="A4418" t="s">
        <v>36</v>
      </c>
      <c r="B4418" t="s">
        <v>882</v>
      </c>
      <c r="C4418">
        <v>1057</v>
      </c>
      <c r="D4418" t="s">
        <v>993</v>
      </c>
      <c r="E4418" t="s">
        <v>1026</v>
      </c>
      <c r="F4418" t="s">
        <v>386</v>
      </c>
      <c r="G4418" t="s">
        <v>986</v>
      </c>
      <c r="H4418" t="s">
        <v>136</v>
      </c>
      <c r="I4418" t="s">
        <v>99</v>
      </c>
    </row>
    <row r="4419" spans="1:16" x14ac:dyDescent="0.3">
      <c r="A4419" t="s">
        <v>34</v>
      </c>
      <c r="B4419" t="s">
        <v>880</v>
      </c>
      <c r="C4419">
        <v>351</v>
      </c>
      <c r="D4419" t="s">
        <v>986</v>
      </c>
      <c r="E4419" t="s">
        <v>265</v>
      </c>
      <c r="F4419" t="s">
        <v>778</v>
      </c>
      <c r="G4419" t="s">
        <v>367</v>
      </c>
      <c r="H4419" t="s">
        <v>319</v>
      </c>
      <c r="I4419" t="s">
        <v>141</v>
      </c>
    </row>
    <row r="4420" spans="1:16" x14ac:dyDescent="0.3">
      <c r="A4420" t="s">
        <v>34</v>
      </c>
      <c r="B4420" t="s">
        <v>881</v>
      </c>
      <c r="C4420">
        <v>861</v>
      </c>
      <c r="D4420" t="s">
        <v>780</v>
      </c>
      <c r="E4420" t="s">
        <v>265</v>
      </c>
      <c r="F4420" t="s">
        <v>758</v>
      </c>
      <c r="G4420" t="s">
        <v>358</v>
      </c>
      <c r="H4420" t="s">
        <v>114</v>
      </c>
      <c r="I4420" t="s">
        <v>99</v>
      </c>
    </row>
    <row r="4421" spans="1:16" x14ac:dyDescent="0.3">
      <c r="A4421" t="s">
        <v>34</v>
      </c>
      <c r="B4421" t="s">
        <v>882</v>
      </c>
      <c r="C4421">
        <v>868</v>
      </c>
      <c r="D4421" t="s">
        <v>265</v>
      </c>
      <c r="E4421" t="s">
        <v>367</v>
      </c>
      <c r="F4421" t="s">
        <v>362</v>
      </c>
      <c r="G4421" t="s">
        <v>241</v>
      </c>
      <c r="H4421" t="s">
        <v>136</v>
      </c>
      <c r="I4421" t="s">
        <v>121</v>
      </c>
    </row>
    <row r="4422" spans="1:16" x14ac:dyDescent="0.3">
      <c r="A4422" t="s">
        <v>33</v>
      </c>
      <c r="B4422" t="s">
        <v>880</v>
      </c>
      <c r="C4422">
        <v>426</v>
      </c>
      <c r="D4422" t="s">
        <v>776</v>
      </c>
      <c r="E4422" t="s">
        <v>1017</v>
      </c>
      <c r="F4422" t="s">
        <v>779</v>
      </c>
      <c r="G4422" t="s">
        <v>768</v>
      </c>
      <c r="H4422" t="s">
        <v>105</v>
      </c>
      <c r="I4422" t="s">
        <v>99</v>
      </c>
    </row>
    <row r="4423" spans="1:16" x14ac:dyDescent="0.3">
      <c r="A4423" t="s">
        <v>33</v>
      </c>
      <c r="B4423" t="s">
        <v>881</v>
      </c>
      <c r="C4423">
        <v>682</v>
      </c>
      <c r="D4423" t="s">
        <v>162</v>
      </c>
      <c r="E4423" t="s">
        <v>327</v>
      </c>
      <c r="F4423" t="s">
        <v>71</v>
      </c>
      <c r="G4423" t="s">
        <v>857</v>
      </c>
      <c r="H4423" t="s">
        <v>325</v>
      </c>
      <c r="I4423" t="s">
        <v>99</v>
      </c>
    </row>
    <row r="4424" spans="1:16" x14ac:dyDescent="0.3">
      <c r="A4424" t="s">
        <v>33</v>
      </c>
      <c r="B4424" t="s">
        <v>882</v>
      </c>
      <c r="C4424">
        <v>829</v>
      </c>
      <c r="D4424" t="s">
        <v>433</v>
      </c>
      <c r="E4424" t="s">
        <v>782</v>
      </c>
      <c r="F4424" t="s">
        <v>367</v>
      </c>
      <c r="G4424" t="s">
        <v>75</v>
      </c>
      <c r="H4424" t="s">
        <v>332</v>
      </c>
      <c r="I4424" t="s">
        <v>99</v>
      </c>
    </row>
    <row r="4425" spans="1:16" x14ac:dyDescent="0.3">
      <c r="A4425" t="s">
        <v>49</v>
      </c>
      <c r="B4425" t="s">
        <v>880</v>
      </c>
      <c r="C4425">
        <v>2426</v>
      </c>
      <c r="D4425" t="s">
        <v>993</v>
      </c>
      <c r="E4425" t="s">
        <v>476</v>
      </c>
      <c r="F4425" t="s">
        <v>384</v>
      </c>
      <c r="G4425" t="s">
        <v>384</v>
      </c>
      <c r="H4425" t="s">
        <v>100</v>
      </c>
      <c r="I4425" t="s">
        <v>104</v>
      </c>
    </row>
    <row r="4426" spans="1:16" x14ac:dyDescent="0.3">
      <c r="A4426" t="s">
        <v>49</v>
      </c>
      <c r="B4426" t="s">
        <v>881</v>
      </c>
      <c r="C4426">
        <v>4942</v>
      </c>
      <c r="D4426" t="s">
        <v>404</v>
      </c>
      <c r="E4426" t="s">
        <v>776</v>
      </c>
      <c r="F4426" t="s">
        <v>358</v>
      </c>
      <c r="G4426" t="s">
        <v>334</v>
      </c>
      <c r="H4426" t="s">
        <v>123</v>
      </c>
      <c r="I4426" t="s">
        <v>104</v>
      </c>
    </row>
    <row r="4427" spans="1:16" x14ac:dyDescent="0.3">
      <c r="A4427" t="s">
        <v>49</v>
      </c>
      <c r="B4427" t="s">
        <v>882</v>
      </c>
      <c r="C4427">
        <v>5954</v>
      </c>
      <c r="D4427" t="s">
        <v>986</v>
      </c>
      <c r="E4427" t="s">
        <v>202</v>
      </c>
      <c r="F4427" t="s">
        <v>998</v>
      </c>
      <c r="G4427" t="s">
        <v>384</v>
      </c>
      <c r="H4427" t="s">
        <v>114</v>
      </c>
      <c r="I4427" t="s">
        <v>198</v>
      </c>
    </row>
    <row r="4429" spans="1:16" x14ac:dyDescent="0.3">
      <c r="A4429" t="s">
        <v>1556</v>
      </c>
    </row>
    <row r="4430" spans="1:16" x14ac:dyDescent="0.3">
      <c r="A4430" t="s">
        <v>44</v>
      </c>
      <c r="B4430" t="s">
        <v>32</v>
      </c>
      <c r="C4430" t="s">
        <v>1557</v>
      </c>
      <c r="D4430" t="s">
        <v>1558</v>
      </c>
      <c r="E4430" t="s">
        <v>1559</v>
      </c>
      <c r="F4430" t="s">
        <v>1560</v>
      </c>
      <c r="G4430" t="s">
        <v>1561</v>
      </c>
      <c r="H4430" t="s">
        <v>1562</v>
      </c>
      <c r="I4430" t="s">
        <v>1563</v>
      </c>
      <c r="J4430" t="s">
        <v>1564</v>
      </c>
      <c r="K4430" t="s">
        <v>1565</v>
      </c>
      <c r="L4430" t="s">
        <v>1566</v>
      </c>
      <c r="M4430" t="s">
        <v>1567</v>
      </c>
      <c r="N4430" t="s">
        <v>1568</v>
      </c>
      <c r="O4430" t="s">
        <v>1569</v>
      </c>
      <c r="P4430" t="s">
        <v>88</v>
      </c>
    </row>
    <row r="4431" spans="1:16" x14ac:dyDescent="0.3">
      <c r="A4431" t="s">
        <v>35</v>
      </c>
      <c r="B4431">
        <v>3145</v>
      </c>
      <c r="C4431" t="s">
        <v>962</v>
      </c>
      <c r="D4431" t="s">
        <v>105</v>
      </c>
      <c r="E4431" t="s">
        <v>990</v>
      </c>
      <c r="F4431" t="s">
        <v>99</v>
      </c>
      <c r="G4431" t="s">
        <v>104</v>
      </c>
      <c r="H4431" t="s">
        <v>198</v>
      </c>
      <c r="I4431" t="s">
        <v>432</v>
      </c>
      <c r="J4431" t="s">
        <v>101</v>
      </c>
      <c r="K4431" t="s">
        <v>292</v>
      </c>
      <c r="L4431" t="s">
        <v>99</v>
      </c>
      <c r="M4431" t="s">
        <v>132</v>
      </c>
      <c r="N4431" t="s">
        <v>207</v>
      </c>
      <c r="O4431" t="s">
        <v>136</v>
      </c>
      <c r="P4431" t="s">
        <v>198</v>
      </c>
    </row>
    <row r="4432" spans="1:16" x14ac:dyDescent="0.3">
      <c r="A4432" t="s">
        <v>37</v>
      </c>
      <c r="B4432">
        <v>3855</v>
      </c>
      <c r="C4432" t="s">
        <v>913</v>
      </c>
      <c r="D4432" t="s">
        <v>463</v>
      </c>
      <c r="E4432" t="s">
        <v>357</v>
      </c>
      <c r="F4432" t="s">
        <v>253</v>
      </c>
      <c r="G4432" t="s">
        <v>104</v>
      </c>
      <c r="H4432" t="s">
        <v>198</v>
      </c>
      <c r="I4432" t="s">
        <v>1105</v>
      </c>
      <c r="J4432" t="s">
        <v>121</v>
      </c>
      <c r="K4432" t="s">
        <v>296</v>
      </c>
      <c r="L4432" t="s">
        <v>99</v>
      </c>
      <c r="M4432" t="s">
        <v>253</v>
      </c>
      <c r="N4432" t="s">
        <v>99</v>
      </c>
      <c r="O4432" t="s">
        <v>99</v>
      </c>
      <c r="P4432" t="s">
        <v>99</v>
      </c>
    </row>
    <row r="4433" spans="1:17" x14ac:dyDescent="0.3">
      <c r="A4433" t="s">
        <v>36</v>
      </c>
      <c r="B4433">
        <v>2305</v>
      </c>
      <c r="C4433" t="s">
        <v>1231</v>
      </c>
      <c r="D4433" t="s">
        <v>382</v>
      </c>
      <c r="E4433" t="s">
        <v>534</v>
      </c>
      <c r="F4433" t="s">
        <v>136</v>
      </c>
      <c r="G4433" t="s">
        <v>104</v>
      </c>
      <c r="H4433" t="s">
        <v>99</v>
      </c>
      <c r="I4433" t="s">
        <v>106</v>
      </c>
      <c r="J4433" t="s">
        <v>132</v>
      </c>
      <c r="K4433" t="s">
        <v>139</v>
      </c>
      <c r="L4433" t="s">
        <v>141</v>
      </c>
      <c r="M4433" t="s">
        <v>141</v>
      </c>
      <c r="N4433" t="s">
        <v>99</v>
      </c>
      <c r="O4433" t="s">
        <v>207</v>
      </c>
      <c r="P4433" t="s">
        <v>99</v>
      </c>
    </row>
    <row r="4434" spans="1:17" x14ac:dyDescent="0.3">
      <c r="A4434" t="s">
        <v>34</v>
      </c>
      <c r="B4434">
        <v>2080</v>
      </c>
      <c r="C4434" t="s">
        <v>555</v>
      </c>
      <c r="D4434" t="s">
        <v>155</v>
      </c>
      <c r="E4434" t="s">
        <v>485</v>
      </c>
      <c r="F4434" t="s">
        <v>104</v>
      </c>
      <c r="G4434" t="s">
        <v>99</v>
      </c>
      <c r="H4434" t="s">
        <v>99</v>
      </c>
      <c r="I4434" t="s">
        <v>446</v>
      </c>
      <c r="J4434" t="s">
        <v>115</v>
      </c>
      <c r="K4434" t="s">
        <v>112</v>
      </c>
      <c r="L4434" t="s">
        <v>99</v>
      </c>
      <c r="M4434" t="s">
        <v>108</v>
      </c>
      <c r="N4434" t="s">
        <v>99</v>
      </c>
      <c r="O4434" t="s">
        <v>99</v>
      </c>
      <c r="P4434" t="s">
        <v>104</v>
      </c>
    </row>
    <row r="4435" spans="1:17" x14ac:dyDescent="0.3">
      <c r="A4435" t="s">
        <v>33</v>
      </c>
      <c r="B4435">
        <v>1937</v>
      </c>
      <c r="C4435" t="s">
        <v>64</v>
      </c>
      <c r="D4435" t="s">
        <v>114</v>
      </c>
      <c r="E4435" t="s">
        <v>728</v>
      </c>
      <c r="F4435" t="s">
        <v>104</v>
      </c>
      <c r="G4435" t="s">
        <v>99</v>
      </c>
      <c r="H4435" t="s">
        <v>104</v>
      </c>
      <c r="I4435" t="s">
        <v>715</v>
      </c>
      <c r="J4435" t="s">
        <v>121</v>
      </c>
      <c r="K4435" t="s">
        <v>722</v>
      </c>
      <c r="L4435" t="s">
        <v>99</v>
      </c>
      <c r="M4435" t="s">
        <v>198</v>
      </c>
      <c r="N4435" t="s">
        <v>207</v>
      </c>
      <c r="O4435" t="s">
        <v>99</v>
      </c>
      <c r="P4435" t="s">
        <v>99</v>
      </c>
    </row>
    <row r="4436" spans="1:17" x14ac:dyDescent="0.3">
      <c r="A4436" t="s">
        <v>49</v>
      </c>
      <c r="B4436">
        <v>13322</v>
      </c>
      <c r="C4436" t="s">
        <v>1570</v>
      </c>
      <c r="D4436" t="s">
        <v>664</v>
      </c>
      <c r="E4436" t="s">
        <v>240</v>
      </c>
      <c r="F4436" t="s">
        <v>198</v>
      </c>
      <c r="G4436" t="s">
        <v>104</v>
      </c>
      <c r="H4436" t="s">
        <v>104</v>
      </c>
      <c r="I4436" t="s">
        <v>529</v>
      </c>
      <c r="J4436" t="s">
        <v>100</v>
      </c>
      <c r="K4436" t="s">
        <v>325</v>
      </c>
      <c r="L4436" t="s">
        <v>104</v>
      </c>
      <c r="M4436" t="s">
        <v>115</v>
      </c>
      <c r="N4436" t="s">
        <v>104</v>
      </c>
      <c r="O4436" t="s">
        <v>104</v>
      </c>
      <c r="P4436" t="s">
        <v>104</v>
      </c>
    </row>
    <row r="4438" spans="1:17" x14ac:dyDescent="0.3">
      <c r="A4438" t="s">
        <v>1571</v>
      </c>
    </row>
    <row r="4439" spans="1:17" x14ac:dyDescent="0.3">
      <c r="A4439" t="s">
        <v>44</v>
      </c>
      <c r="B4439" t="s">
        <v>235</v>
      </c>
      <c r="C4439" t="s">
        <v>32</v>
      </c>
      <c r="D4439" t="s">
        <v>1557</v>
      </c>
      <c r="E4439" t="s">
        <v>1558</v>
      </c>
      <c r="F4439" t="s">
        <v>1559</v>
      </c>
      <c r="G4439" t="s">
        <v>1560</v>
      </c>
      <c r="H4439" t="s">
        <v>1561</v>
      </c>
      <c r="I4439" t="s">
        <v>1562</v>
      </c>
      <c r="J4439" t="s">
        <v>1563</v>
      </c>
      <c r="K4439" t="s">
        <v>1564</v>
      </c>
      <c r="L4439" t="s">
        <v>1565</v>
      </c>
      <c r="M4439" t="s">
        <v>1566</v>
      </c>
      <c r="N4439" t="s">
        <v>1567</v>
      </c>
      <c r="O4439" t="s">
        <v>1568</v>
      </c>
      <c r="P4439" t="s">
        <v>1569</v>
      </c>
      <c r="Q4439" t="s">
        <v>88</v>
      </c>
    </row>
    <row r="4440" spans="1:17" x14ac:dyDescent="0.3">
      <c r="A4440" t="s">
        <v>35</v>
      </c>
      <c r="B4440" t="s">
        <v>236</v>
      </c>
      <c r="C4440">
        <v>1610</v>
      </c>
      <c r="D4440" t="s">
        <v>860</v>
      </c>
      <c r="E4440" t="s">
        <v>129</v>
      </c>
      <c r="F4440" t="s">
        <v>62</v>
      </c>
      <c r="G4440" t="s">
        <v>104</v>
      </c>
      <c r="H4440" t="s">
        <v>198</v>
      </c>
      <c r="I4440" t="s">
        <v>136</v>
      </c>
      <c r="J4440" t="s">
        <v>1185</v>
      </c>
      <c r="K4440" t="s">
        <v>138</v>
      </c>
      <c r="L4440" t="s">
        <v>120</v>
      </c>
      <c r="M4440" t="s">
        <v>99</v>
      </c>
      <c r="N4440" t="s">
        <v>382</v>
      </c>
      <c r="O4440" t="s">
        <v>136</v>
      </c>
      <c r="P4440" t="s">
        <v>104</v>
      </c>
      <c r="Q4440" t="s">
        <v>99</v>
      </c>
    </row>
    <row r="4441" spans="1:17" x14ac:dyDescent="0.3">
      <c r="A4441" t="s">
        <v>35</v>
      </c>
      <c r="B4441" t="s">
        <v>238</v>
      </c>
      <c r="C4441">
        <v>1535</v>
      </c>
      <c r="D4441" t="s">
        <v>424</v>
      </c>
      <c r="E4441" t="s">
        <v>120</v>
      </c>
      <c r="F4441" t="s">
        <v>171</v>
      </c>
      <c r="G4441" t="s">
        <v>99</v>
      </c>
      <c r="H4441" t="s">
        <v>99</v>
      </c>
      <c r="I4441" t="s">
        <v>104</v>
      </c>
      <c r="J4441" t="s">
        <v>142</v>
      </c>
      <c r="K4441" t="s">
        <v>141</v>
      </c>
      <c r="L4441" t="s">
        <v>127</v>
      </c>
      <c r="M4441" t="s">
        <v>99</v>
      </c>
      <c r="N4441" t="s">
        <v>253</v>
      </c>
      <c r="O4441" t="s">
        <v>207</v>
      </c>
      <c r="P4441" t="s">
        <v>141</v>
      </c>
      <c r="Q4441" t="s">
        <v>207</v>
      </c>
    </row>
    <row r="4442" spans="1:17" x14ac:dyDescent="0.3">
      <c r="A4442" t="s">
        <v>37</v>
      </c>
      <c r="B4442" t="s">
        <v>236</v>
      </c>
      <c r="C4442">
        <v>2211</v>
      </c>
      <c r="D4442" t="s">
        <v>685</v>
      </c>
      <c r="E4442" t="s">
        <v>240</v>
      </c>
      <c r="F4442" t="s">
        <v>1059</v>
      </c>
      <c r="G4442" t="s">
        <v>108</v>
      </c>
      <c r="H4442" t="s">
        <v>104</v>
      </c>
      <c r="I4442" t="s">
        <v>198</v>
      </c>
      <c r="J4442" t="s">
        <v>506</v>
      </c>
      <c r="K4442" t="s">
        <v>127</v>
      </c>
      <c r="L4442" t="s">
        <v>368</v>
      </c>
      <c r="M4442" t="s">
        <v>104</v>
      </c>
      <c r="N4442" t="s">
        <v>114</v>
      </c>
      <c r="O4442" t="s">
        <v>99</v>
      </c>
      <c r="P4442" t="s">
        <v>99</v>
      </c>
      <c r="Q4442" t="s">
        <v>99</v>
      </c>
    </row>
    <row r="4443" spans="1:17" x14ac:dyDescent="0.3">
      <c r="A4443" t="s">
        <v>37</v>
      </c>
      <c r="B4443" t="s">
        <v>238</v>
      </c>
      <c r="C4443">
        <v>1644</v>
      </c>
      <c r="D4443" t="s">
        <v>57</v>
      </c>
      <c r="E4443" t="s">
        <v>714</v>
      </c>
      <c r="F4443" t="s">
        <v>72</v>
      </c>
      <c r="G4443" t="s">
        <v>198</v>
      </c>
      <c r="H4443" t="s">
        <v>99</v>
      </c>
      <c r="I4443" t="s">
        <v>104</v>
      </c>
      <c r="J4443" t="s">
        <v>722</v>
      </c>
      <c r="K4443" t="s">
        <v>136</v>
      </c>
      <c r="L4443" t="s">
        <v>120</v>
      </c>
      <c r="M4443" t="s">
        <v>99</v>
      </c>
      <c r="N4443" t="s">
        <v>104</v>
      </c>
      <c r="O4443" t="s">
        <v>99</v>
      </c>
      <c r="P4443" t="s">
        <v>99</v>
      </c>
      <c r="Q4443" t="s">
        <v>99</v>
      </c>
    </row>
    <row r="4444" spans="1:17" x14ac:dyDescent="0.3">
      <c r="A4444" t="s">
        <v>36</v>
      </c>
      <c r="B4444" t="s">
        <v>236</v>
      </c>
      <c r="C4444">
        <v>1566</v>
      </c>
      <c r="D4444" t="s">
        <v>833</v>
      </c>
      <c r="E4444" t="s">
        <v>117</v>
      </c>
      <c r="F4444" t="s">
        <v>489</v>
      </c>
      <c r="G4444" t="s">
        <v>198</v>
      </c>
      <c r="H4444" t="s">
        <v>207</v>
      </c>
      <c r="I4444" t="s">
        <v>104</v>
      </c>
      <c r="J4444" t="s">
        <v>565</v>
      </c>
      <c r="K4444" t="s">
        <v>132</v>
      </c>
      <c r="L4444" t="s">
        <v>664</v>
      </c>
      <c r="M4444" t="s">
        <v>99</v>
      </c>
      <c r="N4444" t="s">
        <v>136</v>
      </c>
      <c r="O4444" t="s">
        <v>99</v>
      </c>
      <c r="P4444" t="s">
        <v>99</v>
      </c>
      <c r="Q4444" t="s">
        <v>99</v>
      </c>
    </row>
    <row r="4445" spans="1:17" x14ac:dyDescent="0.3">
      <c r="A4445" t="s">
        <v>36</v>
      </c>
      <c r="B4445" t="s">
        <v>238</v>
      </c>
      <c r="C4445">
        <v>739</v>
      </c>
      <c r="D4445" t="s">
        <v>1124</v>
      </c>
      <c r="E4445" t="s">
        <v>100</v>
      </c>
      <c r="F4445" t="s">
        <v>406</v>
      </c>
      <c r="G4445" t="s">
        <v>141</v>
      </c>
      <c r="H4445" t="s">
        <v>99</v>
      </c>
      <c r="I4445" t="s">
        <v>99</v>
      </c>
      <c r="J4445" t="s">
        <v>262</v>
      </c>
      <c r="K4445" t="s">
        <v>132</v>
      </c>
      <c r="L4445" t="s">
        <v>128</v>
      </c>
      <c r="M4445" t="s">
        <v>108</v>
      </c>
      <c r="N4445" t="s">
        <v>253</v>
      </c>
      <c r="O4445" t="s">
        <v>99</v>
      </c>
      <c r="P4445" t="s">
        <v>253</v>
      </c>
      <c r="Q4445" t="s">
        <v>99</v>
      </c>
    </row>
    <row r="4446" spans="1:17" x14ac:dyDescent="0.3">
      <c r="A4446" t="s">
        <v>34</v>
      </c>
      <c r="B4446" t="s">
        <v>236</v>
      </c>
      <c r="C4446">
        <v>717</v>
      </c>
      <c r="D4446" t="s">
        <v>894</v>
      </c>
      <c r="E4446" t="s">
        <v>107</v>
      </c>
      <c r="F4446" t="s">
        <v>1102</v>
      </c>
      <c r="G4446" t="s">
        <v>99</v>
      </c>
      <c r="H4446" t="s">
        <v>99</v>
      </c>
      <c r="I4446" t="s">
        <v>99</v>
      </c>
      <c r="J4446" t="s">
        <v>577</v>
      </c>
      <c r="K4446" t="s">
        <v>141</v>
      </c>
      <c r="L4446" t="s">
        <v>468</v>
      </c>
      <c r="M4446" t="s">
        <v>99</v>
      </c>
      <c r="N4446" t="s">
        <v>115</v>
      </c>
      <c r="O4446" t="s">
        <v>99</v>
      </c>
      <c r="P4446" t="s">
        <v>99</v>
      </c>
      <c r="Q4446" t="s">
        <v>99</v>
      </c>
    </row>
    <row r="4447" spans="1:17" x14ac:dyDescent="0.3">
      <c r="A4447" t="s">
        <v>34</v>
      </c>
      <c r="B4447" t="s">
        <v>238</v>
      </c>
      <c r="C4447">
        <v>1363</v>
      </c>
      <c r="D4447" t="s">
        <v>1383</v>
      </c>
      <c r="E4447" t="s">
        <v>332</v>
      </c>
      <c r="F4447" t="s">
        <v>920</v>
      </c>
      <c r="G4447" t="s">
        <v>104</v>
      </c>
      <c r="H4447" t="s">
        <v>99</v>
      </c>
      <c r="I4447" t="s">
        <v>99</v>
      </c>
      <c r="J4447" t="s">
        <v>491</v>
      </c>
      <c r="K4447" t="s">
        <v>132</v>
      </c>
      <c r="L4447" t="s">
        <v>129</v>
      </c>
      <c r="M4447" t="s">
        <v>99</v>
      </c>
      <c r="N4447" t="s">
        <v>114</v>
      </c>
      <c r="O4447" t="s">
        <v>99</v>
      </c>
      <c r="P4447" t="s">
        <v>99</v>
      </c>
      <c r="Q4447" t="s">
        <v>104</v>
      </c>
    </row>
    <row r="4448" spans="1:17" x14ac:dyDescent="0.3">
      <c r="A4448" t="s">
        <v>33</v>
      </c>
      <c r="B4448" t="s">
        <v>236</v>
      </c>
      <c r="C4448">
        <v>1116</v>
      </c>
      <c r="D4448" t="s">
        <v>113</v>
      </c>
      <c r="E4448" t="s">
        <v>253</v>
      </c>
      <c r="F4448" t="s">
        <v>1058</v>
      </c>
      <c r="G4448" t="s">
        <v>99</v>
      </c>
      <c r="H4448" t="s">
        <v>104</v>
      </c>
      <c r="I4448" t="s">
        <v>198</v>
      </c>
      <c r="J4448" t="s">
        <v>698</v>
      </c>
      <c r="K4448" t="s">
        <v>123</v>
      </c>
      <c r="L4448" t="s">
        <v>38</v>
      </c>
      <c r="M4448" t="s">
        <v>104</v>
      </c>
      <c r="N4448" t="s">
        <v>207</v>
      </c>
      <c r="O4448" t="s">
        <v>141</v>
      </c>
      <c r="P4448" t="s">
        <v>99</v>
      </c>
      <c r="Q4448" t="s">
        <v>99</v>
      </c>
    </row>
    <row r="4449" spans="1:17" x14ac:dyDescent="0.3">
      <c r="A4449" t="s">
        <v>33</v>
      </c>
      <c r="B4449" t="s">
        <v>238</v>
      </c>
      <c r="C4449">
        <v>821</v>
      </c>
      <c r="D4449" t="s">
        <v>630</v>
      </c>
      <c r="E4449" t="s">
        <v>319</v>
      </c>
      <c r="F4449" t="s">
        <v>62</v>
      </c>
      <c r="G4449" t="s">
        <v>104</v>
      </c>
      <c r="H4449" t="s">
        <v>99</v>
      </c>
      <c r="I4449" t="s">
        <v>99</v>
      </c>
      <c r="J4449" t="s">
        <v>291</v>
      </c>
      <c r="K4449" t="s">
        <v>136</v>
      </c>
      <c r="L4449" t="s">
        <v>157</v>
      </c>
      <c r="M4449" t="s">
        <v>99</v>
      </c>
      <c r="N4449" t="s">
        <v>104</v>
      </c>
      <c r="O4449" t="s">
        <v>99</v>
      </c>
      <c r="P4449" t="s">
        <v>99</v>
      </c>
      <c r="Q4449" t="s">
        <v>99</v>
      </c>
    </row>
    <row r="4450" spans="1:17" x14ac:dyDescent="0.3">
      <c r="A4450" t="s">
        <v>49</v>
      </c>
      <c r="B4450" t="s">
        <v>236</v>
      </c>
      <c r="C4450">
        <v>7220</v>
      </c>
      <c r="D4450" t="s">
        <v>373</v>
      </c>
      <c r="E4450" t="s">
        <v>313</v>
      </c>
      <c r="F4450" t="s">
        <v>897</v>
      </c>
      <c r="G4450" t="s">
        <v>136</v>
      </c>
      <c r="H4450" t="s">
        <v>104</v>
      </c>
      <c r="I4450" t="s">
        <v>198</v>
      </c>
      <c r="J4450" t="s">
        <v>1285</v>
      </c>
      <c r="K4450" t="s">
        <v>123</v>
      </c>
      <c r="L4450" t="s">
        <v>369</v>
      </c>
      <c r="M4450" t="s">
        <v>99</v>
      </c>
      <c r="N4450" t="s">
        <v>108</v>
      </c>
      <c r="O4450" t="s">
        <v>198</v>
      </c>
      <c r="P4450" t="s">
        <v>99</v>
      </c>
      <c r="Q4450" t="s">
        <v>99</v>
      </c>
    </row>
    <row r="4451" spans="1:17" x14ac:dyDescent="0.3">
      <c r="A4451" t="s">
        <v>49</v>
      </c>
      <c r="B4451" t="s">
        <v>238</v>
      </c>
      <c r="C4451">
        <v>6102</v>
      </c>
      <c r="D4451" t="s">
        <v>306</v>
      </c>
      <c r="E4451" t="s">
        <v>139</v>
      </c>
      <c r="F4451" t="s">
        <v>990</v>
      </c>
      <c r="G4451" t="s">
        <v>198</v>
      </c>
      <c r="H4451" t="s">
        <v>99</v>
      </c>
      <c r="I4451" t="s">
        <v>104</v>
      </c>
      <c r="J4451" t="s">
        <v>680</v>
      </c>
      <c r="K4451" t="s">
        <v>253</v>
      </c>
      <c r="L4451" t="s">
        <v>128</v>
      </c>
      <c r="M4451" t="s">
        <v>104</v>
      </c>
      <c r="N4451" t="s">
        <v>141</v>
      </c>
      <c r="O4451" t="s">
        <v>104</v>
      </c>
      <c r="P4451" t="s">
        <v>198</v>
      </c>
      <c r="Q4451" t="s">
        <v>104</v>
      </c>
    </row>
    <row r="4453" spans="1:17" x14ac:dyDescent="0.3">
      <c r="A4453" t="s">
        <v>1572</v>
      </c>
    </row>
    <row r="4454" spans="1:17" x14ac:dyDescent="0.3">
      <c r="A4454" t="s">
        <v>44</v>
      </c>
      <c r="B4454" t="s">
        <v>361</v>
      </c>
      <c r="C4454" t="s">
        <v>32</v>
      </c>
      <c r="D4454" t="s">
        <v>1557</v>
      </c>
      <c r="E4454" t="s">
        <v>1558</v>
      </c>
      <c r="F4454" t="s">
        <v>1559</v>
      </c>
      <c r="G4454" t="s">
        <v>1560</v>
      </c>
      <c r="H4454" t="s">
        <v>1561</v>
      </c>
      <c r="I4454" t="s">
        <v>1562</v>
      </c>
      <c r="J4454" t="s">
        <v>1563</v>
      </c>
      <c r="K4454" t="s">
        <v>1564</v>
      </c>
      <c r="L4454" t="s">
        <v>1565</v>
      </c>
      <c r="M4454" t="s">
        <v>1566</v>
      </c>
      <c r="N4454" t="s">
        <v>1567</v>
      </c>
      <c r="O4454" t="s">
        <v>1568</v>
      </c>
      <c r="P4454" t="s">
        <v>1569</v>
      </c>
      <c r="Q4454" t="s">
        <v>88</v>
      </c>
    </row>
    <row r="4455" spans="1:17" x14ac:dyDescent="0.3">
      <c r="A4455" t="s">
        <v>35</v>
      </c>
      <c r="B4455" t="s">
        <v>339</v>
      </c>
      <c r="C4455">
        <v>890</v>
      </c>
      <c r="D4455" t="s">
        <v>1015</v>
      </c>
      <c r="E4455" t="s">
        <v>292</v>
      </c>
      <c r="F4455" t="s">
        <v>694</v>
      </c>
      <c r="G4455" t="s">
        <v>99</v>
      </c>
      <c r="H4455" t="s">
        <v>104</v>
      </c>
      <c r="I4455" t="s">
        <v>198</v>
      </c>
      <c r="J4455" t="s">
        <v>864</v>
      </c>
      <c r="K4455" t="s">
        <v>123</v>
      </c>
      <c r="L4455" t="s">
        <v>118</v>
      </c>
      <c r="M4455" t="s">
        <v>99</v>
      </c>
      <c r="N4455" t="s">
        <v>319</v>
      </c>
      <c r="O4455" t="s">
        <v>99</v>
      </c>
      <c r="P4455" t="s">
        <v>104</v>
      </c>
      <c r="Q4455" t="s">
        <v>115</v>
      </c>
    </row>
    <row r="4456" spans="1:17" x14ac:dyDescent="0.3">
      <c r="A4456" t="s">
        <v>35</v>
      </c>
      <c r="B4456" t="s">
        <v>340</v>
      </c>
      <c r="C4456">
        <v>2215</v>
      </c>
      <c r="D4456" t="s">
        <v>1227</v>
      </c>
      <c r="E4456" t="s">
        <v>154</v>
      </c>
      <c r="F4456" t="s">
        <v>491</v>
      </c>
      <c r="G4456" t="s">
        <v>104</v>
      </c>
      <c r="H4456" t="s">
        <v>104</v>
      </c>
      <c r="I4456" t="s">
        <v>198</v>
      </c>
      <c r="J4456" t="s">
        <v>444</v>
      </c>
      <c r="K4456" t="s">
        <v>114</v>
      </c>
      <c r="L4456" t="s">
        <v>319</v>
      </c>
      <c r="M4456" t="s">
        <v>99</v>
      </c>
      <c r="N4456" t="s">
        <v>253</v>
      </c>
      <c r="O4456" t="s">
        <v>141</v>
      </c>
      <c r="P4456" t="s">
        <v>141</v>
      </c>
      <c r="Q4456" t="s">
        <v>99</v>
      </c>
    </row>
    <row r="4457" spans="1:17" x14ac:dyDescent="0.3">
      <c r="A4457" t="s">
        <v>35</v>
      </c>
      <c r="B4457" t="s">
        <v>365</v>
      </c>
      <c r="C4457">
        <v>40</v>
      </c>
      <c r="D4457" t="s">
        <v>997</v>
      </c>
      <c r="E4457" t="s">
        <v>154</v>
      </c>
      <c r="F4457" t="s">
        <v>410</v>
      </c>
      <c r="G4457" t="s">
        <v>99</v>
      </c>
      <c r="H4457" t="s">
        <v>99</v>
      </c>
      <c r="I4457" t="s">
        <v>99</v>
      </c>
      <c r="J4457" t="s">
        <v>710</v>
      </c>
      <c r="K4457" t="s">
        <v>139</v>
      </c>
      <c r="L4457" t="s">
        <v>151</v>
      </c>
      <c r="M4457" t="s">
        <v>99</v>
      </c>
      <c r="N4457" t="s">
        <v>99</v>
      </c>
      <c r="O4457" t="s">
        <v>99</v>
      </c>
      <c r="P4457" t="s">
        <v>99</v>
      </c>
      <c r="Q4457" t="s">
        <v>99</v>
      </c>
    </row>
    <row r="4458" spans="1:17" x14ac:dyDescent="0.3">
      <c r="A4458" t="s">
        <v>37</v>
      </c>
      <c r="B4458" t="s">
        <v>339</v>
      </c>
      <c r="C4458">
        <v>1093</v>
      </c>
      <c r="D4458" t="s">
        <v>1046</v>
      </c>
      <c r="E4458" t="s">
        <v>676</v>
      </c>
      <c r="F4458" t="s">
        <v>395</v>
      </c>
      <c r="G4458" t="s">
        <v>108</v>
      </c>
      <c r="H4458" t="s">
        <v>104</v>
      </c>
      <c r="I4458" t="s">
        <v>104</v>
      </c>
      <c r="J4458" t="s">
        <v>929</v>
      </c>
      <c r="K4458" t="s">
        <v>127</v>
      </c>
      <c r="L4458" t="s">
        <v>311</v>
      </c>
      <c r="M4458" t="s">
        <v>99</v>
      </c>
      <c r="N4458" t="s">
        <v>114</v>
      </c>
      <c r="O4458" t="s">
        <v>99</v>
      </c>
      <c r="P4458" t="s">
        <v>99</v>
      </c>
      <c r="Q4458" t="s">
        <v>99</v>
      </c>
    </row>
    <row r="4459" spans="1:17" x14ac:dyDescent="0.3">
      <c r="A4459" t="s">
        <v>37</v>
      </c>
      <c r="B4459" t="s">
        <v>340</v>
      </c>
      <c r="C4459">
        <v>2721</v>
      </c>
      <c r="D4459" t="s">
        <v>527</v>
      </c>
      <c r="E4459" t="s">
        <v>425</v>
      </c>
      <c r="F4459" t="s">
        <v>357</v>
      </c>
      <c r="G4459" t="s">
        <v>141</v>
      </c>
      <c r="H4459" t="s">
        <v>104</v>
      </c>
      <c r="I4459" t="s">
        <v>198</v>
      </c>
      <c r="J4459" t="s">
        <v>696</v>
      </c>
      <c r="K4459" t="s">
        <v>108</v>
      </c>
      <c r="L4459" t="s">
        <v>78</v>
      </c>
      <c r="M4459" t="s">
        <v>104</v>
      </c>
      <c r="N4459" t="s">
        <v>141</v>
      </c>
      <c r="O4459" t="s">
        <v>99</v>
      </c>
      <c r="P4459" t="s">
        <v>99</v>
      </c>
      <c r="Q4459" t="s">
        <v>99</v>
      </c>
    </row>
    <row r="4460" spans="1:17" x14ac:dyDescent="0.3">
      <c r="A4460" t="s">
        <v>37</v>
      </c>
      <c r="B4460" t="s">
        <v>365</v>
      </c>
      <c r="C4460">
        <v>41</v>
      </c>
      <c r="D4460" t="s">
        <v>745</v>
      </c>
      <c r="E4460" t="s">
        <v>177</v>
      </c>
      <c r="F4460" t="s">
        <v>705</v>
      </c>
      <c r="G4460" t="s">
        <v>99</v>
      </c>
      <c r="H4460" t="s">
        <v>99</v>
      </c>
      <c r="I4460" t="s">
        <v>99</v>
      </c>
      <c r="J4460" t="s">
        <v>298</v>
      </c>
      <c r="K4460" t="s">
        <v>98</v>
      </c>
      <c r="L4460" t="s">
        <v>473</v>
      </c>
      <c r="M4460" t="s">
        <v>99</v>
      </c>
      <c r="N4460" t="s">
        <v>99</v>
      </c>
      <c r="O4460" t="s">
        <v>99</v>
      </c>
      <c r="P4460" t="s">
        <v>99</v>
      </c>
      <c r="Q4460" t="s">
        <v>99</v>
      </c>
    </row>
    <row r="4461" spans="1:17" x14ac:dyDescent="0.3">
      <c r="A4461" t="s">
        <v>36</v>
      </c>
      <c r="B4461" t="s">
        <v>339</v>
      </c>
      <c r="C4461">
        <v>770</v>
      </c>
      <c r="D4461" t="s">
        <v>571</v>
      </c>
      <c r="E4461" t="s">
        <v>128</v>
      </c>
      <c r="F4461" t="s">
        <v>702</v>
      </c>
      <c r="G4461" t="s">
        <v>104</v>
      </c>
      <c r="H4461" t="s">
        <v>99</v>
      </c>
      <c r="I4461" t="s">
        <v>99</v>
      </c>
      <c r="J4461" t="s">
        <v>42</v>
      </c>
      <c r="K4461" t="s">
        <v>100</v>
      </c>
      <c r="L4461" t="s">
        <v>143</v>
      </c>
      <c r="M4461" t="s">
        <v>132</v>
      </c>
      <c r="N4461" t="s">
        <v>141</v>
      </c>
      <c r="O4461" t="s">
        <v>99</v>
      </c>
      <c r="P4461" t="s">
        <v>99</v>
      </c>
      <c r="Q4461" t="s">
        <v>99</v>
      </c>
    </row>
    <row r="4462" spans="1:17" x14ac:dyDescent="0.3">
      <c r="A4462" t="s">
        <v>36</v>
      </c>
      <c r="B4462" t="s">
        <v>340</v>
      </c>
      <c r="C4462">
        <v>1472</v>
      </c>
      <c r="D4462" t="s">
        <v>583</v>
      </c>
      <c r="E4462" t="s">
        <v>100</v>
      </c>
      <c r="F4462" t="s">
        <v>894</v>
      </c>
      <c r="G4462" t="s">
        <v>104</v>
      </c>
      <c r="H4462" t="s">
        <v>198</v>
      </c>
      <c r="I4462" t="s">
        <v>104</v>
      </c>
      <c r="J4462" t="s">
        <v>670</v>
      </c>
      <c r="K4462" t="s">
        <v>115</v>
      </c>
      <c r="L4462" t="s">
        <v>118</v>
      </c>
      <c r="M4462" t="s">
        <v>136</v>
      </c>
      <c r="N4462" t="s">
        <v>253</v>
      </c>
      <c r="O4462" t="s">
        <v>99</v>
      </c>
      <c r="P4462" t="s">
        <v>141</v>
      </c>
      <c r="Q4462" t="s">
        <v>99</v>
      </c>
    </row>
    <row r="4463" spans="1:17" x14ac:dyDescent="0.3">
      <c r="A4463" t="s">
        <v>36</v>
      </c>
      <c r="B4463" t="s">
        <v>365</v>
      </c>
      <c r="C4463">
        <v>63</v>
      </c>
      <c r="D4463" t="s">
        <v>109</v>
      </c>
      <c r="E4463" t="s">
        <v>108</v>
      </c>
      <c r="F4463" t="s">
        <v>806</v>
      </c>
      <c r="G4463" t="s">
        <v>311</v>
      </c>
      <c r="H4463" t="s">
        <v>99</v>
      </c>
      <c r="I4463" t="s">
        <v>99</v>
      </c>
      <c r="J4463" t="s">
        <v>619</v>
      </c>
      <c r="K4463" t="s">
        <v>99</v>
      </c>
      <c r="L4463" t="s">
        <v>143</v>
      </c>
      <c r="M4463" t="s">
        <v>99</v>
      </c>
      <c r="N4463" t="s">
        <v>99</v>
      </c>
      <c r="O4463" t="s">
        <v>99</v>
      </c>
      <c r="P4463" t="s">
        <v>99</v>
      </c>
      <c r="Q4463" t="s">
        <v>99</v>
      </c>
    </row>
    <row r="4464" spans="1:17" x14ac:dyDescent="0.3">
      <c r="A4464" t="s">
        <v>34</v>
      </c>
      <c r="B4464" t="s">
        <v>339</v>
      </c>
      <c r="C4464">
        <v>555</v>
      </c>
      <c r="D4464" t="s">
        <v>636</v>
      </c>
      <c r="E4464" t="s">
        <v>332</v>
      </c>
      <c r="F4464" t="s">
        <v>1045</v>
      </c>
      <c r="G4464" t="s">
        <v>198</v>
      </c>
      <c r="H4464" t="s">
        <v>99</v>
      </c>
      <c r="I4464" t="s">
        <v>99</v>
      </c>
      <c r="J4464" t="s">
        <v>344</v>
      </c>
      <c r="K4464" t="s">
        <v>100</v>
      </c>
      <c r="L4464" t="s">
        <v>145</v>
      </c>
      <c r="M4464" t="s">
        <v>99</v>
      </c>
      <c r="N4464" t="s">
        <v>151</v>
      </c>
      <c r="O4464" t="s">
        <v>99</v>
      </c>
      <c r="P4464" t="s">
        <v>99</v>
      </c>
      <c r="Q4464" t="s">
        <v>99</v>
      </c>
    </row>
    <row r="4465" spans="1:17" x14ac:dyDescent="0.3">
      <c r="A4465" t="s">
        <v>34</v>
      </c>
      <c r="B4465" t="s">
        <v>340</v>
      </c>
      <c r="C4465">
        <v>1497</v>
      </c>
      <c r="D4465" t="s">
        <v>497</v>
      </c>
      <c r="E4465" t="s">
        <v>155</v>
      </c>
      <c r="F4465" t="s">
        <v>592</v>
      </c>
      <c r="G4465" t="s">
        <v>99</v>
      </c>
      <c r="H4465" t="s">
        <v>99</v>
      </c>
      <c r="I4465" t="s">
        <v>99</v>
      </c>
      <c r="J4465" t="s">
        <v>868</v>
      </c>
      <c r="K4465" t="s">
        <v>141</v>
      </c>
      <c r="L4465" t="s">
        <v>154</v>
      </c>
      <c r="M4465" t="s">
        <v>99</v>
      </c>
      <c r="N4465" t="s">
        <v>136</v>
      </c>
      <c r="O4465" t="s">
        <v>99</v>
      </c>
      <c r="P4465" t="s">
        <v>99</v>
      </c>
      <c r="Q4465" t="s">
        <v>104</v>
      </c>
    </row>
    <row r="4466" spans="1:17" x14ac:dyDescent="0.3">
      <c r="A4466" t="s">
        <v>34</v>
      </c>
      <c r="B4466" t="s">
        <v>365</v>
      </c>
      <c r="C4466">
        <v>28</v>
      </c>
      <c r="D4466" t="s">
        <v>1510</v>
      </c>
      <c r="E4466" t="s">
        <v>99</v>
      </c>
      <c r="F4466" t="s">
        <v>222</v>
      </c>
      <c r="G4466" t="s">
        <v>99</v>
      </c>
      <c r="H4466" t="s">
        <v>99</v>
      </c>
      <c r="I4466" t="s">
        <v>99</v>
      </c>
      <c r="J4466" t="s">
        <v>117</v>
      </c>
      <c r="K4466" t="s">
        <v>99</v>
      </c>
      <c r="L4466" t="s">
        <v>149</v>
      </c>
      <c r="M4466" t="s">
        <v>99</v>
      </c>
      <c r="N4466" t="s">
        <v>99</v>
      </c>
      <c r="O4466" t="s">
        <v>99</v>
      </c>
      <c r="P4466" t="s">
        <v>99</v>
      </c>
      <c r="Q4466" t="s">
        <v>99</v>
      </c>
    </row>
    <row r="4467" spans="1:17" x14ac:dyDescent="0.3">
      <c r="A4467" t="s">
        <v>33</v>
      </c>
      <c r="B4467" t="s">
        <v>339</v>
      </c>
      <c r="C4467">
        <v>503</v>
      </c>
      <c r="D4467" t="s">
        <v>119</v>
      </c>
      <c r="E4467" t="s">
        <v>136</v>
      </c>
      <c r="F4467" t="s">
        <v>797</v>
      </c>
      <c r="G4467" t="s">
        <v>99</v>
      </c>
      <c r="H4467" t="s">
        <v>198</v>
      </c>
      <c r="I4467" t="s">
        <v>198</v>
      </c>
      <c r="J4467" t="s">
        <v>828</v>
      </c>
      <c r="K4467" t="s">
        <v>103</v>
      </c>
      <c r="L4467" t="s">
        <v>289</v>
      </c>
      <c r="M4467" t="s">
        <v>198</v>
      </c>
      <c r="N4467" t="s">
        <v>253</v>
      </c>
      <c r="O4467" t="s">
        <v>198</v>
      </c>
      <c r="P4467" t="s">
        <v>99</v>
      </c>
      <c r="Q4467" t="s">
        <v>99</v>
      </c>
    </row>
    <row r="4468" spans="1:17" x14ac:dyDescent="0.3">
      <c r="A4468" t="s">
        <v>33</v>
      </c>
      <c r="B4468" t="s">
        <v>340</v>
      </c>
      <c r="C4468">
        <v>1415</v>
      </c>
      <c r="D4468" t="s">
        <v>592</v>
      </c>
      <c r="E4468" t="s">
        <v>121</v>
      </c>
      <c r="F4468" t="s">
        <v>1113</v>
      </c>
      <c r="G4468" t="s">
        <v>104</v>
      </c>
      <c r="H4468" t="s">
        <v>99</v>
      </c>
      <c r="I4468" t="s">
        <v>99</v>
      </c>
      <c r="J4468" t="s">
        <v>805</v>
      </c>
      <c r="K4468" t="s">
        <v>115</v>
      </c>
      <c r="L4468" t="s">
        <v>72</v>
      </c>
      <c r="M4468" t="s">
        <v>99</v>
      </c>
      <c r="N4468" t="s">
        <v>104</v>
      </c>
      <c r="O4468" t="s">
        <v>207</v>
      </c>
      <c r="P4468" t="s">
        <v>99</v>
      </c>
      <c r="Q4468" t="s">
        <v>99</v>
      </c>
    </row>
    <row r="4469" spans="1:17" x14ac:dyDescent="0.3">
      <c r="A4469" t="s">
        <v>33</v>
      </c>
      <c r="B4469" t="s">
        <v>365</v>
      </c>
      <c r="C4469">
        <v>19</v>
      </c>
      <c r="D4469" t="s">
        <v>357</v>
      </c>
      <c r="E4469" t="s">
        <v>99</v>
      </c>
      <c r="F4469" t="s">
        <v>590</v>
      </c>
      <c r="G4469" t="s">
        <v>99</v>
      </c>
      <c r="H4469" t="s">
        <v>99</v>
      </c>
      <c r="I4469" t="s">
        <v>328</v>
      </c>
      <c r="J4469" t="s">
        <v>680</v>
      </c>
      <c r="K4469" t="s">
        <v>99</v>
      </c>
      <c r="L4469" t="s">
        <v>188</v>
      </c>
      <c r="M4469" t="s">
        <v>99</v>
      </c>
      <c r="N4469" t="s">
        <v>99</v>
      </c>
      <c r="O4469" t="s">
        <v>99</v>
      </c>
      <c r="P4469" t="s">
        <v>99</v>
      </c>
      <c r="Q4469" t="s">
        <v>99</v>
      </c>
    </row>
    <row r="4470" spans="1:17" x14ac:dyDescent="0.3">
      <c r="A4470" t="s">
        <v>49</v>
      </c>
      <c r="B4470" t="s">
        <v>339</v>
      </c>
      <c r="C4470">
        <v>3811</v>
      </c>
      <c r="D4470" t="s">
        <v>619</v>
      </c>
      <c r="E4470" t="s">
        <v>145</v>
      </c>
      <c r="F4470" t="s">
        <v>749</v>
      </c>
      <c r="G4470" t="s">
        <v>207</v>
      </c>
      <c r="H4470" t="s">
        <v>104</v>
      </c>
      <c r="I4470" t="s">
        <v>104</v>
      </c>
      <c r="J4470" t="s">
        <v>681</v>
      </c>
      <c r="K4470" t="s">
        <v>215</v>
      </c>
      <c r="L4470" t="s">
        <v>70</v>
      </c>
      <c r="M4470" t="s">
        <v>104</v>
      </c>
      <c r="N4470" t="s">
        <v>121</v>
      </c>
      <c r="O4470" t="s">
        <v>99</v>
      </c>
      <c r="P4470" t="s">
        <v>99</v>
      </c>
      <c r="Q4470" t="s">
        <v>198</v>
      </c>
    </row>
    <row r="4471" spans="1:17" x14ac:dyDescent="0.3">
      <c r="A4471" t="s">
        <v>49</v>
      </c>
      <c r="B4471" t="s">
        <v>340</v>
      </c>
      <c r="C4471">
        <v>9320</v>
      </c>
      <c r="D4471" t="s">
        <v>571</v>
      </c>
      <c r="E4471" t="s">
        <v>70</v>
      </c>
      <c r="F4471" t="s">
        <v>860</v>
      </c>
      <c r="G4471" t="s">
        <v>198</v>
      </c>
      <c r="H4471" t="s">
        <v>104</v>
      </c>
      <c r="I4471" t="s">
        <v>104</v>
      </c>
      <c r="J4471" t="s">
        <v>933</v>
      </c>
      <c r="K4471" t="s">
        <v>132</v>
      </c>
      <c r="L4471" t="s">
        <v>412</v>
      </c>
      <c r="M4471" t="s">
        <v>104</v>
      </c>
      <c r="N4471" t="s">
        <v>136</v>
      </c>
      <c r="O4471" t="s">
        <v>198</v>
      </c>
      <c r="P4471" t="s">
        <v>198</v>
      </c>
      <c r="Q4471" t="s">
        <v>99</v>
      </c>
    </row>
    <row r="4472" spans="1:17" x14ac:dyDescent="0.3">
      <c r="A4472" t="s">
        <v>49</v>
      </c>
      <c r="B4472" t="s">
        <v>365</v>
      </c>
      <c r="C4472">
        <v>191</v>
      </c>
      <c r="D4472" t="s">
        <v>591</v>
      </c>
      <c r="E4472" t="s">
        <v>277</v>
      </c>
      <c r="F4472" t="s">
        <v>959</v>
      </c>
      <c r="G4472" t="s">
        <v>123</v>
      </c>
      <c r="H4472" t="s">
        <v>99</v>
      </c>
      <c r="I4472" t="s">
        <v>115</v>
      </c>
      <c r="J4472" t="s">
        <v>357</v>
      </c>
      <c r="K4472" t="s">
        <v>117</v>
      </c>
      <c r="L4472" t="s">
        <v>379</v>
      </c>
      <c r="M4472" t="s">
        <v>99</v>
      </c>
      <c r="N4472" t="s">
        <v>99</v>
      </c>
      <c r="O4472" t="s">
        <v>99</v>
      </c>
      <c r="P4472" t="s">
        <v>99</v>
      </c>
      <c r="Q4472" t="s">
        <v>99</v>
      </c>
    </row>
    <row r="4474" spans="1:17" x14ac:dyDescent="0.3">
      <c r="A4474" t="s">
        <v>1573</v>
      </c>
    </row>
    <row r="4475" spans="1:17" x14ac:dyDescent="0.3">
      <c r="A4475" t="s">
        <v>44</v>
      </c>
      <c r="B4475" t="s">
        <v>209</v>
      </c>
      <c r="C4475" t="s">
        <v>32</v>
      </c>
      <c r="D4475" t="s">
        <v>1557</v>
      </c>
      <c r="E4475" t="s">
        <v>1558</v>
      </c>
      <c r="F4475" t="s">
        <v>1559</v>
      </c>
      <c r="G4475" t="s">
        <v>1560</v>
      </c>
      <c r="H4475" t="s">
        <v>1561</v>
      </c>
      <c r="I4475" t="s">
        <v>1562</v>
      </c>
      <c r="J4475" t="s">
        <v>1563</v>
      </c>
      <c r="K4475" t="s">
        <v>1564</v>
      </c>
      <c r="L4475" t="s">
        <v>1565</v>
      </c>
      <c r="M4475" t="s">
        <v>1566</v>
      </c>
      <c r="N4475" t="s">
        <v>1567</v>
      </c>
      <c r="O4475" t="s">
        <v>1568</v>
      </c>
      <c r="P4475" t="s">
        <v>1569</v>
      </c>
      <c r="Q4475" t="s">
        <v>88</v>
      </c>
    </row>
    <row r="4476" spans="1:17" x14ac:dyDescent="0.3">
      <c r="A4476" t="s">
        <v>35</v>
      </c>
      <c r="B4476" t="s">
        <v>210</v>
      </c>
      <c r="C4476">
        <v>136</v>
      </c>
      <c r="D4476" t="s">
        <v>486</v>
      </c>
      <c r="E4476" t="s">
        <v>117</v>
      </c>
      <c r="F4476" t="s">
        <v>315</v>
      </c>
      <c r="G4476" t="s">
        <v>99</v>
      </c>
      <c r="H4476" t="s">
        <v>99</v>
      </c>
      <c r="I4476" t="s">
        <v>136</v>
      </c>
      <c r="J4476" t="s">
        <v>368</v>
      </c>
      <c r="K4476" t="s">
        <v>141</v>
      </c>
      <c r="L4476" t="s">
        <v>108</v>
      </c>
      <c r="M4476" t="s">
        <v>99</v>
      </c>
      <c r="N4476" t="s">
        <v>136</v>
      </c>
      <c r="O4476" t="s">
        <v>99</v>
      </c>
      <c r="P4476" t="s">
        <v>99</v>
      </c>
      <c r="Q4476" t="s">
        <v>99</v>
      </c>
    </row>
    <row r="4477" spans="1:17" x14ac:dyDescent="0.3">
      <c r="A4477" t="s">
        <v>35</v>
      </c>
      <c r="B4477" t="s">
        <v>212</v>
      </c>
      <c r="C4477">
        <v>2442</v>
      </c>
      <c r="D4477" t="s">
        <v>1095</v>
      </c>
      <c r="E4477" t="s">
        <v>332</v>
      </c>
      <c r="F4477" t="s">
        <v>309</v>
      </c>
      <c r="G4477" t="s">
        <v>104</v>
      </c>
      <c r="H4477" t="s">
        <v>104</v>
      </c>
      <c r="I4477" t="s">
        <v>104</v>
      </c>
      <c r="J4477" t="s">
        <v>864</v>
      </c>
      <c r="K4477" t="s">
        <v>127</v>
      </c>
      <c r="L4477" t="s">
        <v>128</v>
      </c>
      <c r="M4477" t="s">
        <v>99</v>
      </c>
      <c r="N4477" t="s">
        <v>121</v>
      </c>
      <c r="O4477" t="s">
        <v>198</v>
      </c>
      <c r="P4477" t="s">
        <v>253</v>
      </c>
      <c r="Q4477" t="s">
        <v>207</v>
      </c>
    </row>
    <row r="4478" spans="1:17" x14ac:dyDescent="0.3">
      <c r="A4478" t="s">
        <v>35</v>
      </c>
      <c r="B4478" t="s">
        <v>216</v>
      </c>
      <c r="C4478">
        <v>567</v>
      </c>
      <c r="D4478" t="s">
        <v>424</v>
      </c>
      <c r="E4478" t="s">
        <v>103</v>
      </c>
      <c r="F4478" t="s">
        <v>244</v>
      </c>
      <c r="G4478" t="s">
        <v>99</v>
      </c>
      <c r="H4478" t="s">
        <v>198</v>
      </c>
      <c r="I4478" t="s">
        <v>141</v>
      </c>
      <c r="J4478" t="s">
        <v>299</v>
      </c>
      <c r="K4478" t="s">
        <v>104</v>
      </c>
      <c r="L4478" t="s">
        <v>115</v>
      </c>
      <c r="M4478" t="s">
        <v>99</v>
      </c>
      <c r="N4478" t="s">
        <v>104</v>
      </c>
      <c r="O4478" t="s">
        <v>115</v>
      </c>
      <c r="P4478" t="s">
        <v>104</v>
      </c>
      <c r="Q4478" t="s">
        <v>99</v>
      </c>
    </row>
    <row r="4479" spans="1:17" x14ac:dyDescent="0.3">
      <c r="A4479" t="s">
        <v>37</v>
      </c>
      <c r="B4479" t="s">
        <v>210</v>
      </c>
      <c r="C4479">
        <v>138</v>
      </c>
      <c r="D4479" t="s">
        <v>280</v>
      </c>
      <c r="E4479" t="s">
        <v>152</v>
      </c>
      <c r="F4479" t="s">
        <v>708</v>
      </c>
      <c r="G4479" t="s">
        <v>99</v>
      </c>
      <c r="H4479" t="s">
        <v>99</v>
      </c>
      <c r="I4479" t="s">
        <v>115</v>
      </c>
      <c r="J4479" t="s">
        <v>315</v>
      </c>
      <c r="K4479" t="s">
        <v>115</v>
      </c>
      <c r="L4479" t="s">
        <v>128</v>
      </c>
      <c r="M4479" t="s">
        <v>99</v>
      </c>
      <c r="N4479" t="s">
        <v>136</v>
      </c>
      <c r="O4479" t="s">
        <v>99</v>
      </c>
      <c r="P4479" t="s">
        <v>99</v>
      </c>
      <c r="Q4479" t="s">
        <v>99</v>
      </c>
    </row>
    <row r="4480" spans="1:17" x14ac:dyDescent="0.3">
      <c r="A4480" t="s">
        <v>37</v>
      </c>
      <c r="B4480" t="s">
        <v>212</v>
      </c>
      <c r="C4480">
        <v>3606</v>
      </c>
      <c r="D4480" t="s">
        <v>1068</v>
      </c>
      <c r="E4480" t="s">
        <v>491</v>
      </c>
      <c r="F4480" t="s">
        <v>177</v>
      </c>
      <c r="G4480" t="s">
        <v>115</v>
      </c>
      <c r="H4480" t="s">
        <v>104</v>
      </c>
      <c r="I4480" t="s">
        <v>198</v>
      </c>
      <c r="J4480" t="s">
        <v>920</v>
      </c>
      <c r="K4480" t="s">
        <v>121</v>
      </c>
      <c r="L4480" t="s">
        <v>671</v>
      </c>
      <c r="M4480" t="s">
        <v>99</v>
      </c>
      <c r="N4480" t="s">
        <v>115</v>
      </c>
      <c r="O4480" t="s">
        <v>99</v>
      </c>
      <c r="P4480" t="s">
        <v>99</v>
      </c>
      <c r="Q4480" t="s">
        <v>99</v>
      </c>
    </row>
    <row r="4481" spans="1:17" x14ac:dyDescent="0.3">
      <c r="A4481" t="s">
        <v>37</v>
      </c>
      <c r="B4481" t="s">
        <v>216</v>
      </c>
      <c r="C4481">
        <v>111</v>
      </c>
      <c r="D4481" t="s">
        <v>1118</v>
      </c>
      <c r="E4481" t="s">
        <v>1102</v>
      </c>
      <c r="F4481" t="s">
        <v>664</v>
      </c>
      <c r="G4481" t="s">
        <v>99</v>
      </c>
      <c r="H4481" t="s">
        <v>99</v>
      </c>
      <c r="I4481" t="s">
        <v>99</v>
      </c>
      <c r="J4481" t="s">
        <v>702</v>
      </c>
      <c r="K4481" t="s">
        <v>151</v>
      </c>
      <c r="L4481" t="s">
        <v>117</v>
      </c>
      <c r="M4481" t="s">
        <v>99</v>
      </c>
      <c r="N4481" t="s">
        <v>99</v>
      </c>
      <c r="O4481" t="s">
        <v>99</v>
      </c>
      <c r="P4481" t="s">
        <v>99</v>
      </c>
      <c r="Q4481" t="s">
        <v>99</v>
      </c>
    </row>
    <row r="4482" spans="1:17" x14ac:dyDescent="0.3">
      <c r="A4482" t="s">
        <v>36</v>
      </c>
      <c r="B4482" t="s">
        <v>210</v>
      </c>
      <c r="C4482">
        <v>165</v>
      </c>
      <c r="D4482" t="s">
        <v>343</v>
      </c>
      <c r="E4482" t="s">
        <v>198</v>
      </c>
      <c r="F4482" t="s">
        <v>482</v>
      </c>
      <c r="G4482" t="s">
        <v>99</v>
      </c>
      <c r="H4482" t="s">
        <v>99</v>
      </c>
      <c r="I4482" t="s">
        <v>104</v>
      </c>
      <c r="J4482" t="s">
        <v>710</v>
      </c>
      <c r="K4482" t="s">
        <v>104</v>
      </c>
      <c r="L4482" t="s">
        <v>292</v>
      </c>
      <c r="M4482" t="s">
        <v>268</v>
      </c>
      <c r="N4482" t="s">
        <v>99</v>
      </c>
      <c r="O4482" t="s">
        <v>99</v>
      </c>
      <c r="P4482" t="s">
        <v>99</v>
      </c>
      <c r="Q4482" t="s">
        <v>99</v>
      </c>
    </row>
    <row r="4483" spans="1:17" x14ac:dyDescent="0.3">
      <c r="A4483" t="s">
        <v>36</v>
      </c>
      <c r="B4483" t="s">
        <v>212</v>
      </c>
      <c r="C4483">
        <v>1875</v>
      </c>
      <c r="D4483" t="s">
        <v>571</v>
      </c>
      <c r="E4483" t="s">
        <v>123</v>
      </c>
      <c r="F4483" t="s">
        <v>1045</v>
      </c>
      <c r="G4483" t="s">
        <v>141</v>
      </c>
      <c r="H4483" t="s">
        <v>104</v>
      </c>
      <c r="I4483" t="s">
        <v>99</v>
      </c>
      <c r="J4483" t="s">
        <v>40</v>
      </c>
      <c r="K4483" t="s">
        <v>114</v>
      </c>
      <c r="L4483" t="s">
        <v>139</v>
      </c>
      <c r="M4483" t="s">
        <v>207</v>
      </c>
      <c r="N4483" t="s">
        <v>141</v>
      </c>
      <c r="O4483" t="s">
        <v>99</v>
      </c>
      <c r="P4483" t="s">
        <v>136</v>
      </c>
      <c r="Q4483" t="s">
        <v>99</v>
      </c>
    </row>
    <row r="4484" spans="1:17" x14ac:dyDescent="0.3">
      <c r="A4484" t="s">
        <v>36</v>
      </c>
      <c r="B4484" t="s">
        <v>216</v>
      </c>
      <c r="C4484">
        <v>265</v>
      </c>
      <c r="D4484" t="s">
        <v>458</v>
      </c>
      <c r="E4484" t="s">
        <v>319</v>
      </c>
      <c r="F4484" t="s">
        <v>747</v>
      </c>
      <c r="G4484" t="s">
        <v>99</v>
      </c>
      <c r="H4484" t="s">
        <v>115</v>
      </c>
      <c r="I4484" t="s">
        <v>99</v>
      </c>
      <c r="J4484" t="s">
        <v>267</v>
      </c>
      <c r="K4484" t="s">
        <v>207</v>
      </c>
      <c r="L4484" t="s">
        <v>664</v>
      </c>
      <c r="M4484" t="s">
        <v>99</v>
      </c>
      <c r="N4484" t="s">
        <v>319</v>
      </c>
      <c r="O4484" t="s">
        <v>99</v>
      </c>
      <c r="P4484" t="s">
        <v>99</v>
      </c>
      <c r="Q4484" t="s">
        <v>99</v>
      </c>
    </row>
    <row r="4485" spans="1:17" x14ac:dyDescent="0.3">
      <c r="A4485" t="s">
        <v>34</v>
      </c>
      <c r="B4485" t="s">
        <v>210</v>
      </c>
      <c r="C4485">
        <v>256</v>
      </c>
      <c r="D4485" t="s">
        <v>1150</v>
      </c>
      <c r="E4485" t="s">
        <v>474</v>
      </c>
      <c r="F4485" t="s">
        <v>408</v>
      </c>
      <c r="G4485" t="s">
        <v>99</v>
      </c>
      <c r="H4485" t="s">
        <v>99</v>
      </c>
      <c r="I4485" t="s">
        <v>99</v>
      </c>
      <c r="J4485" t="s">
        <v>478</v>
      </c>
      <c r="K4485" t="s">
        <v>127</v>
      </c>
      <c r="L4485" t="s">
        <v>130</v>
      </c>
      <c r="M4485" t="s">
        <v>99</v>
      </c>
      <c r="N4485" t="s">
        <v>100</v>
      </c>
      <c r="O4485" t="s">
        <v>99</v>
      </c>
      <c r="P4485" t="s">
        <v>99</v>
      </c>
      <c r="Q4485" t="s">
        <v>141</v>
      </c>
    </row>
    <row r="4486" spans="1:17" x14ac:dyDescent="0.3">
      <c r="A4486" t="s">
        <v>34</v>
      </c>
      <c r="B4486" t="s">
        <v>212</v>
      </c>
      <c r="C4486">
        <v>1582</v>
      </c>
      <c r="D4486" t="s">
        <v>62</v>
      </c>
      <c r="E4486" t="s">
        <v>138</v>
      </c>
      <c r="F4486" t="s">
        <v>843</v>
      </c>
      <c r="G4486" t="s">
        <v>104</v>
      </c>
      <c r="H4486" t="s">
        <v>99</v>
      </c>
      <c r="I4486" t="s">
        <v>99</v>
      </c>
      <c r="J4486" t="s">
        <v>456</v>
      </c>
      <c r="K4486" t="s">
        <v>253</v>
      </c>
      <c r="L4486" t="s">
        <v>412</v>
      </c>
      <c r="M4486" t="s">
        <v>99</v>
      </c>
      <c r="N4486" t="s">
        <v>114</v>
      </c>
      <c r="O4486" t="s">
        <v>99</v>
      </c>
      <c r="P4486" t="s">
        <v>99</v>
      </c>
      <c r="Q4486" t="s">
        <v>99</v>
      </c>
    </row>
    <row r="4487" spans="1:17" x14ac:dyDescent="0.3">
      <c r="A4487" t="s">
        <v>34</v>
      </c>
      <c r="B4487" t="s">
        <v>216</v>
      </c>
      <c r="C4487">
        <v>242</v>
      </c>
      <c r="D4487" t="s">
        <v>1472</v>
      </c>
      <c r="E4487" t="s">
        <v>103</v>
      </c>
      <c r="F4487" t="s">
        <v>425</v>
      </c>
      <c r="G4487" t="s">
        <v>104</v>
      </c>
      <c r="H4487" t="s">
        <v>99</v>
      </c>
      <c r="I4487" t="s">
        <v>99</v>
      </c>
      <c r="J4487" t="s">
        <v>451</v>
      </c>
      <c r="K4487" t="s">
        <v>104</v>
      </c>
      <c r="L4487" t="s">
        <v>128</v>
      </c>
      <c r="M4487" t="s">
        <v>99</v>
      </c>
      <c r="N4487" t="s">
        <v>253</v>
      </c>
      <c r="O4487" t="s">
        <v>99</v>
      </c>
      <c r="P4487" t="s">
        <v>99</v>
      </c>
      <c r="Q4487" t="s">
        <v>99</v>
      </c>
    </row>
    <row r="4488" spans="1:17" x14ac:dyDescent="0.3">
      <c r="A4488" t="s">
        <v>33</v>
      </c>
      <c r="B4488" t="s">
        <v>210</v>
      </c>
      <c r="C4488">
        <v>68</v>
      </c>
      <c r="D4488" t="s">
        <v>1159</v>
      </c>
      <c r="E4488" t="s">
        <v>100</v>
      </c>
      <c r="F4488" t="s">
        <v>341</v>
      </c>
      <c r="G4488" t="s">
        <v>99</v>
      </c>
      <c r="H4488" t="s">
        <v>99</v>
      </c>
      <c r="I4488" t="s">
        <v>99</v>
      </c>
      <c r="J4488" t="s">
        <v>473</v>
      </c>
      <c r="K4488" t="s">
        <v>138</v>
      </c>
      <c r="L4488" t="s">
        <v>113</v>
      </c>
      <c r="M4488" t="s">
        <v>99</v>
      </c>
      <c r="N4488" t="s">
        <v>99</v>
      </c>
      <c r="O4488" t="s">
        <v>99</v>
      </c>
      <c r="P4488" t="s">
        <v>99</v>
      </c>
      <c r="Q4488" t="s">
        <v>99</v>
      </c>
    </row>
    <row r="4489" spans="1:17" x14ac:dyDescent="0.3">
      <c r="A4489" t="s">
        <v>33</v>
      </c>
      <c r="B4489" t="s">
        <v>212</v>
      </c>
      <c r="C4489">
        <v>1800</v>
      </c>
      <c r="D4489" t="s">
        <v>349</v>
      </c>
      <c r="E4489" t="s">
        <v>114</v>
      </c>
      <c r="F4489" t="s">
        <v>619</v>
      </c>
      <c r="G4489" t="s">
        <v>104</v>
      </c>
      <c r="H4489" t="s">
        <v>99</v>
      </c>
      <c r="I4489" t="s">
        <v>104</v>
      </c>
      <c r="J4489" t="s">
        <v>54</v>
      </c>
      <c r="K4489" t="s">
        <v>100</v>
      </c>
      <c r="L4489" t="s">
        <v>470</v>
      </c>
      <c r="M4489" t="s">
        <v>99</v>
      </c>
      <c r="N4489" t="s">
        <v>198</v>
      </c>
      <c r="O4489" t="s">
        <v>207</v>
      </c>
      <c r="P4489" t="s">
        <v>99</v>
      </c>
      <c r="Q4489" t="s">
        <v>99</v>
      </c>
    </row>
    <row r="4490" spans="1:17" x14ac:dyDescent="0.3">
      <c r="A4490" t="s">
        <v>33</v>
      </c>
      <c r="B4490" t="s">
        <v>216</v>
      </c>
      <c r="C4490">
        <v>69</v>
      </c>
      <c r="D4490" t="s">
        <v>563</v>
      </c>
      <c r="E4490" t="s">
        <v>99</v>
      </c>
      <c r="F4490" t="s">
        <v>645</v>
      </c>
      <c r="G4490" t="s">
        <v>99</v>
      </c>
      <c r="H4490" t="s">
        <v>99</v>
      </c>
      <c r="I4490" t="s">
        <v>99</v>
      </c>
      <c r="J4490" t="s">
        <v>305</v>
      </c>
      <c r="K4490" t="s">
        <v>99</v>
      </c>
      <c r="L4490" t="s">
        <v>103</v>
      </c>
      <c r="M4490" t="s">
        <v>114</v>
      </c>
      <c r="N4490" t="s">
        <v>99</v>
      </c>
      <c r="O4490" t="s">
        <v>99</v>
      </c>
      <c r="P4490" t="s">
        <v>99</v>
      </c>
      <c r="Q4490" t="s">
        <v>99</v>
      </c>
    </row>
    <row r="4491" spans="1:17" x14ac:dyDescent="0.3">
      <c r="A4491" t="s">
        <v>49</v>
      </c>
      <c r="B4491" t="s">
        <v>210</v>
      </c>
      <c r="C4491">
        <v>763</v>
      </c>
      <c r="D4491" t="s">
        <v>345</v>
      </c>
      <c r="E4491" t="s">
        <v>332</v>
      </c>
      <c r="F4491" t="s">
        <v>267</v>
      </c>
      <c r="G4491" t="s">
        <v>99</v>
      </c>
      <c r="H4491" t="s">
        <v>99</v>
      </c>
      <c r="I4491" t="s">
        <v>198</v>
      </c>
      <c r="J4491" t="s">
        <v>482</v>
      </c>
      <c r="K4491" t="s">
        <v>121</v>
      </c>
      <c r="L4491" t="s">
        <v>105</v>
      </c>
      <c r="M4491" t="s">
        <v>207</v>
      </c>
      <c r="N4491" t="s">
        <v>253</v>
      </c>
      <c r="O4491" t="s">
        <v>99</v>
      </c>
      <c r="P4491" t="s">
        <v>99</v>
      </c>
      <c r="Q4491" t="s">
        <v>198</v>
      </c>
    </row>
    <row r="4492" spans="1:17" x14ac:dyDescent="0.3">
      <c r="A4492" t="s">
        <v>49</v>
      </c>
      <c r="B4492" t="s">
        <v>212</v>
      </c>
      <c r="C4492">
        <v>11305</v>
      </c>
      <c r="D4492" t="s">
        <v>604</v>
      </c>
      <c r="E4492" t="s">
        <v>401</v>
      </c>
      <c r="F4492" t="s">
        <v>697</v>
      </c>
      <c r="G4492" t="s">
        <v>207</v>
      </c>
      <c r="H4492" t="s">
        <v>104</v>
      </c>
      <c r="I4492" t="s">
        <v>104</v>
      </c>
      <c r="J4492" t="s">
        <v>803</v>
      </c>
      <c r="K4492" t="s">
        <v>121</v>
      </c>
      <c r="L4492" t="s">
        <v>135</v>
      </c>
      <c r="M4492" t="s">
        <v>99</v>
      </c>
      <c r="N4492" t="s">
        <v>115</v>
      </c>
      <c r="O4492" t="s">
        <v>104</v>
      </c>
      <c r="P4492" t="s">
        <v>198</v>
      </c>
      <c r="Q4492" t="s">
        <v>104</v>
      </c>
    </row>
    <row r="4493" spans="1:17" x14ac:dyDescent="0.3">
      <c r="A4493" t="s">
        <v>49</v>
      </c>
      <c r="B4493" t="s">
        <v>216</v>
      </c>
      <c r="C4493">
        <v>1254</v>
      </c>
      <c r="D4493" t="s">
        <v>915</v>
      </c>
      <c r="E4493" t="s">
        <v>130</v>
      </c>
      <c r="F4493" t="s">
        <v>739</v>
      </c>
      <c r="G4493" t="s">
        <v>99</v>
      </c>
      <c r="H4493" t="s">
        <v>198</v>
      </c>
      <c r="I4493" t="s">
        <v>207</v>
      </c>
      <c r="J4493" t="s">
        <v>746</v>
      </c>
      <c r="K4493" t="s">
        <v>207</v>
      </c>
      <c r="L4493" t="s">
        <v>127</v>
      </c>
      <c r="M4493" t="s">
        <v>104</v>
      </c>
      <c r="N4493" t="s">
        <v>207</v>
      </c>
      <c r="O4493" t="s">
        <v>136</v>
      </c>
      <c r="P4493" t="s">
        <v>104</v>
      </c>
      <c r="Q4493" t="s">
        <v>99</v>
      </c>
    </row>
    <row r="4495" spans="1:17" x14ac:dyDescent="0.3">
      <c r="A4495" t="s">
        <v>1574</v>
      </c>
    </row>
    <row r="4496" spans="1:17" x14ac:dyDescent="0.3">
      <c r="A4496" t="s">
        <v>44</v>
      </c>
      <c r="B4496" t="s">
        <v>879</v>
      </c>
      <c r="C4496" t="s">
        <v>32</v>
      </c>
      <c r="D4496" t="s">
        <v>1557</v>
      </c>
      <c r="E4496" t="s">
        <v>1558</v>
      </c>
      <c r="F4496" t="s">
        <v>1559</v>
      </c>
      <c r="G4496" t="s">
        <v>1560</v>
      </c>
      <c r="H4496" t="s">
        <v>1561</v>
      </c>
      <c r="I4496" t="s">
        <v>1562</v>
      </c>
      <c r="J4496" t="s">
        <v>1563</v>
      </c>
      <c r="K4496" t="s">
        <v>1564</v>
      </c>
      <c r="L4496" t="s">
        <v>1565</v>
      </c>
      <c r="M4496" t="s">
        <v>1566</v>
      </c>
      <c r="N4496" t="s">
        <v>1567</v>
      </c>
      <c r="O4496" t="s">
        <v>1568</v>
      </c>
      <c r="P4496" t="s">
        <v>1569</v>
      </c>
      <c r="Q4496" t="s">
        <v>88</v>
      </c>
    </row>
    <row r="4497" spans="1:17" x14ac:dyDescent="0.3">
      <c r="A4497" t="s">
        <v>35</v>
      </c>
      <c r="B4497" t="s">
        <v>880</v>
      </c>
      <c r="C4497">
        <v>596</v>
      </c>
      <c r="D4497" t="s">
        <v>428</v>
      </c>
      <c r="E4497" t="s">
        <v>110</v>
      </c>
      <c r="F4497" t="s">
        <v>536</v>
      </c>
      <c r="G4497" t="s">
        <v>104</v>
      </c>
      <c r="H4497" t="s">
        <v>198</v>
      </c>
      <c r="I4497" t="s">
        <v>141</v>
      </c>
      <c r="J4497" t="s">
        <v>220</v>
      </c>
      <c r="K4497" t="s">
        <v>136</v>
      </c>
      <c r="L4497" t="s">
        <v>114</v>
      </c>
      <c r="M4497" t="s">
        <v>99</v>
      </c>
      <c r="N4497" t="s">
        <v>132</v>
      </c>
      <c r="O4497" t="s">
        <v>132</v>
      </c>
      <c r="P4497" t="s">
        <v>99</v>
      </c>
      <c r="Q4497" t="s">
        <v>132</v>
      </c>
    </row>
    <row r="4498" spans="1:17" x14ac:dyDescent="0.3">
      <c r="A4498" t="s">
        <v>35</v>
      </c>
      <c r="B4498" t="s">
        <v>881</v>
      </c>
      <c r="C4498">
        <v>1162</v>
      </c>
      <c r="D4498" t="s">
        <v>942</v>
      </c>
      <c r="E4498" t="s">
        <v>151</v>
      </c>
      <c r="F4498" t="s">
        <v>444</v>
      </c>
      <c r="G4498" t="s">
        <v>104</v>
      </c>
      <c r="H4498" t="s">
        <v>99</v>
      </c>
      <c r="I4498" t="s">
        <v>104</v>
      </c>
      <c r="J4498" t="s">
        <v>803</v>
      </c>
      <c r="K4498" t="s">
        <v>157</v>
      </c>
      <c r="L4498" t="s">
        <v>138</v>
      </c>
      <c r="M4498" t="s">
        <v>99</v>
      </c>
      <c r="N4498" t="s">
        <v>382</v>
      </c>
      <c r="O4498" t="s">
        <v>207</v>
      </c>
      <c r="P4498" t="s">
        <v>121</v>
      </c>
      <c r="Q4498" t="s">
        <v>99</v>
      </c>
    </row>
    <row r="4499" spans="1:17" x14ac:dyDescent="0.3">
      <c r="A4499" t="s">
        <v>35</v>
      </c>
      <c r="B4499" t="s">
        <v>882</v>
      </c>
      <c r="C4499">
        <v>1387</v>
      </c>
      <c r="D4499" t="s">
        <v>213</v>
      </c>
      <c r="E4499" t="s">
        <v>154</v>
      </c>
      <c r="F4499" t="s">
        <v>442</v>
      </c>
      <c r="G4499" t="s">
        <v>99</v>
      </c>
      <c r="H4499" t="s">
        <v>104</v>
      </c>
      <c r="I4499" t="s">
        <v>104</v>
      </c>
      <c r="J4499" t="s">
        <v>406</v>
      </c>
      <c r="K4499" t="s">
        <v>253</v>
      </c>
      <c r="L4499" t="s">
        <v>127</v>
      </c>
      <c r="M4499" t="s">
        <v>99</v>
      </c>
      <c r="N4499" t="s">
        <v>136</v>
      </c>
      <c r="O4499" t="s">
        <v>104</v>
      </c>
      <c r="P4499" t="s">
        <v>104</v>
      </c>
      <c r="Q4499" t="s">
        <v>99</v>
      </c>
    </row>
    <row r="4500" spans="1:17" x14ac:dyDescent="0.3">
      <c r="A4500" t="s">
        <v>37</v>
      </c>
      <c r="B4500" t="s">
        <v>880</v>
      </c>
      <c r="C4500">
        <v>671</v>
      </c>
      <c r="D4500" t="s">
        <v>651</v>
      </c>
      <c r="E4500" t="s">
        <v>721</v>
      </c>
      <c r="F4500" t="s">
        <v>321</v>
      </c>
      <c r="G4500" t="s">
        <v>99</v>
      </c>
      <c r="H4500" t="s">
        <v>99</v>
      </c>
      <c r="I4500" t="s">
        <v>141</v>
      </c>
      <c r="J4500" t="s">
        <v>167</v>
      </c>
      <c r="K4500" t="s">
        <v>127</v>
      </c>
      <c r="L4500" t="s">
        <v>277</v>
      </c>
      <c r="M4500" t="s">
        <v>99</v>
      </c>
      <c r="N4500" t="s">
        <v>198</v>
      </c>
      <c r="O4500" t="s">
        <v>99</v>
      </c>
      <c r="P4500" t="s">
        <v>99</v>
      </c>
      <c r="Q4500" t="s">
        <v>99</v>
      </c>
    </row>
    <row r="4501" spans="1:17" x14ac:dyDescent="0.3">
      <c r="A4501" t="s">
        <v>37</v>
      </c>
      <c r="B4501" t="s">
        <v>881</v>
      </c>
      <c r="C4501">
        <v>1371</v>
      </c>
      <c r="D4501" t="s">
        <v>40</v>
      </c>
      <c r="E4501" t="s">
        <v>318</v>
      </c>
      <c r="F4501" t="s">
        <v>177</v>
      </c>
      <c r="G4501" t="s">
        <v>132</v>
      </c>
      <c r="H4501" t="s">
        <v>104</v>
      </c>
      <c r="I4501" t="s">
        <v>104</v>
      </c>
      <c r="J4501" t="s">
        <v>600</v>
      </c>
      <c r="K4501" t="s">
        <v>319</v>
      </c>
      <c r="L4501" t="s">
        <v>233</v>
      </c>
      <c r="M4501" t="s">
        <v>104</v>
      </c>
      <c r="N4501" t="s">
        <v>126</v>
      </c>
      <c r="O4501" t="s">
        <v>99</v>
      </c>
      <c r="P4501" t="s">
        <v>99</v>
      </c>
      <c r="Q4501" t="s">
        <v>99</v>
      </c>
    </row>
    <row r="4502" spans="1:17" x14ac:dyDescent="0.3">
      <c r="A4502" t="s">
        <v>37</v>
      </c>
      <c r="B4502" t="s">
        <v>882</v>
      </c>
      <c r="C4502">
        <v>1813</v>
      </c>
      <c r="D4502" t="s">
        <v>837</v>
      </c>
      <c r="E4502" t="s">
        <v>246</v>
      </c>
      <c r="F4502" t="s">
        <v>689</v>
      </c>
      <c r="G4502" t="s">
        <v>115</v>
      </c>
      <c r="H4502" t="s">
        <v>104</v>
      </c>
      <c r="I4502" t="s">
        <v>198</v>
      </c>
      <c r="J4502" t="s">
        <v>106</v>
      </c>
      <c r="K4502" t="s">
        <v>132</v>
      </c>
      <c r="L4502" t="s">
        <v>41</v>
      </c>
      <c r="M4502" t="s">
        <v>99</v>
      </c>
      <c r="N4502" t="s">
        <v>104</v>
      </c>
      <c r="O4502" t="s">
        <v>99</v>
      </c>
      <c r="P4502" t="s">
        <v>99</v>
      </c>
      <c r="Q4502" t="s">
        <v>99</v>
      </c>
    </row>
    <row r="4503" spans="1:17" x14ac:dyDescent="0.3">
      <c r="A4503" t="s">
        <v>36</v>
      </c>
      <c r="B4503" t="s">
        <v>880</v>
      </c>
      <c r="C4503">
        <v>382</v>
      </c>
      <c r="D4503" t="s">
        <v>1194</v>
      </c>
      <c r="E4503" t="s">
        <v>141</v>
      </c>
      <c r="F4503" t="s">
        <v>743</v>
      </c>
      <c r="G4503" t="s">
        <v>198</v>
      </c>
      <c r="H4503" t="s">
        <v>136</v>
      </c>
      <c r="I4503" t="s">
        <v>104</v>
      </c>
      <c r="J4503" t="s">
        <v>542</v>
      </c>
      <c r="K4503" t="s">
        <v>126</v>
      </c>
      <c r="L4503" t="s">
        <v>110</v>
      </c>
      <c r="M4503" t="s">
        <v>99</v>
      </c>
      <c r="N4503" t="s">
        <v>207</v>
      </c>
      <c r="O4503" t="s">
        <v>104</v>
      </c>
      <c r="P4503" t="s">
        <v>99</v>
      </c>
      <c r="Q4503" t="s">
        <v>99</v>
      </c>
    </row>
    <row r="4504" spans="1:17" x14ac:dyDescent="0.3">
      <c r="A4504" t="s">
        <v>36</v>
      </c>
      <c r="B4504" t="s">
        <v>881</v>
      </c>
      <c r="C4504">
        <v>866</v>
      </c>
      <c r="D4504" t="s">
        <v>610</v>
      </c>
      <c r="E4504" t="s">
        <v>215</v>
      </c>
      <c r="F4504" t="s">
        <v>303</v>
      </c>
      <c r="G4504" t="s">
        <v>104</v>
      </c>
      <c r="H4504" t="s">
        <v>99</v>
      </c>
      <c r="I4504" t="s">
        <v>99</v>
      </c>
      <c r="J4504" t="s">
        <v>481</v>
      </c>
      <c r="K4504" t="s">
        <v>115</v>
      </c>
      <c r="L4504" t="s">
        <v>684</v>
      </c>
      <c r="M4504" t="s">
        <v>99</v>
      </c>
      <c r="N4504" t="s">
        <v>136</v>
      </c>
      <c r="O4504" t="s">
        <v>99</v>
      </c>
      <c r="P4504" t="s">
        <v>100</v>
      </c>
      <c r="Q4504" t="s">
        <v>99</v>
      </c>
    </row>
    <row r="4505" spans="1:17" x14ac:dyDescent="0.3">
      <c r="A4505" t="s">
        <v>36</v>
      </c>
      <c r="B4505" t="s">
        <v>882</v>
      </c>
      <c r="C4505">
        <v>1057</v>
      </c>
      <c r="D4505" t="s">
        <v>808</v>
      </c>
      <c r="E4505" t="s">
        <v>111</v>
      </c>
      <c r="F4505" t="s">
        <v>485</v>
      </c>
      <c r="G4505" t="s">
        <v>115</v>
      </c>
      <c r="H4505" t="s">
        <v>104</v>
      </c>
      <c r="I4505" t="s">
        <v>99</v>
      </c>
      <c r="J4505" t="s">
        <v>488</v>
      </c>
      <c r="K4505" t="s">
        <v>141</v>
      </c>
      <c r="L4505" t="s">
        <v>139</v>
      </c>
      <c r="M4505" t="s">
        <v>100</v>
      </c>
      <c r="N4505" t="s">
        <v>115</v>
      </c>
      <c r="O4505" t="s">
        <v>99</v>
      </c>
      <c r="P4505" t="s">
        <v>99</v>
      </c>
      <c r="Q4505" t="s">
        <v>99</v>
      </c>
    </row>
    <row r="4506" spans="1:17" x14ac:dyDescent="0.3">
      <c r="A4506" t="s">
        <v>34</v>
      </c>
      <c r="B4506" t="s">
        <v>880</v>
      </c>
      <c r="C4506">
        <v>351</v>
      </c>
      <c r="D4506" t="s">
        <v>1058</v>
      </c>
      <c r="E4506" t="s">
        <v>68</v>
      </c>
      <c r="F4506" t="s">
        <v>669</v>
      </c>
      <c r="G4506" t="s">
        <v>104</v>
      </c>
      <c r="H4506" t="s">
        <v>99</v>
      </c>
      <c r="I4506" t="s">
        <v>99</v>
      </c>
      <c r="J4506" t="s">
        <v>442</v>
      </c>
      <c r="K4506" t="s">
        <v>108</v>
      </c>
      <c r="L4506" t="s">
        <v>319</v>
      </c>
      <c r="M4506" t="s">
        <v>99</v>
      </c>
      <c r="N4506" t="s">
        <v>100</v>
      </c>
      <c r="O4506" t="s">
        <v>99</v>
      </c>
      <c r="P4506" t="s">
        <v>99</v>
      </c>
      <c r="Q4506" t="s">
        <v>99</v>
      </c>
    </row>
    <row r="4507" spans="1:17" x14ac:dyDescent="0.3">
      <c r="A4507" t="s">
        <v>34</v>
      </c>
      <c r="B4507" t="s">
        <v>881</v>
      </c>
      <c r="C4507">
        <v>861</v>
      </c>
      <c r="D4507" t="s">
        <v>588</v>
      </c>
      <c r="E4507" t="s">
        <v>127</v>
      </c>
      <c r="F4507" t="s">
        <v>1057</v>
      </c>
      <c r="G4507" t="s">
        <v>104</v>
      </c>
      <c r="H4507" t="s">
        <v>99</v>
      </c>
      <c r="I4507" t="s">
        <v>99</v>
      </c>
      <c r="J4507" t="s">
        <v>1102</v>
      </c>
      <c r="K4507" t="s">
        <v>115</v>
      </c>
      <c r="L4507" t="s">
        <v>277</v>
      </c>
      <c r="M4507" t="s">
        <v>99</v>
      </c>
      <c r="N4507" t="s">
        <v>115</v>
      </c>
      <c r="O4507" t="s">
        <v>99</v>
      </c>
      <c r="P4507" t="s">
        <v>99</v>
      </c>
      <c r="Q4507" t="s">
        <v>198</v>
      </c>
    </row>
    <row r="4508" spans="1:17" x14ac:dyDescent="0.3">
      <c r="A4508" t="s">
        <v>34</v>
      </c>
      <c r="B4508" t="s">
        <v>882</v>
      </c>
      <c r="C4508">
        <v>868</v>
      </c>
      <c r="D4508" t="s">
        <v>515</v>
      </c>
      <c r="E4508" t="s">
        <v>130</v>
      </c>
      <c r="F4508" t="s">
        <v>626</v>
      </c>
      <c r="G4508" t="s">
        <v>104</v>
      </c>
      <c r="H4508" t="s">
        <v>99</v>
      </c>
      <c r="I4508" t="s">
        <v>99</v>
      </c>
      <c r="J4508" t="s">
        <v>156</v>
      </c>
      <c r="K4508" t="s">
        <v>115</v>
      </c>
      <c r="L4508" t="s">
        <v>158</v>
      </c>
      <c r="M4508" t="s">
        <v>99</v>
      </c>
      <c r="N4508" t="s">
        <v>114</v>
      </c>
      <c r="O4508" t="s">
        <v>99</v>
      </c>
      <c r="P4508" t="s">
        <v>99</v>
      </c>
      <c r="Q4508" t="s">
        <v>99</v>
      </c>
    </row>
    <row r="4509" spans="1:17" x14ac:dyDescent="0.3">
      <c r="A4509" t="s">
        <v>33</v>
      </c>
      <c r="B4509" t="s">
        <v>880</v>
      </c>
      <c r="C4509">
        <v>426</v>
      </c>
      <c r="D4509" t="s">
        <v>914</v>
      </c>
      <c r="E4509" t="s">
        <v>115</v>
      </c>
      <c r="F4509" t="s">
        <v>629</v>
      </c>
      <c r="G4509" t="s">
        <v>99</v>
      </c>
      <c r="H4509" t="s">
        <v>99</v>
      </c>
      <c r="I4509" t="s">
        <v>99</v>
      </c>
      <c r="J4509" t="s">
        <v>167</v>
      </c>
      <c r="K4509" t="s">
        <v>136</v>
      </c>
      <c r="L4509" t="s">
        <v>150</v>
      </c>
      <c r="M4509" t="s">
        <v>99</v>
      </c>
      <c r="N4509" t="s">
        <v>99</v>
      </c>
      <c r="O4509" t="s">
        <v>99</v>
      </c>
      <c r="P4509" t="s">
        <v>99</v>
      </c>
      <c r="Q4509" t="s">
        <v>99</v>
      </c>
    </row>
    <row r="4510" spans="1:17" x14ac:dyDescent="0.3">
      <c r="A4510" t="s">
        <v>33</v>
      </c>
      <c r="B4510" t="s">
        <v>881</v>
      </c>
      <c r="C4510">
        <v>682</v>
      </c>
      <c r="D4510" t="s">
        <v>240</v>
      </c>
      <c r="E4510" t="s">
        <v>207</v>
      </c>
      <c r="F4510" t="s">
        <v>897</v>
      </c>
      <c r="G4510" t="s">
        <v>99</v>
      </c>
      <c r="H4510" t="s">
        <v>99</v>
      </c>
      <c r="I4510" t="s">
        <v>207</v>
      </c>
      <c r="J4510" t="s">
        <v>650</v>
      </c>
      <c r="K4510" t="s">
        <v>127</v>
      </c>
      <c r="L4510" t="s">
        <v>201</v>
      </c>
      <c r="M4510" t="s">
        <v>104</v>
      </c>
      <c r="N4510" t="s">
        <v>253</v>
      </c>
      <c r="O4510" t="s">
        <v>141</v>
      </c>
      <c r="P4510" t="s">
        <v>99</v>
      </c>
      <c r="Q4510" t="s">
        <v>99</v>
      </c>
    </row>
    <row r="4511" spans="1:17" x14ac:dyDescent="0.3">
      <c r="A4511" t="s">
        <v>33</v>
      </c>
      <c r="B4511" t="s">
        <v>882</v>
      </c>
      <c r="C4511">
        <v>829</v>
      </c>
      <c r="D4511" t="s">
        <v>719</v>
      </c>
      <c r="E4511" t="s">
        <v>382</v>
      </c>
      <c r="F4511" t="s">
        <v>1051</v>
      </c>
      <c r="G4511" t="s">
        <v>104</v>
      </c>
      <c r="H4511" t="s">
        <v>104</v>
      </c>
      <c r="I4511" t="s">
        <v>99</v>
      </c>
      <c r="J4511" t="s">
        <v>1008</v>
      </c>
      <c r="K4511" t="s">
        <v>114</v>
      </c>
      <c r="L4511" t="s">
        <v>663</v>
      </c>
      <c r="M4511" t="s">
        <v>99</v>
      </c>
      <c r="N4511" t="s">
        <v>99</v>
      </c>
      <c r="O4511" t="s">
        <v>198</v>
      </c>
      <c r="P4511" t="s">
        <v>99</v>
      </c>
      <c r="Q4511" t="s">
        <v>99</v>
      </c>
    </row>
    <row r="4512" spans="1:17" x14ac:dyDescent="0.3">
      <c r="A4512" t="s">
        <v>49</v>
      </c>
      <c r="B4512" t="s">
        <v>880</v>
      </c>
      <c r="C4512">
        <v>2426</v>
      </c>
      <c r="D4512" t="s">
        <v>1151</v>
      </c>
      <c r="E4512" t="s">
        <v>158</v>
      </c>
      <c r="F4512" t="s">
        <v>517</v>
      </c>
      <c r="G4512" t="s">
        <v>104</v>
      </c>
      <c r="H4512" t="s">
        <v>104</v>
      </c>
      <c r="I4512" t="s">
        <v>207</v>
      </c>
      <c r="J4512" t="s">
        <v>798</v>
      </c>
      <c r="K4512" t="s">
        <v>108</v>
      </c>
      <c r="L4512" t="s">
        <v>138</v>
      </c>
      <c r="M4512" t="s">
        <v>99</v>
      </c>
      <c r="N4512" t="s">
        <v>141</v>
      </c>
      <c r="O4512" t="s">
        <v>207</v>
      </c>
      <c r="P4512" t="s">
        <v>99</v>
      </c>
      <c r="Q4512" t="s">
        <v>207</v>
      </c>
    </row>
    <row r="4513" spans="1:17" x14ac:dyDescent="0.3">
      <c r="A4513" t="s">
        <v>49</v>
      </c>
      <c r="B4513" t="s">
        <v>881</v>
      </c>
      <c r="C4513">
        <v>4942</v>
      </c>
      <c r="D4513" t="s">
        <v>459</v>
      </c>
      <c r="E4513" t="s">
        <v>98</v>
      </c>
      <c r="F4513" t="s">
        <v>749</v>
      </c>
      <c r="G4513" t="s">
        <v>207</v>
      </c>
      <c r="H4513" t="s">
        <v>99</v>
      </c>
      <c r="I4513" t="s">
        <v>104</v>
      </c>
      <c r="J4513" t="s">
        <v>1094</v>
      </c>
      <c r="K4513" t="s">
        <v>215</v>
      </c>
      <c r="L4513" t="s">
        <v>78</v>
      </c>
      <c r="M4513" t="s">
        <v>104</v>
      </c>
      <c r="N4513" t="s">
        <v>100</v>
      </c>
      <c r="O4513" t="s">
        <v>198</v>
      </c>
      <c r="P4513" t="s">
        <v>136</v>
      </c>
      <c r="Q4513" t="s">
        <v>104</v>
      </c>
    </row>
    <row r="4514" spans="1:17" x14ac:dyDescent="0.3">
      <c r="A4514" t="s">
        <v>49</v>
      </c>
      <c r="B4514" t="s">
        <v>882</v>
      </c>
      <c r="C4514">
        <v>5954</v>
      </c>
      <c r="D4514" t="s">
        <v>793</v>
      </c>
      <c r="E4514" t="s">
        <v>142</v>
      </c>
      <c r="F4514" t="s">
        <v>717</v>
      </c>
      <c r="G4514" t="s">
        <v>207</v>
      </c>
      <c r="H4514" t="s">
        <v>104</v>
      </c>
      <c r="I4514" t="s">
        <v>104</v>
      </c>
      <c r="J4514" t="s">
        <v>690</v>
      </c>
      <c r="K4514" t="s">
        <v>115</v>
      </c>
      <c r="L4514" t="s">
        <v>124</v>
      </c>
      <c r="M4514" t="s">
        <v>104</v>
      </c>
      <c r="N4514" t="s">
        <v>136</v>
      </c>
      <c r="O4514" t="s">
        <v>104</v>
      </c>
      <c r="P4514" t="s">
        <v>99</v>
      </c>
      <c r="Q4514" t="s">
        <v>99</v>
      </c>
    </row>
    <row r="4516" spans="1:17" x14ac:dyDescent="0.3">
      <c r="A4516" t="s">
        <v>1575</v>
      </c>
    </row>
    <row r="4517" spans="1:17" x14ac:dyDescent="0.3">
      <c r="A4517" t="s">
        <v>44</v>
      </c>
      <c r="B4517" t="s">
        <v>388</v>
      </c>
      <c r="C4517" t="s">
        <v>32</v>
      </c>
      <c r="D4517" t="s">
        <v>1557</v>
      </c>
      <c r="E4517" t="s">
        <v>1558</v>
      </c>
      <c r="F4517" t="s">
        <v>1559</v>
      </c>
      <c r="G4517" t="s">
        <v>1560</v>
      </c>
      <c r="H4517" t="s">
        <v>1561</v>
      </c>
      <c r="I4517" t="s">
        <v>1562</v>
      </c>
      <c r="J4517" t="s">
        <v>1563</v>
      </c>
      <c r="K4517" t="s">
        <v>1564</v>
      </c>
      <c r="L4517" t="s">
        <v>1565</v>
      </c>
      <c r="M4517" t="s">
        <v>1566</v>
      </c>
      <c r="N4517" t="s">
        <v>1567</v>
      </c>
      <c r="O4517" t="s">
        <v>1568</v>
      </c>
      <c r="P4517" t="s">
        <v>1569</v>
      </c>
      <c r="Q4517" t="s">
        <v>88</v>
      </c>
    </row>
    <row r="4518" spans="1:17" x14ac:dyDescent="0.3">
      <c r="A4518" t="s">
        <v>35</v>
      </c>
      <c r="B4518" t="s">
        <v>389</v>
      </c>
      <c r="C4518">
        <v>2141</v>
      </c>
      <c r="D4518" t="s">
        <v>601</v>
      </c>
      <c r="E4518" t="s">
        <v>120</v>
      </c>
      <c r="F4518" t="s">
        <v>432</v>
      </c>
      <c r="G4518" t="s">
        <v>99</v>
      </c>
      <c r="H4518" t="s">
        <v>104</v>
      </c>
      <c r="I4518" t="s">
        <v>198</v>
      </c>
      <c r="J4518" t="s">
        <v>432</v>
      </c>
      <c r="K4518" t="s">
        <v>121</v>
      </c>
      <c r="L4518" t="s">
        <v>292</v>
      </c>
      <c r="M4518" t="s">
        <v>99</v>
      </c>
      <c r="N4518" t="s">
        <v>100</v>
      </c>
      <c r="O4518" t="s">
        <v>104</v>
      </c>
      <c r="P4518" t="s">
        <v>99</v>
      </c>
      <c r="Q4518" t="s">
        <v>99</v>
      </c>
    </row>
    <row r="4519" spans="1:17" x14ac:dyDescent="0.3">
      <c r="A4519" t="s">
        <v>35</v>
      </c>
      <c r="B4519" t="s">
        <v>390</v>
      </c>
      <c r="C4519">
        <v>875</v>
      </c>
      <c r="D4519" t="s">
        <v>585</v>
      </c>
      <c r="E4519" t="s">
        <v>712</v>
      </c>
      <c r="F4519" t="s">
        <v>738</v>
      </c>
      <c r="G4519" t="s">
        <v>198</v>
      </c>
      <c r="H4519" t="s">
        <v>198</v>
      </c>
      <c r="I4519" t="s">
        <v>104</v>
      </c>
      <c r="J4519" t="s">
        <v>188</v>
      </c>
      <c r="K4519" t="s">
        <v>126</v>
      </c>
      <c r="L4519" t="s">
        <v>292</v>
      </c>
      <c r="M4519" t="s">
        <v>99</v>
      </c>
      <c r="N4519" t="s">
        <v>136</v>
      </c>
      <c r="O4519" t="s">
        <v>114</v>
      </c>
      <c r="P4519" t="s">
        <v>126</v>
      </c>
      <c r="Q4519" t="s">
        <v>115</v>
      </c>
    </row>
    <row r="4520" spans="1:17" x14ac:dyDescent="0.3">
      <c r="A4520" t="s">
        <v>35</v>
      </c>
      <c r="B4520" t="s">
        <v>365</v>
      </c>
      <c r="C4520">
        <v>129</v>
      </c>
      <c r="D4520" t="s">
        <v>490</v>
      </c>
      <c r="E4520" t="s">
        <v>268</v>
      </c>
      <c r="F4520" t="s">
        <v>811</v>
      </c>
      <c r="G4520" t="s">
        <v>99</v>
      </c>
      <c r="H4520" t="s">
        <v>99</v>
      </c>
      <c r="I4520" t="s">
        <v>100</v>
      </c>
      <c r="J4520" t="s">
        <v>542</v>
      </c>
      <c r="K4520" t="s">
        <v>126</v>
      </c>
      <c r="L4520" t="s">
        <v>292</v>
      </c>
      <c r="M4520" t="s">
        <v>99</v>
      </c>
      <c r="N4520" t="s">
        <v>99</v>
      </c>
      <c r="O4520" t="s">
        <v>99</v>
      </c>
      <c r="P4520" t="s">
        <v>99</v>
      </c>
      <c r="Q4520" t="s">
        <v>99</v>
      </c>
    </row>
    <row r="4521" spans="1:17" x14ac:dyDescent="0.3">
      <c r="A4521" t="s">
        <v>37</v>
      </c>
      <c r="B4521" t="s">
        <v>389</v>
      </c>
      <c r="C4521">
        <v>2305</v>
      </c>
      <c r="D4521" t="s">
        <v>1185</v>
      </c>
      <c r="E4521" t="s">
        <v>673</v>
      </c>
      <c r="F4521" t="s">
        <v>167</v>
      </c>
      <c r="G4521" t="s">
        <v>136</v>
      </c>
      <c r="H4521" t="s">
        <v>104</v>
      </c>
      <c r="I4521" t="s">
        <v>104</v>
      </c>
      <c r="J4521" t="s">
        <v>920</v>
      </c>
      <c r="K4521" t="s">
        <v>126</v>
      </c>
      <c r="L4521" t="s">
        <v>182</v>
      </c>
      <c r="M4521" t="s">
        <v>99</v>
      </c>
      <c r="N4521" t="s">
        <v>108</v>
      </c>
      <c r="O4521" t="s">
        <v>99</v>
      </c>
      <c r="P4521" t="s">
        <v>99</v>
      </c>
      <c r="Q4521" t="s">
        <v>99</v>
      </c>
    </row>
    <row r="4522" spans="1:17" x14ac:dyDescent="0.3">
      <c r="A4522" t="s">
        <v>37</v>
      </c>
      <c r="B4522" t="s">
        <v>390</v>
      </c>
      <c r="C4522">
        <v>1309</v>
      </c>
      <c r="D4522" t="s">
        <v>597</v>
      </c>
      <c r="E4522" t="s">
        <v>676</v>
      </c>
      <c r="F4522" t="s">
        <v>738</v>
      </c>
      <c r="G4522" t="s">
        <v>108</v>
      </c>
      <c r="H4522" t="s">
        <v>104</v>
      </c>
      <c r="I4522" t="s">
        <v>198</v>
      </c>
      <c r="J4522" t="s">
        <v>1057</v>
      </c>
      <c r="K4522" t="s">
        <v>114</v>
      </c>
      <c r="L4522" t="s">
        <v>671</v>
      </c>
      <c r="M4522" t="s">
        <v>104</v>
      </c>
      <c r="N4522" t="s">
        <v>207</v>
      </c>
      <c r="O4522" t="s">
        <v>99</v>
      </c>
      <c r="P4522" t="s">
        <v>99</v>
      </c>
      <c r="Q4522" t="s">
        <v>99</v>
      </c>
    </row>
    <row r="4523" spans="1:17" x14ac:dyDescent="0.3">
      <c r="A4523" t="s">
        <v>37</v>
      </c>
      <c r="B4523" t="s">
        <v>365</v>
      </c>
      <c r="C4523">
        <v>241</v>
      </c>
      <c r="D4523" t="s">
        <v>549</v>
      </c>
      <c r="E4523" t="s">
        <v>1105</v>
      </c>
      <c r="F4523" t="s">
        <v>244</v>
      </c>
      <c r="G4523" t="s">
        <v>114</v>
      </c>
      <c r="H4523" t="s">
        <v>198</v>
      </c>
      <c r="I4523" t="s">
        <v>207</v>
      </c>
      <c r="J4523" t="s">
        <v>720</v>
      </c>
      <c r="K4523" t="s">
        <v>99</v>
      </c>
      <c r="L4523" t="s">
        <v>154</v>
      </c>
      <c r="M4523" t="s">
        <v>99</v>
      </c>
      <c r="N4523" t="s">
        <v>99</v>
      </c>
      <c r="O4523" t="s">
        <v>99</v>
      </c>
      <c r="P4523" t="s">
        <v>99</v>
      </c>
      <c r="Q4523" t="s">
        <v>99</v>
      </c>
    </row>
    <row r="4524" spans="1:17" x14ac:dyDescent="0.3">
      <c r="A4524" t="s">
        <v>36</v>
      </c>
      <c r="B4524" t="s">
        <v>389</v>
      </c>
      <c r="C4524">
        <v>1578</v>
      </c>
      <c r="D4524" t="s">
        <v>1576</v>
      </c>
      <c r="E4524" t="s">
        <v>123</v>
      </c>
      <c r="F4524" t="s">
        <v>488</v>
      </c>
      <c r="G4524" t="s">
        <v>104</v>
      </c>
      <c r="H4524" t="s">
        <v>198</v>
      </c>
      <c r="I4524" t="s">
        <v>99</v>
      </c>
      <c r="J4524" t="s">
        <v>1167</v>
      </c>
      <c r="K4524" t="s">
        <v>141</v>
      </c>
      <c r="L4524" t="s">
        <v>68</v>
      </c>
      <c r="M4524" t="s">
        <v>99</v>
      </c>
      <c r="N4524" t="s">
        <v>132</v>
      </c>
      <c r="O4524" t="s">
        <v>99</v>
      </c>
      <c r="P4524" t="s">
        <v>99</v>
      </c>
      <c r="Q4524" t="s">
        <v>99</v>
      </c>
    </row>
    <row r="4525" spans="1:17" x14ac:dyDescent="0.3">
      <c r="A4525" t="s">
        <v>36</v>
      </c>
      <c r="B4525" t="s">
        <v>390</v>
      </c>
      <c r="C4525">
        <v>627</v>
      </c>
      <c r="D4525" t="s">
        <v>1104</v>
      </c>
      <c r="E4525" t="s">
        <v>108</v>
      </c>
      <c r="F4525" t="s">
        <v>501</v>
      </c>
      <c r="G4525" t="s">
        <v>101</v>
      </c>
      <c r="H4525" t="s">
        <v>104</v>
      </c>
      <c r="I4525" t="s">
        <v>99</v>
      </c>
      <c r="J4525" t="s">
        <v>423</v>
      </c>
      <c r="K4525" t="s">
        <v>253</v>
      </c>
      <c r="L4525" t="s">
        <v>474</v>
      </c>
      <c r="M4525" t="s">
        <v>108</v>
      </c>
      <c r="N4525" t="s">
        <v>99</v>
      </c>
      <c r="O4525" t="s">
        <v>104</v>
      </c>
      <c r="P4525" t="s">
        <v>121</v>
      </c>
      <c r="Q4525" t="s">
        <v>99</v>
      </c>
    </row>
    <row r="4526" spans="1:17" x14ac:dyDescent="0.3">
      <c r="A4526" t="s">
        <v>36</v>
      </c>
      <c r="B4526" t="s">
        <v>365</v>
      </c>
      <c r="C4526">
        <v>100</v>
      </c>
      <c r="D4526" t="s">
        <v>1006</v>
      </c>
      <c r="E4526" t="s">
        <v>382</v>
      </c>
      <c r="F4526" t="s">
        <v>60</v>
      </c>
      <c r="G4526" t="s">
        <v>99</v>
      </c>
      <c r="H4526" t="s">
        <v>99</v>
      </c>
      <c r="I4526" t="s">
        <v>99</v>
      </c>
      <c r="J4526" t="s">
        <v>167</v>
      </c>
      <c r="K4526" t="s">
        <v>110</v>
      </c>
      <c r="L4526" t="s">
        <v>154</v>
      </c>
      <c r="M4526" t="s">
        <v>110</v>
      </c>
      <c r="N4526" t="s">
        <v>104</v>
      </c>
      <c r="O4526" t="s">
        <v>99</v>
      </c>
      <c r="P4526" t="s">
        <v>99</v>
      </c>
      <c r="Q4526" t="s">
        <v>99</v>
      </c>
    </row>
    <row r="4527" spans="1:17" x14ac:dyDescent="0.3">
      <c r="A4527" t="s">
        <v>34</v>
      </c>
      <c r="B4527" t="s">
        <v>389</v>
      </c>
      <c r="C4527">
        <v>1385</v>
      </c>
      <c r="D4527" t="s">
        <v>607</v>
      </c>
      <c r="E4527" t="s">
        <v>147</v>
      </c>
      <c r="F4527" t="s">
        <v>668</v>
      </c>
      <c r="G4527" t="s">
        <v>99</v>
      </c>
      <c r="H4527" t="s">
        <v>99</v>
      </c>
      <c r="I4527" t="s">
        <v>99</v>
      </c>
      <c r="J4527" t="s">
        <v>341</v>
      </c>
      <c r="K4527" t="s">
        <v>207</v>
      </c>
      <c r="L4527" t="s">
        <v>68</v>
      </c>
      <c r="M4527" t="s">
        <v>99</v>
      </c>
      <c r="N4527" t="s">
        <v>121</v>
      </c>
      <c r="O4527" t="s">
        <v>99</v>
      </c>
      <c r="P4527" t="s">
        <v>99</v>
      </c>
      <c r="Q4527" t="s">
        <v>104</v>
      </c>
    </row>
    <row r="4528" spans="1:17" x14ac:dyDescent="0.3">
      <c r="A4528" t="s">
        <v>34</v>
      </c>
      <c r="B4528" t="s">
        <v>390</v>
      </c>
      <c r="C4528">
        <v>615</v>
      </c>
      <c r="D4528" t="s">
        <v>806</v>
      </c>
      <c r="E4528" t="s">
        <v>68</v>
      </c>
      <c r="F4528" t="s">
        <v>838</v>
      </c>
      <c r="G4528" t="s">
        <v>198</v>
      </c>
      <c r="H4528" t="s">
        <v>99</v>
      </c>
      <c r="I4528" t="s">
        <v>99</v>
      </c>
      <c r="J4528" t="s">
        <v>347</v>
      </c>
      <c r="K4528" t="s">
        <v>126</v>
      </c>
      <c r="L4528" t="s">
        <v>712</v>
      </c>
      <c r="M4528" t="s">
        <v>99</v>
      </c>
      <c r="N4528" t="s">
        <v>207</v>
      </c>
      <c r="O4528" t="s">
        <v>104</v>
      </c>
      <c r="P4528" t="s">
        <v>99</v>
      </c>
      <c r="Q4528" t="s">
        <v>99</v>
      </c>
    </row>
    <row r="4529" spans="1:17" x14ac:dyDescent="0.3">
      <c r="A4529" t="s">
        <v>34</v>
      </c>
      <c r="B4529" t="s">
        <v>365</v>
      </c>
      <c r="C4529">
        <v>80</v>
      </c>
      <c r="D4529" t="s">
        <v>621</v>
      </c>
      <c r="E4529" t="s">
        <v>126</v>
      </c>
      <c r="F4529" t="s">
        <v>506</v>
      </c>
      <c r="G4529" t="s">
        <v>99</v>
      </c>
      <c r="H4529" t="s">
        <v>99</v>
      </c>
      <c r="I4529" t="s">
        <v>99</v>
      </c>
      <c r="J4529" t="s">
        <v>309</v>
      </c>
      <c r="K4529" t="s">
        <v>151</v>
      </c>
      <c r="L4529" t="s">
        <v>151</v>
      </c>
      <c r="M4529" t="s">
        <v>99</v>
      </c>
      <c r="N4529" t="s">
        <v>99</v>
      </c>
      <c r="O4529" t="s">
        <v>99</v>
      </c>
      <c r="P4529" t="s">
        <v>99</v>
      </c>
      <c r="Q4529" t="s">
        <v>99</v>
      </c>
    </row>
    <row r="4530" spans="1:17" x14ac:dyDescent="0.3">
      <c r="A4530" t="s">
        <v>33</v>
      </c>
      <c r="B4530" t="s">
        <v>389</v>
      </c>
      <c r="C4530">
        <v>1090</v>
      </c>
      <c r="D4530" t="s">
        <v>840</v>
      </c>
      <c r="E4530" t="s">
        <v>136</v>
      </c>
      <c r="F4530" t="s">
        <v>527</v>
      </c>
      <c r="G4530" t="s">
        <v>99</v>
      </c>
      <c r="H4530" t="s">
        <v>104</v>
      </c>
      <c r="I4530" t="s">
        <v>198</v>
      </c>
      <c r="J4530" t="s">
        <v>742</v>
      </c>
      <c r="K4530" t="s">
        <v>382</v>
      </c>
      <c r="L4530" t="s">
        <v>251</v>
      </c>
      <c r="M4530" t="s">
        <v>104</v>
      </c>
      <c r="N4530" t="s">
        <v>207</v>
      </c>
      <c r="O4530" t="s">
        <v>136</v>
      </c>
      <c r="P4530" t="s">
        <v>99</v>
      </c>
      <c r="Q4530" t="s">
        <v>99</v>
      </c>
    </row>
    <row r="4531" spans="1:17" x14ac:dyDescent="0.3">
      <c r="A4531" t="s">
        <v>33</v>
      </c>
      <c r="B4531" t="s">
        <v>390</v>
      </c>
      <c r="C4531">
        <v>708</v>
      </c>
      <c r="D4531" t="s">
        <v>916</v>
      </c>
      <c r="E4531" t="s">
        <v>121</v>
      </c>
      <c r="F4531" t="s">
        <v>856</v>
      </c>
      <c r="G4531" t="s">
        <v>99</v>
      </c>
      <c r="H4531" t="s">
        <v>99</v>
      </c>
      <c r="I4531" t="s">
        <v>99</v>
      </c>
      <c r="J4531" t="s">
        <v>519</v>
      </c>
      <c r="K4531" t="s">
        <v>253</v>
      </c>
      <c r="L4531" t="s">
        <v>420</v>
      </c>
      <c r="M4531" t="s">
        <v>99</v>
      </c>
      <c r="N4531" t="s">
        <v>198</v>
      </c>
      <c r="O4531" t="s">
        <v>99</v>
      </c>
      <c r="P4531" t="s">
        <v>99</v>
      </c>
      <c r="Q4531" t="s">
        <v>99</v>
      </c>
    </row>
    <row r="4532" spans="1:17" x14ac:dyDescent="0.3">
      <c r="A4532" t="s">
        <v>33</v>
      </c>
      <c r="B4532" t="s">
        <v>365</v>
      </c>
      <c r="C4532">
        <v>139</v>
      </c>
      <c r="D4532" t="s">
        <v>667</v>
      </c>
      <c r="E4532" t="s">
        <v>139</v>
      </c>
      <c r="F4532" t="s">
        <v>521</v>
      </c>
      <c r="G4532" t="s">
        <v>108</v>
      </c>
      <c r="H4532" t="s">
        <v>99</v>
      </c>
      <c r="I4532" t="s">
        <v>99</v>
      </c>
      <c r="J4532" t="s">
        <v>807</v>
      </c>
      <c r="K4532" t="s">
        <v>115</v>
      </c>
      <c r="L4532" t="s">
        <v>163</v>
      </c>
      <c r="M4532" t="s">
        <v>99</v>
      </c>
      <c r="N4532" t="s">
        <v>99</v>
      </c>
      <c r="O4532" t="s">
        <v>132</v>
      </c>
      <c r="P4532" t="s">
        <v>99</v>
      </c>
      <c r="Q4532" t="s">
        <v>99</v>
      </c>
    </row>
    <row r="4533" spans="1:17" x14ac:dyDescent="0.3">
      <c r="A4533" t="s">
        <v>49</v>
      </c>
      <c r="B4533" t="s">
        <v>389</v>
      </c>
      <c r="C4533">
        <v>8499</v>
      </c>
      <c r="D4533" t="s">
        <v>943</v>
      </c>
      <c r="E4533" t="s">
        <v>663</v>
      </c>
      <c r="F4533" t="s">
        <v>1059</v>
      </c>
      <c r="G4533" t="s">
        <v>104</v>
      </c>
      <c r="H4533" t="s">
        <v>104</v>
      </c>
      <c r="I4533" t="s">
        <v>104</v>
      </c>
      <c r="J4533" t="s">
        <v>665</v>
      </c>
      <c r="K4533" t="s">
        <v>100</v>
      </c>
      <c r="L4533" t="s">
        <v>328</v>
      </c>
      <c r="M4533" t="s">
        <v>99</v>
      </c>
      <c r="N4533" t="s">
        <v>108</v>
      </c>
      <c r="O4533" t="s">
        <v>104</v>
      </c>
      <c r="P4533" t="s">
        <v>99</v>
      </c>
      <c r="Q4533" t="s">
        <v>99</v>
      </c>
    </row>
    <row r="4534" spans="1:17" x14ac:dyDescent="0.3">
      <c r="A4534" t="s">
        <v>49</v>
      </c>
      <c r="B4534" t="s">
        <v>390</v>
      </c>
      <c r="C4534">
        <v>4134</v>
      </c>
      <c r="D4534" t="s">
        <v>584</v>
      </c>
      <c r="E4534" t="s">
        <v>248</v>
      </c>
      <c r="F4534" t="s">
        <v>868</v>
      </c>
      <c r="G4534" t="s">
        <v>141</v>
      </c>
      <c r="H4534" t="s">
        <v>104</v>
      </c>
      <c r="I4534" t="s">
        <v>104</v>
      </c>
      <c r="J4534" t="s">
        <v>1053</v>
      </c>
      <c r="K4534" t="s">
        <v>100</v>
      </c>
      <c r="L4534" t="s">
        <v>143</v>
      </c>
      <c r="M4534" t="s">
        <v>104</v>
      </c>
      <c r="N4534" t="s">
        <v>207</v>
      </c>
      <c r="O4534" t="s">
        <v>207</v>
      </c>
      <c r="P4534" t="s">
        <v>141</v>
      </c>
      <c r="Q4534" t="s">
        <v>198</v>
      </c>
    </row>
    <row r="4535" spans="1:17" x14ac:dyDescent="0.3">
      <c r="A4535" t="s">
        <v>49</v>
      </c>
      <c r="B4535" t="s">
        <v>365</v>
      </c>
      <c r="C4535">
        <v>689</v>
      </c>
      <c r="D4535" t="s">
        <v>808</v>
      </c>
      <c r="E4535" t="s">
        <v>291</v>
      </c>
      <c r="F4535" t="s">
        <v>715</v>
      </c>
      <c r="G4535" t="s">
        <v>141</v>
      </c>
      <c r="H4535" t="s">
        <v>104</v>
      </c>
      <c r="I4535" t="s">
        <v>207</v>
      </c>
      <c r="J4535" t="s">
        <v>39</v>
      </c>
      <c r="K4535" t="s">
        <v>121</v>
      </c>
      <c r="L4535" t="s">
        <v>112</v>
      </c>
      <c r="M4535" t="s">
        <v>136</v>
      </c>
      <c r="N4535" t="s">
        <v>99</v>
      </c>
      <c r="O4535" t="s">
        <v>198</v>
      </c>
      <c r="P4535" t="s">
        <v>99</v>
      </c>
      <c r="Q4535" t="s">
        <v>99</v>
      </c>
    </row>
    <row r="4537" spans="1:17" x14ac:dyDescent="0.3">
      <c r="A4537" t="s">
        <v>1577</v>
      </c>
    </row>
    <row r="4538" spans="1:17" x14ac:dyDescent="0.3">
      <c r="A4538" t="s">
        <v>44</v>
      </c>
      <c r="B4538" t="s">
        <v>32</v>
      </c>
      <c r="C4538" t="s">
        <v>352</v>
      </c>
      <c r="D4538" t="s">
        <v>66</v>
      </c>
      <c r="E4538" t="s">
        <v>67</v>
      </c>
      <c r="F4538" t="s">
        <v>193</v>
      </c>
    </row>
    <row r="4539" spans="1:17" x14ac:dyDescent="0.3">
      <c r="A4539" t="s">
        <v>35</v>
      </c>
      <c r="B4539">
        <v>3142</v>
      </c>
      <c r="C4539" t="s">
        <v>99</v>
      </c>
      <c r="D4539" t="s">
        <v>986</v>
      </c>
      <c r="E4539" t="s">
        <v>151</v>
      </c>
      <c r="F4539" t="s">
        <v>198</v>
      </c>
    </row>
    <row r="4540" spans="1:17" x14ac:dyDescent="0.3">
      <c r="A4540" t="s">
        <v>37</v>
      </c>
      <c r="B4540">
        <v>3854</v>
      </c>
      <c r="C4540" t="s">
        <v>99</v>
      </c>
      <c r="D4540" t="s">
        <v>438</v>
      </c>
      <c r="E4540" t="s">
        <v>215</v>
      </c>
      <c r="F4540" t="s">
        <v>104</v>
      </c>
    </row>
    <row r="4541" spans="1:17" x14ac:dyDescent="0.3">
      <c r="A4541" t="s">
        <v>36</v>
      </c>
      <c r="B4541">
        <v>2303</v>
      </c>
      <c r="C4541" t="s">
        <v>104</v>
      </c>
      <c r="D4541" t="s">
        <v>414</v>
      </c>
      <c r="E4541" t="s">
        <v>74</v>
      </c>
      <c r="F4541" t="s">
        <v>104</v>
      </c>
    </row>
    <row r="4542" spans="1:17" x14ac:dyDescent="0.3">
      <c r="A4542" t="s">
        <v>34</v>
      </c>
      <c r="B4542">
        <v>2080</v>
      </c>
      <c r="C4542" t="s">
        <v>136</v>
      </c>
      <c r="D4542" t="s">
        <v>384</v>
      </c>
      <c r="E4542" t="s">
        <v>103</v>
      </c>
      <c r="F4542" t="s">
        <v>198</v>
      </c>
    </row>
    <row r="4543" spans="1:17" x14ac:dyDescent="0.3">
      <c r="A4543" t="s">
        <v>33</v>
      </c>
      <c r="B4543">
        <v>1935</v>
      </c>
      <c r="C4543" t="s">
        <v>104</v>
      </c>
      <c r="D4543" t="s">
        <v>229</v>
      </c>
      <c r="E4543" t="s">
        <v>319</v>
      </c>
      <c r="F4543" t="s">
        <v>99</v>
      </c>
    </row>
    <row r="4544" spans="1:17" x14ac:dyDescent="0.3">
      <c r="A4544" t="s">
        <v>49</v>
      </c>
      <c r="B4544">
        <v>13314</v>
      </c>
      <c r="C4544" t="s">
        <v>104</v>
      </c>
      <c r="D4544" t="s">
        <v>851</v>
      </c>
      <c r="E4544" t="s">
        <v>268</v>
      </c>
      <c r="F4544" t="s">
        <v>104</v>
      </c>
    </row>
    <row r="4546" spans="1:7" x14ac:dyDescent="0.3">
      <c r="A4546" t="s">
        <v>1578</v>
      </c>
    </row>
    <row r="4547" spans="1:7" x14ac:dyDescent="0.3">
      <c r="A4547" t="s">
        <v>44</v>
      </c>
      <c r="B4547" t="s">
        <v>235</v>
      </c>
      <c r="C4547" t="s">
        <v>32</v>
      </c>
      <c r="D4547" t="s">
        <v>66</v>
      </c>
      <c r="E4547" t="s">
        <v>67</v>
      </c>
      <c r="F4547" t="s">
        <v>352</v>
      </c>
      <c r="G4547" t="s">
        <v>193</v>
      </c>
    </row>
    <row r="4548" spans="1:7" x14ac:dyDescent="0.3">
      <c r="A4548" t="s">
        <v>35</v>
      </c>
      <c r="B4548" t="s">
        <v>236</v>
      </c>
      <c r="C4548">
        <v>1609</v>
      </c>
      <c r="D4548" t="s">
        <v>980</v>
      </c>
      <c r="E4548" t="s">
        <v>253</v>
      </c>
      <c r="F4548" t="s">
        <v>99</v>
      </c>
      <c r="G4548" t="s">
        <v>99</v>
      </c>
    </row>
    <row r="4549" spans="1:7" x14ac:dyDescent="0.3">
      <c r="A4549" t="s">
        <v>35</v>
      </c>
      <c r="B4549" t="s">
        <v>238</v>
      </c>
      <c r="C4549">
        <v>1533</v>
      </c>
      <c r="D4549" t="s">
        <v>466</v>
      </c>
      <c r="E4549" t="s">
        <v>103</v>
      </c>
      <c r="F4549" t="s">
        <v>99</v>
      </c>
      <c r="G4549" t="s">
        <v>198</v>
      </c>
    </row>
    <row r="4550" spans="1:7" x14ac:dyDescent="0.3">
      <c r="A4550" t="s">
        <v>37</v>
      </c>
      <c r="B4550" t="s">
        <v>236</v>
      </c>
      <c r="C4550">
        <v>2211</v>
      </c>
      <c r="D4550" t="s">
        <v>970</v>
      </c>
      <c r="E4550" t="s">
        <v>198</v>
      </c>
      <c r="F4550" t="s">
        <v>104</v>
      </c>
      <c r="G4550" t="s">
        <v>198</v>
      </c>
    </row>
    <row r="4551" spans="1:7" x14ac:dyDescent="0.3">
      <c r="A4551" t="s">
        <v>37</v>
      </c>
      <c r="B4551" t="s">
        <v>238</v>
      </c>
      <c r="C4551">
        <v>1643</v>
      </c>
      <c r="D4551" t="s">
        <v>779</v>
      </c>
      <c r="E4551" t="s">
        <v>134</v>
      </c>
      <c r="F4551" t="s">
        <v>99</v>
      </c>
      <c r="G4551" t="s">
        <v>104</v>
      </c>
    </row>
    <row r="4552" spans="1:7" x14ac:dyDescent="0.3">
      <c r="A4552" t="s">
        <v>36</v>
      </c>
      <c r="B4552" t="s">
        <v>236</v>
      </c>
      <c r="C4552">
        <v>1566</v>
      </c>
      <c r="D4552" t="s">
        <v>989</v>
      </c>
      <c r="E4552" t="s">
        <v>253</v>
      </c>
      <c r="F4552" t="s">
        <v>99</v>
      </c>
      <c r="G4552" t="s">
        <v>198</v>
      </c>
    </row>
    <row r="4553" spans="1:7" x14ac:dyDescent="0.3">
      <c r="A4553" t="s">
        <v>36</v>
      </c>
      <c r="B4553" t="s">
        <v>238</v>
      </c>
      <c r="C4553">
        <v>737</v>
      </c>
      <c r="D4553" t="s">
        <v>172</v>
      </c>
      <c r="E4553" t="s">
        <v>379</v>
      </c>
      <c r="F4553" t="s">
        <v>104</v>
      </c>
      <c r="G4553" t="s">
        <v>99</v>
      </c>
    </row>
    <row r="4554" spans="1:7" x14ac:dyDescent="0.3">
      <c r="A4554" t="s">
        <v>34</v>
      </c>
      <c r="B4554" t="s">
        <v>236</v>
      </c>
      <c r="C4554">
        <v>717</v>
      </c>
      <c r="D4554" t="s">
        <v>466</v>
      </c>
      <c r="E4554" t="s">
        <v>103</v>
      </c>
      <c r="F4554" t="s">
        <v>104</v>
      </c>
      <c r="G4554" t="s">
        <v>207</v>
      </c>
    </row>
    <row r="4555" spans="1:7" x14ac:dyDescent="0.3">
      <c r="A4555" t="s">
        <v>34</v>
      </c>
      <c r="B4555" t="s">
        <v>238</v>
      </c>
      <c r="C4555">
        <v>1363</v>
      </c>
      <c r="D4555" t="s">
        <v>776</v>
      </c>
      <c r="E4555" t="s">
        <v>316</v>
      </c>
      <c r="F4555" t="s">
        <v>253</v>
      </c>
      <c r="G4555" t="s">
        <v>198</v>
      </c>
    </row>
    <row r="4556" spans="1:7" x14ac:dyDescent="0.3">
      <c r="A4556" t="s">
        <v>33</v>
      </c>
      <c r="B4556" t="s">
        <v>236</v>
      </c>
      <c r="C4556">
        <v>1116</v>
      </c>
      <c r="D4556" t="s">
        <v>970</v>
      </c>
      <c r="E4556" t="s">
        <v>141</v>
      </c>
      <c r="F4556" t="s">
        <v>99</v>
      </c>
      <c r="G4556" t="s">
        <v>99</v>
      </c>
    </row>
    <row r="4557" spans="1:7" x14ac:dyDescent="0.3">
      <c r="A4557" t="s">
        <v>33</v>
      </c>
      <c r="B4557" t="s">
        <v>238</v>
      </c>
      <c r="C4557">
        <v>819</v>
      </c>
      <c r="D4557" t="s">
        <v>851</v>
      </c>
      <c r="E4557" t="s">
        <v>268</v>
      </c>
      <c r="F4557" t="s">
        <v>104</v>
      </c>
      <c r="G4557" t="s">
        <v>99</v>
      </c>
    </row>
    <row r="4558" spans="1:7" x14ac:dyDescent="0.3">
      <c r="A4558" t="s">
        <v>49</v>
      </c>
      <c r="B4558" t="s">
        <v>236</v>
      </c>
      <c r="C4558">
        <v>7219</v>
      </c>
      <c r="D4558" t="s">
        <v>1022</v>
      </c>
      <c r="E4558" t="s">
        <v>115</v>
      </c>
      <c r="F4558" t="s">
        <v>99</v>
      </c>
      <c r="G4558" t="s">
        <v>104</v>
      </c>
    </row>
    <row r="4559" spans="1:7" x14ac:dyDescent="0.3">
      <c r="A4559" t="s">
        <v>49</v>
      </c>
      <c r="B4559" t="s">
        <v>238</v>
      </c>
      <c r="C4559">
        <v>6095</v>
      </c>
      <c r="D4559" t="s">
        <v>333</v>
      </c>
      <c r="E4559" t="s">
        <v>155</v>
      </c>
      <c r="F4559" t="s">
        <v>198</v>
      </c>
      <c r="G4559" t="s">
        <v>104</v>
      </c>
    </row>
    <row r="4561" spans="1:7" x14ac:dyDescent="0.3">
      <c r="A4561" t="s">
        <v>1579</v>
      </c>
    </row>
    <row r="4562" spans="1:7" x14ac:dyDescent="0.3">
      <c r="A4562" t="s">
        <v>44</v>
      </c>
      <c r="B4562" t="s">
        <v>361</v>
      </c>
      <c r="C4562" t="s">
        <v>32</v>
      </c>
      <c r="D4562" t="s">
        <v>352</v>
      </c>
      <c r="E4562" t="s">
        <v>66</v>
      </c>
      <c r="F4562" t="s">
        <v>67</v>
      </c>
      <c r="G4562" t="s">
        <v>193</v>
      </c>
    </row>
    <row r="4563" spans="1:7" x14ac:dyDescent="0.3">
      <c r="A4563" t="s">
        <v>35</v>
      </c>
      <c r="B4563" t="s">
        <v>339</v>
      </c>
      <c r="C4563">
        <v>889</v>
      </c>
      <c r="D4563" t="s">
        <v>99</v>
      </c>
      <c r="E4563" t="s">
        <v>766</v>
      </c>
      <c r="F4563" t="s">
        <v>127</v>
      </c>
      <c r="G4563" t="s">
        <v>198</v>
      </c>
    </row>
    <row r="4564" spans="1:7" x14ac:dyDescent="0.3">
      <c r="A4564" t="s">
        <v>35</v>
      </c>
      <c r="B4564" t="s">
        <v>340</v>
      </c>
      <c r="C4564">
        <v>2213</v>
      </c>
      <c r="D4564" t="s">
        <v>99</v>
      </c>
      <c r="E4564" t="s">
        <v>202</v>
      </c>
      <c r="F4564" t="s">
        <v>151</v>
      </c>
      <c r="G4564" t="s">
        <v>198</v>
      </c>
    </row>
    <row r="4565" spans="1:7" x14ac:dyDescent="0.3">
      <c r="A4565" t="s">
        <v>35</v>
      </c>
      <c r="B4565" t="s">
        <v>365</v>
      </c>
      <c r="C4565">
        <v>40</v>
      </c>
      <c r="D4565" t="s">
        <v>99</v>
      </c>
      <c r="E4565" t="s">
        <v>404</v>
      </c>
      <c r="F4565" t="s">
        <v>157</v>
      </c>
      <c r="G4565" t="s">
        <v>99</v>
      </c>
    </row>
    <row r="4566" spans="1:7" x14ac:dyDescent="0.3">
      <c r="A4566" t="s">
        <v>37</v>
      </c>
      <c r="B4566" t="s">
        <v>339</v>
      </c>
      <c r="C4566">
        <v>1093</v>
      </c>
      <c r="D4566" t="s">
        <v>99</v>
      </c>
      <c r="E4566" t="s">
        <v>483</v>
      </c>
      <c r="F4566" t="s">
        <v>101</v>
      </c>
      <c r="G4566" t="s">
        <v>104</v>
      </c>
    </row>
    <row r="4567" spans="1:7" x14ac:dyDescent="0.3">
      <c r="A4567" t="s">
        <v>37</v>
      </c>
      <c r="B4567" t="s">
        <v>340</v>
      </c>
      <c r="C4567">
        <v>2720</v>
      </c>
      <c r="D4567" t="s">
        <v>104</v>
      </c>
      <c r="E4567" t="s">
        <v>766</v>
      </c>
      <c r="F4567" t="s">
        <v>127</v>
      </c>
      <c r="G4567" t="s">
        <v>198</v>
      </c>
    </row>
    <row r="4568" spans="1:7" x14ac:dyDescent="0.3">
      <c r="A4568" t="s">
        <v>37</v>
      </c>
      <c r="B4568" t="s">
        <v>365</v>
      </c>
      <c r="C4568">
        <v>41</v>
      </c>
      <c r="D4568" t="s">
        <v>99</v>
      </c>
      <c r="E4568" t="s">
        <v>252</v>
      </c>
      <c r="F4568" t="s">
        <v>299</v>
      </c>
      <c r="G4568" t="s">
        <v>99</v>
      </c>
    </row>
    <row r="4569" spans="1:7" x14ac:dyDescent="0.3">
      <c r="A4569" t="s">
        <v>36</v>
      </c>
      <c r="B4569" t="s">
        <v>339</v>
      </c>
      <c r="C4569">
        <v>770</v>
      </c>
      <c r="D4569" t="s">
        <v>99</v>
      </c>
      <c r="E4569" t="s">
        <v>161</v>
      </c>
      <c r="F4569" t="s">
        <v>109</v>
      </c>
      <c r="G4569" t="s">
        <v>207</v>
      </c>
    </row>
    <row r="4570" spans="1:7" x14ac:dyDescent="0.3">
      <c r="A4570" t="s">
        <v>36</v>
      </c>
      <c r="B4570" t="s">
        <v>340</v>
      </c>
      <c r="C4570">
        <v>1470</v>
      </c>
      <c r="D4570" t="s">
        <v>104</v>
      </c>
      <c r="E4570" t="s">
        <v>334</v>
      </c>
      <c r="F4570" t="s">
        <v>143</v>
      </c>
      <c r="G4570" t="s">
        <v>99</v>
      </c>
    </row>
    <row r="4571" spans="1:7" x14ac:dyDescent="0.3">
      <c r="A4571" t="s">
        <v>36</v>
      </c>
      <c r="B4571" t="s">
        <v>365</v>
      </c>
      <c r="C4571">
        <v>63</v>
      </c>
      <c r="D4571" t="s">
        <v>99</v>
      </c>
      <c r="E4571" t="s">
        <v>211</v>
      </c>
      <c r="F4571" t="s">
        <v>99</v>
      </c>
      <c r="G4571" t="s">
        <v>99</v>
      </c>
    </row>
    <row r="4572" spans="1:7" x14ac:dyDescent="0.3">
      <c r="A4572" t="s">
        <v>34</v>
      </c>
      <c r="B4572" t="s">
        <v>339</v>
      </c>
      <c r="C4572">
        <v>555</v>
      </c>
      <c r="D4572" t="s">
        <v>115</v>
      </c>
      <c r="E4572" t="s">
        <v>265</v>
      </c>
      <c r="F4572" t="s">
        <v>117</v>
      </c>
      <c r="G4572" t="s">
        <v>136</v>
      </c>
    </row>
    <row r="4573" spans="1:7" x14ac:dyDescent="0.3">
      <c r="A4573" t="s">
        <v>34</v>
      </c>
      <c r="B4573" t="s">
        <v>340</v>
      </c>
      <c r="C4573">
        <v>1497</v>
      </c>
      <c r="D4573" t="s">
        <v>207</v>
      </c>
      <c r="E4573" t="s">
        <v>404</v>
      </c>
      <c r="F4573" t="s">
        <v>128</v>
      </c>
      <c r="G4573" t="s">
        <v>104</v>
      </c>
    </row>
    <row r="4574" spans="1:7" x14ac:dyDescent="0.3">
      <c r="A4574" t="s">
        <v>34</v>
      </c>
      <c r="B4574" t="s">
        <v>365</v>
      </c>
      <c r="C4574">
        <v>28</v>
      </c>
      <c r="D4574" t="s">
        <v>99</v>
      </c>
      <c r="E4574" t="s">
        <v>211</v>
      </c>
      <c r="F4574" t="s">
        <v>99</v>
      </c>
      <c r="G4574" t="s">
        <v>99</v>
      </c>
    </row>
    <row r="4575" spans="1:7" x14ac:dyDescent="0.3">
      <c r="A4575" t="s">
        <v>33</v>
      </c>
      <c r="B4575" t="s">
        <v>339</v>
      </c>
      <c r="C4575">
        <v>501</v>
      </c>
      <c r="D4575" t="s">
        <v>198</v>
      </c>
      <c r="E4575" t="s">
        <v>383</v>
      </c>
      <c r="F4575" t="s">
        <v>126</v>
      </c>
      <c r="G4575" t="s">
        <v>99</v>
      </c>
    </row>
    <row r="4576" spans="1:7" x14ac:dyDescent="0.3">
      <c r="A4576" t="s">
        <v>33</v>
      </c>
      <c r="B4576" t="s">
        <v>340</v>
      </c>
      <c r="C4576">
        <v>1415</v>
      </c>
      <c r="D4576" t="s">
        <v>99</v>
      </c>
      <c r="E4576" t="s">
        <v>483</v>
      </c>
      <c r="F4576" t="s">
        <v>319</v>
      </c>
      <c r="G4576" t="s">
        <v>99</v>
      </c>
    </row>
    <row r="4577" spans="1:7" x14ac:dyDescent="0.3">
      <c r="A4577" t="s">
        <v>33</v>
      </c>
      <c r="B4577" t="s">
        <v>365</v>
      </c>
      <c r="C4577">
        <v>19</v>
      </c>
      <c r="D4577" t="s">
        <v>99</v>
      </c>
      <c r="E4577" t="s">
        <v>211</v>
      </c>
      <c r="F4577" t="s">
        <v>99</v>
      </c>
      <c r="G4577" t="s">
        <v>99</v>
      </c>
    </row>
    <row r="4578" spans="1:7" x14ac:dyDescent="0.3">
      <c r="A4578" t="s">
        <v>49</v>
      </c>
      <c r="B4578" t="s">
        <v>339</v>
      </c>
      <c r="C4578">
        <v>3808</v>
      </c>
      <c r="D4578" t="s">
        <v>198</v>
      </c>
      <c r="E4578" t="s">
        <v>249</v>
      </c>
      <c r="F4578" t="s">
        <v>111</v>
      </c>
      <c r="G4578" t="s">
        <v>198</v>
      </c>
    </row>
    <row r="4579" spans="1:7" x14ac:dyDescent="0.3">
      <c r="A4579" t="s">
        <v>49</v>
      </c>
      <c r="B4579" t="s">
        <v>340</v>
      </c>
      <c r="C4579">
        <v>9315</v>
      </c>
      <c r="D4579" t="s">
        <v>104</v>
      </c>
      <c r="E4579" t="s">
        <v>851</v>
      </c>
      <c r="F4579" t="s">
        <v>268</v>
      </c>
      <c r="G4579" t="s">
        <v>104</v>
      </c>
    </row>
    <row r="4580" spans="1:7" x14ac:dyDescent="0.3">
      <c r="A4580" t="s">
        <v>49</v>
      </c>
      <c r="B4580" t="s">
        <v>365</v>
      </c>
      <c r="C4580">
        <v>191</v>
      </c>
      <c r="D4580" t="s">
        <v>99</v>
      </c>
      <c r="E4580" t="s">
        <v>780</v>
      </c>
      <c r="F4580" t="s">
        <v>128</v>
      </c>
      <c r="G4580" t="s">
        <v>99</v>
      </c>
    </row>
    <row r="4582" spans="1:7" x14ac:dyDescent="0.3">
      <c r="A4582" t="s">
        <v>1580</v>
      </c>
    </row>
    <row r="4583" spans="1:7" x14ac:dyDescent="0.3">
      <c r="A4583" t="s">
        <v>44</v>
      </c>
      <c r="B4583" t="s">
        <v>209</v>
      </c>
      <c r="C4583" t="s">
        <v>32</v>
      </c>
      <c r="D4583" t="s">
        <v>66</v>
      </c>
      <c r="E4583" t="s">
        <v>67</v>
      </c>
      <c r="F4583" t="s">
        <v>352</v>
      </c>
      <c r="G4583" t="s">
        <v>193</v>
      </c>
    </row>
    <row r="4584" spans="1:7" x14ac:dyDescent="0.3">
      <c r="A4584" t="s">
        <v>35</v>
      </c>
      <c r="B4584" t="s">
        <v>210</v>
      </c>
      <c r="C4584">
        <v>136</v>
      </c>
      <c r="D4584" t="s">
        <v>199</v>
      </c>
      <c r="E4584" t="s">
        <v>405</v>
      </c>
      <c r="F4584" t="s">
        <v>99</v>
      </c>
      <c r="G4584" t="s">
        <v>121</v>
      </c>
    </row>
    <row r="4585" spans="1:7" x14ac:dyDescent="0.3">
      <c r="A4585" t="s">
        <v>35</v>
      </c>
      <c r="B4585" t="s">
        <v>212</v>
      </c>
      <c r="C4585">
        <v>2440</v>
      </c>
      <c r="D4585" t="s">
        <v>438</v>
      </c>
      <c r="E4585" t="s">
        <v>123</v>
      </c>
      <c r="F4585" t="s">
        <v>99</v>
      </c>
      <c r="G4585" t="s">
        <v>104</v>
      </c>
    </row>
    <row r="4586" spans="1:7" x14ac:dyDescent="0.3">
      <c r="A4586" t="s">
        <v>35</v>
      </c>
      <c r="B4586" t="s">
        <v>216</v>
      </c>
      <c r="C4586">
        <v>566</v>
      </c>
      <c r="D4586" t="s">
        <v>989</v>
      </c>
      <c r="E4586" t="s">
        <v>141</v>
      </c>
      <c r="F4586" t="s">
        <v>99</v>
      </c>
      <c r="G4586" t="s">
        <v>207</v>
      </c>
    </row>
    <row r="4587" spans="1:7" x14ac:dyDescent="0.3">
      <c r="A4587" t="s">
        <v>37</v>
      </c>
      <c r="B4587" t="s">
        <v>210</v>
      </c>
      <c r="C4587">
        <v>138</v>
      </c>
      <c r="D4587" t="s">
        <v>205</v>
      </c>
      <c r="E4587" t="s">
        <v>746</v>
      </c>
      <c r="F4587" t="s">
        <v>99</v>
      </c>
      <c r="G4587" t="s">
        <v>136</v>
      </c>
    </row>
    <row r="4588" spans="1:7" x14ac:dyDescent="0.3">
      <c r="A4588" t="s">
        <v>37</v>
      </c>
      <c r="B4588" t="s">
        <v>212</v>
      </c>
      <c r="C4588">
        <v>3605</v>
      </c>
      <c r="D4588" t="s">
        <v>483</v>
      </c>
      <c r="E4588" t="s">
        <v>121</v>
      </c>
      <c r="F4588" t="s">
        <v>99</v>
      </c>
      <c r="G4588" t="s">
        <v>104</v>
      </c>
    </row>
    <row r="4589" spans="1:7" x14ac:dyDescent="0.3">
      <c r="A4589" t="s">
        <v>37</v>
      </c>
      <c r="B4589" t="s">
        <v>216</v>
      </c>
      <c r="C4589">
        <v>111</v>
      </c>
      <c r="D4589" t="s">
        <v>1026</v>
      </c>
      <c r="E4589" t="s">
        <v>121</v>
      </c>
      <c r="F4589" t="s">
        <v>99</v>
      </c>
      <c r="G4589" t="s">
        <v>253</v>
      </c>
    </row>
    <row r="4590" spans="1:7" x14ac:dyDescent="0.3">
      <c r="A4590" t="s">
        <v>36</v>
      </c>
      <c r="B4590" t="s">
        <v>210</v>
      </c>
      <c r="C4590">
        <v>165</v>
      </c>
      <c r="D4590" t="s">
        <v>1475</v>
      </c>
      <c r="E4590" t="s">
        <v>1044</v>
      </c>
      <c r="F4590" t="s">
        <v>115</v>
      </c>
      <c r="G4590" t="s">
        <v>115</v>
      </c>
    </row>
    <row r="4591" spans="1:7" x14ac:dyDescent="0.3">
      <c r="A4591" t="s">
        <v>36</v>
      </c>
      <c r="B4591" t="s">
        <v>212</v>
      </c>
      <c r="C4591">
        <v>1873</v>
      </c>
      <c r="D4591" t="s">
        <v>759</v>
      </c>
      <c r="E4591" t="s">
        <v>332</v>
      </c>
      <c r="F4591" t="s">
        <v>99</v>
      </c>
      <c r="G4591" t="s">
        <v>99</v>
      </c>
    </row>
    <row r="4592" spans="1:7" x14ac:dyDescent="0.3">
      <c r="A4592" t="s">
        <v>36</v>
      </c>
      <c r="B4592" t="s">
        <v>216</v>
      </c>
      <c r="C4592">
        <v>265</v>
      </c>
      <c r="D4592" t="s">
        <v>1282</v>
      </c>
      <c r="E4592" t="s">
        <v>313</v>
      </c>
      <c r="F4592" t="s">
        <v>99</v>
      </c>
      <c r="G4592" t="s">
        <v>99</v>
      </c>
    </row>
    <row r="4593" spans="1:7" x14ac:dyDescent="0.3">
      <c r="A4593" t="s">
        <v>34</v>
      </c>
      <c r="B4593" t="s">
        <v>210</v>
      </c>
      <c r="C4593">
        <v>256</v>
      </c>
      <c r="D4593" t="s">
        <v>364</v>
      </c>
      <c r="E4593" t="s">
        <v>204</v>
      </c>
      <c r="F4593" t="s">
        <v>127</v>
      </c>
      <c r="G4593" t="s">
        <v>141</v>
      </c>
    </row>
    <row r="4594" spans="1:7" x14ac:dyDescent="0.3">
      <c r="A4594" t="s">
        <v>34</v>
      </c>
      <c r="B4594" t="s">
        <v>212</v>
      </c>
      <c r="C4594">
        <v>1582</v>
      </c>
      <c r="D4594" t="s">
        <v>1026</v>
      </c>
      <c r="E4594" t="s">
        <v>101</v>
      </c>
      <c r="F4594" t="s">
        <v>198</v>
      </c>
      <c r="G4594" t="s">
        <v>198</v>
      </c>
    </row>
    <row r="4595" spans="1:7" x14ac:dyDescent="0.3">
      <c r="A4595" t="s">
        <v>34</v>
      </c>
      <c r="B4595" t="s">
        <v>216</v>
      </c>
      <c r="C4595">
        <v>242</v>
      </c>
      <c r="D4595" t="s">
        <v>331</v>
      </c>
      <c r="E4595" t="s">
        <v>474</v>
      </c>
      <c r="F4595" t="s">
        <v>104</v>
      </c>
      <c r="G4595" t="s">
        <v>99</v>
      </c>
    </row>
    <row r="4596" spans="1:7" x14ac:dyDescent="0.3">
      <c r="A4596" t="s">
        <v>33</v>
      </c>
      <c r="B4596" t="s">
        <v>210</v>
      </c>
      <c r="C4596">
        <v>66</v>
      </c>
      <c r="D4596" t="s">
        <v>877</v>
      </c>
      <c r="E4596" t="s">
        <v>291</v>
      </c>
      <c r="F4596" t="s">
        <v>99</v>
      </c>
      <c r="G4596" t="s">
        <v>99</v>
      </c>
    </row>
    <row r="4597" spans="1:7" x14ac:dyDescent="0.3">
      <c r="A4597" t="s">
        <v>33</v>
      </c>
      <c r="B4597" t="s">
        <v>212</v>
      </c>
      <c r="C4597">
        <v>1800</v>
      </c>
      <c r="D4597" t="s">
        <v>225</v>
      </c>
      <c r="E4597" t="s">
        <v>108</v>
      </c>
      <c r="F4597" t="s">
        <v>104</v>
      </c>
      <c r="G4597" t="s">
        <v>99</v>
      </c>
    </row>
    <row r="4598" spans="1:7" x14ac:dyDescent="0.3">
      <c r="A4598" t="s">
        <v>33</v>
      </c>
      <c r="B4598" t="s">
        <v>216</v>
      </c>
      <c r="C4598">
        <v>69</v>
      </c>
      <c r="D4598" t="s">
        <v>69</v>
      </c>
      <c r="E4598" t="s">
        <v>68</v>
      </c>
      <c r="F4598" t="s">
        <v>99</v>
      </c>
      <c r="G4598" t="s">
        <v>99</v>
      </c>
    </row>
    <row r="4599" spans="1:7" x14ac:dyDescent="0.3">
      <c r="A4599" t="s">
        <v>49</v>
      </c>
      <c r="B4599" t="s">
        <v>210</v>
      </c>
      <c r="C4599">
        <v>761</v>
      </c>
      <c r="D4599" t="s">
        <v>417</v>
      </c>
      <c r="E4599" t="s">
        <v>369</v>
      </c>
      <c r="F4599" t="s">
        <v>132</v>
      </c>
      <c r="G4599" t="s">
        <v>253</v>
      </c>
    </row>
    <row r="4600" spans="1:7" x14ac:dyDescent="0.3">
      <c r="A4600" t="s">
        <v>49</v>
      </c>
      <c r="B4600" t="s">
        <v>212</v>
      </c>
      <c r="C4600">
        <v>11300</v>
      </c>
      <c r="D4600" t="s">
        <v>383</v>
      </c>
      <c r="E4600" t="s">
        <v>126</v>
      </c>
      <c r="F4600" t="s">
        <v>104</v>
      </c>
      <c r="G4600" t="s">
        <v>104</v>
      </c>
    </row>
    <row r="4601" spans="1:7" x14ac:dyDescent="0.3">
      <c r="A4601" t="s">
        <v>49</v>
      </c>
      <c r="B4601" t="s">
        <v>216</v>
      </c>
      <c r="C4601">
        <v>1253</v>
      </c>
      <c r="D4601" t="s">
        <v>780</v>
      </c>
      <c r="E4601" t="s">
        <v>103</v>
      </c>
      <c r="F4601" t="s">
        <v>99</v>
      </c>
      <c r="G4601" t="s">
        <v>198</v>
      </c>
    </row>
    <row r="4603" spans="1:7" x14ac:dyDescent="0.3">
      <c r="A4603" t="s">
        <v>1581</v>
      </c>
    </row>
    <row r="4604" spans="1:7" x14ac:dyDescent="0.3">
      <c r="A4604" t="s">
        <v>44</v>
      </c>
      <c r="B4604" t="s">
        <v>879</v>
      </c>
      <c r="C4604" t="s">
        <v>32</v>
      </c>
      <c r="D4604" t="s">
        <v>66</v>
      </c>
      <c r="E4604" t="s">
        <v>67</v>
      </c>
      <c r="F4604" t="s">
        <v>352</v>
      </c>
      <c r="G4604" t="s">
        <v>193</v>
      </c>
    </row>
    <row r="4605" spans="1:7" x14ac:dyDescent="0.3">
      <c r="A4605" t="s">
        <v>35</v>
      </c>
      <c r="B4605" t="s">
        <v>880</v>
      </c>
      <c r="C4605">
        <v>596</v>
      </c>
      <c r="D4605" t="s">
        <v>768</v>
      </c>
      <c r="E4605" t="s">
        <v>118</v>
      </c>
      <c r="F4605" t="s">
        <v>99</v>
      </c>
      <c r="G4605" t="s">
        <v>104</v>
      </c>
    </row>
    <row r="4606" spans="1:7" x14ac:dyDescent="0.3">
      <c r="A4606" t="s">
        <v>35</v>
      </c>
      <c r="B4606" t="s">
        <v>881</v>
      </c>
      <c r="C4606">
        <v>1160</v>
      </c>
      <c r="D4606" t="s">
        <v>851</v>
      </c>
      <c r="E4606" t="s">
        <v>117</v>
      </c>
      <c r="F4606" t="s">
        <v>99</v>
      </c>
      <c r="G4606" t="s">
        <v>104</v>
      </c>
    </row>
    <row r="4607" spans="1:7" x14ac:dyDescent="0.3">
      <c r="A4607" t="s">
        <v>35</v>
      </c>
      <c r="B4607" t="s">
        <v>882</v>
      </c>
      <c r="C4607">
        <v>1386</v>
      </c>
      <c r="D4607" t="s">
        <v>1022</v>
      </c>
      <c r="E4607" t="s">
        <v>253</v>
      </c>
      <c r="F4607" t="s">
        <v>99</v>
      </c>
      <c r="G4607" t="s">
        <v>207</v>
      </c>
    </row>
    <row r="4608" spans="1:7" x14ac:dyDescent="0.3">
      <c r="A4608" t="s">
        <v>37</v>
      </c>
      <c r="B4608" t="s">
        <v>880</v>
      </c>
      <c r="C4608">
        <v>670</v>
      </c>
      <c r="D4608" t="s">
        <v>413</v>
      </c>
      <c r="E4608" t="s">
        <v>139</v>
      </c>
      <c r="F4608" t="s">
        <v>207</v>
      </c>
      <c r="G4608" t="s">
        <v>104</v>
      </c>
    </row>
    <row r="4609" spans="1:7" x14ac:dyDescent="0.3">
      <c r="A4609" t="s">
        <v>37</v>
      </c>
      <c r="B4609" t="s">
        <v>881</v>
      </c>
      <c r="C4609">
        <v>1371</v>
      </c>
      <c r="D4609" t="s">
        <v>438</v>
      </c>
      <c r="E4609" t="s">
        <v>215</v>
      </c>
      <c r="F4609" t="s">
        <v>99</v>
      </c>
      <c r="G4609" t="s">
        <v>198</v>
      </c>
    </row>
    <row r="4610" spans="1:7" x14ac:dyDescent="0.3">
      <c r="A4610" t="s">
        <v>37</v>
      </c>
      <c r="B4610" t="s">
        <v>882</v>
      </c>
      <c r="C4610">
        <v>1813</v>
      </c>
      <c r="D4610" t="s">
        <v>989</v>
      </c>
      <c r="E4610" t="s">
        <v>115</v>
      </c>
      <c r="F4610" t="s">
        <v>99</v>
      </c>
      <c r="G4610" t="s">
        <v>104</v>
      </c>
    </row>
    <row r="4611" spans="1:7" x14ac:dyDescent="0.3">
      <c r="A4611" t="s">
        <v>36</v>
      </c>
      <c r="B4611" t="s">
        <v>880</v>
      </c>
      <c r="C4611">
        <v>382</v>
      </c>
      <c r="D4611" t="s">
        <v>73</v>
      </c>
      <c r="E4611" t="s">
        <v>363</v>
      </c>
      <c r="F4611" t="s">
        <v>99</v>
      </c>
      <c r="G4611" t="s">
        <v>141</v>
      </c>
    </row>
    <row r="4612" spans="1:7" x14ac:dyDescent="0.3">
      <c r="A4612" t="s">
        <v>36</v>
      </c>
      <c r="B4612" t="s">
        <v>881</v>
      </c>
      <c r="C4612">
        <v>864</v>
      </c>
      <c r="D4612" t="s">
        <v>771</v>
      </c>
      <c r="E4612" t="s">
        <v>663</v>
      </c>
      <c r="F4612" t="s">
        <v>99</v>
      </c>
      <c r="G4612" t="s">
        <v>99</v>
      </c>
    </row>
    <row r="4613" spans="1:7" x14ac:dyDescent="0.3">
      <c r="A4613" t="s">
        <v>36</v>
      </c>
      <c r="B4613" t="s">
        <v>882</v>
      </c>
      <c r="C4613">
        <v>1057</v>
      </c>
      <c r="D4613" t="s">
        <v>778</v>
      </c>
      <c r="E4613" t="s">
        <v>242</v>
      </c>
      <c r="F4613" t="s">
        <v>198</v>
      </c>
      <c r="G4613" t="s">
        <v>99</v>
      </c>
    </row>
    <row r="4614" spans="1:7" x14ac:dyDescent="0.3">
      <c r="A4614" t="s">
        <v>34</v>
      </c>
      <c r="B4614" t="s">
        <v>880</v>
      </c>
      <c r="C4614">
        <v>351</v>
      </c>
      <c r="D4614" t="s">
        <v>998</v>
      </c>
      <c r="E4614" t="s">
        <v>123</v>
      </c>
      <c r="F4614" t="s">
        <v>100</v>
      </c>
      <c r="G4614" t="s">
        <v>99</v>
      </c>
    </row>
    <row r="4615" spans="1:7" x14ac:dyDescent="0.3">
      <c r="A4615" t="s">
        <v>34</v>
      </c>
      <c r="B4615" t="s">
        <v>881</v>
      </c>
      <c r="C4615">
        <v>861</v>
      </c>
      <c r="D4615" t="s">
        <v>768</v>
      </c>
      <c r="E4615" t="s">
        <v>138</v>
      </c>
      <c r="F4615" t="s">
        <v>136</v>
      </c>
      <c r="G4615" t="s">
        <v>198</v>
      </c>
    </row>
    <row r="4616" spans="1:7" x14ac:dyDescent="0.3">
      <c r="A4616" t="s">
        <v>34</v>
      </c>
      <c r="B4616" t="s">
        <v>882</v>
      </c>
      <c r="C4616">
        <v>868</v>
      </c>
      <c r="D4616" t="s">
        <v>780</v>
      </c>
      <c r="E4616" t="s">
        <v>292</v>
      </c>
      <c r="F4616" t="s">
        <v>198</v>
      </c>
      <c r="G4616" t="s">
        <v>207</v>
      </c>
    </row>
    <row r="4617" spans="1:7" x14ac:dyDescent="0.3">
      <c r="A4617" t="s">
        <v>33</v>
      </c>
      <c r="B4617" t="s">
        <v>880</v>
      </c>
      <c r="C4617">
        <v>426</v>
      </c>
      <c r="D4617" t="s">
        <v>780</v>
      </c>
      <c r="E4617" t="s">
        <v>128</v>
      </c>
      <c r="F4617" t="s">
        <v>99</v>
      </c>
      <c r="G4617" t="s">
        <v>99</v>
      </c>
    </row>
    <row r="4618" spans="1:7" x14ac:dyDescent="0.3">
      <c r="A4618" t="s">
        <v>33</v>
      </c>
      <c r="B4618" t="s">
        <v>881</v>
      </c>
      <c r="C4618">
        <v>681</v>
      </c>
      <c r="D4618" t="s">
        <v>993</v>
      </c>
      <c r="E4618" t="s">
        <v>319</v>
      </c>
      <c r="F4618" t="s">
        <v>198</v>
      </c>
      <c r="G4618" t="s">
        <v>99</v>
      </c>
    </row>
    <row r="4619" spans="1:7" x14ac:dyDescent="0.3">
      <c r="A4619" t="s">
        <v>33</v>
      </c>
      <c r="B4619" t="s">
        <v>882</v>
      </c>
      <c r="C4619">
        <v>828</v>
      </c>
      <c r="D4619" t="s">
        <v>996</v>
      </c>
      <c r="E4619" t="s">
        <v>115</v>
      </c>
      <c r="F4619" t="s">
        <v>99</v>
      </c>
      <c r="G4619" t="s">
        <v>99</v>
      </c>
    </row>
    <row r="4620" spans="1:7" x14ac:dyDescent="0.3">
      <c r="A4620" t="s">
        <v>49</v>
      </c>
      <c r="B4620" t="s">
        <v>880</v>
      </c>
      <c r="C4620">
        <v>2425</v>
      </c>
      <c r="D4620" t="s">
        <v>1017</v>
      </c>
      <c r="E4620" t="s">
        <v>129</v>
      </c>
      <c r="F4620" t="s">
        <v>198</v>
      </c>
      <c r="G4620" t="s">
        <v>104</v>
      </c>
    </row>
    <row r="4621" spans="1:7" x14ac:dyDescent="0.3">
      <c r="A4621" t="s">
        <v>49</v>
      </c>
      <c r="B4621" t="s">
        <v>881</v>
      </c>
      <c r="C4621">
        <v>4937</v>
      </c>
      <c r="D4621" t="s">
        <v>466</v>
      </c>
      <c r="E4621" t="s">
        <v>103</v>
      </c>
      <c r="F4621" t="s">
        <v>104</v>
      </c>
      <c r="G4621" t="s">
        <v>104</v>
      </c>
    </row>
    <row r="4622" spans="1:7" x14ac:dyDescent="0.3">
      <c r="A4622" t="s">
        <v>49</v>
      </c>
      <c r="B4622" t="s">
        <v>882</v>
      </c>
      <c r="C4622">
        <v>5952</v>
      </c>
      <c r="D4622" t="s">
        <v>993</v>
      </c>
      <c r="E4622" t="s">
        <v>101</v>
      </c>
      <c r="F4622" t="s">
        <v>104</v>
      </c>
      <c r="G4622" t="s">
        <v>198</v>
      </c>
    </row>
    <row r="4624" spans="1:7" x14ac:dyDescent="0.3">
      <c r="A4624" t="s">
        <v>1582</v>
      </c>
    </row>
    <row r="4625" spans="1:7" x14ac:dyDescent="0.3">
      <c r="A4625" t="s">
        <v>44</v>
      </c>
      <c r="B4625" t="s">
        <v>388</v>
      </c>
      <c r="C4625" t="s">
        <v>32</v>
      </c>
      <c r="D4625" t="s">
        <v>352</v>
      </c>
      <c r="E4625" t="s">
        <v>66</v>
      </c>
      <c r="F4625" t="s">
        <v>67</v>
      </c>
      <c r="G4625" t="s">
        <v>193</v>
      </c>
    </row>
    <row r="4626" spans="1:7" x14ac:dyDescent="0.3">
      <c r="A4626" t="s">
        <v>35</v>
      </c>
      <c r="B4626" t="s">
        <v>389</v>
      </c>
      <c r="C4626">
        <v>2140</v>
      </c>
      <c r="D4626" t="s">
        <v>99</v>
      </c>
      <c r="E4626" t="s">
        <v>993</v>
      </c>
      <c r="F4626" t="s">
        <v>319</v>
      </c>
      <c r="G4626" t="s">
        <v>198</v>
      </c>
    </row>
    <row r="4627" spans="1:7" x14ac:dyDescent="0.3">
      <c r="A4627" t="s">
        <v>35</v>
      </c>
      <c r="B4627" t="s">
        <v>390</v>
      </c>
      <c r="C4627">
        <v>873</v>
      </c>
      <c r="D4627" t="s">
        <v>99</v>
      </c>
      <c r="E4627" t="s">
        <v>768</v>
      </c>
      <c r="F4627" t="s">
        <v>134</v>
      </c>
      <c r="G4627" t="s">
        <v>104</v>
      </c>
    </row>
    <row r="4628" spans="1:7" x14ac:dyDescent="0.3">
      <c r="A4628" t="s">
        <v>35</v>
      </c>
      <c r="B4628" t="s">
        <v>365</v>
      </c>
      <c r="C4628">
        <v>129</v>
      </c>
      <c r="D4628" t="s">
        <v>99</v>
      </c>
      <c r="E4628" t="s">
        <v>211</v>
      </c>
      <c r="F4628" t="s">
        <v>99</v>
      </c>
      <c r="G4628" t="s">
        <v>99</v>
      </c>
    </row>
    <row r="4629" spans="1:7" x14ac:dyDescent="0.3">
      <c r="A4629" t="s">
        <v>37</v>
      </c>
      <c r="B4629" t="s">
        <v>389</v>
      </c>
      <c r="C4629">
        <v>2305</v>
      </c>
      <c r="D4629" t="s">
        <v>99</v>
      </c>
      <c r="E4629" t="s">
        <v>229</v>
      </c>
      <c r="F4629" t="s">
        <v>319</v>
      </c>
      <c r="G4629" t="s">
        <v>104</v>
      </c>
    </row>
    <row r="4630" spans="1:7" x14ac:dyDescent="0.3">
      <c r="A4630" t="s">
        <v>37</v>
      </c>
      <c r="B4630" t="s">
        <v>390</v>
      </c>
      <c r="C4630">
        <v>1308</v>
      </c>
      <c r="D4630" t="s">
        <v>104</v>
      </c>
      <c r="E4630" t="s">
        <v>851</v>
      </c>
      <c r="F4630" t="s">
        <v>268</v>
      </c>
      <c r="G4630" t="s">
        <v>99</v>
      </c>
    </row>
    <row r="4631" spans="1:7" x14ac:dyDescent="0.3">
      <c r="A4631" t="s">
        <v>37</v>
      </c>
      <c r="B4631" t="s">
        <v>365</v>
      </c>
      <c r="C4631">
        <v>241</v>
      </c>
      <c r="D4631" t="s">
        <v>99</v>
      </c>
      <c r="E4631" t="s">
        <v>202</v>
      </c>
      <c r="F4631" t="s">
        <v>126</v>
      </c>
      <c r="G4631" t="s">
        <v>115</v>
      </c>
    </row>
    <row r="4632" spans="1:7" x14ac:dyDescent="0.3">
      <c r="A4632" t="s">
        <v>36</v>
      </c>
      <c r="B4632" t="s">
        <v>389</v>
      </c>
      <c r="C4632">
        <v>1578</v>
      </c>
      <c r="D4632" t="s">
        <v>104</v>
      </c>
      <c r="E4632" t="s">
        <v>334</v>
      </c>
      <c r="F4632" t="s">
        <v>144</v>
      </c>
      <c r="G4632" t="s">
        <v>198</v>
      </c>
    </row>
    <row r="4633" spans="1:7" x14ac:dyDescent="0.3">
      <c r="A4633" t="s">
        <v>36</v>
      </c>
      <c r="B4633" t="s">
        <v>390</v>
      </c>
      <c r="C4633">
        <v>625</v>
      </c>
      <c r="D4633" t="s">
        <v>99</v>
      </c>
      <c r="E4633" t="s">
        <v>335</v>
      </c>
      <c r="F4633" t="s">
        <v>158</v>
      </c>
      <c r="G4633" t="s">
        <v>99</v>
      </c>
    </row>
    <row r="4634" spans="1:7" x14ac:dyDescent="0.3">
      <c r="A4634" t="s">
        <v>36</v>
      </c>
      <c r="B4634" t="s">
        <v>365</v>
      </c>
      <c r="C4634">
        <v>100</v>
      </c>
      <c r="D4634" t="s">
        <v>99</v>
      </c>
      <c r="E4634" t="s">
        <v>417</v>
      </c>
      <c r="F4634" t="s">
        <v>289</v>
      </c>
      <c r="G4634" t="s">
        <v>99</v>
      </c>
    </row>
    <row r="4635" spans="1:7" x14ac:dyDescent="0.3">
      <c r="A4635" t="s">
        <v>34</v>
      </c>
      <c r="B4635" t="s">
        <v>389</v>
      </c>
      <c r="C4635">
        <v>1385</v>
      </c>
      <c r="D4635" t="s">
        <v>207</v>
      </c>
      <c r="E4635" t="s">
        <v>404</v>
      </c>
      <c r="F4635" t="s">
        <v>316</v>
      </c>
      <c r="G4635" t="s">
        <v>104</v>
      </c>
    </row>
    <row r="4636" spans="1:7" x14ac:dyDescent="0.3">
      <c r="A4636" t="s">
        <v>34</v>
      </c>
      <c r="B4636" t="s">
        <v>390</v>
      </c>
      <c r="C4636">
        <v>615</v>
      </c>
      <c r="D4636" t="s">
        <v>132</v>
      </c>
      <c r="E4636" t="s">
        <v>265</v>
      </c>
      <c r="F4636" t="s">
        <v>111</v>
      </c>
      <c r="G4636" t="s">
        <v>141</v>
      </c>
    </row>
    <row r="4637" spans="1:7" x14ac:dyDescent="0.3">
      <c r="A4637" t="s">
        <v>34</v>
      </c>
      <c r="B4637" t="s">
        <v>365</v>
      </c>
      <c r="C4637">
        <v>80</v>
      </c>
      <c r="D4637" t="s">
        <v>99</v>
      </c>
      <c r="E4637" t="s">
        <v>404</v>
      </c>
      <c r="F4637" t="s">
        <v>157</v>
      </c>
      <c r="G4637" t="s">
        <v>99</v>
      </c>
    </row>
    <row r="4638" spans="1:7" x14ac:dyDescent="0.3">
      <c r="A4638" t="s">
        <v>33</v>
      </c>
      <c r="B4638" t="s">
        <v>389</v>
      </c>
      <c r="C4638">
        <v>1089</v>
      </c>
      <c r="D4638" t="s">
        <v>104</v>
      </c>
      <c r="E4638" t="s">
        <v>993</v>
      </c>
      <c r="F4638" t="s">
        <v>126</v>
      </c>
      <c r="G4638" t="s">
        <v>99</v>
      </c>
    </row>
    <row r="4639" spans="1:7" x14ac:dyDescent="0.3">
      <c r="A4639" t="s">
        <v>33</v>
      </c>
      <c r="B4639" t="s">
        <v>390</v>
      </c>
      <c r="C4639">
        <v>707</v>
      </c>
      <c r="D4639" t="s">
        <v>99</v>
      </c>
      <c r="E4639" t="s">
        <v>229</v>
      </c>
      <c r="F4639" t="s">
        <v>126</v>
      </c>
      <c r="G4639" t="s">
        <v>99</v>
      </c>
    </row>
    <row r="4640" spans="1:7" x14ac:dyDescent="0.3">
      <c r="A4640" t="s">
        <v>33</v>
      </c>
      <c r="B4640" t="s">
        <v>365</v>
      </c>
      <c r="C4640">
        <v>139</v>
      </c>
      <c r="D4640" t="s">
        <v>99</v>
      </c>
      <c r="E4640" t="s">
        <v>211</v>
      </c>
      <c r="F4640" t="s">
        <v>99</v>
      </c>
      <c r="G4640" t="s">
        <v>99</v>
      </c>
    </row>
    <row r="4641" spans="1:7" x14ac:dyDescent="0.3">
      <c r="A4641" t="s">
        <v>49</v>
      </c>
      <c r="B4641" t="s">
        <v>389</v>
      </c>
      <c r="C4641">
        <v>8497</v>
      </c>
      <c r="D4641" t="s">
        <v>104</v>
      </c>
      <c r="E4641" t="s">
        <v>386</v>
      </c>
      <c r="F4641" t="s">
        <v>292</v>
      </c>
      <c r="G4641" t="s">
        <v>104</v>
      </c>
    </row>
    <row r="4642" spans="1:7" x14ac:dyDescent="0.3">
      <c r="A4642" t="s">
        <v>49</v>
      </c>
      <c r="B4642" t="s">
        <v>390</v>
      </c>
      <c r="C4642">
        <v>4128</v>
      </c>
      <c r="D4642" t="s">
        <v>198</v>
      </c>
      <c r="E4642" t="s">
        <v>998</v>
      </c>
      <c r="F4642" t="s">
        <v>128</v>
      </c>
      <c r="G4642" t="s">
        <v>104</v>
      </c>
    </row>
    <row r="4643" spans="1:7" x14ac:dyDescent="0.3">
      <c r="A4643" t="s">
        <v>49</v>
      </c>
      <c r="B4643" t="s">
        <v>365</v>
      </c>
      <c r="C4643">
        <v>689</v>
      </c>
      <c r="D4643" t="s">
        <v>99</v>
      </c>
      <c r="E4643" t="s">
        <v>851</v>
      </c>
      <c r="F4643" t="s">
        <v>111</v>
      </c>
      <c r="G4643" t="s">
        <v>198</v>
      </c>
    </row>
    <row r="4645" spans="1:7" x14ac:dyDescent="0.3">
      <c r="A4645" t="s">
        <v>1583</v>
      </c>
    </row>
    <row r="4646" spans="1:7" x14ac:dyDescent="0.3">
      <c r="A4646" t="s">
        <v>44</v>
      </c>
      <c r="B4646" t="s">
        <v>32</v>
      </c>
      <c r="C4646" t="s">
        <v>45</v>
      </c>
      <c r="D4646" t="s">
        <v>46</v>
      </c>
      <c r="E4646" t="s">
        <v>47</v>
      </c>
      <c r="F4646" t="s">
        <v>48</v>
      </c>
    </row>
    <row r="4647" spans="1:7" x14ac:dyDescent="0.3">
      <c r="A4647" t="s">
        <v>35</v>
      </c>
      <c r="B4647">
        <v>32</v>
      </c>
      <c r="C4647">
        <v>3.36</v>
      </c>
      <c r="D4647">
        <v>3</v>
      </c>
      <c r="E4647">
        <v>2</v>
      </c>
      <c r="F4647">
        <v>8</v>
      </c>
    </row>
    <row r="4648" spans="1:7" x14ac:dyDescent="0.3">
      <c r="A4648" t="s">
        <v>37</v>
      </c>
      <c r="B4648">
        <v>52</v>
      </c>
      <c r="C4648">
        <v>3.65</v>
      </c>
      <c r="D4648">
        <v>2</v>
      </c>
      <c r="E4648">
        <v>2</v>
      </c>
      <c r="F4648">
        <v>20</v>
      </c>
    </row>
    <row r="4649" spans="1:7" x14ac:dyDescent="0.3">
      <c r="A4649" t="s">
        <v>36</v>
      </c>
      <c r="B4649">
        <v>33</v>
      </c>
      <c r="C4649">
        <v>3.88</v>
      </c>
      <c r="D4649">
        <v>3</v>
      </c>
      <c r="E4649">
        <v>2</v>
      </c>
      <c r="F4649">
        <v>50</v>
      </c>
    </row>
    <row r="4650" spans="1:7" s="5" customFormat="1" x14ac:dyDescent="0.3">
      <c r="A4650" s="5" t="s">
        <v>34</v>
      </c>
      <c r="B4650" s="5">
        <v>30</v>
      </c>
      <c r="C4650" s="5">
        <v>5.26</v>
      </c>
      <c r="D4650" s="5">
        <v>2</v>
      </c>
      <c r="E4650" s="5">
        <v>2</v>
      </c>
      <c r="F4650" s="5">
        <v>18</v>
      </c>
    </row>
    <row r="4651" spans="1:7" s="5" customFormat="1" x14ac:dyDescent="0.3">
      <c r="A4651" s="5" t="s">
        <v>33</v>
      </c>
      <c r="B4651" s="5">
        <v>18</v>
      </c>
      <c r="C4651" s="5">
        <v>4.37</v>
      </c>
      <c r="D4651" s="5">
        <v>3</v>
      </c>
      <c r="E4651" s="5">
        <v>2</v>
      </c>
      <c r="F4651" s="5">
        <v>16</v>
      </c>
    </row>
    <row r="4652" spans="1:7" x14ac:dyDescent="0.3">
      <c r="A4652" t="s">
        <v>49</v>
      </c>
      <c r="B4652">
        <v>165</v>
      </c>
      <c r="C4652">
        <v>4.04</v>
      </c>
      <c r="D4652">
        <v>3</v>
      </c>
      <c r="E4652">
        <v>2</v>
      </c>
      <c r="F4652">
        <v>50</v>
      </c>
    </row>
    <row r="4654" spans="1:7" x14ac:dyDescent="0.3">
      <c r="A4654" t="s">
        <v>1584</v>
      </c>
    </row>
    <row r="4655" spans="1:7" x14ac:dyDescent="0.3">
      <c r="A4655" t="s">
        <v>44</v>
      </c>
      <c r="B4655" t="s">
        <v>235</v>
      </c>
      <c r="C4655" t="s">
        <v>32</v>
      </c>
      <c r="D4655" t="s">
        <v>45</v>
      </c>
      <c r="E4655" t="s">
        <v>46</v>
      </c>
      <c r="F4655" t="s">
        <v>47</v>
      </c>
      <c r="G4655" t="s">
        <v>48</v>
      </c>
    </row>
    <row r="4656" spans="1:7" s="5" customFormat="1" x14ac:dyDescent="0.3">
      <c r="A4656" s="5" t="s">
        <v>35</v>
      </c>
      <c r="B4656" s="5" t="s">
        <v>236</v>
      </c>
      <c r="C4656" s="5">
        <v>8</v>
      </c>
      <c r="D4656" s="5">
        <v>3.56</v>
      </c>
      <c r="E4656" s="5">
        <v>3</v>
      </c>
      <c r="F4656" s="5">
        <v>2</v>
      </c>
      <c r="G4656" s="5">
        <v>6</v>
      </c>
    </row>
    <row r="4657" spans="1:7" s="5" customFormat="1" x14ac:dyDescent="0.3">
      <c r="A4657" s="5" t="s">
        <v>35</v>
      </c>
      <c r="B4657" s="5" t="s">
        <v>238</v>
      </c>
      <c r="C4657" s="5">
        <v>24</v>
      </c>
      <c r="D4657" s="5">
        <v>3.33</v>
      </c>
      <c r="E4657" s="5">
        <v>2</v>
      </c>
      <c r="F4657" s="5">
        <v>2</v>
      </c>
      <c r="G4657" s="5">
        <v>8</v>
      </c>
    </row>
    <row r="4658" spans="1:7" s="5" customFormat="1" x14ac:dyDescent="0.3">
      <c r="A4658" s="5" t="s">
        <v>37</v>
      </c>
      <c r="B4658" s="5" t="s">
        <v>236</v>
      </c>
      <c r="C4658" s="5">
        <v>5</v>
      </c>
      <c r="D4658" s="5">
        <v>4.42</v>
      </c>
      <c r="E4658" s="5">
        <v>3</v>
      </c>
      <c r="F4658" s="5">
        <v>2</v>
      </c>
      <c r="G4658" s="5">
        <v>10</v>
      </c>
    </row>
    <row r="4659" spans="1:7" x14ac:dyDescent="0.3">
      <c r="A4659" t="s">
        <v>37</v>
      </c>
      <c r="B4659" t="s">
        <v>238</v>
      </c>
      <c r="C4659">
        <v>47</v>
      </c>
      <c r="D4659">
        <v>3.58</v>
      </c>
      <c r="E4659">
        <v>2</v>
      </c>
      <c r="F4659">
        <v>2</v>
      </c>
      <c r="G4659">
        <v>20</v>
      </c>
    </row>
    <row r="4660" spans="1:7" s="5" customFormat="1" x14ac:dyDescent="0.3">
      <c r="A4660" s="5" t="s">
        <v>36</v>
      </c>
      <c r="B4660" s="5" t="s">
        <v>236</v>
      </c>
      <c r="C4660" s="5">
        <v>4</v>
      </c>
      <c r="D4660" s="5">
        <v>18.43</v>
      </c>
      <c r="E4660" s="5">
        <v>4</v>
      </c>
      <c r="F4660" s="5">
        <v>2</v>
      </c>
      <c r="G4660" s="5">
        <v>50</v>
      </c>
    </row>
    <row r="4661" spans="1:7" s="5" customFormat="1" x14ac:dyDescent="0.3">
      <c r="A4661" s="5" t="s">
        <v>36</v>
      </c>
      <c r="B4661" s="5" t="s">
        <v>238</v>
      </c>
      <c r="C4661" s="5">
        <v>29</v>
      </c>
      <c r="D4661" s="5">
        <v>3.25</v>
      </c>
      <c r="E4661" s="5">
        <v>3</v>
      </c>
      <c r="F4661" s="5">
        <v>2</v>
      </c>
      <c r="G4661" s="5">
        <v>22</v>
      </c>
    </row>
    <row r="4662" spans="1:7" s="5" customFormat="1" x14ac:dyDescent="0.3">
      <c r="A4662" s="5" t="s">
        <v>34</v>
      </c>
      <c r="B4662" s="5" t="s">
        <v>236</v>
      </c>
      <c r="C4662" s="5">
        <v>7</v>
      </c>
      <c r="D4662" s="5">
        <v>4.3</v>
      </c>
      <c r="E4662" s="5">
        <v>2</v>
      </c>
      <c r="F4662" s="5">
        <v>2</v>
      </c>
      <c r="G4662" s="5">
        <v>12</v>
      </c>
    </row>
    <row r="4663" spans="1:7" s="5" customFormat="1" x14ac:dyDescent="0.3">
      <c r="A4663" s="5" t="s">
        <v>34</v>
      </c>
      <c r="B4663" s="5" t="s">
        <v>238</v>
      </c>
      <c r="C4663" s="5">
        <v>23</v>
      </c>
      <c r="D4663" s="5">
        <v>5.76</v>
      </c>
      <c r="E4663" s="5">
        <v>3</v>
      </c>
      <c r="F4663" s="5">
        <v>2</v>
      </c>
      <c r="G4663" s="5">
        <v>18</v>
      </c>
    </row>
    <row r="4664" spans="1:7" s="5" customFormat="1" x14ac:dyDescent="0.3">
      <c r="A4664" s="5" t="s">
        <v>33</v>
      </c>
      <c r="B4664" s="5" t="s">
        <v>236</v>
      </c>
      <c r="C4664" s="5">
        <v>3</v>
      </c>
      <c r="D4664" s="5">
        <v>2.69</v>
      </c>
      <c r="E4664" s="5">
        <v>2</v>
      </c>
      <c r="F4664" s="5">
        <v>2</v>
      </c>
      <c r="G4664" s="5">
        <v>4</v>
      </c>
    </row>
    <row r="4665" spans="1:7" s="5" customFormat="1" x14ac:dyDescent="0.3">
      <c r="A4665" s="5" t="s">
        <v>33</v>
      </c>
      <c r="B4665" s="5" t="s">
        <v>238</v>
      </c>
      <c r="C4665" s="5">
        <v>15</v>
      </c>
      <c r="D4665" s="5">
        <v>4.6399999999999997</v>
      </c>
      <c r="E4665" s="5">
        <v>3</v>
      </c>
      <c r="F4665" s="5">
        <v>2</v>
      </c>
      <c r="G4665" s="5">
        <v>16</v>
      </c>
    </row>
    <row r="4666" spans="1:7" s="5" customFormat="1" x14ac:dyDescent="0.3">
      <c r="A4666" s="5" t="s">
        <v>49</v>
      </c>
      <c r="B4666" s="5" t="s">
        <v>236</v>
      </c>
      <c r="C4666" s="5">
        <v>27</v>
      </c>
      <c r="D4666" s="5">
        <v>5.17</v>
      </c>
      <c r="E4666" s="5">
        <v>2</v>
      </c>
      <c r="F4666" s="5">
        <v>2</v>
      </c>
      <c r="G4666" s="5">
        <v>50</v>
      </c>
    </row>
    <row r="4667" spans="1:7" x14ac:dyDescent="0.3">
      <c r="A4667" t="s">
        <v>49</v>
      </c>
      <c r="B4667" t="s">
        <v>238</v>
      </c>
      <c r="C4667">
        <v>138</v>
      </c>
      <c r="D4667">
        <v>3.87</v>
      </c>
      <c r="E4667">
        <v>3</v>
      </c>
      <c r="F4667">
        <v>2</v>
      </c>
      <c r="G4667">
        <v>22</v>
      </c>
    </row>
    <row r="4669" spans="1:7" x14ac:dyDescent="0.3">
      <c r="A4669" t="s">
        <v>1585</v>
      </c>
    </row>
    <row r="4670" spans="1:7" x14ac:dyDescent="0.3">
      <c r="A4670" t="s">
        <v>44</v>
      </c>
      <c r="B4670" t="s">
        <v>1586</v>
      </c>
      <c r="C4670" t="s">
        <v>32</v>
      </c>
      <c r="D4670" t="s">
        <v>45</v>
      </c>
      <c r="E4670" t="s">
        <v>46</v>
      </c>
      <c r="F4670" t="s">
        <v>47</v>
      </c>
      <c r="G4670" t="s">
        <v>48</v>
      </c>
    </row>
    <row r="4671" spans="1:7" s="5" customFormat="1" x14ac:dyDescent="0.3">
      <c r="A4671" s="5" t="s">
        <v>35</v>
      </c>
      <c r="B4671" s="5" t="s">
        <v>1288</v>
      </c>
      <c r="C4671" s="5">
        <v>23</v>
      </c>
      <c r="D4671" s="5">
        <v>3.22</v>
      </c>
      <c r="E4671" s="5">
        <v>2</v>
      </c>
      <c r="F4671" s="5">
        <v>2</v>
      </c>
      <c r="G4671" s="5">
        <v>8</v>
      </c>
    </row>
    <row r="4672" spans="1:7" s="5" customFormat="1" x14ac:dyDescent="0.3">
      <c r="A4672" s="5" t="s">
        <v>35</v>
      </c>
      <c r="B4672" s="5" t="s">
        <v>1587</v>
      </c>
      <c r="C4672" s="5">
        <v>6</v>
      </c>
      <c r="D4672" s="5">
        <v>3.46</v>
      </c>
      <c r="E4672" s="5">
        <v>3</v>
      </c>
      <c r="F4672" s="5">
        <v>2</v>
      </c>
      <c r="G4672" s="5">
        <v>5</v>
      </c>
    </row>
    <row r="4673" spans="1:7" s="5" customFormat="1" x14ac:dyDescent="0.3">
      <c r="A4673" s="5" t="s">
        <v>35</v>
      </c>
      <c r="B4673" s="5" t="s">
        <v>1588</v>
      </c>
      <c r="C4673" s="5">
        <v>3</v>
      </c>
      <c r="D4673" s="5">
        <v>4.1100000000000003</v>
      </c>
      <c r="E4673" s="5">
        <v>5</v>
      </c>
      <c r="F4673" s="5">
        <v>2</v>
      </c>
      <c r="G4673" s="5">
        <v>5</v>
      </c>
    </row>
    <row r="4674" spans="1:7" x14ac:dyDescent="0.3">
      <c r="A4674" t="s">
        <v>37</v>
      </c>
      <c r="B4674" t="s">
        <v>1288</v>
      </c>
      <c r="C4674">
        <v>35</v>
      </c>
      <c r="D4674">
        <v>3.55</v>
      </c>
      <c r="E4674">
        <v>2</v>
      </c>
      <c r="F4674">
        <v>2</v>
      </c>
      <c r="G4674">
        <v>20</v>
      </c>
    </row>
    <row r="4675" spans="1:7" s="5" customFormat="1" x14ac:dyDescent="0.3">
      <c r="A4675" s="5" t="s">
        <v>37</v>
      </c>
      <c r="B4675" s="5" t="s">
        <v>1587</v>
      </c>
      <c r="C4675" s="5">
        <v>7</v>
      </c>
      <c r="D4675" s="5">
        <v>2.39</v>
      </c>
      <c r="E4675" s="5">
        <v>2</v>
      </c>
      <c r="F4675" s="5">
        <v>2</v>
      </c>
      <c r="G4675" s="5">
        <v>4</v>
      </c>
    </row>
    <row r="4676" spans="1:7" s="5" customFormat="1" x14ac:dyDescent="0.3">
      <c r="A4676" s="5" t="s">
        <v>37</v>
      </c>
      <c r="B4676" s="5" t="s">
        <v>1588</v>
      </c>
      <c r="C4676" s="5">
        <v>10</v>
      </c>
      <c r="D4676" s="5">
        <v>6.56</v>
      </c>
      <c r="E4676" s="5">
        <v>6</v>
      </c>
      <c r="F4676" s="5">
        <v>2</v>
      </c>
      <c r="G4676" s="5">
        <v>15</v>
      </c>
    </row>
    <row r="4677" spans="1:7" s="5" customFormat="1" x14ac:dyDescent="0.3">
      <c r="A4677" s="5" t="s">
        <v>36</v>
      </c>
      <c r="B4677" s="5" t="s">
        <v>1288</v>
      </c>
      <c r="C4677" s="5">
        <v>20</v>
      </c>
      <c r="D4677" s="5">
        <v>2.76</v>
      </c>
      <c r="E4677" s="5">
        <v>2</v>
      </c>
      <c r="F4677" s="5">
        <v>2</v>
      </c>
      <c r="G4677" s="5">
        <v>22</v>
      </c>
    </row>
    <row r="4678" spans="1:7" s="5" customFormat="1" x14ac:dyDescent="0.3">
      <c r="A4678" s="5" t="s">
        <v>36</v>
      </c>
      <c r="B4678" s="5" t="s">
        <v>1587</v>
      </c>
      <c r="C4678" s="5">
        <v>6</v>
      </c>
      <c r="D4678" s="5">
        <v>3.9</v>
      </c>
      <c r="E4678" s="5">
        <v>4</v>
      </c>
      <c r="F4678" s="5">
        <v>2</v>
      </c>
      <c r="G4678" s="5">
        <v>5</v>
      </c>
    </row>
    <row r="4679" spans="1:7" s="5" customFormat="1" x14ac:dyDescent="0.3">
      <c r="A4679" s="5" t="s">
        <v>36</v>
      </c>
      <c r="B4679" s="5" t="s">
        <v>1588</v>
      </c>
      <c r="C4679" s="5">
        <v>7</v>
      </c>
      <c r="D4679" s="5">
        <v>7.61</v>
      </c>
      <c r="E4679" s="5">
        <v>4</v>
      </c>
      <c r="F4679" s="5">
        <v>2</v>
      </c>
      <c r="G4679" s="5">
        <v>50</v>
      </c>
    </row>
    <row r="4680" spans="1:7" s="5" customFormat="1" x14ac:dyDescent="0.3">
      <c r="A4680" s="5" t="s">
        <v>34</v>
      </c>
      <c r="B4680" s="5" t="s">
        <v>1288</v>
      </c>
      <c r="C4680" s="5">
        <v>10</v>
      </c>
      <c r="D4680" s="5">
        <v>4.54</v>
      </c>
      <c r="E4680" s="5">
        <v>3</v>
      </c>
      <c r="F4680" s="5">
        <v>2</v>
      </c>
      <c r="G4680" s="5">
        <v>12</v>
      </c>
    </row>
    <row r="4681" spans="1:7" s="5" customFormat="1" x14ac:dyDescent="0.3">
      <c r="A4681" s="5" t="s">
        <v>34</v>
      </c>
      <c r="B4681" s="5" t="s">
        <v>1587</v>
      </c>
      <c r="C4681" s="5">
        <v>12</v>
      </c>
      <c r="D4681" s="5">
        <v>6.19</v>
      </c>
      <c r="E4681" s="5">
        <v>3</v>
      </c>
      <c r="F4681" s="5">
        <v>2</v>
      </c>
      <c r="G4681" s="5">
        <v>16</v>
      </c>
    </row>
    <row r="4682" spans="1:7" s="5" customFormat="1" x14ac:dyDescent="0.3">
      <c r="A4682" s="5" t="s">
        <v>34</v>
      </c>
      <c r="B4682" s="5" t="s">
        <v>1588</v>
      </c>
      <c r="C4682" s="5">
        <v>8</v>
      </c>
      <c r="D4682" s="5">
        <v>4.99</v>
      </c>
      <c r="E4682" s="5">
        <v>2</v>
      </c>
      <c r="F4682" s="5">
        <v>2</v>
      </c>
      <c r="G4682" s="5">
        <v>18</v>
      </c>
    </row>
    <row r="4683" spans="1:7" s="5" customFormat="1" x14ac:dyDescent="0.3">
      <c r="A4683" s="5" t="s">
        <v>33</v>
      </c>
      <c r="B4683" s="5" t="s">
        <v>1288</v>
      </c>
      <c r="C4683" s="5">
        <v>10</v>
      </c>
      <c r="D4683" s="5">
        <v>3.19</v>
      </c>
      <c r="E4683" s="5">
        <v>3</v>
      </c>
      <c r="F4683" s="5">
        <v>2</v>
      </c>
      <c r="G4683" s="5">
        <v>5</v>
      </c>
    </row>
    <row r="4684" spans="1:7" s="5" customFormat="1" x14ac:dyDescent="0.3">
      <c r="A4684" s="5" t="s">
        <v>33</v>
      </c>
      <c r="B4684" s="5" t="s">
        <v>1587</v>
      </c>
      <c r="C4684" s="5">
        <v>4</v>
      </c>
      <c r="D4684" s="5">
        <v>8.8800000000000008</v>
      </c>
      <c r="E4684" s="5">
        <v>10</v>
      </c>
      <c r="F4684" s="5">
        <v>3</v>
      </c>
      <c r="G4684" s="5">
        <v>16</v>
      </c>
    </row>
    <row r="4685" spans="1:7" s="5" customFormat="1" x14ac:dyDescent="0.3">
      <c r="A4685" s="5" t="s">
        <v>33</v>
      </c>
      <c r="B4685" s="5" t="s">
        <v>1588</v>
      </c>
      <c r="C4685" s="5">
        <v>4</v>
      </c>
      <c r="D4685" s="5">
        <v>3.3</v>
      </c>
      <c r="E4685" s="5">
        <v>4</v>
      </c>
      <c r="F4685" s="5">
        <v>2</v>
      </c>
      <c r="G4685" s="5">
        <v>5</v>
      </c>
    </row>
    <row r="4686" spans="1:7" x14ac:dyDescent="0.3">
      <c r="A4686" t="s">
        <v>49</v>
      </c>
      <c r="B4686" t="s">
        <v>1288</v>
      </c>
      <c r="C4686">
        <v>98</v>
      </c>
      <c r="D4686">
        <v>3.34</v>
      </c>
      <c r="E4686">
        <v>2</v>
      </c>
      <c r="F4686">
        <v>2</v>
      </c>
      <c r="G4686">
        <v>22</v>
      </c>
    </row>
    <row r="4687" spans="1:7" x14ac:dyDescent="0.3">
      <c r="A4687" t="s">
        <v>49</v>
      </c>
      <c r="B4687" t="s">
        <v>1587</v>
      </c>
      <c r="C4687">
        <v>35</v>
      </c>
      <c r="D4687">
        <v>4.5599999999999996</v>
      </c>
      <c r="E4687">
        <v>3</v>
      </c>
      <c r="F4687">
        <v>2</v>
      </c>
      <c r="G4687">
        <v>16</v>
      </c>
    </row>
    <row r="4688" spans="1:7" x14ac:dyDescent="0.3">
      <c r="A4688" t="s">
        <v>49</v>
      </c>
      <c r="B4688" t="s">
        <v>1588</v>
      </c>
      <c r="C4688">
        <v>32</v>
      </c>
      <c r="D4688">
        <v>5.83</v>
      </c>
      <c r="E4688">
        <v>4</v>
      </c>
      <c r="F4688">
        <v>2</v>
      </c>
      <c r="G4688">
        <v>50</v>
      </c>
    </row>
    <row r="4690" spans="1:7" x14ac:dyDescent="0.3">
      <c r="A4690" t="s">
        <v>1589</v>
      </c>
    </row>
    <row r="4691" spans="1:7" x14ac:dyDescent="0.3">
      <c r="A4691" t="s">
        <v>44</v>
      </c>
      <c r="B4691" t="s">
        <v>1590</v>
      </c>
      <c r="C4691" t="s">
        <v>32</v>
      </c>
      <c r="D4691" t="s">
        <v>45</v>
      </c>
      <c r="E4691" t="s">
        <v>46</v>
      </c>
      <c r="F4691" t="s">
        <v>47</v>
      </c>
      <c r="G4691" t="s">
        <v>48</v>
      </c>
    </row>
    <row r="4692" spans="1:7" s="5" customFormat="1" x14ac:dyDescent="0.3">
      <c r="A4692" s="5" t="s">
        <v>35</v>
      </c>
      <c r="B4692" s="5" t="s">
        <v>1591</v>
      </c>
      <c r="C4692" s="5">
        <v>18</v>
      </c>
      <c r="D4692" s="5">
        <v>3.8</v>
      </c>
      <c r="E4692" s="5">
        <v>5</v>
      </c>
      <c r="F4692" s="5">
        <v>2</v>
      </c>
      <c r="G4692" s="5">
        <v>8</v>
      </c>
    </row>
    <row r="4693" spans="1:7" s="5" customFormat="1" x14ac:dyDescent="0.3">
      <c r="A4693" s="5" t="s">
        <v>35</v>
      </c>
      <c r="B4693" s="5" t="s">
        <v>1592</v>
      </c>
      <c r="C4693" s="5">
        <v>12</v>
      </c>
      <c r="D4693" s="5">
        <v>2.78</v>
      </c>
      <c r="E4693" s="5">
        <v>2</v>
      </c>
      <c r="F4693" s="5">
        <v>2</v>
      </c>
      <c r="G4693" s="5">
        <v>6</v>
      </c>
    </row>
    <row r="4694" spans="1:7" x14ac:dyDescent="0.3">
      <c r="A4694" t="s">
        <v>35</v>
      </c>
      <c r="B4694" t="s">
        <v>365</v>
      </c>
      <c r="C4694">
        <v>2</v>
      </c>
      <c r="D4694">
        <v>2</v>
      </c>
      <c r="E4694">
        <v>2</v>
      </c>
      <c r="F4694">
        <v>2</v>
      </c>
      <c r="G4694">
        <v>2</v>
      </c>
    </row>
    <row r="4695" spans="1:7" s="5" customFormat="1" x14ac:dyDescent="0.3">
      <c r="A4695" s="5" t="s">
        <v>37</v>
      </c>
      <c r="B4695" s="5" t="s">
        <v>1591</v>
      </c>
      <c r="C4695" s="5">
        <v>26</v>
      </c>
      <c r="D4695" s="5">
        <v>4.08</v>
      </c>
      <c r="E4695" s="5">
        <v>3</v>
      </c>
      <c r="F4695" s="5">
        <v>2</v>
      </c>
      <c r="G4695" s="5">
        <v>15</v>
      </c>
    </row>
    <row r="4696" spans="1:7" s="5" customFormat="1" x14ac:dyDescent="0.3">
      <c r="A4696" s="5" t="s">
        <v>37</v>
      </c>
      <c r="B4696" s="5" t="s">
        <v>1592</v>
      </c>
      <c r="C4696" s="5">
        <v>26</v>
      </c>
      <c r="D4696" s="5">
        <v>3.28</v>
      </c>
      <c r="E4696" s="5">
        <v>2</v>
      </c>
      <c r="F4696" s="5">
        <v>2</v>
      </c>
      <c r="G4696" s="5">
        <v>20</v>
      </c>
    </row>
    <row r="4697" spans="1:7" s="5" customFormat="1" x14ac:dyDescent="0.3">
      <c r="A4697" s="5" t="s">
        <v>36</v>
      </c>
      <c r="B4697" s="5" t="s">
        <v>1591</v>
      </c>
      <c r="C4697" s="5">
        <v>12</v>
      </c>
      <c r="D4697" s="5">
        <v>3.45</v>
      </c>
      <c r="E4697" s="5">
        <v>4</v>
      </c>
      <c r="F4697" s="5">
        <v>2</v>
      </c>
      <c r="G4697" s="5">
        <v>5</v>
      </c>
    </row>
    <row r="4698" spans="1:7" s="5" customFormat="1" x14ac:dyDescent="0.3">
      <c r="A4698" s="5" t="s">
        <v>36</v>
      </c>
      <c r="B4698" s="5" t="s">
        <v>1592</v>
      </c>
      <c r="C4698" s="5">
        <v>21</v>
      </c>
      <c r="D4698" s="5">
        <v>4.18</v>
      </c>
      <c r="E4698" s="5">
        <v>2</v>
      </c>
      <c r="F4698" s="5">
        <v>2</v>
      </c>
      <c r="G4698" s="5">
        <v>50</v>
      </c>
    </row>
    <row r="4699" spans="1:7" s="5" customFormat="1" x14ac:dyDescent="0.3">
      <c r="A4699" s="5" t="s">
        <v>34</v>
      </c>
      <c r="B4699" s="5" t="s">
        <v>1591</v>
      </c>
      <c r="C4699" s="5">
        <v>20</v>
      </c>
      <c r="D4699" s="5">
        <v>4.62</v>
      </c>
      <c r="E4699" s="5">
        <v>3</v>
      </c>
      <c r="F4699" s="5">
        <v>2</v>
      </c>
      <c r="G4699" s="5">
        <v>12</v>
      </c>
    </row>
    <row r="4700" spans="1:7" s="5" customFormat="1" x14ac:dyDescent="0.3">
      <c r="A4700" s="5" t="s">
        <v>34</v>
      </c>
      <c r="B4700" s="5" t="s">
        <v>1592</v>
      </c>
      <c r="C4700" s="5">
        <v>8</v>
      </c>
      <c r="D4700" s="5">
        <v>6.68</v>
      </c>
      <c r="E4700" s="5">
        <v>2</v>
      </c>
      <c r="F4700" s="5">
        <v>2</v>
      </c>
      <c r="G4700" s="5">
        <v>18</v>
      </c>
    </row>
    <row r="4701" spans="1:7" x14ac:dyDescent="0.3">
      <c r="A4701" t="s">
        <v>34</v>
      </c>
      <c r="B4701" t="s">
        <v>365</v>
      </c>
      <c r="C4701">
        <v>2</v>
      </c>
      <c r="D4701">
        <v>4.5999999999999996</v>
      </c>
      <c r="E4701">
        <v>5</v>
      </c>
      <c r="F4701">
        <v>2</v>
      </c>
      <c r="G4701">
        <v>5</v>
      </c>
    </row>
    <row r="4702" spans="1:7" s="5" customFormat="1" x14ac:dyDescent="0.3">
      <c r="A4702" s="5" t="s">
        <v>33</v>
      </c>
      <c r="B4702" s="5" t="s">
        <v>1591</v>
      </c>
      <c r="C4702" s="5">
        <v>9</v>
      </c>
      <c r="D4702" s="5">
        <v>6.22</v>
      </c>
      <c r="E4702" s="5">
        <v>5</v>
      </c>
      <c r="F4702" s="5">
        <v>2</v>
      </c>
      <c r="G4702" s="5">
        <v>16</v>
      </c>
    </row>
    <row r="4703" spans="1:7" s="5" customFormat="1" x14ac:dyDescent="0.3">
      <c r="A4703" s="5" t="s">
        <v>33</v>
      </c>
      <c r="B4703" s="5" t="s">
        <v>1592</v>
      </c>
      <c r="C4703" s="5">
        <v>9</v>
      </c>
      <c r="D4703" s="5">
        <v>2.64</v>
      </c>
      <c r="E4703" s="5">
        <v>3</v>
      </c>
      <c r="F4703" s="5">
        <v>2</v>
      </c>
      <c r="G4703" s="5">
        <v>4</v>
      </c>
    </row>
    <row r="4704" spans="1:7" x14ac:dyDescent="0.3">
      <c r="A4704" t="s">
        <v>49</v>
      </c>
      <c r="B4704" t="s">
        <v>1591</v>
      </c>
      <c r="C4704">
        <v>85</v>
      </c>
      <c r="D4704">
        <v>4.1900000000000004</v>
      </c>
      <c r="E4704">
        <v>3</v>
      </c>
      <c r="F4704">
        <v>2</v>
      </c>
      <c r="G4704">
        <v>16</v>
      </c>
    </row>
    <row r="4705" spans="1:7" x14ac:dyDescent="0.3">
      <c r="A4705" t="s">
        <v>49</v>
      </c>
      <c r="B4705" t="s">
        <v>1592</v>
      </c>
      <c r="C4705">
        <v>76</v>
      </c>
      <c r="D4705">
        <v>3.91</v>
      </c>
      <c r="E4705">
        <v>2</v>
      </c>
      <c r="F4705">
        <v>2</v>
      </c>
      <c r="G4705">
        <v>50</v>
      </c>
    </row>
    <row r="4706" spans="1:7" x14ac:dyDescent="0.3">
      <c r="A4706" t="s">
        <v>49</v>
      </c>
      <c r="B4706" t="s">
        <v>365</v>
      </c>
      <c r="C4706">
        <v>4</v>
      </c>
      <c r="D4706">
        <v>3.15</v>
      </c>
      <c r="E4706">
        <v>2</v>
      </c>
      <c r="F4706">
        <v>2</v>
      </c>
      <c r="G4706">
        <v>5</v>
      </c>
    </row>
    <row r="4708" spans="1:7" x14ac:dyDescent="0.3">
      <c r="A4708" t="s">
        <v>1593</v>
      </c>
    </row>
    <row r="4709" spans="1:7" x14ac:dyDescent="0.3">
      <c r="A4709" t="s">
        <v>44</v>
      </c>
      <c r="B4709" t="s">
        <v>879</v>
      </c>
      <c r="C4709" t="s">
        <v>32</v>
      </c>
      <c r="D4709" t="s">
        <v>45</v>
      </c>
      <c r="E4709" t="s">
        <v>46</v>
      </c>
      <c r="F4709" t="s">
        <v>47</v>
      </c>
      <c r="G4709" t="s">
        <v>48</v>
      </c>
    </row>
    <row r="4710" spans="1:7" s="5" customFormat="1" x14ac:dyDescent="0.3">
      <c r="A4710" s="5" t="s">
        <v>35</v>
      </c>
      <c r="B4710" s="5" t="s">
        <v>880</v>
      </c>
      <c r="C4710" s="5">
        <v>9</v>
      </c>
      <c r="D4710" s="5">
        <v>3.23</v>
      </c>
      <c r="E4710" s="5">
        <v>3</v>
      </c>
      <c r="F4710" s="5">
        <v>2</v>
      </c>
      <c r="G4710" s="5">
        <v>5</v>
      </c>
    </row>
    <row r="4711" spans="1:7" s="5" customFormat="1" x14ac:dyDescent="0.3">
      <c r="A4711" s="5" t="s">
        <v>35</v>
      </c>
      <c r="B4711" s="5" t="s">
        <v>881</v>
      </c>
      <c r="C4711" s="5">
        <v>12</v>
      </c>
      <c r="D4711" s="5">
        <v>3.34</v>
      </c>
      <c r="E4711" s="5">
        <v>2</v>
      </c>
      <c r="F4711" s="5">
        <v>2</v>
      </c>
      <c r="G4711" s="5">
        <v>6</v>
      </c>
    </row>
    <row r="4712" spans="1:7" s="5" customFormat="1" x14ac:dyDescent="0.3">
      <c r="A4712" s="5" t="s">
        <v>35</v>
      </c>
      <c r="B4712" s="5" t="s">
        <v>882</v>
      </c>
      <c r="C4712" s="5">
        <v>11</v>
      </c>
      <c r="D4712" s="5">
        <v>3.65</v>
      </c>
      <c r="E4712" s="5">
        <v>3</v>
      </c>
      <c r="F4712" s="5">
        <v>2</v>
      </c>
      <c r="G4712" s="5">
        <v>8</v>
      </c>
    </row>
    <row r="4713" spans="1:7" s="5" customFormat="1" x14ac:dyDescent="0.3">
      <c r="A4713" s="5" t="s">
        <v>37</v>
      </c>
      <c r="B4713" s="5" t="s">
        <v>880</v>
      </c>
      <c r="C4713" s="5">
        <v>20</v>
      </c>
      <c r="D4713" s="5">
        <v>3.53</v>
      </c>
      <c r="E4713" s="5">
        <v>2</v>
      </c>
      <c r="F4713" s="5">
        <v>2</v>
      </c>
      <c r="G4713" s="5">
        <v>20</v>
      </c>
    </row>
    <row r="4714" spans="1:7" s="5" customFormat="1" x14ac:dyDescent="0.3">
      <c r="A4714" s="5" t="s">
        <v>37</v>
      </c>
      <c r="B4714" s="5" t="s">
        <v>881</v>
      </c>
      <c r="C4714" s="5">
        <v>21</v>
      </c>
      <c r="D4714" s="5">
        <v>4.07</v>
      </c>
      <c r="E4714" s="5">
        <v>2</v>
      </c>
      <c r="F4714" s="5">
        <v>2</v>
      </c>
      <c r="G4714" s="5">
        <v>15</v>
      </c>
    </row>
    <row r="4715" spans="1:7" s="5" customFormat="1" x14ac:dyDescent="0.3">
      <c r="A4715" s="5" t="s">
        <v>37</v>
      </c>
      <c r="B4715" s="5" t="s">
        <v>882</v>
      </c>
      <c r="C4715" s="5">
        <v>11</v>
      </c>
      <c r="D4715" s="5">
        <v>3.12</v>
      </c>
      <c r="E4715" s="5">
        <v>2</v>
      </c>
      <c r="F4715" s="5">
        <v>2</v>
      </c>
      <c r="G4715" s="5">
        <v>8</v>
      </c>
    </row>
    <row r="4716" spans="1:7" s="5" customFormat="1" x14ac:dyDescent="0.3">
      <c r="A4716" s="5" t="s">
        <v>36</v>
      </c>
      <c r="B4716" s="5" t="s">
        <v>880</v>
      </c>
      <c r="C4716" s="5">
        <v>9</v>
      </c>
      <c r="D4716" s="5">
        <v>3.24</v>
      </c>
      <c r="E4716" s="5">
        <v>2</v>
      </c>
      <c r="F4716" s="5">
        <v>2</v>
      </c>
      <c r="G4716" s="5">
        <v>9</v>
      </c>
    </row>
    <row r="4717" spans="1:7" s="5" customFormat="1" x14ac:dyDescent="0.3">
      <c r="A4717" s="5" t="s">
        <v>36</v>
      </c>
      <c r="B4717" s="5" t="s">
        <v>881</v>
      </c>
      <c r="C4717" s="5">
        <v>13</v>
      </c>
      <c r="D4717" s="5">
        <v>5.25</v>
      </c>
      <c r="E4717" s="5">
        <v>3</v>
      </c>
      <c r="F4717" s="5">
        <v>2</v>
      </c>
      <c r="G4717" s="5">
        <v>50</v>
      </c>
    </row>
    <row r="4718" spans="1:7" s="5" customFormat="1" x14ac:dyDescent="0.3">
      <c r="A4718" s="5" t="s">
        <v>36</v>
      </c>
      <c r="B4718" s="5" t="s">
        <v>882</v>
      </c>
      <c r="C4718" s="5">
        <v>11</v>
      </c>
      <c r="D4718" s="5">
        <v>3.16</v>
      </c>
      <c r="E4718" s="5">
        <v>3</v>
      </c>
      <c r="F4718" s="5">
        <v>2</v>
      </c>
      <c r="G4718" s="5">
        <v>11</v>
      </c>
    </row>
    <row r="4719" spans="1:7" s="5" customFormat="1" x14ac:dyDescent="0.3">
      <c r="A4719" s="5" t="s">
        <v>34</v>
      </c>
      <c r="B4719" s="5" t="s">
        <v>880</v>
      </c>
      <c r="C4719" s="5">
        <v>6</v>
      </c>
      <c r="D4719" s="5">
        <v>4.2300000000000004</v>
      </c>
      <c r="E4719" s="5">
        <v>3</v>
      </c>
      <c r="F4719" s="5">
        <v>2</v>
      </c>
      <c r="G4719" s="5">
        <v>8</v>
      </c>
    </row>
    <row r="4720" spans="1:7" s="5" customFormat="1" x14ac:dyDescent="0.3">
      <c r="A4720" s="5" t="s">
        <v>34</v>
      </c>
      <c r="B4720" s="5" t="s">
        <v>881</v>
      </c>
      <c r="C4720" s="5">
        <v>13</v>
      </c>
      <c r="D4720" s="5">
        <v>5.84</v>
      </c>
      <c r="E4720" s="5">
        <v>2</v>
      </c>
      <c r="F4720" s="5">
        <v>2</v>
      </c>
      <c r="G4720" s="5">
        <v>16</v>
      </c>
    </row>
    <row r="4721" spans="1:7" s="5" customFormat="1" x14ac:dyDescent="0.3">
      <c r="A4721" s="5" t="s">
        <v>34</v>
      </c>
      <c r="B4721" s="5" t="s">
        <v>882</v>
      </c>
      <c r="C4721" s="5">
        <v>11</v>
      </c>
      <c r="D4721" s="5">
        <v>4.97</v>
      </c>
      <c r="E4721" s="5">
        <v>2</v>
      </c>
      <c r="F4721" s="5">
        <v>2</v>
      </c>
      <c r="G4721" s="5">
        <v>18</v>
      </c>
    </row>
    <row r="4722" spans="1:7" s="5" customFormat="1" x14ac:dyDescent="0.3">
      <c r="A4722" s="5" t="s">
        <v>33</v>
      </c>
      <c r="B4722" s="5" t="s">
        <v>880</v>
      </c>
      <c r="C4722" s="5">
        <v>6</v>
      </c>
      <c r="D4722" s="5">
        <v>2.95</v>
      </c>
      <c r="E4722" s="5">
        <v>3</v>
      </c>
      <c r="F4722" s="5">
        <v>2</v>
      </c>
      <c r="G4722" s="5">
        <v>5</v>
      </c>
    </row>
    <row r="4723" spans="1:7" s="5" customFormat="1" x14ac:dyDescent="0.3">
      <c r="A4723" s="5" t="s">
        <v>33</v>
      </c>
      <c r="B4723" s="5" t="s">
        <v>881</v>
      </c>
      <c r="C4723" s="5">
        <v>7</v>
      </c>
      <c r="D4723" s="5">
        <v>5.49</v>
      </c>
      <c r="E4723" s="5">
        <v>4</v>
      </c>
      <c r="F4723" s="5">
        <v>2</v>
      </c>
      <c r="G4723" s="5">
        <v>16</v>
      </c>
    </row>
    <row r="4724" spans="1:7" s="5" customFormat="1" x14ac:dyDescent="0.3">
      <c r="A4724" s="5" t="s">
        <v>33</v>
      </c>
      <c r="B4724" s="5" t="s">
        <v>882</v>
      </c>
      <c r="C4724" s="5">
        <v>5</v>
      </c>
      <c r="D4724" s="5">
        <v>4.8600000000000003</v>
      </c>
      <c r="E4724" s="5">
        <v>5</v>
      </c>
      <c r="F4724" s="5">
        <v>2</v>
      </c>
      <c r="G4724" s="5">
        <v>10</v>
      </c>
    </row>
    <row r="4725" spans="1:7" x14ac:dyDescent="0.3">
      <c r="A4725" t="s">
        <v>49</v>
      </c>
      <c r="B4725" t="s">
        <v>880</v>
      </c>
      <c r="C4725">
        <v>50</v>
      </c>
      <c r="D4725">
        <v>3.4</v>
      </c>
      <c r="E4725">
        <v>2</v>
      </c>
      <c r="F4725">
        <v>2</v>
      </c>
      <c r="G4725">
        <v>20</v>
      </c>
    </row>
    <row r="4726" spans="1:7" x14ac:dyDescent="0.3">
      <c r="A4726" t="s">
        <v>49</v>
      </c>
      <c r="B4726" t="s">
        <v>881</v>
      </c>
      <c r="C4726">
        <v>66</v>
      </c>
      <c r="D4726">
        <v>4.7</v>
      </c>
      <c r="E4726">
        <v>3</v>
      </c>
      <c r="F4726">
        <v>2</v>
      </c>
      <c r="G4726">
        <v>50</v>
      </c>
    </row>
    <row r="4727" spans="1:7" x14ac:dyDescent="0.3">
      <c r="A4727" t="s">
        <v>49</v>
      </c>
      <c r="B4727" t="s">
        <v>882</v>
      </c>
      <c r="C4727">
        <v>49</v>
      </c>
      <c r="D4727">
        <v>3.86</v>
      </c>
      <c r="E4727">
        <v>3</v>
      </c>
      <c r="F4727">
        <v>2</v>
      </c>
      <c r="G4727">
        <v>18</v>
      </c>
    </row>
    <row r="4729" spans="1:7" x14ac:dyDescent="0.3">
      <c r="A4729" t="s">
        <v>1594</v>
      </c>
    </row>
    <row r="4730" spans="1:7" x14ac:dyDescent="0.3">
      <c r="A4730" t="s">
        <v>44</v>
      </c>
      <c r="B4730" t="s">
        <v>361</v>
      </c>
      <c r="C4730" t="s">
        <v>32</v>
      </c>
      <c r="D4730" t="s">
        <v>45</v>
      </c>
      <c r="E4730" t="s">
        <v>46</v>
      </c>
      <c r="F4730" t="s">
        <v>47</v>
      </c>
      <c r="G4730" t="s">
        <v>48</v>
      </c>
    </row>
    <row r="4731" spans="1:7" s="5" customFormat="1" x14ac:dyDescent="0.3">
      <c r="A4731" s="5" t="s">
        <v>35</v>
      </c>
      <c r="B4731" s="5" t="s">
        <v>339</v>
      </c>
      <c r="C4731" s="5">
        <v>9</v>
      </c>
      <c r="D4731" s="5">
        <v>4.2300000000000004</v>
      </c>
      <c r="E4731" s="5">
        <v>5</v>
      </c>
      <c r="F4731" s="5">
        <v>2</v>
      </c>
      <c r="G4731" s="5">
        <v>8</v>
      </c>
    </row>
    <row r="4732" spans="1:7" s="5" customFormat="1" x14ac:dyDescent="0.3">
      <c r="A4732" s="5" t="s">
        <v>35</v>
      </c>
      <c r="B4732" s="5" t="s">
        <v>340</v>
      </c>
      <c r="C4732" s="5">
        <v>21</v>
      </c>
      <c r="D4732" s="5">
        <v>2.98</v>
      </c>
      <c r="E4732" s="5">
        <v>2</v>
      </c>
      <c r="F4732" s="5">
        <v>2</v>
      </c>
      <c r="G4732" s="5">
        <v>6</v>
      </c>
    </row>
    <row r="4733" spans="1:7" x14ac:dyDescent="0.3">
      <c r="A4733" t="s">
        <v>35</v>
      </c>
      <c r="B4733" t="s">
        <v>365</v>
      </c>
      <c r="C4733">
        <v>2</v>
      </c>
      <c r="D4733">
        <v>2.79</v>
      </c>
      <c r="E4733">
        <v>3</v>
      </c>
      <c r="F4733">
        <v>2</v>
      </c>
      <c r="G4733">
        <v>3</v>
      </c>
    </row>
    <row r="4734" spans="1:7" s="5" customFormat="1" x14ac:dyDescent="0.3">
      <c r="A4734" s="5" t="s">
        <v>37</v>
      </c>
      <c r="B4734" s="5" t="s">
        <v>339</v>
      </c>
      <c r="C4734" s="5">
        <v>12</v>
      </c>
      <c r="D4734" s="5">
        <v>3.84</v>
      </c>
      <c r="E4734" s="5">
        <v>2</v>
      </c>
      <c r="F4734" s="5">
        <v>2</v>
      </c>
      <c r="G4734" s="5">
        <v>10</v>
      </c>
    </row>
    <row r="4735" spans="1:7" x14ac:dyDescent="0.3">
      <c r="A4735" t="s">
        <v>37</v>
      </c>
      <c r="B4735" t="s">
        <v>340</v>
      </c>
      <c r="C4735">
        <v>39</v>
      </c>
      <c r="D4735">
        <v>3.63</v>
      </c>
      <c r="E4735">
        <v>2</v>
      </c>
      <c r="F4735">
        <v>2</v>
      </c>
      <c r="G4735">
        <v>20</v>
      </c>
    </row>
    <row r="4736" spans="1:7" x14ac:dyDescent="0.3">
      <c r="A4736" t="s">
        <v>37</v>
      </c>
      <c r="B4736" t="s">
        <v>365</v>
      </c>
      <c r="C4736">
        <v>1</v>
      </c>
      <c r="D4736">
        <v>3</v>
      </c>
      <c r="E4736">
        <v>3</v>
      </c>
      <c r="F4736">
        <v>3</v>
      </c>
      <c r="G4736">
        <v>3</v>
      </c>
    </row>
    <row r="4737" spans="1:8" s="5" customFormat="1" x14ac:dyDescent="0.3">
      <c r="A4737" s="5" t="s">
        <v>36</v>
      </c>
      <c r="B4737" s="5" t="s">
        <v>339</v>
      </c>
      <c r="C4737" s="5">
        <v>15</v>
      </c>
      <c r="D4737" s="5">
        <v>4.78</v>
      </c>
      <c r="E4737" s="5">
        <v>3</v>
      </c>
      <c r="F4737" s="5">
        <v>2</v>
      </c>
      <c r="G4737" s="5">
        <v>50</v>
      </c>
    </row>
    <row r="4738" spans="1:8" s="5" customFormat="1" x14ac:dyDescent="0.3">
      <c r="A4738" s="5" t="s">
        <v>36</v>
      </c>
      <c r="B4738" s="5" t="s">
        <v>340</v>
      </c>
      <c r="C4738" s="5">
        <v>18</v>
      </c>
      <c r="D4738" s="5">
        <v>3.34</v>
      </c>
      <c r="E4738" s="5">
        <v>3</v>
      </c>
      <c r="F4738" s="5">
        <v>2</v>
      </c>
      <c r="G4738" s="5">
        <v>22</v>
      </c>
    </row>
    <row r="4739" spans="1:8" s="5" customFormat="1" x14ac:dyDescent="0.3">
      <c r="A4739" s="5" t="s">
        <v>34</v>
      </c>
      <c r="B4739" s="5" t="s">
        <v>339</v>
      </c>
      <c r="C4739" s="5">
        <v>9</v>
      </c>
      <c r="D4739" s="5">
        <v>8.8800000000000008</v>
      </c>
      <c r="E4739" s="5">
        <v>10</v>
      </c>
      <c r="F4739" s="5">
        <v>2</v>
      </c>
      <c r="G4739" s="5">
        <v>16</v>
      </c>
    </row>
    <row r="4740" spans="1:8" s="5" customFormat="1" x14ac:dyDescent="0.3">
      <c r="A4740" s="5" t="s">
        <v>34</v>
      </c>
      <c r="B4740" s="5" t="s">
        <v>340</v>
      </c>
      <c r="C4740" s="5">
        <v>21</v>
      </c>
      <c r="D4740" s="5">
        <v>3.5</v>
      </c>
      <c r="E4740" s="5">
        <v>2</v>
      </c>
      <c r="F4740" s="5">
        <v>2</v>
      </c>
      <c r="G4740" s="5">
        <v>18</v>
      </c>
    </row>
    <row r="4741" spans="1:8" s="5" customFormat="1" x14ac:dyDescent="0.3">
      <c r="A4741" s="5" t="s">
        <v>33</v>
      </c>
      <c r="B4741" s="5" t="s">
        <v>339</v>
      </c>
      <c r="C4741" s="5">
        <v>5</v>
      </c>
      <c r="D4741" s="5">
        <v>7.56</v>
      </c>
      <c r="E4741" s="5">
        <v>5</v>
      </c>
      <c r="F4741" s="5">
        <v>2</v>
      </c>
      <c r="G4741" s="5">
        <v>16</v>
      </c>
    </row>
    <row r="4742" spans="1:8" s="5" customFormat="1" x14ac:dyDescent="0.3">
      <c r="A4742" s="5" t="s">
        <v>33</v>
      </c>
      <c r="B4742" s="5" t="s">
        <v>340</v>
      </c>
      <c r="C4742" s="5">
        <v>13</v>
      </c>
      <c r="D4742" s="5">
        <v>3.27</v>
      </c>
      <c r="E4742" s="5">
        <v>3</v>
      </c>
      <c r="F4742" s="5">
        <v>2</v>
      </c>
      <c r="G4742" s="5">
        <v>5</v>
      </c>
    </row>
    <row r="4743" spans="1:8" x14ac:dyDescent="0.3">
      <c r="A4743" t="s">
        <v>49</v>
      </c>
      <c r="B4743" t="s">
        <v>339</v>
      </c>
      <c r="C4743">
        <v>50</v>
      </c>
      <c r="D4743">
        <v>5.62</v>
      </c>
      <c r="E4743">
        <v>4</v>
      </c>
      <c r="F4743">
        <v>2</v>
      </c>
      <c r="G4743">
        <v>50</v>
      </c>
    </row>
    <row r="4744" spans="1:8" x14ac:dyDescent="0.3">
      <c r="A4744" t="s">
        <v>49</v>
      </c>
      <c r="B4744" t="s">
        <v>340</v>
      </c>
      <c r="C4744">
        <v>112</v>
      </c>
      <c r="D4744">
        <v>3.36</v>
      </c>
      <c r="E4744">
        <v>2</v>
      </c>
      <c r="F4744">
        <v>2</v>
      </c>
      <c r="G4744">
        <v>22</v>
      </c>
    </row>
    <row r="4745" spans="1:8" x14ac:dyDescent="0.3">
      <c r="A4745" t="s">
        <v>49</v>
      </c>
      <c r="B4745" t="s">
        <v>365</v>
      </c>
      <c r="C4745">
        <v>3</v>
      </c>
      <c r="D4745">
        <v>2.93</v>
      </c>
      <c r="E4745">
        <v>3</v>
      </c>
      <c r="F4745">
        <v>2</v>
      </c>
      <c r="G4745">
        <v>3</v>
      </c>
    </row>
    <row r="4747" spans="1:8" x14ac:dyDescent="0.3">
      <c r="A4747" t="s">
        <v>1595</v>
      </c>
    </row>
    <row r="4748" spans="1:8" x14ac:dyDescent="0.3">
      <c r="A4748" t="s">
        <v>44</v>
      </c>
      <c r="B4748" t="s">
        <v>32</v>
      </c>
      <c r="C4748" t="s">
        <v>1596</v>
      </c>
      <c r="D4748" t="s">
        <v>1597</v>
      </c>
      <c r="E4748" t="s">
        <v>1598</v>
      </c>
      <c r="F4748" t="s">
        <v>1599</v>
      </c>
      <c r="G4748" t="s">
        <v>1600</v>
      </c>
      <c r="H4748" t="s">
        <v>1601</v>
      </c>
    </row>
    <row r="4749" spans="1:8" x14ac:dyDescent="0.3">
      <c r="A4749" t="s">
        <v>35</v>
      </c>
      <c r="B4749">
        <v>3145</v>
      </c>
      <c r="C4749" t="s">
        <v>111</v>
      </c>
      <c r="D4749" t="s">
        <v>207</v>
      </c>
      <c r="E4749" t="s">
        <v>136</v>
      </c>
      <c r="F4749" t="s">
        <v>759</v>
      </c>
      <c r="G4749" t="s">
        <v>253</v>
      </c>
      <c r="H4749" t="s">
        <v>99</v>
      </c>
    </row>
    <row r="4750" spans="1:8" x14ac:dyDescent="0.3">
      <c r="A4750" t="s">
        <v>37</v>
      </c>
      <c r="B4750">
        <v>3855</v>
      </c>
      <c r="C4750" t="s">
        <v>107</v>
      </c>
      <c r="D4750" t="s">
        <v>136</v>
      </c>
      <c r="E4750" t="s">
        <v>101</v>
      </c>
      <c r="F4750" t="s">
        <v>413</v>
      </c>
      <c r="G4750" t="s">
        <v>104</v>
      </c>
      <c r="H4750" t="s">
        <v>99</v>
      </c>
    </row>
    <row r="4751" spans="1:8" x14ac:dyDescent="0.3">
      <c r="A4751" t="s">
        <v>36</v>
      </c>
      <c r="B4751">
        <v>2305</v>
      </c>
      <c r="C4751" t="s">
        <v>138</v>
      </c>
      <c r="D4751" t="s">
        <v>101</v>
      </c>
      <c r="E4751" t="s">
        <v>136</v>
      </c>
      <c r="F4751" t="s">
        <v>778</v>
      </c>
      <c r="G4751" t="s">
        <v>99</v>
      </c>
      <c r="H4751" t="s">
        <v>104</v>
      </c>
    </row>
    <row r="4752" spans="1:8" x14ac:dyDescent="0.3">
      <c r="A4752" t="s">
        <v>34</v>
      </c>
      <c r="B4752">
        <v>2080</v>
      </c>
      <c r="C4752" t="s">
        <v>268</v>
      </c>
      <c r="D4752" t="s">
        <v>215</v>
      </c>
      <c r="E4752" t="s">
        <v>198</v>
      </c>
      <c r="F4752" t="s">
        <v>786</v>
      </c>
      <c r="G4752" t="s">
        <v>136</v>
      </c>
      <c r="H4752" t="s">
        <v>99</v>
      </c>
    </row>
    <row r="4753" spans="1:9" x14ac:dyDescent="0.3">
      <c r="A4753" t="s">
        <v>33</v>
      </c>
      <c r="B4753">
        <v>1937</v>
      </c>
      <c r="C4753" t="s">
        <v>215</v>
      </c>
      <c r="D4753" t="s">
        <v>104</v>
      </c>
      <c r="E4753" t="s">
        <v>132</v>
      </c>
      <c r="F4753" t="s">
        <v>249</v>
      </c>
      <c r="G4753" t="s">
        <v>104</v>
      </c>
      <c r="H4753" t="s">
        <v>99</v>
      </c>
    </row>
    <row r="4754" spans="1:9" x14ac:dyDescent="0.3">
      <c r="A4754" t="s">
        <v>49</v>
      </c>
      <c r="B4754">
        <v>13322</v>
      </c>
      <c r="C4754" t="s">
        <v>103</v>
      </c>
      <c r="D4754" t="s">
        <v>115</v>
      </c>
      <c r="E4754" t="s">
        <v>115</v>
      </c>
      <c r="F4754" t="s">
        <v>237</v>
      </c>
      <c r="G4754" t="s">
        <v>207</v>
      </c>
      <c r="H4754" t="s">
        <v>99</v>
      </c>
    </row>
    <row r="4756" spans="1:9" x14ac:dyDescent="0.3">
      <c r="A4756" t="s">
        <v>1602</v>
      </c>
    </row>
    <row r="4757" spans="1:9" x14ac:dyDescent="0.3">
      <c r="A4757" t="s">
        <v>44</v>
      </c>
      <c r="B4757" t="s">
        <v>209</v>
      </c>
      <c r="C4757" t="s">
        <v>32</v>
      </c>
      <c r="D4757" t="s">
        <v>1596</v>
      </c>
      <c r="E4757" t="s">
        <v>1598</v>
      </c>
      <c r="F4757" t="s">
        <v>1599</v>
      </c>
      <c r="G4757" t="s">
        <v>1597</v>
      </c>
      <c r="H4757" t="s">
        <v>1600</v>
      </c>
      <c r="I4757" t="s">
        <v>1601</v>
      </c>
    </row>
    <row r="4758" spans="1:9" x14ac:dyDescent="0.3">
      <c r="A4758" t="s">
        <v>35</v>
      </c>
      <c r="B4758" t="s">
        <v>210</v>
      </c>
      <c r="C4758">
        <v>136</v>
      </c>
      <c r="D4758" t="s">
        <v>101</v>
      </c>
      <c r="E4758" t="s">
        <v>99</v>
      </c>
      <c r="F4758" t="s">
        <v>999</v>
      </c>
      <c r="G4758" t="s">
        <v>99</v>
      </c>
      <c r="H4758" t="s">
        <v>99</v>
      </c>
      <c r="I4758" t="s">
        <v>99</v>
      </c>
    </row>
    <row r="4759" spans="1:9" x14ac:dyDescent="0.3">
      <c r="A4759" t="s">
        <v>35</v>
      </c>
      <c r="B4759" t="s">
        <v>212</v>
      </c>
      <c r="C4759">
        <v>2442</v>
      </c>
      <c r="D4759" t="s">
        <v>316</v>
      </c>
      <c r="E4759" t="s">
        <v>253</v>
      </c>
      <c r="F4759" t="s">
        <v>367</v>
      </c>
      <c r="G4759" t="s">
        <v>141</v>
      </c>
      <c r="H4759" t="s">
        <v>108</v>
      </c>
      <c r="I4759" t="s">
        <v>99</v>
      </c>
    </row>
    <row r="4760" spans="1:9" x14ac:dyDescent="0.3">
      <c r="A4760" t="s">
        <v>35</v>
      </c>
      <c r="B4760" t="s">
        <v>216</v>
      </c>
      <c r="C4760">
        <v>567</v>
      </c>
      <c r="D4760" t="s">
        <v>101</v>
      </c>
      <c r="E4760" t="s">
        <v>104</v>
      </c>
      <c r="F4760" t="s">
        <v>483</v>
      </c>
      <c r="G4760" t="s">
        <v>99</v>
      </c>
      <c r="H4760" t="s">
        <v>99</v>
      </c>
      <c r="I4760" t="s">
        <v>99</v>
      </c>
    </row>
    <row r="4761" spans="1:9" x14ac:dyDescent="0.3">
      <c r="A4761" t="s">
        <v>37</v>
      </c>
      <c r="B4761" t="s">
        <v>210</v>
      </c>
      <c r="C4761">
        <v>138</v>
      </c>
      <c r="D4761" t="s">
        <v>155</v>
      </c>
      <c r="E4761" t="s">
        <v>136</v>
      </c>
      <c r="F4761" t="s">
        <v>1017</v>
      </c>
      <c r="G4761" t="s">
        <v>99</v>
      </c>
      <c r="H4761" t="s">
        <v>141</v>
      </c>
      <c r="I4761" t="s">
        <v>99</v>
      </c>
    </row>
    <row r="4762" spans="1:9" x14ac:dyDescent="0.3">
      <c r="A4762" t="s">
        <v>37</v>
      </c>
      <c r="B4762" t="s">
        <v>212</v>
      </c>
      <c r="C4762">
        <v>3606</v>
      </c>
      <c r="D4762" t="s">
        <v>157</v>
      </c>
      <c r="E4762" t="s">
        <v>319</v>
      </c>
      <c r="F4762" t="s">
        <v>778</v>
      </c>
      <c r="G4762" t="s">
        <v>136</v>
      </c>
      <c r="H4762" t="s">
        <v>104</v>
      </c>
      <c r="I4762" t="s">
        <v>99</v>
      </c>
    </row>
    <row r="4763" spans="1:9" x14ac:dyDescent="0.3">
      <c r="A4763" t="s">
        <v>37</v>
      </c>
      <c r="B4763" t="s">
        <v>216</v>
      </c>
      <c r="C4763">
        <v>111</v>
      </c>
      <c r="D4763" t="s">
        <v>319</v>
      </c>
      <c r="E4763" t="s">
        <v>99</v>
      </c>
      <c r="F4763" t="s">
        <v>483</v>
      </c>
      <c r="G4763" t="s">
        <v>99</v>
      </c>
      <c r="H4763" t="s">
        <v>99</v>
      </c>
      <c r="I4763" t="s">
        <v>99</v>
      </c>
    </row>
    <row r="4764" spans="1:9" x14ac:dyDescent="0.3">
      <c r="A4764" t="s">
        <v>36</v>
      </c>
      <c r="B4764" t="s">
        <v>210</v>
      </c>
      <c r="C4764">
        <v>165</v>
      </c>
      <c r="D4764" t="s">
        <v>316</v>
      </c>
      <c r="E4764" t="s">
        <v>99</v>
      </c>
      <c r="F4764" t="s">
        <v>998</v>
      </c>
      <c r="G4764" t="s">
        <v>207</v>
      </c>
      <c r="H4764" t="s">
        <v>99</v>
      </c>
      <c r="I4764" t="s">
        <v>99</v>
      </c>
    </row>
    <row r="4765" spans="1:9" x14ac:dyDescent="0.3">
      <c r="A4765" t="s">
        <v>36</v>
      </c>
      <c r="B4765" t="s">
        <v>212</v>
      </c>
      <c r="C4765">
        <v>1875</v>
      </c>
      <c r="D4765" t="s">
        <v>138</v>
      </c>
      <c r="E4765" t="s">
        <v>141</v>
      </c>
      <c r="F4765" t="s">
        <v>1438</v>
      </c>
      <c r="G4765" t="s">
        <v>121</v>
      </c>
      <c r="H4765" t="s">
        <v>99</v>
      </c>
      <c r="I4765" t="s">
        <v>104</v>
      </c>
    </row>
    <row r="4766" spans="1:9" x14ac:dyDescent="0.3">
      <c r="A4766" t="s">
        <v>36</v>
      </c>
      <c r="B4766" t="s">
        <v>216</v>
      </c>
      <c r="C4766">
        <v>265</v>
      </c>
      <c r="D4766" t="s">
        <v>154</v>
      </c>
      <c r="E4766" t="s">
        <v>99</v>
      </c>
      <c r="F4766" t="s">
        <v>334</v>
      </c>
      <c r="G4766" t="s">
        <v>128</v>
      </c>
      <c r="H4766" t="s">
        <v>99</v>
      </c>
      <c r="I4766" t="s">
        <v>99</v>
      </c>
    </row>
    <row r="4767" spans="1:9" x14ac:dyDescent="0.3">
      <c r="A4767" t="s">
        <v>34</v>
      </c>
      <c r="B4767" t="s">
        <v>210</v>
      </c>
      <c r="C4767">
        <v>256</v>
      </c>
      <c r="D4767" t="s">
        <v>268</v>
      </c>
      <c r="E4767" t="s">
        <v>141</v>
      </c>
      <c r="F4767" t="s">
        <v>334</v>
      </c>
      <c r="G4767" t="s">
        <v>316</v>
      </c>
      <c r="H4767" t="s">
        <v>132</v>
      </c>
      <c r="I4767" t="s">
        <v>99</v>
      </c>
    </row>
    <row r="4768" spans="1:9" x14ac:dyDescent="0.3">
      <c r="A4768" t="s">
        <v>34</v>
      </c>
      <c r="B4768" t="s">
        <v>212</v>
      </c>
      <c r="C4768">
        <v>1582</v>
      </c>
      <c r="D4768" t="s">
        <v>103</v>
      </c>
      <c r="E4768" t="s">
        <v>99</v>
      </c>
      <c r="F4768" t="s">
        <v>237</v>
      </c>
      <c r="G4768" t="s">
        <v>101</v>
      </c>
      <c r="H4768" t="s">
        <v>198</v>
      </c>
      <c r="I4768" t="s">
        <v>99</v>
      </c>
    </row>
    <row r="4769" spans="1:9" x14ac:dyDescent="0.3">
      <c r="A4769" t="s">
        <v>34</v>
      </c>
      <c r="B4769" t="s">
        <v>216</v>
      </c>
      <c r="C4769">
        <v>242</v>
      </c>
      <c r="D4769" t="s">
        <v>121</v>
      </c>
      <c r="E4769" t="s">
        <v>108</v>
      </c>
      <c r="F4769" t="s">
        <v>327</v>
      </c>
      <c r="G4769" t="s">
        <v>107</v>
      </c>
      <c r="H4769" t="s">
        <v>253</v>
      </c>
      <c r="I4769" t="s">
        <v>104</v>
      </c>
    </row>
    <row r="4770" spans="1:9" x14ac:dyDescent="0.3">
      <c r="A4770" t="s">
        <v>33</v>
      </c>
      <c r="B4770" t="s">
        <v>210</v>
      </c>
      <c r="C4770">
        <v>68</v>
      </c>
      <c r="D4770" t="s">
        <v>144</v>
      </c>
      <c r="E4770" t="s">
        <v>138</v>
      </c>
      <c r="F4770" t="s">
        <v>169</v>
      </c>
      <c r="G4770" t="s">
        <v>99</v>
      </c>
      <c r="H4770" t="s">
        <v>99</v>
      </c>
      <c r="I4770" t="s">
        <v>99</v>
      </c>
    </row>
    <row r="4771" spans="1:9" x14ac:dyDescent="0.3">
      <c r="A4771" t="s">
        <v>33</v>
      </c>
      <c r="B4771" t="s">
        <v>212</v>
      </c>
      <c r="C4771">
        <v>1800</v>
      </c>
      <c r="D4771" t="s">
        <v>319</v>
      </c>
      <c r="E4771" t="s">
        <v>253</v>
      </c>
      <c r="F4771" t="s">
        <v>202</v>
      </c>
      <c r="G4771" t="s">
        <v>104</v>
      </c>
      <c r="H4771" t="s">
        <v>104</v>
      </c>
      <c r="I4771" t="s">
        <v>99</v>
      </c>
    </row>
    <row r="4772" spans="1:9" x14ac:dyDescent="0.3">
      <c r="A4772" t="s">
        <v>33</v>
      </c>
      <c r="B4772" t="s">
        <v>216</v>
      </c>
      <c r="C4772">
        <v>69</v>
      </c>
      <c r="D4772" t="s">
        <v>120</v>
      </c>
      <c r="E4772" t="s">
        <v>319</v>
      </c>
      <c r="F4772" t="s">
        <v>1017</v>
      </c>
      <c r="G4772" t="s">
        <v>99</v>
      </c>
      <c r="H4772" t="s">
        <v>99</v>
      </c>
      <c r="I4772" t="s">
        <v>99</v>
      </c>
    </row>
    <row r="4773" spans="1:9" x14ac:dyDescent="0.3">
      <c r="A4773" t="s">
        <v>49</v>
      </c>
      <c r="B4773" t="s">
        <v>210</v>
      </c>
      <c r="C4773">
        <v>763</v>
      </c>
      <c r="D4773" t="s">
        <v>316</v>
      </c>
      <c r="E4773" t="s">
        <v>253</v>
      </c>
      <c r="F4773" t="s">
        <v>786</v>
      </c>
      <c r="G4773" t="s">
        <v>100</v>
      </c>
      <c r="H4773" t="s">
        <v>136</v>
      </c>
      <c r="I4773" t="s">
        <v>99</v>
      </c>
    </row>
    <row r="4774" spans="1:9" x14ac:dyDescent="0.3">
      <c r="A4774" t="s">
        <v>49</v>
      </c>
      <c r="B4774" t="s">
        <v>212</v>
      </c>
      <c r="C4774">
        <v>11305</v>
      </c>
      <c r="D4774" t="s">
        <v>316</v>
      </c>
      <c r="E4774" t="s">
        <v>132</v>
      </c>
      <c r="F4774" t="s">
        <v>1017</v>
      </c>
      <c r="G4774" t="s">
        <v>253</v>
      </c>
      <c r="H4774" t="s">
        <v>207</v>
      </c>
      <c r="I4774" t="s">
        <v>99</v>
      </c>
    </row>
    <row r="4775" spans="1:9" x14ac:dyDescent="0.3">
      <c r="A4775" t="s">
        <v>49</v>
      </c>
      <c r="B4775" t="s">
        <v>216</v>
      </c>
      <c r="C4775">
        <v>1254</v>
      </c>
      <c r="D4775" t="s">
        <v>126</v>
      </c>
      <c r="E4775" t="s">
        <v>207</v>
      </c>
      <c r="F4775" t="s">
        <v>398</v>
      </c>
      <c r="G4775" t="s">
        <v>108</v>
      </c>
      <c r="H4775" t="s">
        <v>104</v>
      </c>
      <c r="I4775" t="s">
        <v>99</v>
      </c>
    </row>
    <row r="4777" spans="1:9" x14ac:dyDescent="0.3">
      <c r="A4777" t="s">
        <v>1603</v>
      </c>
    </row>
    <row r="4778" spans="1:9" x14ac:dyDescent="0.3">
      <c r="A4778" t="s">
        <v>44</v>
      </c>
      <c r="B4778" t="s">
        <v>879</v>
      </c>
      <c r="C4778" t="s">
        <v>32</v>
      </c>
      <c r="D4778" t="s">
        <v>1598</v>
      </c>
      <c r="E4778" t="s">
        <v>1599</v>
      </c>
      <c r="F4778" t="s">
        <v>1596</v>
      </c>
      <c r="G4778" t="s">
        <v>1597</v>
      </c>
      <c r="H4778" t="s">
        <v>1600</v>
      </c>
      <c r="I4778" t="s">
        <v>1601</v>
      </c>
    </row>
    <row r="4779" spans="1:9" x14ac:dyDescent="0.3">
      <c r="A4779" t="s">
        <v>35</v>
      </c>
      <c r="B4779" t="s">
        <v>880</v>
      </c>
      <c r="C4779">
        <v>596</v>
      </c>
      <c r="D4779" t="s">
        <v>104</v>
      </c>
      <c r="E4779" t="s">
        <v>766</v>
      </c>
      <c r="F4779" t="s">
        <v>215</v>
      </c>
      <c r="G4779" t="s">
        <v>198</v>
      </c>
      <c r="H4779" t="s">
        <v>99</v>
      </c>
      <c r="I4779" t="s">
        <v>99</v>
      </c>
    </row>
    <row r="4780" spans="1:9" x14ac:dyDescent="0.3">
      <c r="A4780" t="s">
        <v>35</v>
      </c>
      <c r="B4780" t="s">
        <v>881</v>
      </c>
      <c r="C4780">
        <v>1162</v>
      </c>
      <c r="D4780" t="s">
        <v>114</v>
      </c>
      <c r="E4780" t="s">
        <v>252</v>
      </c>
      <c r="F4780" t="s">
        <v>712</v>
      </c>
      <c r="G4780" t="s">
        <v>132</v>
      </c>
      <c r="H4780" t="s">
        <v>151</v>
      </c>
      <c r="I4780" t="s">
        <v>99</v>
      </c>
    </row>
    <row r="4781" spans="1:9" x14ac:dyDescent="0.3">
      <c r="A4781" t="s">
        <v>35</v>
      </c>
      <c r="B4781" t="s">
        <v>882</v>
      </c>
      <c r="C4781">
        <v>1387</v>
      </c>
      <c r="D4781" t="s">
        <v>198</v>
      </c>
      <c r="E4781" t="s">
        <v>999</v>
      </c>
      <c r="F4781" t="s">
        <v>114</v>
      </c>
      <c r="G4781" t="s">
        <v>104</v>
      </c>
      <c r="H4781" t="s">
        <v>99</v>
      </c>
      <c r="I4781" t="s">
        <v>99</v>
      </c>
    </row>
    <row r="4782" spans="1:9" x14ac:dyDescent="0.3">
      <c r="A4782" t="s">
        <v>37</v>
      </c>
      <c r="B4782" t="s">
        <v>880</v>
      </c>
      <c r="C4782">
        <v>671</v>
      </c>
      <c r="D4782" t="s">
        <v>101</v>
      </c>
      <c r="E4782" t="s">
        <v>249</v>
      </c>
      <c r="F4782" t="s">
        <v>100</v>
      </c>
      <c r="G4782" t="s">
        <v>104</v>
      </c>
      <c r="H4782" t="s">
        <v>104</v>
      </c>
      <c r="I4782" t="s">
        <v>99</v>
      </c>
    </row>
    <row r="4783" spans="1:9" x14ac:dyDescent="0.3">
      <c r="A4783" t="s">
        <v>37</v>
      </c>
      <c r="B4783" t="s">
        <v>881</v>
      </c>
      <c r="C4783">
        <v>1371</v>
      </c>
      <c r="D4783" t="s">
        <v>382</v>
      </c>
      <c r="E4783" t="s">
        <v>323</v>
      </c>
      <c r="F4783" t="s">
        <v>98</v>
      </c>
      <c r="G4783" t="s">
        <v>108</v>
      </c>
      <c r="H4783" t="s">
        <v>198</v>
      </c>
      <c r="I4783" t="s">
        <v>104</v>
      </c>
    </row>
    <row r="4784" spans="1:9" x14ac:dyDescent="0.3">
      <c r="A4784" t="s">
        <v>37</v>
      </c>
      <c r="B4784" t="s">
        <v>882</v>
      </c>
      <c r="C4784">
        <v>1813</v>
      </c>
      <c r="D4784" t="s">
        <v>100</v>
      </c>
      <c r="E4784" t="s">
        <v>336</v>
      </c>
      <c r="F4784" t="s">
        <v>151</v>
      </c>
      <c r="G4784" t="s">
        <v>104</v>
      </c>
      <c r="H4784" t="s">
        <v>104</v>
      </c>
      <c r="I4784" t="s">
        <v>99</v>
      </c>
    </row>
    <row r="4785" spans="1:9" x14ac:dyDescent="0.3">
      <c r="A4785" t="s">
        <v>36</v>
      </c>
      <c r="B4785" t="s">
        <v>880</v>
      </c>
      <c r="C4785">
        <v>382</v>
      </c>
      <c r="D4785" t="s">
        <v>100</v>
      </c>
      <c r="E4785" t="s">
        <v>358</v>
      </c>
      <c r="F4785" t="s">
        <v>155</v>
      </c>
      <c r="G4785" t="s">
        <v>100</v>
      </c>
      <c r="H4785" t="s">
        <v>99</v>
      </c>
      <c r="I4785" t="s">
        <v>99</v>
      </c>
    </row>
    <row r="4786" spans="1:9" x14ac:dyDescent="0.3">
      <c r="A4786" t="s">
        <v>36</v>
      </c>
      <c r="B4786" t="s">
        <v>881</v>
      </c>
      <c r="C4786">
        <v>866</v>
      </c>
      <c r="D4786" t="s">
        <v>136</v>
      </c>
      <c r="E4786" t="s">
        <v>329</v>
      </c>
      <c r="F4786" t="s">
        <v>242</v>
      </c>
      <c r="G4786" t="s">
        <v>151</v>
      </c>
      <c r="H4786" t="s">
        <v>99</v>
      </c>
      <c r="I4786" t="s">
        <v>99</v>
      </c>
    </row>
    <row r="4787" spans="1:9" x14ac:dyDescent="0.3">
      <c r="A4787" t="s">
        <v>36</v>
      </c>
      <c r="B4787" t="s">
        <v>882</v>
      </c>
      <c r="C4787">
        <v>1057</v>
      </c>
      <c r="D4787" t="s">
        <v>99</v>
      </c>
      <c r="E4787" t="s">
        <v>776</v>
      </c>
      <c r="F4787" t="s">
        <v>111</v>
      </c>
      <c r="G4787" t="s">
        <v>114</v>
      </c>
      <c r="H4787" t="s">
        <v>99</v>
      </c>
      <c r="I4787" t="s">
        <v>198</v>
      </c>
    </row>
    <row r="4788" spans="1:9" x14ac:dyDescent="0.3">
      <c r="A4788" t="s">
        <v>34</v>
      </c>
      <c r="B4788" t="s">
        <v>880</v>
      </c>
      <c r="C4788">
        <v>351</v>
      </c>
      <c r="D4788" t="s">
        <v>99</v>
      </c>
      <c r="E4788" t="s">
        <v>782</v>
      </c>
      <c r="F4788" t="s">
        <v>100</v>
      </c>
      <c r="G4788" t="s">
        <v>215</v>
      </c>
      <c r="H4788" t="s">
        <v>121</v>
      </c>
      <c r="I4788" t="s">
        <v>99</v>
      </c>
    </row>
    <row r="4789" spans="1:9" x14ac:dyDescent="0.3">
      <c r="A4789" t="s">
        <v>34</v>
      </c>
      <c r="B4789" t="s">
        <v>881</v>
      </c>
      <c r="C4789">
        <v>861</v>
      </c>
      <c r="D4789" t="s">
        <v>99</v>
      </c>
      <c r="E4789" t="s">
        <v>375</v>
      </c>
      <c r="F4789" t="s">
        <v>107</v>
      </c>
      <c r="G4789" t="s">
        <v>382</v>
      </c>
      <c r="H4789" t="s">
        <v>198</v>
      </c>
      <c r="I4789" t="s">
        <v>104</v>
      </c>
    </row>
    <row r="4790" spans="1:9" x14ac:dyDescent="0.3">
      <c r="A4790" t="s">
        <v>34</v>
      </c>
      <c r="B4790" t="s">
        <v>882</v>
      </c>
      <c r="C4790">
        <v>868</v>
      </c>
      <c r="D4790" t="s">
        <v>141</v>
      </c>
      <c r="E4790" t="s">
        <v>69</v>
      </c>
      <c r="F4790" t="s">
        <v>111</v>
      </c>
      <c r="G4790" t="s">
        <v>123</v>
      </c>
      <c r="H4790" t="s">
        <v>198</v>
      </c>
      <c r="I4790" t="s">
        <v>99</v>
      </c>
    </row>
    <row r="4791" spans="1:9" x14ac:dyDescent="0.3">
      <c r="A4791" t="s">
        <v>33</v>
      </c>
      <c r="B4791" t="s">
        <v>880</v>
      </c>
      <c r="C4791">
        <v>426</v>
      </c>
      <c r="D4791" t="s">
        <v>207</v>
      </c>
      <c r="E4791" t="s">
        <v>981</v>
      </c>
      <c r="F4791" t="s">
        <v>99</v>
      </c>
      <c r="G4791" t="s">
        <v>99</v>
      </c>
      <c r="H4791" t="s">
        <v>99</v>
      </c>
      <c r="I4791" t="s">
        <v>99</v>
      </c>
    </row>
    <row r="4792" spans="1:9" x14ac:dyDescent="0.3">
      <c r="A4792" t="s">
        <v>33</v>
      </c>
      <c r="B4792" t="s">
        <v>881</v>
      </c>
      <c r="C4792">
        <v>682</v>
      </c>
      <c r="D4792" t="s">
        <v>141</v>
      </c>
      <c r="E4792" t="s">
        <v>433</v>
      </c>
      <c r="F4792" t="s">
        <v>332</v>
      </c>
      <c r="G4792" t="s">
        <v>198</v>
      </c>
      <c r="H4792" t="s">
        <v>99</v>
      </c>
      <c r="I4792" t="s">
        <v>99</v>
      </c>
    </row>
    <row r="4793" spans="1:9" x14ac:dyDescent="0.3">
      <c r="A4793" t="s">
        <v>33</v>
      </c>
      <c r="B4793" t="s">
        <v>882</v>
      </c>
      <c r="C4793">
        <v>829</v>
      </c>
      <c r="D4793" t="s">
        <v>121</v>
      </c>
      <c r="E4793" t="s">
        <v>476</v>
      </c>
      <c r="F4793" t="s">
        <v>114</v>
      </c>
      <c r="G4793" t="s">
        <v>104</v>
      </c>
      <c r="H4793" t="s">
        <v>104</v>
      </c>
      <c r="I4793" t="s">
        <v>99</v>
      </c>
    </row>
    <row r="4794" spans="1:9" x14ac:dyDescent="0.3">
      <c r="A4794" t="s">
        <v>49</v>
      </c>
      <c r="B4794" t="s">
        <v>880</v>
      </c>
      <c r="C4794">
        <v>2426</v>
      </c>
      <c r="D4794" t="s">
        <v>141</v>
      </c>
      <c r="E4794" t="s">
        <v>851</v>
      </c>
      <c r="F4794" t="s">
        <v>101</v>
      </c>
      <c r="G4794" t="s">
        <v>141</v>
      </c>
      <c r="H4794" t="s">
        <v>198</v>
      </c>
      <c r="I4794" t="s">
        <v>99</v>
      </c>
    </row>
    <row r="4795" spans="1:9" x14ac:dyDescent="0.3">
      <c r="A4795" t="s">
        <v>49</v>
      </c>
      <c r="B4795" t="s">
        <v>881</v>
      </c>
      <c r="C4795">
        <v>4942</v>
      </c>
      <c r="D4795" t="s">
        <v>108</v>
      </c>
      <c r="E4795" t="s">
        <v>326</v>
      </c>
      <c r="F4795" t="s">
        <v>712</v>
      </c>
      <c r="G4795" t="s">
        <v>114</v>
      </c>
      <c r="H4795" t="s">
        <v>253</v>
      </c>
      <c r="I4795" t="s">
        <v>104</v>
      </c>
    </row>
    <row r="4796" spans="1:9" x14ac:dyDescent="0.3">
      <c r="A4796" t="s">
        <v>49</v>
      </c>
      <c r="B4796" t="s">
        <v>882</v>
      </c>
      <c r="C4796">
        <v>5954</v>
      </c>
      <c r="D4796" t="s">
        <v>253</v>
      </c>
      <c r="E4796" t="s">
        <v>398</v>
      </c>
      <c r="F4796" t="s">
        <v>382</v>
      </c>
      <c r="G4796" t="s">
        <v>141</v>
      </c>
      <c r="H4796" t="s">
        <v>104</v>
      </c>
      <c r="I4796" t="s">
        <v>99</v>
      </c>
    </row>
    <row r="4798" spans="1:9" x14ac:dyDescent="0.3">
      <c r="A4798" t="s">
        <v>1604</v>
      </c>
    </row>
    <row r="4799" spans="1:9" x14ac:dyDescent="0.3">
      <c r="A4799" t="s">
        <v>44</v>
      </c>
      <c r="B4799" t="s">
        <v>388</v>
      </c>
      <c r="C4799" t="s">
        <v>32</v>
      </c>
      <c r="D4799" t="s">
        <v>1596</v>
      </c>
      <c r="E4799" t="s">
        <v>1598</v>
      </c>
      <c r="F4799" t="s">
        <v>1599</v>
      </c>
      <c r="G4799" t="s">
        <v>1597</v>
      </c>
      <c r="H4799" t="s">
        <v>1600</v>
      </c>
      <c r="I4799" t="s">
        <v>1601</v>
      </c>
    </row>
    <row r="4800" spans="1:9" x14ac:dyDescent="0.3">
      <c r="A4800" t="s">
        <v>35</v>
      </c>
      <c r="B4800" t="s">
        <v>389</v>
      </c>
      <c r="C4800">
        <v>2141</v>
      </c>
      <c r="D4800" t="s">
        <v>382</v>
      </c>
      <c r="E4800" t="s">
        <v>104</v>
      </c>
      <c r="F4800" t="s">
        <v>466</v>
      </c>
      <c r="G4800" t="s">
        <v>136</v>
      </c>
      <c r="H4800" t="s">
        <v>253</v>
      </c>
      <c r="I4800" t="s">
        <v>99</v>
      </c>
    </row>
    <row r="4801" spans="1:9" x14ac:dyDescent="0.3">
      <c r="A4801" t="s">
        <v>35</v>
      </c>
      <c r="B4801" t="s">
        <v>390</v>
      </c>
      <c r="C4801">
        <v>875</v>
      </c>
      <c r="D4801" t="s">
        <v>110</v>
      </c>
      <c r="E4801" t="s">
        <v>121</v>
      </c>
      <c r="F4801" t="s">
        <v>376</v>
      </c>
      <c r="G4801" t="s">
        <v>104</v>
      </c>
      <c r="H4801" t="s">
        <v>132</v>
      </c>
      <c r="I4801" t="s">
        <v>99</v>
      </c>
    </row>
    <row r="4802" spans="1:9" x14ac:dyDescent="0.3">
      <c r="A4802" t="s">
        <v>35</v>
      </c>
      <c r="B4802" t="s">
        <v>365</v>
      </c>
      <c r="C4802">
        <v>129</v>
      </c>
      <c r="D4802" t="s">
        <v>100</v>
      </c>
      <c r="E4802" t="s">
        <v>99</v>
      </c>
      <c r="F4802" t="s">
        <v>383</v>
      </c>
      <c r="G4802" t="s">
        <v>253</v>
      </c>
      <c r="H4802" t="s">
        <v>99</v>
      </c>
      <c r="I4802" t="s">
        <v>99</v>
      </c>
    </row>
    <row r="4803" spans="1:9" x14ac:dyDescent="0.3">
      <c r="A4803" t="s">
        <v>37</v>
      </c>
      <c r="B4803" t="s">
        <v>389</v>
      </c>
      <c r="C4803">
        <v>2305</v>
      </c>
      <c r="D4803" t="s">
        <v>332</v>
      </c>
      <c r="E4803" t="s">
        <v>114</v>
      </c>
      <c r="F4803" t="s">
        <v>778</v>
      </c>
      <c r="G4803" t="s">
        <v>136</v>
      </c>
      <c r="H4803" t="s">
        <v>104</v>
      </c>
      <c r="I4803" t="s">
        <v>104</v>
      </c>
    </row>
    <row r="4804" spans="1:9" x14ac:dyDescent="0.3">
      <c r="A4804" t="s">
        <v>37</v>
      </c>
      <c r="B4804" t="s">
        <v>390</v>
      </c>
      <c r="C4804">
        <v>1309</v>
      </c>
      <c r="D4804" t="s">
        <v>128</v>
      </c>
      <c r="E4804" t="s">
        <v>292</v>
      </c>
      <c r="F4804" t="s">
        <v>505</v>
      </c>
      <c r="G4804" t="s">
        <v>141</v>
      </c>
      <c r="H4804" t="s">
        <v>198</v>
      </c>
      <c r="I4804" t="s">
        <v>99</v>
      </c>
    </row>
    <row r="4805" spans="1:9" x14ac:dyDescent="0.3">
      <c r="A4805" t="s">
        <v>37</v>
      </c>
      <c r="B4805" t="s">
        <v>365</v>
      </c>
      <c r="C4805">
        <v>241</v>
      </c>
      <c r="D4805" t="s">
        <v>114</v>
      </c>
      <c r="E4805" t="s">
        <v>141</v>
      </c>
      <c r="F4805" t="s">
        <v>383</v>
      </c>
      <c r="G4805" t="s">
        <v>198</v>
      </c>
      <c r="H4805" t="s">
        <v>99</v>
      </c>
      <c r="I4805" t="s">
        <v>99</v>
      </c>
    </row>
    <row r="4806" spans="1:9" x14ac:dyDescent="0.3">
      <c r="A4806" t="s">
        <v>36</v>
      </c>
      <c r="B4806" t="s">
        <v>389</v>
      </c>
      <c r="C4806">
        <v>1578</v>
      </c>
      <c r="D4806" t="s">
        <v>105</v>
      </c>
      <c r="E4806" t="s">
        <v>141</v>
      </c>
      <c r="F4806" t="s">
        <v>505</v>
      </c>
      <c r="G4806" t="s">
        <v>215</v>
      </c>
      <c r="H4806" t="s">
        <v>99</v>
      </c>
      <c r="I4806" t="s">
        <v>99</v>
      </c>
    </row>
    <row r="4807" spans="1:9" x14ac:dyDescent="0.3">
      <c r="A4807" t="s">
        <v>36</v>
      </c>
      <c r="B4807" t="s">
        <v>390</v>
      </c>
      <c r="C4807">
        <v>627</v>
      </c>
      <c r="D4807" t="s">
        <v>157</v>
      </c>
      <c r="E4807" t="s">
        <v>198</v>
      </c>
      <c r="F4807" t="s">
        <v>337</v>
      </c>
      <c r="G4807" t="s">
        <v>115</v>
      </c>
      <c r="H4807" t="s">
        <v>99</v>
      </c>
      <c r="I4807" t="s">
        <v>207</v>
      </c>
    </row>
    <row r="4808" spans="1:9" x14ac:dyDescent="0.3">
      <c r="A4808" t="s">
        <v>36</v>
      </c>
      <c r="B4808" t="s">
        <v>365</v>
      </c>
      <c r="C4808">
        <v>100</v>
      </c>
      <c r="D4808" t="s">
        <v>277</v>
      </c>
      <c r="E4808" t="s">
        <v>99</v>
      </c>
      <c r="F4808" t="s">
        <v>778</v>
      </c>
      <c r="G4808" t="s">
        <v>99</v>
      </c>
      <c r="H4808" t="s">
        <v>104</v>
      </c>
      <c r="I4808" t="s">
        <v>99</v>
      </c>
    </row>
    <row r="4809" spans="1:9" x14ac:dyDescent="0.3">
      <c r="A4809" t="s">
        <v>34</v>
      </c>
      <c r="B4809" t="s">
        <v>389</v>
      </c>
      <c r="C4809">
        <v>1385</v>
      </c>
      <c r="D4809" t="s">
        <v>128</v>
      </c>
      <c r="E4809" t="s">
        <v>207</v>
      </c>
      <c r="F4809" t="s">
        <v>1438</v>
      </c>
      <c r="G4809" t="s">
        <v>382</v>
      </c>
      <c r="H4809" t="s">
        <v>141</v>
      </c>
      <c r="I4809" t="s">
        <v>104</v>
      </c>
    </row>
    <row r="4810" spans="1:9" x14ac:dyDescent="0.3">
      <c r="A4810" t="s">
        <v>34</v>
      </c>
      <c r="B4810" t="s">
        <v>390</v>
      </c>
      <c r="C4810">
        <v>615</v>
      </c>
      <c r="D4810" t="s">
        <v>382</v>
      </c>
      <c r="E4810" t="s">
        <v>99</v>
      </c>
      <c r="F4810" t="s">
        <v>768</v>
      </c>
      <c r="G4810" t="s">
        <v>151</v>
      </c>
      <c r="H4810" t="s">
        <v>207</v>
      </c>
      <c r="I4810" t="s">
        <v>99</v>
      </c>
    </row>
    <row r="4811" spans="1:9" x14ac:dyDescent="0.3">
      <c r="A4811" t="s">
        <v>34</v>
      </c>
      <c r="B4811" t="s">
        <v>365</v>
      </c>
      <c r="C4811">
        <v>80</v>
      </c>
      <c r="D4811" t="s">
        <v>136</v>
      </c>
      <c r="E4811" t="s">
        <v>99</v>
      </c>
      <c r="F4811" t="s">
        <v>476</v>
      </c>
      <c r="G4811" t="s">
        <v>151</v>
      </c>
      <c r="H4811" t="s">
        <v>99</v>
      </c>
      <c r="I4811" t="s">
        <v>99</v>
      </c>
    </row>
    <row r="4812" spans="1:9" x14ac:dyDescent="0.3">
      <c r="A4812" t="s">
        <v>33</v>
      </c>
      <c r="B4812" t="s">
        <v>389</v>
      </c>
      <c r="C4812">
        <v>1090</v>
      </c>
      <c r="D4812" t="s">
        <v>151</v>
      </c>
      <c r="E4812" t="s">
        <v>253</v>
      </c>
      <c r="F4812" t="s">
        <v>780</v>
      </c>
      <c r="G4812" t="s">
        <v>99</v>
      </c>
      <c r="H4812" t="s">
        <v>99</v>
      </c>
      <c r="I4812" t="s">
        <v>99</v>
      </c>
    </row>
    <row r="4813" spans="1:9" x14ac:dyDescent="0.3">
      <c r="A4813" t="s">
        <v>33</v>
      </c>
      <c r="B4813" t="s">
        <v>390</v>
      </c>
      <c r="C4813">
        <v>708</v>
      </c>
      <c r="D4813" t="s">
        <v>100</v>
      </c>
      <c r="E4813" t="s">
        <v>132</v>
      </c>
      <c r="F4813" t="s">
        <v>386</v>
      </c>
      <c r="G4813" t="s">
        <v>207</v>
      </c>
      <c r="H4813" t="s">
        <v>198</v>
      </c>
      <c r="I4813" t="s">
        <v>99</v>
      </c>
    </row>
    <row r="4814" spans="1:9" x14ac:dyDescent="0.3">
      <c r="A4814" t="s">
        <v>33</v>
      </c>
      <c r="B4814" t="s">
        <v>365</v>
      </c>
      <c r="C4814">
        <v>139</v>
      </c>
      <c r="D4814" t="s">
        <v>215</v>
      </c>
      <c r="E4814" t="s">
        <v>127</v>
      </c>
      <c r="F4814" t="s">
        <v>265</v>
      </c>
      <c r="G4814" t="s">
        <v>99</v>
      </c>
      <c r="H4814" t="s">
        <v>99</v>
      </c>
      <c r="I4814" t="s">
        <v>99</v>
      </c>
    </row>
    <row r="4815" spans="1:9" x14ac:dyDescent="0.3">
      <c r="A4815" t="s">
        <v>49</v>
      </c>
      <c r="B4815" t="s">
        <v>389</v>
      </c>
      <c r="C4815">
        <v>8499</v>
      </c>
      <c r="D4815" t="s">
        <v>103</v>
      </c>
      <c r="E4815" t="s">
        <v>141</v>
      </c>
      <c r="F4815" t="s">
        <v>237</v>
      </c>
      <c r="G4815" t="s">
        <v>115</v>
      </c>
      <c r="H4815" t="s">
        <v>207</v>
      </c>
      <c r="I4815" t="s">
        <v>99</v>
      </c>
    </row>
    <row r="4816" spans="1:9" x14ac:dyDescent="0.3">
      <c r="A4816" t="s">
        <v>49</v>
      </c>
      <c r="B4816" t="s">
        <v>390</v>
      </c>
      <c r="C4816">
        <v>4134</v>
      </c>
      <c r="D4816" t="s">
        <v>103</v>
      </c>
      <c r="E4816" t="s">
        <v>100</v>
      </c>
      <c r="F4816" t="s">
        <v>367</v>
      </c>
      <c r="G4816" t="s">
        <v>253</v>
      </c>
      <c r="H4816" t="s">
        <v>207</v>
      </c>
      <c r="I4816" t="s">
        <v>99</v>
      </c>
    </row>
    <row r="4817" spans="1:9" x14ac:dyDescent="0.3">
      <c r="A4817" t="s">
        <v>49</v>
      </c>
      <c r="B4817" t="s">
        <v>365</v>
      </c>
      <c r="C4817">
        <v>689</v>
      </c>
      <c r="D4817" t="s">
        <v>126</v>
      </c>
      <c r="E4817" t="s">
        <v>141</v>
      </c>
      <c r="F4817" t="s">
        <v>851</v>
      </c>
      <c r="G4817" t="s">
        <v>141</v>
      </c>
      <c r="H4817" t="s">
        <v>99</v>
      </c>
      <c r="I4817" t="s">
        <v>99</v>
      </c>
    </row>
    <row r="4819" spans="1:9" x14ac:dyDescent="0.3">
      <c r="A4819" t="s">
        <v>1605</v>
      </c>
    </row>
    <row r="4820" spans="1:9" x14ac:dyDescent="0.3">
      <c r="A4820" t="s">
        <v>44</v>
      </c>
      <c r="B4820" t="s">
        <v>361</v>
      </c>
      <c r="C4820" t="s">
        <v>32</v>
      </c>
      <c r="D4820" t="s">
        <v>1596</v>
      </c>
      <c r="E4820" t="s">
        <v>1598</v>
      </c>
      <c r="F4820" t="s">
        <v>1599</v>
      </c>
      <c r="G4820" t="s">
        <v>1597</v>
      </c>
      <c r="H4820" t="s">
        <v>1600</v>
      </c>
      <c r="I4820" t="s">
        <v>1601</v>
      </c>
    </row>
    <row r="4821" spans="1:9" x14ac:dyDescent="0.3">
      <c r="A4821" t="s">
        <v>35</v>
      </c>
      <c r="B4821" t="s">
        <v>339</v>
      </c>
      <c r="C4821">
        <v>890</v>
      </c>
      <c r="D4821" t="s">
        <v>128</v>
      </c>
      <c r="E4821" t="s">
        <v>114</v>
      </c>
      <c r="F4821" t="s">
        <v>162</v>
      </c>
      <c r="G4821" t="s">
        <v>114</v>
      </c>
      <c r="H4821" t="s">
        <v>319</v>
      </c>
      <c r="I4821" t="s">
        <v>99</v>
      </c>
    </row>
    <row r="4822" spans="1:9" x14ac:dyDescent="0.3">
      <c r="A4822" t="s">
        <v>35</v>
      </c>
      <c r="B4822" t="s">
        <v>340</v>
      </c>
      <c r="C4822">
        <v>2215</v>
      </c>
      <c r="D4822" t="s">
        <v>151</v>
      </c>
      <c r="E4822" t="s">
        <v>198</v>
      </c>
      <c r="F4822" t="s">
        <v>249</v>
      </c>
      <c r="G4822" t="s">
        <v>104</v>
      </c>
      <c r="H4822" t="s">
        <v>207</v>
      </c>
      <c r="I4822" t="s">
        <v>99</v>
      </c>
    </row>
    <row r="4823" spans="1:9" x14ac:dyDescent="0.3">
      <c r="A4823" t="s">
        <v>35</v>
      </c>
      <c r="B4823" t="s">
        <v>365</v>
      </c>
      <c r="C4823">
        <v>40</v>
      </c>
      <c r="D4823" t="s">
        <v>151</v>
      </c>
      <c r="E4823" t="s">
        <v>99</v>
      </c>
      <c r="F4823" t="s">
        <v>766</v>
      </c>
      <c r="G4823" t="s">
        <v>99</v>
      </c>
      <c r="H4823" t="s">
        <v>99</v>
      </c>
      <c r="I4823" t="s">
        <v>99</v>
      </c>
    </row>
    <row r="4824" spans="1:9" x14ac:dyDescent="0.3">
      <c r="A4824" t="s">
        <v>37</v>
      </c>
      <c r="B4824" t="s">
        <v>339</v>
      </c>
      <c r="C4824">
        <v>1093</v>
      </c>
      <c r="D4824" t="s">
        <v>68</v>
      </c>
      <c r="E4824" t="s">
        <v>123</v>
      </c>
      <c r="F4824" t="s">
        <v>247</v>
      </c>
      <c r="G4824" t="s">
        <v>132</v>
      </c>
      <c r="H4824" t="s">
        <v>198</v>
      </c>
      <c r="I4824" t="s">
        <v>104</v>
      </c>
    </row>
    <row r="4825" spans="1:9" x14ac:dyDescent="0.3">
      <c r="A4825" t="s">
        <v>37</v>
      </c>
      <c r="B4825" t="s">
        <v>340</v>
      </c>
      <c r="C4825">
        <v>2721</v>
      </c>
      <c r="D4825" t="s">
        <v>268</v>
      </c>
      <c r="E4825" t="s">
        <v>100</v>
      </c>
      <c r="F4825" t="s">
        <v>768</v>
      </c>
      <c r="G4825" t="s">
        <v>207</v>
      </c>
      <c r="H4825" t="s">
        <v>104</v>
      </c>
      <c r="I4825" t="s">
        <v>99</v>
      </c>
    </row>
    <row r="4826" spans="1:9" x14ac:dyDescent="0.3">
      <c r="A4826" t="s">
        <v>37</v>
      </c>
      <c r="B4826" t="s">
        <v>365</v>
      </c>
      <c r="C4826">
        <v>41</v>
      </c>
      <c r="D4826" t="s">
        <v>118</v>
      </c>
      <c r="E4826" t="s">
        <v>99</v>
      </c>
      <c r="F4826" t="s">
        <v>779</v>
      </c>
      <c r="G4826" t="s">
        <v>99</v>
      </c>
      <c r="H4826" t="s">
        <v>99</v>
      </c>
      <c r="I4826" t="s">
        <v>99</v>
      </c>
    </row>
    <row r="4827" spans="1:9" x14ac:dyDescent="0.3">
      <c r="A4827" t="s">
        <v>36</v>
      </c>
      <c r="B4827" t="s">
        <v>339</v>
      </c>
      <c r="C4827">
        <v>770</v>
      </c>
      <c r="D4827" t="s">
        <v>124</v>
      </c>
      <c r="E4827" t="s">
        <v>198</v>
      </c>
      <c r="F4827" t="s">
        <v>226</v>
      </c>
      <c r="G4827" t="s">
        <v>100</v>
      </c>
      <c r="H4827" t="s">
        <v>99</v>
      </c>
      <c r="I4827" t="s">
        <v>198</v>
      </c>
    </row>
    <row r="4828" spans="1:9" x14ac:dyDescent="0.3">
      <c r="A4828" t="s">
        <v>36</v>
      </c>
      <c r="B4828" t="s">
        <v>340</v>
      </c>
      <c r="C4828">
        <v>1472</v>
      </c>
      <c r="D4828" t="s">
        <v>151</v>
      </c>
      <c r="E4828" t="s">
        <v>141</v>
      </c>
      <c r="F4828" t="s">
        <v>782</v>
      </c>
      <c r="G4828" t="s">
        <v>126</v>
      </c>
      <c r="H4828" t="s">
        <v>99</v>
      </c>
      <c r="I4828" t="s">
        <v>99</v>
      </c>
    </row>
    <row r="4829" spans="1:9" x14ac:dyDescent="0.3">
      <c r="A4829" t="s">
        <v>36</v>
      </c>
      <c r="B4829" t="s">
        <v>365</v>
      </c>
      <c r="C4829">
        <v>63</v>
      </c>
      <c r="D4829" t="s">
        <v>135</v>
      </c>
      <c r="E4829" t="s">
        <v>99</v>
      </c>
      <c r="F4829" t="s">
        <v>241</v>
      </c>
      <c r="G4829" t="s">
        <v>99</v>
      </c>
      <c r="H4829" t="s">
        <v>99</v>
      </c>
      <c r="I4829" t="s">
        <v>99</v>
      </c>
    </row>
    <row r="4830" spans="1:9" x14ac:dyDescent="0.3">
      <c r="A4830" t="s">
        <v>34</v>
      </c>
      <c r="B4830" t="s">
        <v>339</v>
      </c>
      <c r="C4830">
        <v>555</v>
      </c>
      <c r="D4830" t="s">
        <v>154</v>
      </c>
      <c r="E4830" t="s">
        <v>136</v>
      </c>
      <c r="F4830" t="s">
        <v>334</v>
      </c>
      <c r="G4830" t="s">
        <v>151</v>
      </c>
      <c r="H4830" t="s">
        <v>207</v>
      </c>
      <c r="I4830" t="s">
        <v>99</v>
      </c>
    </row>
    <row r="4831" spans="1:9" x14ac:dyDescent="0.3">
      <c r="A4831" t="s">
        <v>34</v>
      </c>
      <c r="B4831" t="s">
        <v>340</v>
      </c>
      <c r="C4831">
        <v>1497</v>
      </c>
      <c r="D4831" t="s">
        <v>382</v>
      </c>
      <c r="E4831" t="s">
        <v>99</v>
      </c>
      <c r="F4831" t="s">
        <v>779</v>
      </c>
      <c r="G4831" t="s">
        <v>382</v>
      </c>
      <c r="H4831" t="s">
        <v>141</v>
      </c>
      <c r="I4831" t="s">
        <v>104</v>
      </c>
    </row>
    <row r="4832" spans="1:9" x14ac:dyDescent="0.3">
      <c r="A4832" t="s">
        <v>34</v>
      </c>
      <c r="B4832" t="s">
        <v>365</v>
      </c>
      <c r="C4832">
        <v>28</v>
      </c>
      <c r="D4832" t="s">
        <v>215</v>
      </c>
      <c r="E4832" t="s">
        <v>468</v>
      </c>
      <c r="F4832" t="s">
        <v>329</v>
      </c>
      <c r="G4832" t="s">
        <v>99</v>
      </c>
      <c r="H4832" t="s">
        <v>99</v>
      </c>
      <c r="I4832" t="s">
        <v>99</v>
      </c>
    </row>
    <row r="4833" spans="1:14" x14ac:dyDescent="0.3">
      <c r="A4833" t="s">
        <v>33</v>
      </c>
      <c r="B4833" t="s">
        <v>339</v>
      </c>
      <c r="C4833">
        <v>503</v>
      </c>
      <c r="D4833" t="s">
        <v>105</v>
      </c>
      <c r="E4833" t="s">
        <v>100</v>
      </c>
      <c r="F4833" t="s">
        <v>1017</v>
      </c>
      <c r="G4833" t="s">
        <v>99</v>
      </c>
      <c r="H4833" t="s">
        <v>99</v>
      </c>
      <c r="I4833" t="s">
        <v>99</v>
      </c>
    </row>
    <row r="4834" spans="1:14" x14ac:dyDescent="0.3">
      <c r="A4834" t="s">
        <v>33</v>
      </c>
      <c r="B4834" t="s">
        <v>340</v>
      </c>
      <c r="C4834">
        <v>1415</v>
      </c>
      <c r="D4834" t="s">
        <v>114</v>
      </c>
      <c r="E4834" t="s">
        <v>253</v>
      </c>
      <c r="F4834" t="s">
        <v>1026</v>
      </c>
      <c r="G4834" t="s">
        <v>104</v>
      </c>
      <c r="H4834" t="s">
        <v>104</v>
      </c>
      <c r="I4834" t="s">
        <v>99</v>
      </c>
    </row>
    <row r="4835" spans="1:14" x14ac:dyDescent="0.3">
      <c r="A4835" t="s">
        <v>33</v>
      </c>
      <c r="B4835" t="s">
        <v>365</v>
      </c>
      <c r="C4835">
        <v>19</v>
      </c>
      <c r="D4835" t="s">
        <v>74</v>
      </c>
      <c r="E4835" t="s">
        <v>74</v>
      </c>
      <c r="F4835" t="s">
        <v>762</v>
      </c>
      <c r="G4835" t="s">
        <v>99</v>
      </c>
      <c r="H4835" t="s">
        <v>99</v>
      </c>
      <c r="I4835" t="s">
        <v>99</v>
      </c>
    </row>
    <row r="4836" spans="1:14" x14ac:dyDescent="0.3">
      <c r="A4836" t="s">
        <v>49</v>
      </c>
      <c r="B4836" t="s">
        <v>339</v>
      </c>
      <c r="C4836">
        <v>3811</v>
      </c>
      <c r="D4836" t="s">
        <v>118</v>
      </c>
      <c r="E4836" t="s">
        <v>114</v>
      </c>
      <c r="F4836" t="s">
        <v>414</v>
      </c>
      <c r="G4836" t="s">
        <v>114</v>
      </c>
      <c r="H4836" t="s">
        <v>141</v>
      </c>
      <c r="I4836" t="s">
        <v>99</v>
      </c>
    </row>
    <row r="4837" spans="1:14" x14ac:dyDescent="0.3">
      <c r="A4837" t="s">
        <v>49</v>
      </c>
      <c r="B4837" t="s">
        <v>340</v>
      </c>
      <c r="C4837">
        <v>9320</v>
      </c>
      <c r="D4837" t="s">
        <v>123</v>
      </c>
      <c r="E4837" t="s">
        <v>141</v>
      </c>
      <c r="F4837" t="s">
        <v>384</v>
      </c>
      <c r="G4837" t="s">
        <v>141</v>
      </c>
      <c r="H4837" t="s">
        <v>198</v>
      </c>
      <c r="I4837" t="s">
        <v>99</v>
      </c>
    </row>
    <row r="4838" spans="1:14" x14ac:dyDescent="0.3">
      <c r="A4838" t="s">
        <v>49</v>
      </c>
      <c r="B4838" t="s">
        <v>365</v>
      </c>
      <c r="C4838">
        <v>191</v>
      </c>
      <c r="D4838" t="s">
        <v>134</v>
      </c>
      <c r="E4838" t="s">
        <v>151</v>
      </c>
      <c r="F4838" t="s">
        <v>467</v>
      </c>
      <c r="G4838" t="s">
        <v>99</v>
      </c>
      <c r="H4838" t="s">
        <v>99</v>
      </c>
      <c r="I4838" t="s">
        <v>99</v>
      </c>
    </row>
    <row r="4840" spans="1:14" x14ac:dyDescent="0.3">
      <c r="A4840" t="s">
        <v>1606</v>
      </c>
    </row>
    <row r="4841" spans="1:14" x14ac:dyDescent="0.3">
      <c r="A4841" t="s">
        <v>44</v>
      </c>
      <c r="B4841" t="s">
        <v>32</v>
      </c>
      <c r="C4841" t="s">
        <v>1607</v>
      </c>
      <c r="D4841" t="s">
        <v>1608</v>
      </c>
      <c r="E4841" t="s">
        <v>1609</v>
      </c>
      <c r="F4841" t="s">
        <v>1610</v>
      </c>
      <c r="G4841" t="s">
        <v>1611</v>
      </c>
      <c r="H4841" t="s">
        <v>1612</v>
      </c>
      <c r="I4841" t="s">
        <v>1613</v>
      </c>
      <c r="J4841" t="s">
        <v>1614</v>
      </c>
      <c r="K4841" t="s">
        <v>1615</v>
      </c>
      <c r="L4841" t="s">
        <v>1616</v>
      </c>
      <c r="M4841" t="s">
        <v>1617</v>
      </c>
      <c r="N4841" t="s">
        <v>1618</v>
      </c>
    </row>
    <row r="4842" spans="1:14" x14ac:dyDescent="0.3">
      <c r="A4842" t="s">
        <v>35</v>
      </c>
      <c r="B4842">
        <v>3145</v>
      </c>
      <c r="C4842" t="s">
        <v>712</v>
      </c>
      <c r="D4842" t="s">
        <v>112</v>
      </c>
      <c r="E4842" t="s">
        <v>123</v>
      </c>
      <c r="F4842" t="s">
        <v>412</v>
      </c>
      <c r="G4842" t="s">
        <v>118</v>
      </c>
      <c r="H4842" t="s">
        <v>292</v>
      </c>
      <c r="I4842" t="s">
        <v>408</v>
      </c>
      <c r="J4842" t="s">
        <v>248</v>
      </c>
      <c r="K4842" t="s">
        <v>147</v>
      </c>
      <c r="L4842" t="s">
        <v>124</v>
      </c>
      <c r="M4842" t="s">
        <v>135</v>
      </c>
      <c r="N4842" t="s">
        <v>441</v>
      </c>
    </row>
    <row r="4843" spans="1:14" x14ac:dyDescent="0.3">
      <c r="A4843" t="s">
        <v>37</v>
      </c>
      <c r="B4843">
        <v>3855</v>
      </c>
      <c r="C4843" t="s">
        <v>110</v>
      </c>
      <c r="D4843" t="s">
        <v>129</v>
      </c>
      <c r="E4843" t="s">
        <v>121</v>
      </c>
      <c r="F4843" t="s">
        <v>120</v>
      </c>
      <c r="G4843" t="s">
        <v>103</v>
      </c>
      <c r="H4843" t="s">
        <v>382</v>
      </c>
      <c r="I4843" t="s">
        <v>179</v>
      </c>
      <c r="J4843" t="s">
        <v>664</v>
      </c>
      <c r="K4843" t="s">
        <v>101</v>
      </c>
      <c r="L4843" t="s">
        <v>151</v>
      </c>
      <c r="M4843" t="s">
        <v>157</v>
      </c>
      <c r="N4843" t="s">
        <v>1137</v>
      </c>
    </row>
    <row r="4844" spans="1:14" x14ac:dyDescent="0.3">
      <c r="A4844" t="s">
        <v>36</v>
      </c>
      <c r="B4844">
        <v>2305</v>
      </c>
      <c r="C4844" t="s">
        <v>679</v>
      </c>
      <c r="D4844" t="s">
        <v>124</v>
      </c>
      <c r="E4844" t="s">
        <v>120</v>
      </c>
      <c r="F4844" t="s">
        <v>328</v>
      </c>
      <c r="G4844" t="s">
        <v>474</v>
      </c>
      <c r="H4844" t="s">
        <v>121</v>
      </c>
      <c r="I4844" t="s">
        <v>536</v>
      </c>
      <c r="J4844" t="s">
        <v>804</v>
      </c>
      <c r="K4844" t="s">
        <v>144</v>
      </c>
      <c r="L4844" t="s">
        <v>112</v>
      </c>
      <c r="M4844" t="s">
        <v>726</v>
      </c>
      <c r="N4844" t="s">
        <v>59</v>
      </c>
    </row>
    <row r="4845" spans="1:14" x14ac:dyDescent="0.3">
      <c r="A4845" t="s">
        <v>34</v>
      </c>
      <c r="B4845">
        <v>2080</v>
      </c>
      <c r="C4845" t="s">
        <v>139</v>
      </c>
      <c r="D4845" t="s">
        <v>124</v>
      </c>
      <c r="E4845" t="s">
        <v>123</v>
      </c>
      <c r="F4845" t="s">
        <v>147</v>
      </c>
      <c r="G4845" t="s">
        <v>292</v>
      </c>
      <c r="H4845" t="s">
        <v>127</v>
      </c>
      <c r="I4845" t="s">
        <v>482</v>
      </c>
      <c r="J4845" t="s">
        <v>299</v>
      </c>
      <c r="K4845" t="s">
        <v>325</v>
      </c>
      <c r="L4845" t="s">
        <v>139</v>
      </c>
      <c r="M4845" t="s">
        <v>76</v>
      </c>
      <c r="N4845" t="s">
        <v>1233</v>
      </c>
    </row>
    <row r="4846" spans="1:14" x14ac:dyDescent="0.3">
      <c r="A4846" t="s">
        <v>33</v>
      </c>
      <c r="B4846">
        <v>1937</v>
      </c>
      <c r="C4846" t="s">
        <v>154</v>
      </c>
      <c r="D4846" t="s">
        <v>108</v>
      </c>
      <c r="E4846" t="s">
        <v>126</v>
      </c>
      <c r="F4846" t="s">
        <v>151</v>
      </c>
      <c r="G4846" t="s">
        <v>319</v>
      </c>
      <c r="H4846" t="s">
        <v>115</v>
      </c>
      <c r="I4846" t="s">
        <v>122</v>
      </c>
      <c r="J4846" t="s">
        <v>124</v>
      </c>
      <c r="K4846" t="s">
        <v>332</v>
      </c>
      <c r="L4846" t="s">
        <v>151</v>
      </c>
      <c r="M4846" t="s">
        <v>113</v>
      </c>
      <c r="N4846" t="s">
        <v>189</v>
      </c>
    </row>
    <row r="4847" spans="1:14" x14ac:dyDescent="0.3">
      <c r="A4847" t="s">
        <v>49</v>
      </c>
      <c r="B4847">
        <v>13322</v>
      </c>
      <c r="C4847" t="s">
        <v>474</v>
      </c>
      <c r="D4847" t="s">
        <v>130</v>
      </c>
      <c r="E4847" t="s">
        <v>215</v>
      </c>
      <c r="F4847" t="s">
        <v>154</v>
      </c>
      <c r="G4847" t="s">
        <v>120</v>
      </c>
      <c r="H4847" t="s">
        <v>382</v>
      </c>
      <c r="I4847" t="s">
        <v>710</v>
      </c>
      <c r="J4847" t="s">
        <v>679</v>
      </c>
      <c r="K4847" t="s">
        <v>155</v>
      </c>
      <c r="L4847" t="s">
        <v>134</v>
      </c>
      <c r="M4847" t="s">
        <v>401</v>
      </c>
      <c r="N4847" t="s">
        <v>1619</v>
      </c>
    </row>
    <row r="4849" spans="1:15" x14ac:dyDescent="0.3">
      <c r="A4849" t="s">
        <v>1620</v>
      </c>
    </row>
    <row r="4850" spans="1:15" x14ac:dyDescent="0.3">
      <c r="A4850" t="s">
        <v>44</v>
      </c>
      <c r="B4850" t="s">
        <v>388</v>
      </c>
      <c r="C4850" t="s">
        <v>32</v>
      </c>
      <c r="D4850" t="s">
        <v>1607</v>
      </c>
      <c r="E4850" t="s">
        <v>1608</v>
      </c>
      <c r="F4850" t="s">
        <v>1609</v>
      </c>
      <c r="G4850" t="s">
        <v>1610</v>
      </c>
      <c r="H4850" t="s">
        <v>1611</v>
      </c>
      <c r="I4850" t="s">
        <v>1612</v>
      </c>
      <c r="J4850" t="s">
        <v>1613</v>
      </c>
      <c r="K4850" t="s">
        <v>1614</v>
      </c>
      <c r="L4850" t="s">
        <v>1615</v>
      </c>
      <c r="M4850" t="s">
        <v>1616</v>
      </c>
      <c r="N4850" t="s">
        <v>1617</v>
      </c>
      <c r="O4850" t="s">
        <v>1618</v>
      </c>
    </row>
    <row r="4851" spans="1:15" x14ac:dyDescent="0.3">
      <c r="A4851" t="s">
        <v>35</v>
      </c>
      <c r="B4851" t="s">
        <v>389</v>
      </c>
      <c r="C4851">
        <v>2141</v>
      </c>
      <c r="D4851" t="s">
        <v>434</v>
      </c>
      <c r="E4851" t="s">
        <v>68</v>
      </c>
      <c r="F4851" t="s">
        <v>123</v>
      </c>
      <c r="G4851" t="s">
        <v>149</v>
      </c>
      <c r="H4851" t="s">
        <v>138</v>
      </c>
      <c r="I4851" t="s">
        <v>117</v>
      </c>
      <c r="J4851" t="s">
        <v>416</v>
      </c>
      <c r="K4851" t="s">
        <v>70</v>
      </c>
      <c r="L4851" t="s">
        <v>292</v>
      </c>
      <c r="M4851" t="s">
        <v>204</v>
      </c>
      <c r="N4851" t="s">
        <v>679</v>
      </c>
      <c r="O4851" t="s">
        <v>1079</v>
      </c>
    </row>
    <row r="4852" spans="1:15" x14ac:dyDescent="0.3">
      <c r="A4852" t="s">
        <v>35</v>
      </c>
      <c r="B4852" t="s">
        <v>390</v>
      </c>
      <c r="C4852">
        <v>875</v>
      </c>
      <c r="D4852" t="s">
        <v>684</v>
      </c>
      <c r="E4852" t="s">
        <v>112</v>
      </c>
      <c r="F4852" t="s">
        <v>127</v>
      </c>
      <c r="G4852" t="s">
        <v>663</v>
      </c>
      <c r="H4852" t="s">
        <v>328</v>
      </c>
      <c r="I4852" t="s">
        <v>319</v>
      </c>
      <c r="J4852" t="s">
        <v>721</v>
      </c>
      <c r="K4852" t="s">
        <v>722</v>
      </c>
      <c r="L4852" t="s">
        <v>328</v>
      </c>
      <c r="M4852" t="s">
        <v>684</v>
      </c>
      <c r="N4852" t="s">
        <v>158</v>
      </c>
      <c r="O4852" t="s">
        <v>502</v>
      </c>
    </row>
    <row r="4853" spans="1:15" x14ac:dyDescent="0.3">
      <c r="A4853" t="s">
        <v>35</v>
      </c>
      <c r="B4853" t="s">
        <v>365</v>
      </c>
      <c r="C4853">
        <v>129</v>
      </c>
      <c r="D4853" t="s">
        <v>99</v>
      </c>
      <c r="E4853" t="s">
        <v>132</v>
      </c>
      <c r="F4853" t="s">
        <v>127</v>
      </c>
      <c r="G4853" t="s">
        <v>99</v>
      </c>
      <c r="H4853" t="s">
        <v>99</v>
      </c>
      <c r="I4853" t="s">
        <v>253</v>
      </c>
      <c r="J4853" t="s">
        <v>198</v>
      </c>
      <c r="K4853" t="s">
        <v>198</v>
      </c>
      <c r="L4853" t="s">
        <v>99</v>
      </c>
      <c r="M4853" t="s">
        <v>114</v>
      </c>
      <c r="N4853" t="s">
        <v>107</v>
      </c>
      <c r="O4853" t="s">
        <v>375</v>
      </c>
    </row>
    <row r="4854" spans="1:15" x14ac:dyDescent="0.3">
      <c r="A4854" t="s">
        <v>37</v>
      </c>
      <c r="B4854" t="s">
        <v>389</v>
      </c>
      <c r="C4854">
        <v>2305</v>
      </c>
      <c r="D4854" t="s">
        <v>242</v>
      </c>
      <c r="E4854" t="s">
        <v>684</v>
      </c>
      <c r="F4854" t="s">
        <v>382</v>
      </c>
      <c r="G4854" t="s">
        <v>154</v>
      </c>
      <c r="H4854" t="s">
        <v>105</v>
      </c>
      <c r="I4854" t="s">
        <v>382</v>
      </c>
      <c r="J4854" t="s">
        <v>731</v>
      </c>
      <c r="K4854" t="s">
        <v>113</v>
      </c>
      <c r="L4854" t="s">
        <v>126</v>
      </c>
      <c r="M4854" t="s">
        <v>316</v>
      </c>
      <c r="N4854" t="s">
        <v>129</v>
      </c>
      <c r="O4854" t="s">
        <v>371</v>
      </c>
    </row>
    <row r="4855" spans="1:15" x14ac:dyDescent="0.3">
      <c r="A4855" t="s">
        <v>37</v>
      </c>
      <c r="B4855" t="s">
        <v>390</v>
      </c>
      <c r="C4855">
        <v>1309</v>
      </c>
      <c r="D4855" t="s">
        <v>316</v>
      </c>
      <c r="E4855" t="s">
        <v>127</v>
      </c>
      <c r="F4855" t="s">
        <v>141</v>
      </c>
      <c r="G4855" t="s">
        <v>123</v>
      </c>
      <c r="H4855" t="s">
        <v>127</v>
      </c>
      <c r="I4855" t="s">
        <v>215</v>
      </c>
      <c r="J4855" t="s">
        <v>233</v>
      </c>
      <c r="K4855" t="s">
        <v>468</v>
      </c>
      <c r="L4855" t="s">
        <v>100</v>
      </c>
      <c r="M4855" t="s">
        <v>100</v>
      </c>
      <c r="N4855" t="s">
        <v>215</v>
      </c>
      <c r="O4855" t="s">
        <v>77</v>
      </c>
    </row>
    <row r="4856" spans="1:15" x14ac:dyDescent="0.3">
      <c r="A4856" t="s">
        <v>37</v>
      </c>
      <c r="B4856" t="s">
        <v>365</v>
      </c>
      <c r="C4856">
        <v>241</v>
      </c>
      <c r="D4856" t="s">
        <v>120</v>
      </c>
      <c r="E4856" t="s">
        <v>139</v>
      </c>
      <c r="F4856" t="s">
        <v>215</v>
      </c>
      <c r="G4856" t="s">
        <v>319</v>
      </c>
      <c r="H4856" t="s">
        <v>207</v>
      </c>
      <c r="I4856" t="s">
        <v>101</v>
      </c>
      <c r="J4856" t="s">
        <v>468</v>
      </c>
      <c r="K4856" t="s">
        <v>68</v>
      </c>
      <c r="L4856" t="s">
        <v>115</v>
      </c>
      <c r="M4856" t="s">
        <v>100</v>
      </c>
      <c r="N4856" t="s">
        <v>316</v>
      </c>
      <c r="O4856" t="s">
        <v>877</v>
      </c>
    </row>
    <row r="4857" spans="1:15" x14ac:dyDescent="0.3">
      <c r="A4857" t="s">
        <v>36</v>
      </c>
      <c r="B4857" t="s">
        <v>389</v>
      </c>
      <c r="C4857">
        <v>1578</v>
      </c>
      <c r="D4857" t="s">
        <v>150</v>
      </c>
      <c r="E4857" t="s">
        <v>109</v>
      </c>
      <c r="F4857" t="s">
        <v>332</v>
      </c>
      <c r="G4857" t="s">
        <v>468</v>
      </c>
      <c r="H4857" t="s">
        <v>139</v>
      </c>
      <c r="I4857" t="s">
        <v>382</v>
      </c>
      <c r="J4857" t="s">
        <v>167</v>
      </c>
      <c r="K4857" t="s">
        <v>287</v>
      </c>
      <c r="L4857" t="s">
        <v>204</v>
      </c>
      <c r="M4857" t="s">
        <v>242</v>
      </c>
      <c r="N4857" t="s">
        <v>201</v>
      </c>
      <c r="O4857" t="s">
        <v>526</v>
      </c>
    </row>
    <row r="4858" spans="1:15" x14ac:dyDescent="0.3">
      <c r="A4858" t="s">
        <v>36</v>
      </c>
      <c r="B4858" t="s">
        <v>390</v>
      </c>
      <c r="C4858">
        <v>627</v>
      </c>
      <c r="D4858" t="s">
        <v>353</v>
      </c>
      <c r="E4858" t="s">
        <v>147</v>
      </c>
      <c r="F4858" t="s">
        <v>121</v>
      </c>
      <c r="G4858" t="s">
        <v>150</v>
      </c>
      <c r="H4858" t="s">
        <v>139</v>
      </c>
      <c r="I4858" t="s">
        <v>141</v>
      </c>
      <c r="J4858" t="s">
        <v>704</v>
      </c>
      <c r="K4858" t="s">
        <v>296</v>
      </c>
      <c r="L4858" t="s">
        <v>144</v>
      </c>
      <c r="M4858" t="s">
        <v>138</v>
      </c>
      <c r="N4858" t="s">
        <v>798</v>
      </c>
      <c r="O4858" t="s">
        <v>297</v>
      </c>
    </row>
    <row r="4859" spans="1:15" x14ac:dyDescent="0.3">
      <c r="A4859" t="s">
        <v>36</v>
      </c>
      <c r="B4859" t="s">
        <v>365</v>
      </c>
      <c r="C4859">
        <v>100</v>
      </c>
      <c r="D4859" t="s">
        <v>233</v>
      </c>
      <c r="E4859" t="s">
        <v>138</v>
      </c>
      <c r="F4859" t="s">
        <v>100</v>
      </c>
      <c r="G4859" t="s">
        <v>103</v>
      </c>
      <c r="H4859" t="s">
        <v>108</v>
      </c>
      <c r="I4859" t="s">
        <v>136</v>
      </c>
      <c r="J4859" t="s">
        <v>814</v>
      </c>
      <c r="K4859" t="s">
        <v>332</v>
      </c>
      <c r="L4859" t="s">
        <v>109</v>
      </c>
      <c r="M4859" t="s">
        <v>663</v>
      </c>
      <c r="N4859" t="s">
        <v>175</v>
      </c>
      <c r="O4859" t="s">
        <v>1325</v>
      </c>
    </row>
    <row r="4860" spans="1:15" x14ac:dyDescent="0.3">
      <c r="A4860" t="s">
        <v>34</v>
      </c>
      <c r="B4860" t="s">
        <v>389</v>
      </c>
      <c r="C4860">
        <v>1385</v>
      </c>
      <c r="D4860" t="s">
        <v>277</v>
      </c>
      <c r="E4860" t="s">
        <v>150</v>
      </c>
      <c r="F4860" t="s">
        <v>292</v>
      </c>
      <c r="G4860" t="s">
        <v>155</v>
      </c>
      <c r="H4860" t="s">
        <v>103</v>
      </c>
      <c r="I4860" t="s">
        <v>111</v>
      </c>
      <c r="J4860" t="s">
        <v>491</v>
      </c>
      <c r="K4860" t="s">
        <v>405</v>
      </c>
      <c r="L4860" t="s">
        <v>150</v>
      </c>
      <c r="M4860" t="s">
        <v>158</v>
      </c>
      <c r="N4860" t="s">
        <v>536</v>
      </c>
      <c r="O4860" t="s">
        <v>1063</v>
      </c>
    </row>
    <row r="4861" spans="1:15" x14ac:dyDescent="0.3">
      <c r="A4861" t="s">
        <v>34</v>
      </c>
      <c r="B4861" t="s">
        <v>390</v>
      </c>
      <c r="C4861">
        <v>615</v>
      </c>
      <c r="D4861" t="s">
        <v>118</v>
      </c>
      <c r="E4861" t="s">
        <v>292</v>
      </c>
      <c r="F4861" t="s">
        <v>127</v>
      </c>
      <c r="G4861" t="s">
        <v>127</v>
      </c>
      <c r="H4861" t="s">
        <v>101</v>
      </c>
      <c r="I4861" t="s">
        <v>101</v>
      </c>
      <c r="J4861" t="s">
        <v>248</v>
      </c>
      <c r="K4861" t="s">
        <v>242</v>
      </c>
      <c r="L4861" t="s">
        <v>157</v>
      </c>
      <c r="M4861" t="s">
        <v>120</v>
      </c>
      <c r="N4861" t="s">
        <v>262</v>
      </c>
      <c r="O4861" t="s">
        <v>772</v>
      </c>
    </row>
    <row r="4862" spans="1:15" x14ac:dyDescent="0.3">
      <c r="A4862" t="s">
        <v>34</v>
      </c>
      <c r="B4862" t="s">
        <v>365</v>
      </c>
      <c r="C4862">
        <v>80</v>
      </c>
      <c r="D4862" t="s">
        <v>128</v>
      </c>
      <c r="E4862" t="s">
        <v>684</v>
      </c>
      <c r="F4862" t="s">
        <v>99</v>
      </c>
      <c r="G4862" t="s">
        <v>316</v>
      </c>
      <c r="H4862" t="s">
        <v>108</v>
      </c>
      <c r="I4862" t="s">
        <v>99</v>
      </c>
      <c r="J4862" t="s">
        <v>721</v>
      </c>
      <c r="K4862" t="s">
        <v>129</v>
      </c>
      <c r="L4862" t="s">
        <v>143</v>
      </c>
      <c r="M4862" t="s">
        <v>139</v>
      </c>
      <c r="N4862" t="s">
        <v>175</v>
      </c>
      <c r="O4862" t="s">
        <v>985</v>
      </c>
    </row>
    <row r="4863" spans="1:15" x14ac:dyDescent="0.3">
      <c r="A4863" t="s">
        <v>33</v>
      </c>
      <c r="B4863" t="s">
        <v>389</v>
      </c>
      <c r="C4863">
        <v>1090</v>
      </c>
      <c r="D4863" t="s">
        <v>474</v>
      </c>
      <c r="E4863" t="s">
        <v>319</v>
      </c>
      <c r="F4863" t="s">
        <v>151</v>
      </c>
      <c r="G4863" t="s">
        <v>103</v>
      </c>
      <c r="H4863" t="s">
        <v>123</v>
      </c>
      <c r="I4863" t="s">
        <v>108</v>
      </c>
      <c r="J4863" t="s">
        <v>182</v>
      </c>
      <c r="K4863" t="s">
        <v>664</v>
      </c>
      <c r="L4863" t="s">
        <v>111</v>
      </c>
      <c r="M4863" t="s">
        <v>117</v>
      </c>
      <c r="N4863" t="s">
        <v>305</v>
      </c>
      <c r="O4863" t="s">
        <v>1023</v>
      </c>
    </row>
    <row r="4864" spans="1:15" x14ac:dyDescent="0.3">
      <c r="A4864" t="s">
        <v>33</v>
      </c>
      <c r="B4864" t="s">
        <v>390</v>
      </c>
      <c r="C4864">
        <v>708</v>
      </c>
      <c r="D4864" t="s">
        <v>120</v>
      </c>
      <c r="E4864" t="s">
        <v>136</v>
      </c>
      <c r="F4864" t="s">
        <v>115</v>
      </c>
      <c r="G4864" t="s">
        <v>382</v>
      </c>
      <c r="H4864" t="s">
        <v>114</v>
      </c>
      <c r="I4864" t="s">
        <v>198</v>
      </c>
      <c r="J4864" t="s">
        <v>684</v>
      </c>
      <c r="K4864" t="s">
        <v>155</v>
      </c>
      <c r="L4864" t="s">
        <v>434</v>
      </c>
      <c r="M4864" t="s">
        <v>126</v>
      </c>
      <c r="N4864" t="s">
        <v>160</v>
      </c>
      <c r="O4864" t="s">
        <v>1135</v>
      </c>
    </row>
    <row r="4865" spans="1:15" x14ac:dyDescent="0.3">
      <c r="A4865" t="s">
        <v>33</v>
      </c>
      <c r="B4865" t="s">
        <v>365</v>
      </c>
      <c r="C4865">
        <v>139</v>
      </c>
      <c r="D4865" t="s">
        <v>108</v>
      </c>
      <c r="E4865" t="s">
        <v>99</v>
      </c>
      <c r="F4865" t="s">
        <v>382</v>
      </c>
      <c r="G4865" t="s">
        <v>115</v>
      </c>
      <c r="H4865" t="s">
        <v>99</v>
      </c>
      <c r="I4865" t="s">
        <v>114</v>
      </c>
      <c r="J4865" t="s">
        <v>155</v>
      </c>
      <c r="K4865" t="s">
        <v>151</v>
      </c>
      <c r="L4865" t="s">
        <v>379</v>
      </c>
      <c r="M4865" t="s">
        <v>253</v>
      </c>
      <c r="N4865" t="s">
        <v>685</v>
      </c>
      <c r="O4865" t="s">
        <v>424</v>
      </c>
    </row>
    <row r="4866" spans="1:15" x14ac:dyDescent="0.3">
      <c r="A4866" t="s">
        <v>49</v>
      </c>
      <c r="B4866" t="s">
        <v>389</v>
      </c>
      <c r="C4866">
        <v>8499</v>
      </c>
      <c r="D4866" t="s">
        <v>242</v>
      </c>
      <c r="E4866" t="s">
        <v>412</v>
      </c>
      <c r="F4866" t="s">
        <v>151</v>
      </c>
      <c r="G4866" t="s">
        <v>110</v>
      </c>
      <c r="H4866" t="s">
        <v>157</v>
      </c>
      <c r="I4866" t="s">
        <v>123</v>
      </c>
      <c r="J4866" t="s">
        <v>244</v>
      </c>
      <c r="K4866" t="s">
        <v>420</v>
      </c>
      <c r="L4866" t="s">
        <v>138</v>
      </c>
      <c r="M4866" t="s">
        <v>474</v>
      </c>
      <c r="N4866" t="s">
        <v>125</v>
      </c>
      <c r="O4866" t="s">
        <v>535</v>
      </c>
    </row>
    <row r="4867" spans="1:15" x14ac:dyDescent="0.3">
      <c r="A4867" t="s">
        <v>49</v>
      </c>
      <c r="B4867" t="s">
        <v>390</v>
      </c>
      <c r="C4867">
        <v>4134</v>
      </c>
      <c r="D4867" t="s">
        <v>110</v>
      </c>
      <c r="E4867" t="s">
        <v>268</v>
      </c>
      <c r="F4867" t="s">
        <v>100</v>
      </c>
      <c r="G4867" t="s">
        <v>155</v>
      </c>
      <c r="H4867" t="s">
        <v>128</v>
      </c>
      <c r="I4867" t="s">
        <v>121</v>
      </c>
      <c r="J4867" t="s">
        <v>251</v>
      </c>
      <c r="K4867" t="s">
        <v>145</v>
      </c>
      <c r="L4867" t="s">
        <v>332</v>
      </c>
      <c r="M4867" t="s">
        <v>316</v>
      </c>
      <c r="N4867" t="s">
        <v>143</v>
      </c>
      <c r="O4867" t="s">
        <v>1226</v>
      </c>
    </row>
    <row r="4868" spans="1:15" x14ac:dyDescent="0.3">
      <c r="A4868" t="s">
        <v>49</v>
      </c>
      <c r="B4868" t="s">
        <v>365</v>
      </c>
      <c r="C4868">
        <v>689</v>
      </c>
      <c r="D4868" t="s">
        <v>128</v>
      </c>
      <c r="E4868" t="s">
        <v>147</v>
      </c>
      <c r="F4868" t="s">
        <v>319</v>
      </c>
      <c r="G4868" t="s">
        <v>101</v>
      </c>
      <c r="H4868" t="s">
        <v>207</v>
      </c>
      <c r="I4868" t="s">
        <v>132</v>
      </c>
      <c r="J4868" t="s">
        <v>144</v>
      </c>
      <c r="K4868" t="s">
        <v>157</v>
      </c>
      <c r="L4868" t="s">
        <v>118</v>
      </c>
      <c r="M4868" t="s">
        <v>292</v>
      </c>
      <c r="N4868" t="s">
        <v>248</v>
      </c>
      <c r="O4868" t="s">
        <v>187</v>
      </c>
    </row>
    <row r="4870" spans="1:15" x14ac:dyDescent="0.3">
      <c r="A4870" t="s">
        <v>1621</v>
      </c>
    </row>
    <row r="4871" spans="1:15" x14ac:dyDescent="0.3">
      <c r="A4871" t="s">
        <v>44</v>
      </c>
      <c r="B4871" t="s">
        <v>235</v>
      </c>
      <c r="C4871" t="s">
        <v>32</v>
      </c>
      <c r="D4871" t="s">
        <v>1607</v>
      </c>
      <c r="E4871" t="s">
        <v>1608</v>
      </c>
      <c r="F4871" t="s">
        <v>1609</v>
      </c>
      <c r="G4871" t="s">
        <v>1610</v>
      </c>
      <c r="H4871" t="s">
        <v>1611</v>
      </c>
      <c r="I4871" t="s">
        <v>1612</v>
      </c>
      <c r="J4871" t="s">
        <v>1613</v>
      </c>
      <c r="K4871" t="s">
        <v>1614</v>
      </c>
      <c r="L4871" t="s">
        <v>1615</v>
      </c>
      <c r="M4871" t="s">
        <v>1616</v>
      </c>
      <c r="N4871" t="s">
        <v>1617</v>
      </c>
      <c r="O4871" t="s">
        <v>1618</v>
      </c>
    </row>
    <row r="4872" spans="1:15" x14ac:dyDescent="0.3">
      <c r="A4872" t="s">
        <v>35</v>
      </c>
      <c r="B4872" t="s">
        <v>236</v>
      </c>
      <c r="C4872">
        <v>1610</v>
      </c>
      <c r="D4872" t="s">
        <v>138</v>
      </c>
      <c r="E4872" t="s">
        <v>292</v>
      </c>
      <c r="F4872" t="s">
        <v>126</v>
      </c>
      <c r="G4872" t="s">
        <v>268</v>
      </c>
      <c r="H4872" t="s">
        <v>123</v>
      </c>
      <c r="I4872" t="s">
        <v>108</v>
      </c>
      <c r="J4872" t="s">
        <v>171</v>
      </c>
      <c r="K4872" t="s">
        <v>98</v>
      </c>
      <c r="L4872" t="s">
        <v>151</v>
      </c>
      <c r="M4872" t="s">
        <v>382</v>
      </c>
      <c r="N4872" t="s">
        <v>158</v>
      </c>
      <c r="O4872" t="s">
        <v>543</v>
      </c>
    </row>
    <row r="4873" spans="1:15" x14ac:dyDescent="0.3">
      <c r="A4873" t="s">
        <v>35</v>
      </c>
      <c r="B4873" t="s">
        <v>238</v>
      </c>
      <c r="C4873">
        <v>1535</v>
      </c>
      <c r="D4873" t="s">
        <v>149</v>
      </c>
      <c r="E4873" t="s">
        <v>468</v>
      </c>
      <c r="F4873" t="s">
        <v>151</v>
      </c>
      <c r="G4873" t="s">
        <v>143</v>
      </c>
      <c r="H4873" t="s">
        <v>139</v>
      </c>
      <c r="I4873" t="s">
        <v>316</v>
      </c>
      <c r="J4873" t="s">
        <v>680</v>
      </c>
      <c r="K4873" t="s">
        <v>296</v>
      </c>
      <c r="L4873" t="s">
        <v>138</v>
      </c>
      <c r="M4873" t="s">
        <v>160</v>
      </c>
      <c r="N4873" t="s">
        <v>122</v>
      </c>
      <c r="O4873" t="s">
        <v>901</v>
      </c>
    </row>
    <row r="4874" spans="1:15" x14ac:dyDescent="0.3">
      <c r="A4874" t="s">
        <v>37</v>
      </c>
      <c r="B4874" t="s">
        <v>236</v>
      </c>
      <c r="C4874">
        <v>2211</v>
      </c>
      <c r="D4874" t="s">
        <v>277</v>
      </c>
      <c r="E4874" t="s">
        <v>434</v>
      </c>
      <c r="F4874" t="s">
        <v>121</v>
      </c>
      <c r="G4874" t="s">
        <v>138</v>
      </c>
      <c r="H4874" t="s">
        <v>157</v>
      </c>
      <c r="I4874" t="s">
        <v>111</v>
      </c>
      <c r="J4874" t="s">
        <v>267</v>
      </c>
      <c r="K4874" t="s">
        <v>72</v>
      </c>
      <c r="L4874" t="s">
        <v>215</v>
      </c>
      <c r="M4874" t="s">
        <v>268</v>
      </c>
      <c r="N4874" t="s">
        <v>157</v>
      </c>
      <c r="O4874" t="s">
        <v>1253</v>
      </c>
    </row>
    <row r="4875" spans="1:15" x14ac:dyDescent="0.3">
      <c r="A4875" t="s">
        <v>37</v>
      </c>
      <c r="B4875" t="s">
        <v>238</v>
      </c>
      <c r="C4875">
        <v>1644</v>
      </c>
      <c r="D4875" t="s">
        <v>117</v>
      </c>
      <c r="E4875" t="s">
        <v>134</v>
      </c>
      <c r="F4875" t="s">
        <v>101</v>
      </c>
      <c r="G4875" t="s">
        <v>111</v>
      </c>
      <c r="H4875" t="s">
        <v>215</v>
      </c>
      <c r="I4875" t="s">
        <v>132</v>
      </c>
      <c r="J4875" t="s">
        <v>722</v>
      </c>
      <c r="K4875" t="s">
        <v>158</v>
      </c>
      <c r="L4875" t="s">
        <v>115</v>
      </c>
      <c r="M4875" t="s">
        <v>382</v>
      </c>
      <c r="N4875" t="s">
        <v>105</v>
      </c>
      <c r="O4875" t="s">
        <v>450</v>
      </c>
    </row>
    <row r="4876" spans="1:15" x14ac:dyDescent="0.3">
      <c r="A4876" t="s">
        <v>36</v>
      </c>
      <c r="B4876" t="s">
        <v>236</v>
      </c>
      <c r="C4876">
        <v>1566</v>
      </c>
      <c r="D4876" t="s">
        <v>133</v>
      </c>
      <c r="E4876" t="s">
        <v>160</v>
      </c>
      <c r="F4876" t="s">
        <v>111</v>
      </c>
      <c r="G4876" t="s">
        <v>675</v>
      </c>
      <c r="H4876" t="s">
        <v>98</v>
      </c>
      <c r="I4876" t="s">
        <v>382</v>
      </c>
      <c r="J4876" t="s">
        <v>683</v>
      </c>
      <c r="K4876" t="s">
        <v>218</v>
      </c>
      <c r="L4876" t="s">
        <v>142</v>
      </c>
      <c r="M4876" t="s">
        <v>184</v>
      </c>
      <c r="N4876" t="s">
        <v>672</v>
      </c>
      <c r="O4876" t="s">
        <v>306</v>
      </c>
    </row>
    <row r="4877" spans="1:15" x14ac:dyDescent="0.3">
      <c r="A4877" t="s">
        <v>36</v>
      </c>
      <c r="B4877" t="s">
        <v>238</v>
      </c>
      <c r="C4877">
        <v>739</v>
      </c>
      <c r="D4877" t="s">
        <v>143</v>
      </c>
      <c r="E4877" t="s">
        <v>712</v>
      </c>
      <c r="F4877" t="s">
        <v>157</v>
      </c>
      <c r="G4877" t="s">
        <v>684</v>
      </c>
      <c r="H4877" t="s">
        <v>154</v>
      </c>
      <c r="I4877" t="s">
        <v>108</v>
      </c>
      <c r="J4877" t="s">
        <v>737</v>
      </c>
      <c r="K4877" t="s">
        <v>679</v>
      </c>
      <c r="L4877" t="s">
        <v>332</v>
      </c>
      <c r="M4877" t="s">
        <v>103</v>
      </c>
      <c r="N4877" t="s">
        <v>255</v>
      </c>
      <c r="O4877" t="s">
        <v>1050</v>
      </c>
    </row>
    <row r="4878" spans="1:15" x14ac:dyDescent="0.3">
      <c r="A4878" t="s">
        <v>34</v>
      </c>
      <c r="B4878" t="s">
        <v>236</v>
      </c>
      <c r="C4878">
        <v>717</v>
      </c>
      <c r="D4878" t="s">
        <v>474</v>
      </c>
      <c r="E4878" t="s">
        <v>664</v>
      </c>
      <c r="F4878" t="s">
        <v>127</v>
      </c>
      <c r="G4878" t="s">
        <v>319</v>
      </c>
      <c r="H4878" t="s">
        <v>319</v>
      </c>
      <c r="I4878" t="s">
        <v>316</v>
      </c>
      <c r="J4878" t="s">
        <v>463</v>
      </c>
      <c r="K4878" t="s">
        <v>133</v>
      </c>
      <c r="L4878" t="s">
        <v>103</v>
      </c>
      <c r="M4878" t="s">
        <v>130</v>
      </c>
      <c r="N4878" t="s">
        <v>291</v>
      </c>
      <c r="O4878" t="s">
        <v>223</v>
      </c>
    </row>
    <row r="4879" spans="1:15" x14ac:dyDescent="0.3">
      <c r="A4879" t="s">
        <v>34</v>
      </c>
      <c r="B4879" t="s">
        <v>238</v>
      </c>
      <c r="C4879">
        <v>1363</v>
      </c>
      <c r="D4879" t="s">
        <v>149</v>
      </c>
      <c r="E4879" t="s">
        <v>149</v>
      </c>
      <c r="F4879" t="s">
        <v>151</v>
      </c>
      <c r="G4879" t="s">
        <v>332</v>
      </c>
      <c r="H4879" t="s">
        <v>117</v>
      </c>
      <c r="I4879" t="s">
        <v>126</v>
      </c>
      <c r="J4879" t="s">
        <v>76</v>
      </c>
      <c r="K4879" t="s">
        <v>78</v>
      </c>
      <c r="L4879" t="s">
        <v>122</v>
      </c>
      <c r="M4879" t="s">
        <v>68</v>
      </c>
      <c r="N4879" t="s">
        <v>173</v>
      </c>
      <c r="O4879" t="s">
        <v>1470</v>
      </c>
    </row>
    <row r="4880" spans="1:15" x14ac:dyDescent="0.3">
      <c r="A4880" t="s">
        <v>33</v>
      </c>
      <c r="B4880" t="s">
        <v>236</v>
      </c>
      <c r="C4880">
        <v>1116</v>
      </c>
      <c r="D4880" t="s">
        <v>712</v>
      </c>
      <c r="E4880" t="s">
        <v>101</v>
      </c>
      <c r="F4880" t="s">
        <v>382</v>
      </c>
      <c r="G4880" t="s">
        <v>117</v>
      </c>
      <c r="H4880" t="s">
        <v>382</v>
      </c>
      <c r="I4880" t="s">
        <v>108</v>
      </c>
      <c r="J4880" t="s">
        <v>142</v>
      </c>
      <c r="K4880" t="s">
        <v>135</v>
      </c>
      <c r="L4880" t="s">
        <v>98</v>
      </c>
      <c r="M4880" t="s">
        <v>128</v>
      </c>
      <c r="N4880" t="s">
        <v>679</v>
      </c>
      <c r="O4880" t="s">
        <v>500</v>
      </c>
    </row>
    <row r="4881" spans="1:15" x14ac:dyDescent="0.3">
      <c r="A4881" t="s">
        <v>33</v>
      </c>
      <c r="B4881" t="s">
        <v>238</v>
      </c>
      <c r="C4881">
        <v>821</v>
      </c>
      <c r="D4881" t="s">
        <v>147</v>
      </c>
      <c r="E4881" t="s">
        <v>141</v>
      </c>
      <c r="F4881" t="s">
        <v>101</v>
      </c>
      <c r="G4881" t="s">
        <v>382</v>
      </c>
      <c r="H4881" t="s">
        <v>121</v>
      </c>
      <c r="I4881" t="s">
        <v>141</v>
      </c>
      <c r="J4881" t="s">
        <v>277</v>
      </c>
      <c r="K4881" t="s">
        <v>434</v>
      </c>
      <c r="L4881" t="s">
        <v>126</v>
      </c>
      <c r="M4881" t="s">
        <v>121</v>
      </c>
      <c r="N4881" t="s">
        <v>671</v>
      </c>
      <c r="O4881" t="s">
        <v>885</v>
      </c>
    </row>
    <row r="4882" spans="1:15" x14ac:dyDescent="0.3">
      <c r="A4882" t="s">
        <v>49</v>
      </c>
      <c r="B4882" t="s">
        <v>236</v>
      </c>
      <c r="C4882">
        <v>7220</v>
      </c>
      <c r="D4882" t="s">
        <v>242</v>
      </c>
      <c r="E4882" t="s">
        <v>110</v>
      </c>
      <c r="F4882" t="s">
        <v>126</v>
      </c>
      <c r="G4882" t="s">
        <v>107</v>
      </c>
      <c r="H4882" t="s">
        <v>316</v>
      </c>
      <c r="I4882" t="s">
        <v>215</v>
      </c>
      <c r="J4882" t="s">
        <v>267</v>
      </c>
      <c r="K4882" t="s">
        <v>401</v>
      </c>
      <c r="L4882" t="s">
        <v>138</v>
      </c>
      <c r="M4882" t="s">
        <v>147</v>
      </c>
      <c r="N4882" t="s">
        <v>254</v>
      </c>
      <c r="O4882" t="s">
        <v>196</v>
      </c>
    </row>
    <row r="4883" spans="1:15" x14ac:dyDescent="0.3">
      <c r="A4883" t="s">
        <v>49</v>
      </c>
      <c r="B4883" t="s">
        <v>238</v>
      </c>
      <c r="C4883">
        <v>6102</v>
      </c>
      <c r="D4883" t="s">
        <v>130</v>
      </c>
      <c r="E4883" t="s">
        <v>434</v>
      </c>
      <c r="F4883" t="s">
        <v>123</v>
      </c>
      <c r="G4883" t="s">
        <v>130</v>
      </c>
      <c r="H4883" t="s">
        <v>107</v>
      </c>
      <c r="I4883" t="s">
        <v>126</v>
      </c>
      <c r="J4883" t="s">
        <v>311</v>
      </c>
      <c r="K4883" t="s">
        <v>160</v>
      </c>
      <c r="L4883" t="s">
        <v>155</v>
      </c>
      <c r="M4883" t="s">
        <v>712</v>
      </c>
      <c r="N4883" t="s">
        <v>671</v>
      </c>
      <c r="O4883" t="s">
        <v>1079</v>
      </c>
    </row>
    <row r="4885" spans="1:15" x14ac:dyDescent="0.3">
      <c r="A4885" t="s">
        <v>1622</v>
      </c>
    </row>
    <row r="4886" spans="1:15" x14ac:dyDescent="0.3">
      <c r="A4886" t="s">
        <v>44</v>
      </c>
      <c r="B4886" t="s">
        <v>1335</v>
      </c>
      <c r="C4886" t="s">
        <v>32</v>
      </c>
      <c r="D4886" t="s">
        <v>1607</v>
      </c>
      <c r="E4886" t="s">
        <v>1608</v>
      </c>
      <c r="F4886" t="s">
        <v>1609</v>
      </c>
      <c r="G4886" t="s">
        <v>1610</v>
      </c>
      <c r="H4886" t="s">
        <v>1611</v>
      </c>
      <c r="I4886" t="s">
        <v>1612</v>
      </c>
      <c r="J4886" t="s">
        <v>1613</v>
      </c>
      <c r="K4886" t="s">
        <v>1614</v>
      </c>
      <c r="L4886" t="s">
        <v>1615</v>
      </c>
      <c r="M4886" t="s">
        <v>1616</v>
      </c>
      <c r="N4886" t="s">
        <v>1617</v>
      </c>
      <c r="O4886" t="s">
        <v>1618</v>
      </c>
    </row>
    <row r="4887" spans="1:15" x14ac:dyDescent="0.3">
      <c r="A4887" t="s">
        <v>35</v>
      </c>
      <c r="B4887" t="s">
        <v>1336</v>
      </c>
      <c r="C4887">
        <v>2094</v>
      </c>
      <c r="D4887" t="s">
        <v>138</v>
      </c>
      <c r="E4887" t="s">
        <v>474</v>
      </c>
      <c r="F4887" t="s">
        <v>292</v>
      </c>
      <c r="G4887" t="s">
        <v>155</v>
      </c>
      <c r="H4887" t="s">
        <v>128</v>
      </c>
      <c r="I4887" t="s">
        <v>103</v>
      </c>
      <c r="J4887" t="s">
        <v>420</v>
      </c>
      <c r="K4887" t="s">
        <v>468</v>
      </c>
      <c r="L4887" t="s">
        <v>268</v>
      </c>
      <c r="M4887" t="s">
        <v>434</v>
      </c>
      <c r="N4887" t="s">
        <v>135</v>
      </c>
      <c r="O4887" t="s">
        <v>991</v>
      </c>
    </row>
    <row r="4888" spans="1:15" x14ac:dyDescent="0.3">
      <c r="A4888" t="s">
        <v>35</v>
      </c>
      <c r="B4888" t="s">
        <v>1338</v>
      </c>
      <c r="C4888">
        <v>246</v>
      </c>
      <c r="D4888" t="s">
        <v>112</v>
      </c>
      <c r="E4888" t="s">
        <v>72</v>
      </c>
      <c r="F4888" t="s">
        <v>130</v>
      </c>
      <c r="G4888" t="s">
        <v>134</v>
      </c>
      <c r="H4888" t="s">
        <v>382</v>
      </c>
      <c r="I4888" t="s">
        <v>120</v>
      </c>
      <c r="J4888" t="s">
        <v>165</v>
      </c>
      <c r="K4888" t="s">
        <v>233</v>
      </c>
      <c r="L4888" t="s">
        <v>316</v>
      </c>
      <c r="M4888" t="s">
        <v>292</v>
      </c>
      <c r="N4888" t="s">
        <v>461</v>
      </c>
      <c r="O4888" t="s">
        <v>1054</v>
      </c>
    </row>
    <row r="4889" spans="1:15" x14ac:dyDescent="0.3">
      <c r="A4889" t="s">
        <v>35</v>
      </c>
      <c r="B4889" t="s">
        <v>1339</v>
      </c>
      <c r="C4889">
        <v>805</v>
      </c>
      <c r="D4889" t="s">
        <v>135</v>
      </c>
      <c r="E4889" t="s">
        <v>110</v>
      </c>
      <c r="F4889" t="s">
        <v>132</v>
      </c>
      <c r="G4889" t="s">
        <v>671</v>
      </c>
      <c r="H4889" t="s">
        <v>150</v>
      </c>
      <c r="I4889" t="s">
        <v>108</v>
      </c>
      <c r="J4889" t="s">
        <v>523</v>
      </c>
      <c r="K4889" t="s">
        <v>708</v>
      </c>
      <c r="L4889" t="s">
        <v>474</v>
      </c>
      <c r="M4889" t="s">
        <v>133</v>
      </c>
      <c r="N4889" t="s">
        <v>675</v>
      </c>
      <c r="O4889" t="s">
        <v>1325</v>
      </c>
    </row>
    <row r="4890" spans="1:15" x14ac:dyDescent="0.3">
      <c r="A4890" t="s">
        <v>37</v>
      </c>
      <c r="B4890" t="s">
        <v>1336</v>
      </c>
      <c r="C4890">
        <v>2494</v>
      </c>
      <c r="D4890" t="s">
        <v>107</v>
      </c>
      <c r="E4890" t="s">
        <v>129</v>
      </c>
      <c r="F4890" t="s">
        <v>114</v>
      </c>
      <c r="G4890" t="s">
        <v>111</v>
      </c>
      <c r="H4890" t="s">
        <v>123</v>
      </c>
      <c r="I4890" t="s">
        <v>127</v>
      </c>
      <c r="J4890" t="s">
        <v>405</v>
      </c>
      <c r="K4890" t="s">
        <v>325</v>
      </c>
      <c r="L4890" t="s">
        <v>100</v>
      </c>
      <c r="M4890" t="s">
        <v>319</v>
      </c>
      <c r="N4890" t="s">
        <v>316</v>
      </c>
      <c r="O4890" t="s">
        <v>450</v>
      </c>
    </row>
    <row r="4891" spans="1:15" x14ac:dyDescent="0.3">
      <c r="A4891" t="s">
        <v>37</v>
      </c>
      <c r="B4891" t="s">
        <v>1338</v>
      </c>
      <c r="C4891">
        <v>433</v>
      </c>
      <c r="D4891" t="s">
        <v>468</v>
      </c>
      <c r="E4891" t="s">
        <v>144</v>
      </c>
      <c r="F4891" t="s">
        <v>684</v>
      </c>
      <c r="G4891" t="s">
        <v>98</v>
      </c>
      <c r="H4891" t="s">
        <v>158</v>
      </c>
      <c r="I4891" t="s">
        <v>100</v>
      </c>
      <c r="J4891" t="s">
        <v>171</v>
      </c>
      <c r="K4891" t="s">
        <v>150</v>
      </c>
      <c r="L4891" t="s">
        <v>253</v>
      </c>
      <c r="M4891" t="s">
        <v>382</v>
      </c>
      <c r="N4891" t="s">
        <v>316</v>
      </c>
      <c r="O4891" t="s">
        <v>537</v>
      </c>
    </row>
    <row r="4892" spans="1:15" x14ac:dyDescent="0.3">
      <c r="A4892" t="s">
        <v>37</v>
      </c>
      <c r="B4892" t="s">
        <v>1339</v>
      </c>
      <c r="C4892">
        <v>928</v>
      </c>
      <c r="D4892" t="s">
        <v>328</v>
      </c>
      <c r="E4892" t="s">
        <v>107</v>
      </c>
      <c r="F4892" t="s">
        <v>104</v>
      </c>
      <c r="G4892" t="s">
        <v>155</v>
      </c>
      <c r="H4892" t="s">
        <v>107</v>
      </c>
      <c r="I4892" t="s">
        <v>126</v>
      </c>
      <c r="J4892" t="s">
        <v>811</v>
      </c>
      <c r="K4892" t="s">
        <v>163</v>
      </c>
      <c r="L4892" t="s">
        <v>292</v>
      </c>
      <c r="M4892" t="s">
        <v>154</v>
      </c>
      <c r="N4892" t="s">
        <v>139</v>
      </c>
      <c r="O4892" t="s">
        <v>530</v>
      </c>
    </row>
    <row r="4893" spans="1:15" x14ac:dyDescent="0.3">
      <c r="A4893" t="s">
        <v>36</v>
      </c>
      <c r="B4893" t="s">
        <v>1336</v>
      </c>
      <c r="C4893">
        <v>1515</v>
      </c>
      <c r="D4893" t="s">
        <v>158</v>
      </c>
      <c r="E4893" t="s">
        <v>277</v>
      </c>
      <c r="F4893" t="s">
        <v>138</v>
      </c>
      <c r="G4893" t="s">
        <v>134</v>
      </c>
      <c r="H4893" t="s">
        <v>147</v>
      </c>
      <c r="I4893" t="s">
        <v>114</v>
      </c>
      <c r="J4893" t="s">
        <v>76</v>
      </c>
      <c r="K4893" t="s">
        <v>248</v>
      </c>
      <c r="L4893" t="s">
        <v>135</v>
      </c>
      <c r="M4893" t="s">
        <v>712</v>
      </c>
      <c r="N4893" t="s">
        <v>76</v>
      </c>
      <c r="O4893" t="s">
        <v>1075</v>
      </c>
    </row>
    <row r="4894" spans="1:15" x14ac:dyDescent="0.3">
      <c r="A4894" t="s">
        <v>36</v>
      </c>
      <c r="B4894" t="s">
        <v>1338</v>
      </c>
      <c r="C4894">
        <v>235</v>
      </c>
      <c r="D4894" t="s">
        <v>165</v>
      </c>
      <c r="E4894" t="s">
        <v>163</v>
      </c>
      <c r="F4894" t="s">
        <v>112</v>
      </c>
      <c r="G4894" t="s">
        <v>248</v>
      </c>
      <c r="H4894" t="s">
        <v>675</v>
      </c>
      <c r="I4894" t="s">
        <v>151</v>
      </c>
      <c r="J4894" t="s">
        <v>749</v>
      </c>
      <c r="K4894" t="s">
        <v>737</v>
      </c>
      <c r="L4894" t="s">
        <v>128</v>
      </c>
      <c r="M4894" t="s">
        <v>68</v>
      </c>
      <c r="N4894" t="s">
        <v>465</v>
      </c>
      <c r="O4894" t="s">
        <v>1056</v>
      </c>
    </row>
    <row r="4895" spans="1:15" x14ac:dyDescent="0.3">
      <c r="A4895" t="s">
        <v>36</v>
      </c>
      <c r="B4895" t="s">
        <v>1339</v>
      </c>
      <c r="C4895">
        <v>555</v>
      </c>
      <c r="D4895" t="s">
        <v>416</v>
      </c>
      <c r="E4895" t="s">
        <v>434</v>
      </c>
      <c r="F4895" t="s">
        <v>253</v>
      </c>
      <c r="G4895" t="s">
        <v>379</v>
      </c>
      <c r="H4895" t="s">
        <v>122</v>
      </c>
      <c r="I4895" t="s">
        <v>319</v>
      </c>
      <c r="J4895" t="s">
        <v>689</v>
      </c>
      <c r="K4895" t="s">
        <v>244</v>
      </c>
      <c r="L4895" t="s">
        <v>98</v>
      </c>
      <c r="M4895" t="s">
        <v>412</v>
      </c>
      <c r="N4895" t="s">
        <v>393</v>
      </c>
      <c r="O4895" t="s">
        <v>581</v>
      </c>
    </row>
    <row r="4896" spans="1:15" x14ac:dyDescent="0.3">
      <c r="A4896" t="s">
        <v>34</v>
      </c>
      <c r="B4896" t="s">
        <v>1336</v>
      </c>
      <c r="C4896">
        <v>1346</v>
      </c>
      <c r="D4896" t="s">
        <v>139</v>
      </c>
      <c r="E4896" t="s">
        <v>328</v>
      </c>
      <c r="F4896" t="s">
        <v>382</v>
      </c>
      <c r="G4896" t="s">
        <v>120</v>
      </c>
      <c r="H4896" t="s">
        <v>127</v>
      </c>
      <c r="I4896" t="s">
        <v>117</v>
      </c>
      <c r="J4896" t="s">
        <v>685</v>
      </c>
      <c r="K4896" t="s">
        <v>353</v>
      </c>
      <c r="L4896" t="s">
        <v>254</v>
      </c>
      <c r="M4896" t="s">
        <v>412</v>
      </c>
      <c r="N4896" t="s">
        <v>704</v>
      </c>
      <c r="O4896" t="s">
        <v>63</v>
      </c>
    </row>
    <row r="4897" spans="1:15" x14ac:dyDescent="0.3">
      <c r="A4897" t="s">
        <v>34</v>
      </c>
      <c r="B4897" t="s">
        <v>1338</v>
      </c>
      <c r="C4897">
        <v>134</v>
      </c>
      <c r="D4897" t="s">
        <v>311</v>
      </c>
      <c r="E4897" t="s">
        <v>355</v>
      </c>
      <c r="F4897" t="s">
        <v>449</v>
      </c>
      <c r="G4897" t="s">
        <v>118</v>
      </c>
      <c r="H4897" t="s">
        <v>111</v>
      </c>
      <c r="I4897" t="s">
        <v>136</v>
      </c>
      <c r="J4897" t="s">
        <v>868</v>
      </c>
      <c r="K4897" t="s">
        <v>701</v>
      </c>
      <c r="L4897" t="s">
        <v>671</v>
      </c>
      <c r="M4897" t="s">
        <v>160</v>
      </c>
      <c r="N4897" t="s">
        <v>491</v>
      </c>
      <c r="O4897" t="s">
        <v>1497</v>
      </c>
    </row>
    <row r="4898" spans="1:15" x14ac:dyDescent="0.3">
      <c r="A4898" t="s">
        <v>34</v>
      </c>
      <c r="B4898" t="s">
        <v>1339</v>
      </c>
      <c r="C4898">
        <v>600</v>
      </c>
      <c r="D4898" t="s">
        <v>147</v>
      </c>
      <c r="E4898" t="s">
        <v>316</v>
      </c>
      <c r="F4898" t="s">
        <v>99</v>
      </c>
      <c r="G4898" t="s">
        <v>120</v>
      </c>
      <c r="H4898" t="s">
        <v>128</v>
      </c>
      <c r="I4898" t="s">
        <v>132</v>
      </c>
      <c r="J4898" t="s">
        <v>357</v>
      </c>
      <c r="K4898" t="s">
        <v>135</v>
      </c>
      <c r="L4898" t="s">
        <v>332</v>
      </c>
      <c r="M4898" t="s">
        <v>120</v>
      </c>
      <c r="N4898" t="s">
        <v>251</v>
      </c>
      <c r="O4898" t="s">
        <v>541</v>
      </c>
    </row>
    <row r="4899" spans="1:15" x14ac:dyDescent="0.3">
      <c r="A4899" t="s">
        <v>33</v>
      </c>
      <c r="B4899" t="s">
        <v>1336</v>
      </c>
      <c r="C4899">
        <v>1392</v>
      </c>
      <c r="D4899" t="s">
        <v>107</v>
      </c>
      <c r="E4899" t="s">
        <v>115</v>
      </c>
      <c r="F4899" t="s">
        <v>100</v>
      </c>
      <c r="G4899" t="s">
        <v>215</v>
      </c>
      <c r="H4899" t="s">
        <v>100</v>
      </c>
      <c r="I4899" t="s">
        <v>253</v>
      </c>
      <c r="J4899" t="s">
        <v>254</v>
      </c>
      <c r="K4899" t="s">
        <v>242</v>
      </c>
      <c r="L4899" t="s">
        <v>332</v>
      </c>
      <c r="M4899" t="s">
        <v>292</v>
      </c>
      <c r="N4899" t="s">
        <v>72</v>
      </c>
      <c r="O4899" t="s">
        <v>374</v>
      </c>
    </row>
    <row r="4900" spans="1:15" x14ac:dyDescent="0.3">
      <c r="A4900" t="s">
        <v>33</v>
      </c>
      <c r="B4900" t="s">
        <v>1338</v>
      </c>
      <c r="C4900">
        <v>88</v>
      </c>
      <c r="D4900" t="s">
        <v>158</v>
      </c>
      <c r="E4900" t="s">
        <v>328</v>
      </c>
      <c r="F4900" t="s">
        <v>318</v>
      </c>
      <c r="G4900" t="s">
        <v>68</v>
      </c>
      <c r="H4900" t="s">
        <v>134</v>
      </c>
      <c r="I4900" t="s">
        <v>154</v>
      </c>
      <c r="J4900" t="s">
        <v>201</v>
      </c>
      <c r="K4900" t="s">
        <v>722</v>
      </c>
      <c r="L4900" t="s">
        <v>325</v>
      </c>
      <c r="M4900" t="s">
        <v>121</v>
      </c>
      <c r="N4900" t="s">
        <v>175</v>
      </c>
      <c r="O4900" t="s">
        <v>1119</v>
      </c>
    </row>
    <row r="4901" spans="1:15" x14ac:dyDescent="0.3">
      <c r="A4901" t="s">
        <v>33</v>
      </c>
      <c r="B4901" t="s">
        <v>1339</v>
      </c>
      <c r="C4901">
        <v>457</v>
      </c>
      <c r="D4901" t="s">
        <v>277</v>
      </c>
      <c r="E4901" t="s">
        <v>253</v>
      </c>
      <c r="F4901" t="s">
        <v>99</v>
      </c>
      <c r="G4901" t="s">
        <v>117</v>
      </c>
      <c r="H4901" t="s">
        <v>151</v>
      </c>
      <c r="I4901" t="s">
        <v>136</v>
      </c>
      <c r="J4901" t="s">
        <v>305</v>
      </c>
      <c r="K4901" t="s">
        <v>145</v>
      </c>
      <c r="L4901" t="s">
        <v>147</v>
      </c>
      <c r="M4901" t="s">
        <v>215</v>
      </c>
      <c r="N4901" t="s">
        <v>145</v>
      </c>
      <c r="O4901" t="s">
        <v>230</v>
      </c>
    </row>
    <row r="4902" spans="1:15" x14ac:dyDescent="0.3">
      <c r="A4902" t="s">
        <v>49</v>
      </c>
      <c r="B4902" t="s">
        <v>1336</v>
      </c>
      <c r="C4902">
        <v>8841</v>
      </c>
      <c r="D4902" t="s">
        <v>154</v>
      </c>
      <c r="E4902" t="s">
        <v>129</v>
      </c>
      <c r="F4902" t="s">
        <v>215</v>
      </c>
      <c r="G4902" t="s">
        <v>128</v>
      </c>
      <c r="H4902" t="s">
        <v>292</v>
      </c>
      <c r="I4902" t="s">
        <v>127</v>
      </c>
      <c r="J4902" t="s">
        <v>251</v>
      </c>
      <c r="K4902" t="s">
        <v>74</v>
      </c>
      <c r="L4902" t="s">
        <v>138</v>
      </c>
      <c r="M4902" t="s">
        <v>138</v>
      </c>
      <c r="N4902" t="s">
        <v>299</v>
      </c>
      <c r="O4902" t="s">
        <v>774</v>
      </c>
    </row>
    <row r="4903" spans="1:15" x14ac:dyDescent="0.3">
      <c r="A4903" t="s">
        <v>49</v>
      </c>
      <c r="B4903" t="s">
        <v>1338</v>
      </c>
      <c r="C4903">
        <v>1136</v>
      </c>
      <c r="D4903" t="s">
        <v>152</v>
      </c>
      <c r="E4903" t="s">
        <v>305</v>
      </c>
      <c r="F4903" t="s">
        <v>152</v>
      </c>
      <c r="G4903" t="s">
        <v>412</v>
      </c>
      <c r="H4903" t="s">
        <v>110</v>
      </c>
      <c r="I4903" t="s">
        <v>215</v>
      </c>
      <c r="J4903" t="s">
        <v>798</v>
      </c>
      <c r="K4903" t="s">
        <v>369</v>
      </c>
      <c r="L4903" t="s">
        <v>138</v>
      </c>
      <c r="M4903" t="s">
        <v>107</v>
      </c>
      <c r="N4903" t="s">
        <v>671</v>
      </c>
      <c r="O4903" t="s">
        <v>53</v>
      </c>
    </row>
    <row r="4904" spans="1:15" x14ac:dyDescent="0.3">
      <c r="A4904" t="s">
        <v>49</v>
      </c>
      <c r="B4904" t="s">
        <v>1339</v>
      </c>
      <c r="C4904">
        <v>3345</v>
      </c>
      <c r="D4904" t="s">
        <v>204</v>
      </c>
      <c r="E4904" t="s">
        <v>107</v>
      </c>
      <c r="F4904" t="s">
        <v>207</v>
      </c>
      <c r="G4904" t="s">
        <v>468</v>
      </c>
      <c r="H4904" t="s">
        <v>474</v>
      </c>
      <c r="I4904" t="s">
        <v>114</v>
      </c>
      <c r="J4904" t="s">
        <v>739</v>
      </c>
      <c r="K4904" t="s">
        <v>379</v>
      </c>
      <c r="L4904" t="s">
        <v>332</v>
      </c>
      <c r="M4904" t="s">
        <v>277</v>
      </c>
      <c r="N4904" t="s">
        <v>679</v>
      </c>
      <c r="O4904" t="s">
        <v>775</v>
      </c>
    </row>
    <row r="4906" spans="1:15" x14ac:dyDescent="0.3">
      <c r="A4906" t="s">
        <v>1623</v>
      </c>
    </row>
    <row r="4907" spans="1:15" x14ac:dyDescent="0.3">
      <c r="A4907" t="s">
        <v>44</v>
      </c>
      <c r="B4907" t="s">
        <v>257</v>
      </c>
      <c r="C4907" t="s">
        <v>32</v>
      </c>
      <c r="D4907" t="s">
        <v>1607</v>
      </c>
      <c r="E4907" t="s">
        <v>1608</v>
      </c>
      <c r="F4907" t="s">
        <v>1609</v>
      </c>
      <c r="G4907" t="s">
        <v>1610</v>
      </c>
      <c r="H4907" t="s">
        <v>1611</v>
      </c>
      <c r="I4907" t="s">
        <v>1612</v>
      </c>
      <c r="J4907" t="s">
        <v>1613</v>
      </c>
      <c r="K4907" t="s">
        <v>1614</v>
      </c>
      <c r="L4907" t="s">
        <v>1615</v>
      </c>
      <c r="M4907" t="s">
        <v>1616</v>
      </c>
      <c r="N4907" t="s">
        <v>1617</v>
      </c>
      <c r="O4907" t="s">
        <v>1618</v>
      </c>
    </row>
    <row r="4908" spans="1:15" x14ac:dyDescent="0.3">
      <c r="A4908" t="s">
        <v>35</v>
      </c>
      <c r="B4908" t="s">
        <v>258</v>
      </c>
      <c r="C4908">
        <v>2873</v>
      </c>
      <c r="D4908" t="s">
        <v>434</v>
      </c>
      <c r="E4908" t="s">
        <v>139</v>
      </c>
      <c r="F4908" t="s">
        <v>151</v>
      </c>
      <c r="G4908" t="s">
        <v>277</v>
      </c>
      <c r="H4908" t="s">
        <v>110</v>
      </c>
      <c r="I4908" t="s">
        <v>151</v>
      </c>
      <c r="J4908" t="s">
        <v>163</v>
      </c>
      <c r="K4908" t="s">
        <v>248</v>
      </c>
      <c r="L4908" t="s">
        <v>147</v>
      </c>
      <c r="M4908" t="s">
        <v>204</v>
      </c>
      <c r="N4908" t="s">
        <v>145</v>
      </c>
      <c r="O4908" t="s">
        <v>968</v>
      </c>
    </row>
    <row r="4909" spans="1:15" x14ac:dyDescent="0.3">
      <c r="A4909" t="s">
        <v>35</v>
      </c>
      <c r="B4909" t="s">
        <v>260</v>
      </c>
      <c r="C4909">
        <v>272</v>
      </c>
      <c r="D4909" t="s">
        <v>124</v>
      </c>
      <c r="E4909" t="s">
        <v>712</v>
      </c>
      <c r="F4909" t="s">
        <v>121</v>
      </c>
      <c r="G4909" t="s">
        <v>129</v>
      </c>
      <c r="H4909" t="s">
        <v>128</v>
      </c>
      <c r="I4909" t="s">
        <v>117</v>
      </c>
      <c r="J4909" t="s">
        <v>201</v>
      </c>
      <c r="K4909" t="s">
        <v>78</v>
      </c>
      <c r="L4909" t="s">
        <v>157</v>
      </c>
      <c r="M4909" t="s">
        <v>117</v>
      </c>
      <c r="N4909" t="s">
        <v>262</v>
      </c>
      <c r="O4909" t="s">
        <v>869</v>
      </c>
    </row>
    <row r="4910" spans="1:15" x14ac:dyDescent="0.3">
      <c r="A4910" t="s">
        <v>37</v>
      </c>
      <c r="B4910" t="s">
        <v>258</v>
      </c>
      <c r="C4910">
        <v>3855</v>
      </c>
      <c r="D4910" t="s">
        <v>110</v>
      </c>
      <c r="E4910" t="s">
        <v>129</v>
      </c>
      <c r="F4910" t="s">
        <v>121</v>
      </c>
      <c r="G4910" t="s">
        <v>120</v>
      </c>
      <c r="H4910" t="s">
        <v>103</v>
      </c>
      <c r="I4910" t="s">
        <v>382</v>
      </c>
      <c r="J4910" t="s">
        <v>179</v>
      </c>
      <c r="K4910" t="s">
        <v>664</v>
      </c>
      <c r="L4910" t="s">
        <v>101</v>
      </c>
      <c r="M4910" t="s">
        <v>151</v>
      </c>
      <c r="N4910" t="s">
        <v>157</v>
      </c>
      <c r="O4910" t="s">
        <v>1137</v>
      </c>
    </row>
    <row r="4911" spans="1:15" x14ac:dyDescent="0.3">
      <c r="A4911" t="s">
        <v>36</v>
      </c>
      <c r="B4911" t="s">
        <v>258</v>
      </c>
      <c r="C4911">
        <v>2100</v>
      </c>
      <c r="D4911" t="s">
        <v>679</v>
      </c>
      <c r="E4911" t="s">
        <v>124</v>
      </c>
      <c r="F4911" t="s">
        <v>120</v>
      </c>
      <c r="G4911" t="s">
        <v>325</v>
      </c>
      <c r="H4911" t="s">
        <v>474</v>
      </c>
      <c r="I4911" t="s">
        <v>121</v>
      </c>
      <c r="J4911" t="s">
        <v>536</v>
      </c>
      <c r="K4911" t="s">
        <v>405</v>
      </c>
      <c r="L4911" t="s">
        <v>204</v>
      </c>
      <c r="M4911" t="s">
        <v>112</v>
      </c>
      <c r="N4911" t="s">
        <v>201</v>
      </c>
      <c r="O4911" t="s">
        <v>59</v>
      </c>
    </row>
    <row r="4912" spans="1:15" x14ac:dyDescent="0.3">
      <c r="A4912" t="s">
        <v>36</v>
      </c>
      <c r="B4912" t="s">
        <v>260</v>
      </c>
      <c r="C4912">
        <v>205</v>
      </c>
      <c r="D4912" t="s">
        <v>204</v>
      </c>
      <c r="E4912" t="s">
        <v>109</v>
      </c>
      <c r="F4912" t="s">
        <v>114</v>
      </c>
      <c r="G4912" t="s">
        <v>110</v>
      </c>
      <c r="H4912" t="s">
        <v>117</v>
      </c>
      <c r="I4912" t="s">
        <v>99</v>
      </c>
      <c r="J4912" t="s">
        <v>406</v>
      </c>
      <c r="K4912" t="s">
        <v>122</v>
      </c>
      <c r="L4912" t="s">
        <v>133</v>
      </c>
      <c r="M4912" t="s">
        <v>98</v>
      </c>
      <c r="N4912" t="s">
        <v>686</v>
      </c>
      <c r="O4912" t="s">
        <v>1368</v>
      </c>
    </row>
    <row r="4913" spans="1:15" x14ac:dyDescent="0.3">
      <c r="A4913" t="s">
        <v>34</v>
      </c>
      <c r="B4913" t="s">
        <v>258</v>
      </c>
      <c r="C4913">
        <v>1221</v>
      </c>
      <c r="D4913" t="s">
        <v>316</v>
      </c>
      <c r="E4913" t="s">
        <v>103</v>
      </c>
      <c r="F4913" t="s">
        <v>141</v>
      </c>
      <c r="G4913" t="s">
        <v>108</v>
      </c>
      <c r="H4913" t="s">
        <v>115</v>
      </c>
      <c r="I4913" t="s">
        <v>382</v>
      </c>
      <c r="J4913" t="s">
        <v>113</v>
      </c>
      <c r="K4913" t="s">
        <v>112</v>
      </c>
      <c r="L4913" t="s">
        <v>141</v>
      </c>
      <c r="M4913" t="s">
        <v>114</v>
      </c>
      <c r="N4913" t="s">
        <v>155</v>
      </c>
      <c r="O4913" t="s">
        <v>205</v>
      </c>
    </row>
    <row r="4914" spans="1:15" x14ac:dyDescent="0.3">
      <c r="A4914" t="s">
        <v>34</v>
      </c>
      <c r="B4914" t="s">
        <v>260</v>
      </c>
      <c r="C4914">
        <v>859</v>
      </c>
      <c r="D4914" t="s">
        <v>325</v>
      </c>
      <c r="E4914" t="s">
        <v>122</v>
      </c>
      <c r="F4914" t="s">
        <v>120</v>
      </c>
      <c r="G4914" t="s">
        <v>130</v>
      </c>
      <c r="H4914" t="s">
        <v>147</v>
      </c>
      <c r="I4914" t="s">
        <v>123</v>
      </c>
      <c r="J4914" t="s">
        <v>197</v>
      </c>
      <c r="K4914" t="s">
        <v>262</v>
      </c>
      <c r="L4914" t="s">
        <v>182</v>
      </c>
      <c r="M4914" t="s">
        <v>135</v>
      </c>
      <c r="N4914" t="s">
        <v>683</v>
      </c>
      <c r="O4914" t="s">
        <v>1151</v>
      </c>
    </row>
    <row r="4915" spans="1:15" x14ac:dyDescent="0.3">
      <c r="A4915" t="s">
        <v>33</v>
      </c>
      <c r="B4915" t="s">
        <v>258</v>
      </c>
      <c r="C4915">
        <v>1937</v>
      </c>
      <c r="D4915" t="s">
        <v>154</v>
      </c>
      <c r="E4915" t="s">
        <v>108</v>
      </c>
      <c r="F4915" t="s">
        <v>126</v>
      </c>
      <c r="G4915" t="s">
        <v>151</v>
      </c>
      <c r="H4915" t="s">
        <v>319</v>
      </c>
      <c r="I4915" t="s">
        <v>115</v>
      </c>
      <c r="J4915" t="s">
        <v>122</v>
      </c>
      <c r="K4915" t="s">
        <v>124</v>
      </c>
      <c r="L4915" t="s">
        <v>332</v>
      </c>
      <c r="M4915" t="s">
        <v>151</v>
      </c>
      <c r="N4915" t="s">
        <v>113</v>
      </c>
      <c r="O4915" t="s">
        <v>189</v>
      </c>
    </row>
    <row r="4916" spans="1:15" x14ac:dyDescent="0.3">
      <c r="A4916" t="s">
        <v>49</v>
      </c>
      <c r="B4916" t="s">
        <v>258</v>
      </c>
      <c r="C4916">
        <v>11986</v>
      </c>
      <c r="D4916" t="s">
        <v>434</v>
      </c>
      <c r="E4916" t="s">
        <v>154</v>
      </c>
      <c r="F4916" t="s">
        <v>382</v>
      </c>
      <c r="G4916" t="s">
        <v>332</v>
      </c>
      <c r="H4916" t="s">
        <v>120</v>
      </c>
      <c r="I4916" t="s">
        <v>126</v>
      </c>
      <c r="J4916" t="s">
        <v>165</v>
      </c>
      <c r="K4916" t="s">
        <v>160</v>
      </c>
      <c r="L4916" t="s">
        <v>316</v>
      </c>
      <c r="M4916" t="s">
        <v>138</v>
      </c>
      <c r="N4916" t="s">
        <v>74</v>
      </c>
      <c r="O4916" t="s">
        <v>492</v>
      </c>
    </row>
    <row r="4917" spans="1:15" x14ac:dyDescent="0.3">
      <c r="A4917" t="s">
        <v>49</v>
      </c>
      <c r="B4917" t="s">
        <v>260</v>
      </c>
      <c r="C4917">
        <v>1336</v>
      </c>
      <c r="D4917" t="s">
        <v>325</v>
      </c>
      <c r="E4917" t="s">
        <v>135</v>
      </c>
      <c r="F4917" t="s">
        <v>103</v>
      </c>
      <c r="G4917" t="s">
        <v>130</v>
      </c>
      <c r="H4917" t="s">
        <v>147</v>
      </c>
      <c r="I4917" t="s">
        <v>151</v>
      </c>
      <c r="J4917" t="s">
        <v>738</v>
      </c>
      <c r="K4917" t="s">
        <v>405</v>
      </c>
      <c r="L4917" t="s">
        <v>353</v>
      </c>
      <c r="M4917" t="s">
        <v>204</v>
      </c>
      <c r="N4917" t="s">
        <v>303</v>
      </c>
      <c r="O4917" t="s">
        <v>953</v>
      </c>
    </row>
    <row r="4919" spans="1:15" x14ac:dyDescent="0.3">
      <c r="A4919" t="s">
        <v>1624</v>
      </c>
    </row>
    <row r="4920" spans="1:15" x14ac:dyDescent="0.3">
      <c r="A4920" t="s">
        <v>44</v>
      </c>
      <c r="B4920" t="s">
        <v>1625</v>
      </c>
      <c r="C4920" t="s">
        <v>32</v>
      </c>
      <c r="D4920" t="s">
        <v>1607</v>
      </c>
      <c r="E4920" t="s">
        <v>1608</v>
      </c>
      <c r="F4920" t="s">
        <v>1609</v>
      </c>
      <c r="G4920" t="s">
        <v>1610</v>
      </c>
      <c r="H4920" t="s">
        <v>1611</v>
      </c>
      <c r="I4920" t="s">
        <v>1612</v>
      </c>
      <c r="J4920" t="s">
        <v>1613</v>
      </c>
      <c r="K4920" t="s">
        <v>1614</v>
      </c>
      <c r="L4920" t="s">
        <v>1615</v>
      </c>
      <c r="M4920" t="s">
        <v>1616</v>
      </c>
      <c r="N4920" t="s">
        <v>1617</v>
      </c>
      <c r="O4920" t="s">
        <v>1618</v>
      </c>
    </row>
    <row r="4921" spans="1:15" x14ac:dyDescent="0.3">
      <c r="A4921" t="s">
        <v>35</v>
      </c>
      <c r="B4921" t="s">
        <v>1626</v>
      </c>
      <c r="C4921">
        <v>2225</v>
      </c>
      <c r="D4921" t="s">
        <v>134</v>
      </c>
      <c r="E4921" t="s">
        <v>158</v>
      </c>
      <c r="F4921" t="s">
        <v>117</v>
      </c>
      <c r="G4921" t="s">
        <v>242</v>
      </c>
      <c r="H4921" t="s">
        <v>332</v>
      </c>
      <c r="I4921" t="s">
        <v>127</v>
      </c>
      <c r="J4921" t="s">
        <v>470</v>
      </c>
      <c r="K4921" t="s">
        <v>150</v>
      </c>
      <c r="L4921" t="s">
        <v>105</v>
      </c>
      <c r="M4921" t="s">
        <v>412</v>
      </c>
      <c r="N4921" t="s">
        <v>150</v>
      </c>
      <c r="O4921" t="s">
        <v>397</v>
      </c>
    </row>
    <row r="4922" spans="1:15" x14ac:dyDescent="0.3">
      <c r="A4922" t="s">
        <v>35</v>
      </c>
      <c r="B4922" t="s">
        <v>1627</v>
      </c>
      <c r="C4922">
        <v>914</v>
      </c>
      <c r="D4922" t="s">
        <v>675</v>
      </c>
      <c r="E4922" t="s">
        <v>292</v>
      </c>
      <c r="F4922" t="s">
        <v>99</v>
      </c>
      <c r="G4922" t="s">
        <v>468</v>
      </c>
      <c r="H4922" t="s">
        <v>68</v>
      </c>
      <c r="I4922" t="s">
        <v>107</v>
      </c>
      <c r="J4922" t="s">
        <v>700</v>
      </c>
      <c r="K4922" t="s">
        <v>287</v>
      </c>
      <c r="L4922" t="s">
        <v>292</v>
      </c>
      <c r="M4922" t="s">
        <v>664</v>
      </c>
      <c r="N4922" t="s">
        <v>144</v>
      </c>
      <c r="O4922" t="s">
        <v>535</v>
      </c>
    </row>
    <row r="4923" spans="1:15" x14ac:dyDescent="0.3">
      <c r="A4923" t="s">
        <v>35</v>
      </c>
      <c r="B4923" t="s">
        <v>365</v>
      </c>
      <c r="C4923">
        <v>6</v>
      </c>
      <c r="D4923" t="s">
        <v>99</v>
      </c>
      <c r="E4923" t="s">
        <v>99</v>
      </c>
      <c r="F4923" t="s">
        <v>99</v>
      </c>
      <c r="G4923" t="s">
        <v>99</v>
      </c>
      <c r="H4923" t="s">
        <v>99</v>
      </c>
      <c r="I4923" t="s">
        <v>99</v>
      </c>
      <c r="J4923" t="s">
        <v>99</v>
      </c>
      <c r="K4923" t="s">
        <v>99</v>
      </c>
      <c r="L4923" t="s">
        <v>99</v>
      </c>
      <c r="M4923" t="s">
        <v>124</v>
      </c>
      <c r="N4923" t="s">
        <v>124</v>
      </c>
      <c r="O4923" t="s">
        <v>758</v>
      </c>
    </row>
    <row r="4924" spans="1:15" x14ac:dyDescent="0.3">
      <c r="A4924" t="s">
        <v>37</v>
      </c>
      <c r="B4924" t="s">
        <v>1626</v>
      </c>
      <c r="C4924">
        <v>2751</v>
      </c>
      <c r="D4924" t="s">
        <v>105</v>
      </c>
      <c r="E4924" t="s">
        <v>712</v>
      </c>
      <c r="F4924" t="s">
        <v>215</v>
      </c>
      <c r="G4924" t="s">
        <v>107</v>
      </c>
      <c r="H4924" t="s">
        <v>316</v>
      </c>
      <c r="I4924" t="s">
        <v>121</v>
      </c>
      <c r="J4924" t="s">
        <v>296</v>
      </c>
      <c r="K4924" t="s">
        <v>328</v>
      </c>
      <c r="L4924" t="s">
        <v>114</v>
      </c>
      <c r="M4924" t="s">
        <v>126</v>
      </c>
      <c r="N4924" t="s">
        <v>120</v>
      </c>
      <c r="O4924" t="s">
        <v>263</v>
      </c>
    </row>
    <row r="4925" spans="1:15" x14ac:dyDescent="0.3">
      <c r="A4925" t="s">
        <v>37</v>
      </c>
      <c r="B4925" t="s">
        <v>1627</v>
      </c>
      <c r="C4925">
        <v>1103</v>
      </c>
      <c r="D4925" t="s">
        <v>325</v>
      </c>
      <c r="E4925" t="s">
        <v>157</v>
      </c>
      <c r="F4925" t="s">
        <v>104</v>
      </c>
      <c r="G4925" t="s">
        <v>117</v>
      </c>
      <c r="H4925" t="s">
        <v>268</v>
      </c>
      <c r="I4925" t="s">
        <v>316</v>
      </c>
      <c r="J4925" t="s">
        <v>673</v>
      </c>
      <c r="K4925" t="s">
        <v>313</v>
      </c>
      <c r="L4925" t="s">
        <v>151</v>
      </c>
      <c r="M4925" t="s">
        <v>105</v>
      </c>
      <c r="N4925" t="s">
        <v>118</v>
      </c>
      <c r="O4925" t="s">
        <v>535</v>
      </c>
    </row>
    <row r="4926" spans="1:15" x14ac:dyDescent="0.3">
      <c r="A4926" t="s">
        <v>37</v>
      </c>
      <c r="B4926" t="s">
        <v>365</v>
      </c>
      <c r="C4926">
        <v>1</v>
      </c>
      <c r="D4926" t="s">
        <v>99</v>
      </c>
      <c r="E4926" t="s">
        <v>99</v>
      </c>
      <c r="F4926" t="s">
        <v>99</v>
      </c>
      <c r="G4926" t="s">
        <v>99</v>
      </c>
      <c r="H4926" t="s">
        <v>99</v>
      </c>
      <c r="I4926" t="s">
        <v>99</v>
      </c>
      <c r="J4926" t="s">
        <v>99</v>
      </c>
      <c r="K4926" t="s">
        <v>99</v>
      </c>
      <c r="L4926" t="s">
        <v>99</v>
      </c>
      <c r="M4926" t="s">
        <v>99</v>
      </c>
      <c r="N4926" t="s">
        <v>99</v>
      </c>
      <c r="O4926" t="s">
        <v>211</v>
      </c>
    </row>
    <row r="4927" spans="1:15" x14ac:dyDescent="0.3">
      <c r="A4927" t="s">
        <v>36</v>
      </c>
      <c r="B4927" t="s">
        <v>1626</v>
      </c>
      <c r="C4927">
        <v>1714</v>
      </c>
      <c r="D4927" t="s">
        <v>664</v>
      </c>
      <c r="E4927" t="s">
        <v>143</v>
      </c>
      <c r="F4927" t="s">
        <v>155</v>
      </c>
      <c r="G4927" t="s">
        <v>204</v>
      </c>
      <c r="H4927" t="s">
        <v>712</v>
      </c>
      <c r="I4927" t="s">
        <v>108</v>
      </c>
      <c r="J4927" t="s">
        <v>173</v>
      </c>
      <c r="K4927" t="s">
        <v>125</v>
      </c>
      <c r="L4927" t="s">
        <v>143</v>
      </c>
      <c r="M4927" t="s">
        <v>149</v>
      </c>
      <c r="N4927" t="s">
        <v>255</v>
      </c>
      <c r="O4927" t="s">
        <v>428</v>
      </c>
    </row>
    <row r="4928" spans="1:15" x14ac:dyDescent="0.3">
      <c r="A4928" t="s">
        <v>36</v>
      </c>
      <c r="B4928" t="s">
        <v>1627</v>
      </c>
      <c r="C4928">
        <v>587</v>
      </c>
      <c r="D4928" t="s">
        <v>299</v>
      </c>
      <c r="E4928" t="s">
        <v>120</v>
      </c>
      <c r="F4928" t="s">
        <v>253</v>
      </c>
      <c r="G4928" t="s">
        <v>149</v>
      </c>
      <c r="H4928" t="s">
        <v>434</v>
      </c>
      <c r="I4928" t="s">
        <v>127</v>
      </c>
      <c r="J4928" t="s">
        <v>718</v>
      </c>
      <c r="K4928" t="s">
        <v>206</v>
      </c>
      <c r="L4928" t="s">
        <v>277</v>
      </c>
      <c r="M4928" t="s">
        <v>118</v>
      </c>
      <c r="N4928" t="s">
        <v>688</v>
      </c>
      <c r="O4928" t="s">
        <v>575</v>
      </c>
    </row>
    <row r="4929" spans="1:15" x14ac:dyDescent="0.3">
      <c r="A4929" t="s">
        <v>36</v>
      </c>
      <c r="B4929" t="s">
        <v>365</v>
      </c>
      <c r="C4929">
        <v>4</v>
      </c>
      <c r="D4929" t="s">
        <v>1476</v>
      </c>
      <c r="E4929" t="s">
        <v>1476</v>
      </c>
      <c r="F4929" t="s">
        <v>99</v>
      </c>
      <c r="G4929" t="s">
        <v>1476</v>
      </c>
      <c r="H4929" t="s">
        <v>1476</v>
      </c>
      <c r="I4929" t="s">
        <v>1476</v>
      </c>
      <c r="J4929" t="s">
        <v>1476</v>
      </c>
      <c r="K4929" t="s">
        <v>1476</v>
      </c>
      <c r="L4929" t="s">
        <v>1476</v>
      </c>
      <c r="M4929" t="s">
        <v>1476</v>
      </c>
      <c r="N4929" t="s">
        <v>1476</v>
      </c>
      <c r="O4929" t="s">
        <v>370</v>
      </c>
    </row>
    <row r="4930" spans="1:15" x14ac:dyDescent="0.3">
      <c r="A4930" t="s">
        <v>34</v>
      </c>
      <c r="B4930" t="s">
        <v>1626</v>
      </c>
      <c r="C4930">
        <v>1459</v>
      </c>
      <c r="D4930" t="s">
        <v>684</v>
      </c>
      <c r="E4930" t="s">
        <v>152</v>
      </c>
      <c r="F4930" t="s">
        <v>316</v>
      </c>
      <c r="G4930" t="s">
        <v>155</v>
      </c>
      <c r="H4930" t="s">
        <v>103</v>
      </c>
      <c r="I4930" t="s">
        <v>215</v>
      </c>
      <c r="J4930" t="s">
        <v>406</v>
      </c>
      <c r="K4930" t="s">
        <v>296</v>
      </c>
      <c r="L4930" t="s">
        <v>160</v>
      </c>
      <c r="M4930" t="s">
        <v>277</v>
      </c>
      <c r="N4930" t="s">
        <v>393</v>
      </c>
      <c r="O4930" t="s">
        <v>1257</v>
      </c>
    </row>
    <row r="4931" spans="1:15" x14ac:dyDescent="0.3">
      <c r="A4931" t="s">
        <v>34</v>
      </c>
      <c r="B4931" t="s">
        <v>1627</v>
      </c>
      <c r="C4931">
        <v>619</v>
      </c>
      <c r="D4931" t="s">
        <v>120</v>
      </c>
      <c r="E4931" t="s">
        <v>114</v>
      </c>
      <c r="F4931" t="s">
        <v>99</v>
      </c>
      <c r="G4931" t="s">
        <v>319</v>
      </c>
      <c r="H4931" t="s">
        <v>108</v>
      </c>
      <c r="I4931" t="s">
        <v>292</v>
      </c>
      <c r="J4931" t="s">
        <v>321</v>
      </c>
      <c r="K4931" t="s">
        <v>204</v>
      </c>
      <c r="L4931" t="s">
        <v>123</v>
      </c>
      <c r="M4931" t="s">
        <v>147</v>
      </c>
      <c r="N4931" t="s">
        <v>113</v>
      </c>
      <c r="O4931" t="s">
        <v>1060</v>
      </c>
    </row>
    <row r="4932" spans="1:15" x14ac:dyDescent="0.3">
      <c r="A4932" t="s">
        <v>34</v>
      </c>
      <c r="B4932" t="s">
        <v>365</v>
      </c>
      <c r="C4932">
        <v>2</v>
      </c>
      <c r="D4932" t="s">
        <v>99</v>
      </c>
      <c r="E4932" t="s">
        <v>99</v>
      </c>
      <c r="F4932" t="s">
        <v>99</v>
      </c>
      <c r="G4932" t="s">
        <v>99</v>
      </c>
      <c r="H4932" t="s">
        <v>99</v>
      </c>
      <c r="I4932" t="s">
        <v>99</v>
      </c>
      <c r="J4932" t="s">
        <v>909</v>
      </c>
      <c r="K4932" t="s">
        <v>909</v>
      </c>
      <c r="L4932" t="s">
        <v>99</v>
      </c>
      <c r="M4932" t="s">
        <v>909</v>
      </c>
      <c r="N4932" t="s">
        <v>99</v>
      </c>
      <c r="O4932" t="s">
        <v>909</v>
      </c>
    </row>
    <row r="4933" spans="1:15" x14ac:dyDescent="0.3">
      <c r="A4933" t="s">
        <v>33</v>
      </c>
      <c r="B4933" t="s">
        <v>1626</v>
      </c>
      <c r="C4933">
        <v>1336</v>
      </c>
      <c r="D4933" t="s">
        <v>138</v>
      </c>
      <c r="E4933" t="s">
        <v>121</v>
      </c>
      <c r="F4933" t="s">
        <v>292</v>
      </c>
      <c r="G4933" t="s">
        <v>151</v>
      </c>
      <c r="H4933" t="s">
        <v>319</v>
      </c>
      <c r="I4933" t="s">
        <v>115</v>
      </c>
      <c r="J4933" t="s">
        <v>254</v>
      </c>
      <c r="K4933" t="s">
        <v>684</v>
      </c>
      <c r="L4933" t="s">
        <v>147</v>
      </c>
      <c r="M4933" t="s">
        <v>151</v>
      </c>
      <c r="N4933" t="s">
        <v>363</v>
      </c>
      <c r="O4933" t="s">
        <v>785</v>
      </c>
    </row>
    <row r="4934" spans="1:15" x14ac:dyDescent="0.3">
      <c r="A4934" t="s">
        <v>33</v>
      </c>
      <c r="B4934" t="s">
        <v>1627</v>
      </c>
      <c r="C4934">
        <v>600</v>
      </c>
      <c r="D4934" t="s">
        <v>474</v>
      </c>
      <c r="E4934" t="s">
        <v>207</v>
      </c>
      <c r="F4934" t="s">
        <v>99</v>
      </c>
      <c r="G4934" t="s">
        <v>292</v>
      </c>
      <c r="H4934" t="s">
        <v>126</v>
      </c>
      <c r="I4934" t="s">
        <v>253</v>
      </c>
      <c r="J4934" t="s">
        <v>142</v>
      </c>
      <c r="K4934" t="s">
        <v>144</v>
      </c>
      <c r="L4934" t="s">
        <v>149</v>
      </c>
      <c r="M4934" t="s">
        <v>127</v>
      </c>
      <c r="N4934" t="s">
        <v>420</v>
      </c>
      <c r="O4934" t="s">
        <v>1628</v>
      </c>
    </row>
    <row r="4935" spans="1:15" x14ac:dyDescent="0.3">
      <c r="A4935" t="s">
        <v>33</v>
      </c>
      <c r="B4935" t="s">
        <v>365</v>
      </c>
      <c r="C4935">
        <v>1</v>
      </c>
      <c r="D4935" t="s">
        <v>99</v>
      </c>
      <c r="E4935" t="s">
        <v>99</v>
      </c>
      <c r="F4935" t="s">
        <v>99</v>
      </c>
      <c r="G4935" t="s">
        <v>99</v>
      </c>
      <c r="H4935" t="s">
        <v>99</v>
      </c>
      <c r="I4935" t="s">
        <v>99</v>
      </c>
      <c r="J4935" t="s">
        <v>99</v>
      </c>
      <c r="K4935" t="s">
        <v>99</v>
      </c>
      <c r="L4935" t="s">
        <v>99</v>
      </c>
      <c r="M4935" t="s">
        <v>99</v>
      </c>
      <c r="N4935" t="s">
        <v>99</v>
      </c>
      <c r="O4935" t="s">
        <v>211</v>
      </c>
    </row>
    <row r="4936" spans="1:15" x14ac:dyDescent="0.3">
      <c r="A4936" t="s">
        <v>49</v>
      </c>
      <c r="B4936" t="s">
        <v>1626</v>
      </c>
      <c r="C4936">
        <v>9485</v>
      </c>
      <c r="D4936" t="s">
        <v>130</v>
      </c>
      <c r="E4936" t="s">
        <v>68</v>
      </c>
      <c r="F4936" t="s">
        <v>268</v>
      </c>
      <c r="G4936" t="s">
        <v>118</v>
      </c>
      <c r="H4936" t="s">
        <v>120</v>
      </c>
      <c r="I4936" t="s">
        <v>319</v>
      </c>
      <c r="J4936" t="s">
        <v>313</v>
      </c>
      <c r="K4936" t="s">
        <v>152</v>
      </c>
      <c r="L4936" t="s">
        <v>154</v>
      </c>
      <c r="M4936" t="s">
        <v>154</v>
      </c>
      <c r="N4936" t="s">
        <v>420</v>
      </c>
      <c r="O4936" t="s">
        <v>1478</v>
      </c>
    </row>
    <row r="4937" spans="1:15" x14ac:dyDescent="0.3">
      <c r="A4937" t="s">
        <v>49</v>
      </c>
      <c r="B4937" t="s">
        <v>1627</v>
      </c>
      <c r="C4937">
        <v>3823</v>
      </c>
      <c r="D4937" t="s">
        <v>98</v>
      </c>
      <c r="E4937" t="s">
        <v>123</v>
      </c>
      <c r="F4937" t="s">
        <v>104</v>
      </c>
      <c r="G4937" t="s">
        <v>105</v>
      </c>
      <c r="H4937" t="s">
        <v>128</v>
      </c>
      <c r="I4937" t="s">
        <v>111</v>
      </c>
      <c r="J4937" t="s">
        <v>482</v>
      </c>
      <c r="K4937" t="s">
        <v>182</v>
      </c>
      <c r="L4937" t="s">
        <v>120</v>
      </c>
      <c r="M4937" t="s">
        <v>129</v>
      </c>
      <c r="N4937" t="s">
        <v>135</v>
      </c>
      <c r="O4937" t="s">
        <v>1171</v>
      </c>
    </row>
    <row r="4938" spans="1:15" x14ac:dyDescent="0.3">
      <c r="A4938" t="s">
        <v>49</v>
      </c>
      <c r="B4938" t="s">
        <v>365</v>
      </c>
      <c r="C4938">
        <v>14</v>
      </c>
      <c r="D4938" t="s">
        <v>461</v>
      </c>
      <c r="E4938" t="s">
        <v>461</v>
      </c>
      <c r="F4938" t="s">
        <v>99</v>
      </c>
      <c r="G4938" t="s">
        <v>461</v>
      </c>
      <c r="H4938" t="s">
        <v>461</v>
      </c>
      <c r="I4938" t="s">
        <v>461</v>
      </c>
      <c r="J4938" t="s">
        <v>814</v>
      </c>
      <c r="K4938" t="s">
        <v>814</v>
      </c>
      <c r="L4938" t="s">
        <v>461</v>
      </c>
      <c r="M4938" t="s">
        <v>705</v>
      </c>
      <c r="N4938" t="s">
        <v>206</v>
      </c>
      <c r="O4938" t="s">
        <v>230</v>
      </c>
    </row>
    <row r="4940" spans="1:15" x14ac:dyDescent="0.3">
      <c r="A4940" t="s">
        <v>1629</v>
      </c>
    </row>
    <row r="4941" spans="1:15" x14ac:dyDescent="0.3">
      <c r="A4941" t="s">
        <v>44</v>
      </c>
      <c r="B4941" t="s">
        <v>361</v>
      </c>
      <c r="C4941" t="s">
        <v>32</v>
      </c>
      <c r="D4941" t="s">
        <v>1607</v>
      </c>
      <c r="E4941" t="s">
        <v>1608</v>
      </c>
      <c r="F4941" t="s">
        <v>1609</v>
      </c>
      <c r="G4941" t="s">
        <v>1610</v>
      </c>
      <c r="H4941" t="s">
        <v>1611</v>
      </c>
      <c r="I4941" t="s">
        <v>1612</v>
      </c>
      <c r="J4941" t="s">
        <v>1613</v>
      </c>
      <c r="K4941" t="s">
        <v>1614</v>
      </c>
      <c r="L4941" t="s">
        <v>1615</v>
      </c>
      <c r="M4941" t="s">
        <v>1616</v>
      </c>
      <c r="N4941" t="s">
        <v>1617</v>
      </c>
      <c r="O4941" t="s">
        <v>1618</v>
      </c>
    </row>
    <row r="4942" spans="1:15" x14ac:dyDescent="0.3">
      <c r="A4942" t="s">
        <v>35</v>
      </c>
      <c r="B4942" t="s">
        <v>339</v>
      </c>
      <c r="C4942">
        <v>890</v>
      </c>
      <c r="D4942" t="s">
        <v>182</v>
      </c>
      <c r="E4942" t="s">
        <v>664</v>
      </c>
      <c r="F4942" t="s">
        <v>111</v>
      </c>
      <c r="G4942" t="s">
        <v>461</v>
      </c>
      <c r="H4942" t="s">
        <v>248</v>
      </c>
      <c r="I4942" t="s">
        <v>145</v>
      </c>
      <c r="J4942" t="s">
        <v>303</v>
      </c>
      <c r="K4942" t="s">
        <v>201</v>
      </c>
      <c r="L4942" t="s">
        <v>110</v>
      </c>
      <c r="M4942" t="s">
        <v>737</v>
      </c>
      <c r="N4942" t="s">
        <v>311</v>
      </c>
      <c r="O4942" t="s">
        <v>1257</v>
      </c>
    </row>
    <row r="4943" spans="1:15" x14ac:dyDescent="0.3">
      <c r="A4943" t="s">
        <v>35</v>
      </c>
      <c r="B4943" t="s">
        <v>340</v>
      </c>
      <c r="C4943">
        <v>2215</v>
      </c>
      <c r="D4943" t="s">
        <v>117</v>
      </c>
      <c r="E4943" t="s">
        <v>332</v>
      </c>
      <c r="F4943" t="s">
        <v>127</v>
      </c>
      <c r="G4943" t="s">
        <v>154</v>
      </c>
      <c r="H4943" t="s">
        <v>268</v>
      </c>
      <c r="I4943" t="s">
        <v>136</v>
      </c>
      <c r="J4943" t="s">
        <v>461</v>
      </c>
      <c r="K4943" t="s">
        <v>684</v>
      </c>
      <c r="L4943" t="s">
        <v>316</v>
      </c>
      <c r="M4943" t="s">
        <v>120</v>
      </c>
      <c r="N4943" t="s">
        <v>277</v>
      </c>
      <c r="O4943" t="s">
        <v>187</v>
      </c>
    </row>
    <row r="4944" spans="1:15" x14ac:dyDescent="0.3">
      <c r="A4944" t="s">
        <v>35</v>
      </c>
      <c r="B4944" t="s">
        <v>365</v>
      </c>
      <c r="C4944">
        <v>40</v>
      </c>
      <c r="D4944" t="s">
        <v>332</v>
      </c>
      <c r="E4944" t="s">
        <v>99</v>
      </c>
      <c r="F4944" t="s">
        <v>115</v>
      </c>
      <c r="G4944" t="s">
        <v>99</v>
      </c>
      <c r="H4944" t="s">
        <v>99</v>
      </c>
      <c r="I4944" t="s">
        <v>99</v>
      </c>
      <c r="J4944" t="s">
        <v>434</v>
      </c>
      <c r="K4944" t="s">
        <v>332</v>
      </c>
      <c r="L4944" t="s">
        <v>99</v>
      </c>
      <c r="M4944" t="s">
        <v>99</v>
      </c>
      <c r="N4944" t="s">
        <v>132</v>
      </c>
      <c r="O4944" t="s">
        <v>413</v>
      </c>
    </row>
    <row r="4945" spans="1:15" x14ac:dyDescent="0.3">
      <c r="A4945" t="s">
        <v>37</v>
      </c>
      <c r="B4945" t="s">
        <v>339</v>
      </c>
      <c r="C4945">
        <v>1093</v>
      </c>
      <c r="D4945" t="s">
        <v>122</v>
      </c>
      <c r="E4945" t="s">
        <v>112</v>
      </c>
      <c r="F4945" t="s">
        <v>121</v>
      </c>
      <c r="G4945" t="s">
        <v>68</v>
      </c>
      <c r="H4945" t="s">
        <v>139</v>
      </c>
      <c r="I4945" t="s">
        <v>139</v>
      </c>
      <c r="J4945" t="s">
        <v>410</v>
      </c>
      <c r="K4945" t="s">
        <v>416</v>
      </c>
      <c r="L4945" t="s">
        <v>292</v>
      </c>
      <c r="M4945" t="s">
        <v>107</v>
      </c>
      <c r="N4945" t="s">
        <v>130</v>
      </c>
      <c r="O4945" t="s">
        <v>608</v>
      </c>
    </row>
    <row r="4946" spans="1:15" x14ac:dyDescent="0.3">
      <c r="A4946" t="s">
        <v>37</v>
      </c>
      <c r="B4946" t="s">
        <v>340</v>
      </c>
      <c r="C4946">
        <v>2721</v>
      </c>
      <c r="D4946" t="s">
        <v>128</v>
      </c>
      <c r="E4946" t="s">
        <v>118</v>
      </c>
      <c r="F4946" t="s">
        <v>101</v>
      </c>
      <c r="G4946" t="s">
        <v>292</v>
      </c>
      <c r="H4946" t="s">
        <v>127</v>
      </c>
      <c r="I4946" t="s">
        <v>141</v>
      </c>
      <c r="J4946" t="s">
        <v>296</v>
      </c>
      <c r="K4946" t="s">
        <v>468</v>
      </c>
      <c r="L4946" t="s">
        <v>114</v>
      </c>
      <c r="M4946" t="s">
        <v>382</v>
      </c>
      <c r="N4946" t="s">
        <v>128</v>
      </c>
      <c r="O4946" t="s">
        <v>356</v>
      </c>
    </row>
    <row r="4947" spans="1:15" x14ac:dyDescent="0.3">
      <c r="A4947" t="s">
        <v>37</v>
      </c>
      <c r="B4947" t="s">
        <v>365</v>
      </c>
      <c r="C4947">
        <v>41</v>
      </c>
      <c r="D4947" t="s">
        <v>99</v>
      </c>
      <c r="E4947" t="s">
        <v>99</v>
      </c>
      <c r="F4947" t="s">
        <v>99</v>
      </c>
      <c r="G4947" t="s">
        <v>99</v>
      </c>
      <c r="H4947" t="s">
        <v>99</v>
      </c>
      <c r="I4947" t="s">
        <v>215</v>
      </c>
      <c r="J4947" t="s">
        <v>150</v>
      </c>
      <c r="K4947" t="s">
        <v>99</v>
      </c>
      <c r="L4947" t="s">
        <v>99</v>
      </c>
      <c r="M4947" t="s">
        <v>215</v>
      </c>
      <c r="N4947" t="s">
        <v>292</v>
      </c>
      <c r="O4947" t="s">
        <v>183</v>
      </c>
    </row>
    <row r="4948" spans="1:15" x14ac:dyDescent="0.3">
      <c r="A4948" t="s">
        <v>36</v>
      </c>
      <c r="B4948" t="s">
        <v>339</v>
      </c>
      <c r="C4948">
        <v>770</v>
      </c>
      <c r="D4948" t="s">
        <v>679</v>
      </c>
      <c r="E4948" t="s">
        <v>155</v>
      </c>
      <c r="F4948" t="s">
        <v>215</v>
      </c>
      <c r="G4948" t="s">
        <v>139</v>
      </c>
      <c r="H4948" t="s">
        <v>107</v>
      </c>
      <c r="I4948" t="s">
        <v>138</v>
      </c>
      <c r="J4948" t="s">
        <v>395</v>
      </c>
      <c r="K4948" t="s">
        <v>133</v>
      </c>
      <c r="L4948" t="s">
        <v>468</v>
      </c>
      <c r="M4948" t="s">
        <v>124</v>
      </c>
      <c r="N4948" t="s">
        <v>244</v>
      </c>
      <c r="O4948" t="s">
        <v>1119</v>
      </c>
    </row>
    <row r="4949" spans="1:15" x14ac:dyDescent="0.3">
      <c r="A4949" t="s">
        <v>36</v>
      </c>
      <c r="B4949" t="s">
        <v>340</v>
      </c>
      <c r="C4949">
        <v>1472</v>
      </c>
      <c r="D4949" t="s">
        <v>70</v>
      </c>
      <c r="E4949" t="s">
        <v>663</v>
      </c>
      <c r="F4949" t="s">
        <v>105</v>
      </c>
      <c r="G4949" t="s">
        <v>254</v>
      </c>
      <c r="H4949" t="s">
        <v>277</v>
      </c>
      <c r="I4949" t="s">
        <v>198</v>
      </c>
      <c r="J4949" t="s">
        <v>704</v>
      </c>
      <c r="K4949" t="s">
        <v>251</v>
      </c>
      <c r="L4949" t="s">
        <v>143</v>
      </c>
      <c r="M4949" t="s">
        <v>434</v>
      </c>
      <c r="N4949" t="s">
        <v>255</v>
      </c>
      <c r="O4949" t="s">
        <v>1469</v>
      </c>
    </row>
    <row r="4950" spans="1:15" x14ac:dyDescent="0.3">
      <c r="A4950" t="s">
        <v>36</v>
      </c>
      <c r="B4950" t="s">
        <v>365</v>
      </c>
      <c r="C4950">
        <v>63</v>
      </c>
      <c r="D4950" t="s">
        <v>149</v>
      </c>
      <c r="E4950" t="s">
        <v>242</v>
      </c>
      <c r="F4950" t="s">
        <v>712</v>
      </c>
      <c r="G4950" t="s">
        <v>154</v>
      </c>
      <c r="H4950" t="s">
        <v>154</v>
      </c>
      <c r="I4950" t="s">
        <v>99</v>
      </c>
      <c r="J4950" t="s">
        <v>694</v>
      </c>
      <c r="K4950" t="s">
        <v>296</v>
      </c>
      <c r="L4950" t="s">
        <v>160</v>
      </c>
      <c r="M4950" t="s">
        <v>215</v>
      </c>
      <c r="N4950" t="s">
        <v>444</v>
      </c>
      <c r="O4950" t="s">
        <v>1366</v>
      </c>
    </row>
    <row r="4951" spans="1:15" x14ac:dyDescent="0.3">
      <c r="A4951" t="s">
        <v>34</v>
      </c>
      <c r="B4951" t="s">
        <v>339</v>
      </c>
      <c r="C4951">
        <v>555</v>
      </c>
      <c r="D4951" t="s">
        <v>160</v>
      </c>
      <c r="E4951" t="s">
        <v>152</v>
      </c>
      <c r="F4951" t="s">
        <v>268</v>
      </c>
      <c r="G4951" t="s">
        <v>332</v>
      </c>
      <c r="H4951" t="s">
        <v>382</v>
      </c>
      <c r="I4951" t="s">
        <v>242</v>
      </c>
      <c r="J4951" t="s">
        <v>457</v>
      </c>
      <c r="K4951" t="s">
        <v>710</v>
      </c>
      <c r="L4951" t="s">
        <v>122</v>
      </c>
      <c r="M4951" t="s">
        <v>74</v>
      </c>
      <c r="N4951" t="s">
        <v>738</v>
      </c>
      <c r="O4951" t="s">
        <v>1006</v>
      </c>
    </row>
    <row r="4952" spans="1:15" x14ac:dyDescent="0.3">
      <c r="A4952" t="s">
        <v>34</v>
      </c>
      <c r="B4952" t="s">
        <v>340</v>
      </c>
      <c r="C4952">
        <v>1497</v>
      </c>
      <c r="D4952" t="s">
        <v>157</v>
      </c>
      <c r="E4952" t="s">
        <v>112</v>
      </c>
      <c r="F4952" t="s">
        <v>215</v>
      </c>
      <c r="G4952" t="s">
        <v>268</v>
      </c>
      <c r="H4952" t="s">
        <v>292</v>
      </c>
      <c r="I4952" t="s">
        <v>198</v>
      </c>
      <c r="J4952" t="s">
        <v>289</v>
      </c>
      <c r="K4952" t="s">
        <v>144</v>
      </c>
      <c r="L4952" t="s">
        <v>242</v>
      </c>
      <c r="M4952" t="s">
        <v>154</v>
      </c>
      <c r="N4952" t="s">
        <v>416</v>
      </c>
      <c r="O4952" t="s">
        <v>1171</v>
      </c>
    </row>
    <row r="4953" spans="1:15" x14ac:dyDescent="0.3">
      <c r="A4953" t="s">
        <v>34</v>
      </c>
      <c r="B4953" t="s">
        <v>365</v>
      </c>
      <c r="C4953">
        <v>28</v>
      </c>
      <c r="D4953" t="s">
        <v>465</v>
      </c>
      <c r="E4953" t="s">
        <v>465</v>
      </c>
      <c r="F4953" t="s">
        <v>468</v>
      </c>
      <c r="G4953" t="s">
        <v>465</v>
      </c>
      <c r="H4953" t="s">
        <v>291</v>
      </c>
      <c r="I4953" t="s">
        <v>319</v>
      </c>
      <c r="J4953" t="s">
        <v>692</v>
      </c>
      <c r="K4953" t="s">
        <v>677</v>
      </c>
      <c r="L4953" t="s">
        <v>291</v>
      </c>
      <c r="M4953" t="s">
        <v>222</v>
      </c>
      <c r="N4953" t="s">
        <v>990</v>
      </c>
      <c r="O4953" t="s">
        <v>1236</v>
      </c>
    </row>
    <row r="4954" spans="1:15" x14ac:dyDescent="0.3">
      <c r="A4954" t="s">
        <v>33</v>
      </c>
      <c r="B4954" t="s">
        <v>339</v>
      </c>
      <c r="C4954">
        <v>503</v>
      </c>
      <c r="D4954" t="s">
        <v>242</v>
      </c>
      <c r="E4954" t="s">
        <v>253</v>
      </c>
      <c r="F4954" t="s">
        <v>115</v>
      </c>
      <c r="G4954" t="s">
        <v>107</v>
      </c>
      <c r="H4954" t="s">
        <v>117</v>
      </c>
      <c r="I4954" t="s">
        <v>123</v>
      </c>
      <c r="J4954" t="s">
        <v>262</v>
      </c>
      <c r="K4954" t="s">
        <v>160</v>
      </c>
      <c r="L4954" t="s">
        <v>124</v>
      </c>
      <c r="M4954" t="s">
        <v>215</v>
      </c>
      <c r="N4954" t="s">
        <v>449</v>
      </c>
      <c r="O4954" t="s">
        <v>1174</v>
      </c>
    </row>
    <row r="4955" spans="1:15" x14ac:dyDescent="0.3">
      <c r="A4955" t="s">
        <v>33</v>
      </c>
      <c r="B4955" t="s">
        <v>340</v>
      </c>
      <c r="C4955">
        <v>1415</v>
      </c>
      <c r="D4955" t="s">
        <v>157</v>
      </c>
      <c r="E4955" t="s">
        <v>100</v>
      </c>
      <c r="F4955" t="s">
        <v>215</v>
      </c>
      <c r="G4955" t="s">
        <v>382</v>
      </c>
      <c r="H4955" t="s">
        <v>114</v>
      </c>
      <c r="I4955" t="s">
        <v>207</v>
      </c>
      <c r="J4955" t="s">
        <v>74</v>
      </c>
      <c r="K4955" t="s">
        <v>68</v>
      </c>
      <c r="L4955" t="s">
        <v>128</v>
      </c>
      <c r="M4955" t="s">
        <v>292</v>
      </c>
      <c r="N4955" t="s">
        <v>160</v>
      </c>
      <c r="O4955" t="s">
        <v>174</v>
      </c>
    </row>
    <row r="4956" spans="1:15" x14ac:dyDescent="0.3">
      <c r="A4956" t="s">
        <v>33</v>
      </c>
      <c r="B4956" t="s">
        <v>365</v>
      </c>
      <c r="C4956">
        <v>19</v>
      </c>
      <c r="D4956" t="s">
        <v>74</v>
      </c>
      <c r="E4956" t="s">
        <v>99</v>
      </c>
      <c r="F4956" t="s">
        <v>74</v>
      </c>
      <c r="G4956" t="s">
        <v>74</v>
      </c>
      <c r="H4956" t="s">
        <v>74</v>
      </c>
      <c r="I4956" t="s">
        <v>99</v>
      </c>
      <c r="J4956" t="s">
        <v>74</v>
      </c>
      <c r="K4956" t="s">
        <v>74</v>
      </c>
      <c r="L4956" t="s">
        <v>74</v>
      </c>
      <c r="M4956" t="s">
        <v>99</v>
      </c>
      <c r="N4956" t="s">
        <v>99</v>
      </c>
      <c r="O4956" t="s">
        <v>75</v>
      </c>
    </row>
    <row r="4957" spans="1:15" x14ac:dyDescent="0.3">
      <c r="A4957" t="s">
        <v>49</v>
      </c>
      <c r="B4957" t="s">
        <v>339</v>
      </c>
      <c r="C4957">
        <v>3811</v>
      </c>
      <c r="D4957" t="s">
        <v>184</v>
      </c>
      <c r="E4957" t="s">
        <v>277</v>
      </c>
      <c r="F4957" t="s">
        <v>215</v>
      </c>
      <c r="G4957" t="s">
        <v>158</v>
      </c>
      <c r="H4957" t="s">
        <v>474</v>
      </c>
      <c r="I4957" t="s">
        <v>139</v>
      </c>
      <c r="J4957" t="s">
        <v>807</v>
      </c>
      <c r="K4957" t="s">
        <v>289</v>
      </c>
      <c r="L4957" t="s">
        <v>112</v>
      </c>
      <c r="M4957" t="s">
        <v>145</v>
      </c>
      <c r="N4957" t="s">
        <v>291</v>
      </c>
      <c r="O4957" t="s">
        <v>306</v>
      </c>
    </row>
    <row r="4958" spans="1:15" x14ac:dyDescent="0.3">
      <c r="A4958" t="s">
        <v>49</v>
      </c>
      <c r="B4958" t="s">
        <v>340</v>
      </c>
      <c r="C4958">
        <v>9320</v>
      </c>
      <c r="D4958" t="s">
        <v>157</v>
      </c>
      <c r="E4958" t="s">
        <v>154</v>
      </c>
      <c r="F4958" t="s">
        <v>215</v>
      </c>
      <c r="G4958" t="s">
        <v>147</v>
      </c>
      <c r="H4958" t="s">
        <v>292</v>
      </c>
      <c r="I4958" t="s">
        <v>136</v>
      </c>
      <c r="J4958" t="s">
        <v>142</v>
      </c>
      <c r="K4958" t="s">
        <v>325</v>
      </c>
      <c r="L4958" t="s">
        <v>120</v>
      </c>
      <c r="M4958" t="s">
        <v>316</v>
      </c>
      <c r="N4958" t="s">
        <v>135</v>
      </c>
      <c r="O4958" t="s">
        <v>870</v>
      </c>
    </row>
    <row r="4959" spans="1:15" x14ac:dyDescent="0.3">
      <c r="A4959" t="s">
        <v>49</v>
      </c>
      <c r="B4959" t="s">
        <v>365</v>
      </c>
      <c r="C4959">
        <v>191</v>
      </c>
      <c r="D4959" t="s">
        <v>328</v>
      </c>
      <c r="E4959" t="s">
        <v>129</v>
      </c>
      <c r="F4959" t="s">
        <v>147</v>
      </c>
      <c r="G4959" t="s">
        <v>139</v>
      </c>
      <c r="H4959" t="s">
        <v>118</v>
      </c>
      <c r="I4959" t="s">
        <v>115</v>
      </c>
      <c r="J4959" t="s">
        <v>163</v>
      </c>
      <c r="K4959" t="s">
        <v>144</v>
      </c>
      <c r="L4959" t="s">
        <v>474</v>
      </c>
      <c r="M4959" t="s">
        <v>332</v>
      </c>
      <c r="N4959" t="s">
        <v>679</v>
      </c>
      <c r="O4959" t="s">
        <v>991</v>
      </c>
    </row>
    <row r="4961" spans="1:15" x14ac:dyDescent="0.3">
      <c r="A4961" t="s">
        <v>1630</v>
      </c>
    </row>
    <row r="4962" spans="1:15" x14ac:dyDescent="0.3">
      <c r="A4962" t="s">
        <v>44</v>
      </c>
      <c r="B4962" t="s">
        <v>209</v>
      </c>
      <c r="C4962" t="s">
        <v>32</v>
      </c>
      <c r="D4962" t="s">
        <v>1607</v>
      </c>
      <c r="E4962" t="s">
        <v>1608</v>
      </c>
      <c r="F4962" t="s">
        <v>1609</v>
      </c>
      <c r="G4962" t="s">
        <v>1610</v>
      </c>
      <c r="H4962" t="s">
        <v>1611</v>
      </c>
      <c r="I4962" t="s">
        <v>1612</v>
      </c>
      <c r="J4962" t="s">
        <v>1613</v>
      </c>
      <c r="K4962" t="s">
        <v>1614</v>
      </c>
      <c r="L4962" t="s">
        <v>1615</v>
      </c>
      <c r="M4962" t="s">
        <v>1616</v>
      </c>
      <c r="N4962" t="s">
        <v>1617</v>
      </c>
      <c r="O4962" t="s">
        <v>1618</v>
      </c>
    </row>
    <row r="4963" spans="1:15" x14ac:dyDescent="0.3">
      <c r="A4963" t="s">
        <v>35</v>
      </c>
      <c r="B4963" t="s">
        <v>210</v>
      </c>
      <c r="C4963">
        <v>136</v>
      </c>
      <c r="D4963" t="s">
        <v>254</v>
      </c>
      <c r="E4963" t="s">
        <v>726</v>
      </c>
      <c r="F4963" t="s">
        <v>321</v>
      </c>
      <c r="G4963" t="s">
        <v>299</v>
      </c>
      <c r="H4963" t="s">
        <v>143</v>
      </c>
      <c r="I4963" t="s">
        <v>132</v>
      </c>
      <c r="J4963" t="s">
        <v>718</v>
      </c>
      <c r="K4963" t="s">
        <v>222</v>
      </c>
      <c r="L4963" t="s">
        <v>132</v>
      </c>
      <c r="M4963" t="s">
        <v>163</v>
      </c>
      <c r="N4963" t="s">
        <v>160</v>
      </c>
      <c r="O4963" t="s">
        <v>1470</v>
      </c>
    </row>
    <row r="4964" spans="1:15" x14ac:dyDescent="0.3">
      <c r="A4964" t="s">
        <v>35</v>
      </c>
      <c r="B4964" t="s">
        <v>212</v>
      </c>
      <c r="C4964">
        <v>2442</v>
      </c>
      <c r="D4964" t="s">
        <v>68</v>
      </c>
      <c r="E4964" t="s">
        <v>154</v>
      </c>
      <c r="F4964" t="s">
        <v>114</v>
      </c>
      <c r="G4964" t="s">
        <v>98</v>
      </c>
      <c r="H4964" t="s">
        <v>712</v>
      </c>
      <c r="I4964" t="s">
        <v>147</v>
      </c>
      <c r="J4964" t="s">
        <v>680</v>
      </c>
      <c r="K4964" t="s">
        <v>41</v>
      </c>
      <c r="L4964" t="s">
        <v>138</v>
      </c>
      <c r="M4964" t="s">
        <v>277</v>
      </c>
      <c r="N4964" t="s">
        <v>663</v>
      </c>
      <c r="O4964" t="s">
        <v>441</v>
      </c>
    </row>
    <row r="4965" spans="1:15" x14ac:dyDescent="0.3">
      <c r="A4965" t="s">
        <v>35</v>
      </c>
      <c r="B4965" t="s">
        <v>216</v>
      </c>
      <c r="C4965">
        <v>567</v>
      </c>
      <c r="D4965" t="s">
        <v>128</v>
      </c>
      <c r="E4965" t="s">
        <v>149</v>
      </c>
      <c r="F4965" t="s">
        <v>215</v>
      </c>
      <c r="G4965" t="s">
        <v>332</v>
      </c>
      <c r="H4965" t="s">
        <v>292</v>
      </c>
      <c r="I4965" t="s">
        <v>207</v>
      </c>
      <c r="J4965" t="s">
        <v>182</v>
      </c>
      <c r="K4965" t="s">
        <v>129</v>
      </c>
      <c r="L4965" t="s">
        <v>117</v>
      </c>
      <c r="M4965" t="s">
        <v>684</v>
      </c>
      <c r="N4965" t="s">
        <v>150</v>
      </c>
      <c r="O4965" t="s">
        <v>524</v>
      </c>
    </row>
    <row r="4966" spans="1:15" x14ac:dyDescent="0.3">
      <c r="A4966" t="s">
        <v>37</v>
      </c>
      <c r="B4966" t="s">
        <v>210</v>
      </c>
      <c r="C4966">
        <v>138</v>
      </c>
      <c r="D4966" t="s">
        <v>712</v>
      </c>
      <c r="E4966" t="s">
        <v>133</v>
      </c>
      <c r="F4966" t="s">
        <v>129</v>
      </c>
      <c r="G4966" t="s">
        <v>128</v>
      </c>
      <c r="H4966" t="s">
        <v>147</v>
      </c>
      <c r="I4966" t="s">
        <v>319</v>
      </c>
      <c r="J4966" t="s">
        <v>814</v>
      </c>
      <c r="K4966" t="s">
        <v>671</v>
      </c>
      <c r="L4966" t="s">
        <v>115</v>
      </c>
      <c r="M4966" t="s">
        <v>126</v>
      </c>
      <c r="N4966" t="s">
        <v>144</v>
      </c>
      <c r="O4966" t="s">
        <v>1400</v>
      </c>
    </row>
    <row r="4967" spans="1:15" x14ac:dyDescent="0.3">
      <c r="A4967" t="s">
        <v>37</v>
      </c>
      <c r="B4967" t="s">
        <v>212</v>
      </c>
      <c r="C4967">
        <v>3606</v>
      </c>
      <c r="D4967" t="s">
        <v>129</v>
      </c>
      <c r="E4967" t="s">
        <v>134</v>
      </c>
      <c r="F4967" t="s">
        <v>100</v>
      </c>
      <c r="G4967" t="s">
        <v>147</v>
      </c>
      <c r="H4967" t="s">
        <v>316</v>
      </c>
      <c r="I4967" t="s">
        <v>382</v>
      </c>
      <c r="J4967" t="s">
        <v>179</v>
      </c>
      <c r="K4967" t="s">
        <v>664</v>
      </c>
      <c r="L4967" t="s">
        <v>101</v>
      </c>
      <c r="M4967" t="s">
        <v>151</v>
      </c>
      <c r="N4967" t="s">
        <v>107</v>
      </c>
      <c r="O4967" t="s">
        <v>785</v>
      </c>
    </row>
    <row r="4968" spans="1:15" x14ac:dyDescent="0.3">
      <c r="A4968" t="s">
        <v>37</v>
      </c>
      <c r="B4968" t="s">
        <v>216</v>
      </c>
      <c r="C4968">
        <v>111</v>
      </c>
      <c r="D4968" t="s">
        <v>111</v>
      </c>
      <c r="E4968" t="s">
        <v>277</v>
      </c>
      <c r="F4968" t="s">
        <v>151</v>
      </c>
      <c r="G4968" t="s">
        <v>151</v>
      </c>
      <c r="H4968" t="s">
        <v>121</v>
      </c>
      <c r="I4968" t="s">
        <v>151</v>
      </c>
      <c r="J4968" t="s">
        <v>145</v>
      </c>
      <c r="K4968" t="s">
        <v>105</v>
      </c>
      <c r="L4968" t="s">
        <v>117</v>
      </c>
      <c r="M4968" t="s">
        <v>117</v>
      </c>
      <c r="N4968" t="s">
        <v>120</v>
      </c>
      <c r="O4968" t="s">
        <v>769</v>
      </c>
    </row>
    <row r="4969" spans="1:15" x14ac:dyDescent="0.3">
      <c r="A4969" t="s">
        <v>36</v>
      </c>
      <c r="B4969" t="s">
        <v>210</v>
      </c>
      <c r="C4969">
        <v>165</v>
      </c>
      <c r="D4969" t="s">
        <v>155</v>
      </c>
      <c r="E4969" t="s">
        <v>70</v>
      </c>
      <c r="F4969" t="s">
        <v>171</v>
      </c>
      <c r="G4969" t="s">
        <v>147</v>
      </c>
      <c r="H4969" t="s">
        <v>292</v>
      </c>
      <c r="I4969" t="s">
        <v>268</v>
      </c>
      <c r="J4969" t="s">
        <v>255</v>
      </c>
      <c r="K4969" t="s">
        <v>72</v>
      </c>
      <c r="L4969" t="s">
        <v>277</v>
      </c>
      <c r="M4969" t="s">
        <v>128</v>
      </c>
      <c r="N4969" t="s">
        <v>959</v>
      </c>
      <c r="O4969" t="s">
        <v>1111</v>
      </c>
    </row>
    <row r="4970" spans="1:15" x14ac:dyDescent="0.3">
      <c r="A4970" t="s">
        <v>36</v>
      </c>
      <c r="B4970" t="s">
        <v>212</v>
      </c>
      <c r="C4970">
        <v>1875</v>
      </c>
      <c r="D4970" t="s">
        <v>299</v>
      </c>
      <c r="E4970" t="s">
        <v>242</v>
      </c>
      <c r="F4970" t="s">
        <v>101</v>
      </c>
      <c r="G4970" t="s">
        <v>325</v>
      </c>
      <c r="H4970" t="s">
        <v>112</v>
      </c>
      <c r="I4970" t="s">
        <v>114</v>
      </c>
      <c r="J4970" t="s">
        <v>186</v>
      </c>
      <c r="K4970" t="s">
        <v>804</v>
      </c>
      <c r="L4970" t="s">
        <v>277</v>
      </c>
      <c r="M4970" t="s">
        <v>130</v>
      </c>
      <c r="N4970" t="s">
        <v>416</v>
      </c>
      <c r="O4970" t="s">
        <v>1050</v>
      </c>
    </row>
    <row r="4971" spans="1:15" x14ac:dyDescent="0.3">
      <c r="A4971" t="s">
        <v>36</v>
      </c>
      <c r="B4971" t="s">
        <v>216</v>
      </c>
      <c r="C4971">
        <v>265</v>
      </c>
      <c r="D4971" t="s">
        <v>160</v>
      </c>
      <c r="E4971" t="s">
        <v>122</v>
      </c>
      <c r="F4971" t="s">
        <v>68</v>
      </c>
      <c r="G4971" t="s">
        <v>363</v>
      </c>
      <c r="H4971" t="s">
        <v>144</v>
      </c>
      <c r="I4971" t="s">
        <v>101</v>
      </c>
      <c r="J4971" t="s">
        <v>444</v>
      </c>
      <c r="K4971" t="s">
        <v>165</v>
      </c>
      <c r="L4971" t="s">
        <v>222</v>
      </c>
      <c r="M4971" t="s">
        <v>142</v>
      </c>
      <c r="N4971" t="s">
        <v>1053</v>
      </c>
      <c r="O4971" t="s">
        <v>1153</v>
      </c>
    </row>
    <row r="4972" spans="1:15" x14ac:dyDescent="0.3">
      <c r="A4972" t="s">
        <v>34</v>
      </c>
      <c r="B4972" t="s">
        <v>210</v>
      </c>
      <c r="C4972">
        <v>256</v>
      </c>
      <c r="D4972" t="s">
        <v>363</v>
      </c>
      <c r="E4972" t="s">
        <v>328</v>
      </c>
      <c r="F4972" t="s">
        <v>215</v>
      </c>
      <c r="G4972" t="s">
        <v>204</v>
      </c>
      <c r="H4972" t="s">
        <v>110</v>
      </c>
      <c r="I4972" t="s">
        <v>121</v>
      </c>
      <c r="J4972" t="s">
        <v>691</v>
      </c>
      <c r="K4972" t="s">
        <v>142</v>
      </c>
      <c r="L4972" t="s">
        <v>420</v>
      </c>
      <c r="M4972" t="s">
        <v>98</v>
      </c>
      <c r="N4972" t="s">
        <v>691</v>
      </c>
      <c r="O4972" t="s">
        <v>1350</v>
      </c>
    </row>
    <row r="4973" spans="1:15" x14ac:dyDescent="0.3">
      <c r="A4973" t="s">
        <v>34</v>
      </c>
      <c r="B4973" t="s">
        <v>212</v>
      </c>
      <c r="C4973">
        <v>1582</v>
      </c>
      <c r="D4973" t="s">
        <v>134</v>
      </c>
      <c r="E4973" t="s">
        <v>68</v>
      </c>
      <c r="F4973" t="s">
        <v>382</v>
      </c>
      <c r="G4973" t="s">
        <v>151</v>
      </c>
      <c r="H4973" t="s">
        <v>382</v>
      </c>
      <c r="I4973" t="s">
        <v>123</v>
      </c>
      <c r="J4973" t="s">
        <v>731</v>
      </c>
      <c r="K4973" t="s">
        <v>184</v>
      </c>
      <c r="L4973" t="s">
        <v>130</v>
      </c>
      <c r="M4973" t="s">
        <v>155</v>
      </c>
      <c r="N4973" t="s">
        <v>315</v>
      </c>
      <c r="O4973" t="s">
        <v>1366</v>
      </c>
    </row>
    <row r="4974" spans="1:15" x14ac:dyDescent="0.3">
      <c r="A4974" t="s">
        <v>34</v>
      </c>
      <c r="B4974" t="s">
        <v>216</v>
      </c>
      <c r="C4974">
        <v>242</v>
      </c>
      <c r="D4974" t="s">
        <v>242</v>
      </c>
      <c r="E4974" t="s">
        <v>363</v>
      </c>
      <c r="F4974" t="s">
        <v>118</v>
      </c>
      <c r="G4974" t="s">
        <v>154</v>
      </c>
      <c r="H4974" t="s">
        <v>111</v>
      </c>
      <c r="I4974" t="s">
        <v>151</v>
      </c>
      <c r="J4974" t="s">
        <v>833</v>
      </c>
      <c r="K4974" t="s">
        <v>369</v>
      </c>
      <c r="L4974" t="s">
        <v>163</v>
      </c>
      <c r="M4974" t="s">
        <v>133</v>
      </c>
      <c r="N4974" t="s">
        <v>281</v>
      </c>
      <c r="O4974" t="s">
        <v>1383</v>
      </c>
    </row>
    <row r="4975" spans="1:15" x14ac:dyDescent="0.3">
      <c r="A4975" t="s">
        <v>33</v>
      </c>
      <c r="B4975" t="s">
        <v>210</v>
      </c>
      <c r="C4975">
        <v>68</v>
      </c>
      <c r="D4975" t="s">
        <v>685</v>
      </c>
      <c r="E4975" t="s">
        <v>254</v>
      </c>
      <c r="F4975" t="s">
        <v>379</v>
      </c>
      <c r="G4975" t="s">
        <v>671</v>
      </c>
      <c r="H4975" t="s">
        <v>663</v>
      </c>
      <c r="I4975" t="s">
        <v>99</v>
      </c>
      <c r="J4975" t="s">
        <v>1008</v>
      </c>
      <c r="K4975" t="s">
        <v>255</v>
      </c>
      <c r="L4975" t="s">
        <v>179</v>
      </c>
      <c r="M4975" t="s">
        <v>142</v>
      </c>
      <c r="N4975" t="s">
        <v>167</v>
      </c>
      <c r="O4975" t="s">
        <v>644</v>
      </c>
    </row>
    <row r="4976" spans="1:15" x14ac:dyDescent="0.3">
      <c r="A4976" t="s">
        <v>33</v>
      </c>
      <c r="B4976" t="s">
        <v>212</v>
      </c>
      <c r="C4976">
        <v>1800</v>
      </c>
      <c r="D4976" t="s">
        <v>138</v>
      </c>
      <c r="E4976" t="s">
        <v>115</v>
      </c>
      <c r="F4976" t="s">
        <v>100</v>
      </c>
      <c r="G4976" t="s">
        <v>127</v>
      </c>
      <c r="H4976" t="s">
        <v>101</v>
      </c>
      <c r="I4976" t="s">
        <v>115</v>
      </c>
      <c r="J4976" t="s">
        <v>152</v>
      </c>
      <c r="K4976" t="s">
        <v>684</v>
      </c>
      <c r="L4976" t="s">
        <v>138</v>
      </c>
      <c r="M4976" t="s">
        <v>215</v>
      </c>
      <c r="N4976" t="s">
        <v>299</v>
      </c>
      <c r="O4976" t="s">
        <v>374</v>
      </c>
    </row>
    <row r="4977" spans="1:15" x14ac:dyDescent="0.3">
      <c r="A4977" t="s">
        <v>33</v>
      </c>
      <c r="B4977" t="s">
        <v>216</v>
      </c>
      <c r="C4977">
        <v>69</v>
      </c>
      <c r="D4977" t="s">
        <v>99</v>
      </c>
      <c r="E4977" t="s">
        <v>99</v>
      </c>
      <c r="F4977" t="s">
        <v>157</v>
      </c>
      <c r="G4977" t="s">
        <v>99</v>
      </c>
      <c r="H4977" t="s">
        <v>99</v>
      </c>
      <c r="I4977" t="s">
        <v>99</v>
      </c>
      <c r="J4977" t="s">
        <v>382</v>
      </c>
      <c r="K4977" t="s">
        <v>127</v>
      </c>
      <c r="L4977" t="s">
        <v>99</v>
      </c>
      <c r="M4977" t="s">
        <v>382</v>
      </c>
      <c r="N4977" t="s">
        <v>74</v>
      </c>
      <c r="O4977" t="s">
        <v>169</v>
      </c>
    </row>
    <row r="4978" spans="1:15" x14ac:dyDescent="0.3">
      <c r="A4978" t="s">
        <v>49</v>
      </c>
      <c r="B4978" t="s">
        <v>210</v>
      </c>
      <c r="C4978">
        <v>763</v>
      </c>
      <c r="D4978" t="s">
        <v>150</v>
      </c>
      <c r="E4978" t="s">
        <v>420</v>
      </c>
      <c r="F4978" t="s">
        <v>675</v>
      </c>
      <c r="G4978" t="s">
        <v>328</v>
      </c>
      <c r="H4978" t="s">
        <v>434</v>
      </c>
      <c r="I4978" t="s">
        <v>121</v>
      </c>
      <c r="J4978" t="s">
        <v>705</v>
      </c>
      <c r="K4978" t="s">
        <v>171</v>
      </c>
      <c r="L4978" t="s">
        <v>98</v>
      </c>
      <c r="M4978" t="s">
        <v>204</v>
      </c>
      <c r="N4978" t="s">
        <v>318</v>
      </c>
      <c r="O4978" t="s">
        <v>1194</v>
      </c>
    </row>
    <row r="4979" spans="1:15" x14ac:dyDescent="0.3">
      <c r="A4979" t="s">
        <v>49</v>
      </c>
      <c r="B4979" t="s">
        <v>212</v>
      </c>
      <c r="C4979">
        <v>11305</v>
      </c>
      <c r="D4979" t="s">
        <v>474</v>
      </c>
      <c r="E4979" t="s">
        <v>155</v>
      </c>
      <c r="F4979" t="s">
        <v>121</v>
      </c>
      <c r="G4979" t="s">
        <v>155</v>
      </c>
      <c r="H4979" t="s">
        <v>120</v>
      </c>
      <c r="I4979" t="s">
        <v>127</v>
      </c>
      <c r="J4979" t="s">
        <v>416</v>
      </c>
      <c r="K4979" t="s">
        <v>679</v>
      </c>
      <c r="L4979" t="s">
        <v>147</v>
      </c>
      <c r="M4979" t="s">
        <v>157</v>
      </c>
      <c r="N4979" t="s">
        <v>152</v>
      </c>
      <c r="O4979" t="s">
        <v>774</v>
      </c>
    </row>
    <row r="4980" spans="1:15" x14ac:dyDescent="0.3">
      <c r="A4980" t="s">
        <v>49</v>
      </c>
      <c r="B4980" t="s">
        <v>216</v>
      </c>
      <c r="C4980">
        <v>1254</v>
      </c>
      <c r="D4980" t="s">
        <v>155</v>
      </c>
      <c r="E4980" t="s">
        <v>124</v>
      </c>
      <c r="F4980" t="s">
        <v>103</v>
      </c>
      <c r="G4980" t="s">
        <v>134</v>
      </c>
      <c r="H4980" t="s">
        <v>268</v>
      </c>
      <c r="I4980" t="s">
        <v>108</v>
      </c>
      <c r="J4980" t="s">
        <v>294</v>
      </c>
      <c r="K4980" t="s">
        <v>328</v>
      </c>
      <c r="L4980" t="s">
        <v>412</v>
      </c>
      <c r="M4980" t="s">
        <v>143</v>
      </c>
      <c r="N4980" t="s">
        <v>449</v>
      </c>
      <c r="O4980" t="s">
        <v>861</v>
      </c>
    </row>
    <row r="4982" spans="1:15" x14ac:dyDescent="0.3">
      <c r="A4982" t="s">
        <v>1631</v>
      </c>
    </row>
    <row r="4983" spans="1:15" x14ac:dyDescent="0.3">
      <c r="A4983" t="s">
        <v>44</v>
      </c>
      <c r="B4983" t="s">
        <v>32</v>
      </c>
      <c r="C4983" t="s">
        <v>1632</v>
      </c>
      <c r="D4983" t="s">
        <v>1633</v>
      </c>
      <c r="E4983" t="s">
        <v>1634</v>
      </c>
      <c r="F4983" t="s">
        <v>1635</v>
      </c>
      <c r="G4983" t="s">
        <v>1636</v>
      </c>
      <c r="H4983" t="s">
        <v>88</v>
      </c>
      <c r="I4983" t="s">
        <v>83</v>
      </c>
      <c r="J4983" t="s">
        <v>1637</v>
      </c>
    </row>
    <row r="4984" spans="1:15" x14ac:dyDescent="0.3">
      <c r="A4984" t="s">
        <v>35</v>
      </c>
      <c r="B4984">
        <v>3141</v>
      </c>
      <c r="C4984" t="s">
        <v>315</v>
      </c>
      <c r="D4984" t="s">
        <v>401</v>
      </c>
      <c r="E4984" t="s">
        <v>1276</v>
      </c>
      <c r="F4984" t="s">
        <v>126</v>
      </c>
      <c r="G4984" t="s">
        <v>117</v>
      </c>
      <c r="H4984" t="s">
        <v>99</v>
      </c>
      <c r="I4984" t="s">
        <v>104</v>
      </c>
      <c r="J4984" t="s">
        <v>99</v>
      </c>
    </row>
    <row r="4985" spans="1:15" x14ac:dyDescent="0.3">
      <c r="A4985" t="s">
        <v>37</v>
      </c>
      <c r="B4985">
        <v>3855</v>
      </c>
      <c r="C4985" t="s">
        <v>670</v>
      </c>
      <c r="D4985" t="s">
        <v>814</v>
      </c>
      <c r="E4985" t="s">
        <v>1407</v>
      </c>
      <c r="F4985" t="s">
        <v>111</v>
      </c>
      <c r="G4985" t="s">
        <v>103</v>
      </c>
      <c r="H4985" t="s">
        <v>99</v>
      </c>
      <c r="I4985" t="s">
        <v>104</v>
      </c>
      <c r="J4985" t="s">
        <v>99</v>
      </c>
    </row>
    <row r="4986" spans="1:15" x14ac:dyDescent="0.3">
      <c r="A4986" t="s">
        <v>36</v>
      </c>
      <c r="B4986">
        <v>2305</v>
      </c>
      <c r="C4986" t="s">
        <v>368</v>
      </c>
      <c r="D4986" t="s">
        <v>233</v>
      </c>
      <c r="E4986" t="s">
        <v>543</v>
      </c>
      <c r="F4986" t="s">
        <v>149</v>
      </c>
      <c r="G4986" t="s">
        <v>242</v>
      </c>
      <c r="H4986" t="s">
        <v>104</v>
      </c>
      <c r="I4986" t="s">
        <v>99</v>
      </c>
      <c r="J4986" t="s">
        <v>99</v>
      </c>
    </row>
    <row r="4987" spans="1:15" x14ac:dyDescent="0.3">
      <c r="A4987" t="s">
        <v>34</v>
      </c>
      <c r="B4987">
        <v>2080</v>
      </c>
      <c r="C4987" t="s">
        <v>721</v>
      </c>
      <c r="D4987" t="s">
        <v>109</v>
      </c>
      <c r="E4987" t="s">
        <v>166</v>
      </c>
      <c r="F4987" t="s">
        <v>100</v>
      </c>
      <c r="G4987" t="s">
        <v>120</v>
      </c>
      <c r="H4987" t="s">
        <v>104</v>
      </c>
      <c r="I4987" t="s">
        <v>99</v>
      </c>
      <c r="J4987" t="s">
        <v>99</v>
      </c>
    </row>
    <row r="4988" spans="1:15" x14ac:dyDescent="0.3">
      <c r="A4988" t="s">
        <v>33</v>
      </c>
      <c r="B4988">
        <v>1937</v>
      </c>
      <c r="C4988" t="s">
        <v>805</v>
      </c>
      <c r="D4988" t="s">
        <v>287</v>
      </c>
      <c r="E4988" t="s">
        <v>261</v>
      </c>
      <c r="F4988" t="s">
        <v>108</v>
      </c>
      <c r="G4988" t="s">
        <v>109</v>
      </c>
      <c r="H4988" t="s">
        <v>99</v>
      </c>
      <c r="I4988" t="s">
        <v>99</v>
      </c>
      <c r="J4988" t="s">
        <v>104</v>
      </c>
    </row>
    <row r="4989" spans="1:15" x14ac:dyDescent="0.3">
      <c r="A4989" t="s">
        <v>49</v>
      </c>
      <c r="B4989">
        <v>13318</v>
      </c>
      <c r="C4989" t="s">
        <v>357</v>
      </c>
      <c r="D4989" t="s">
        <v>251</v>
      </c>
      <c r="E4989" t="s">
        <v>460</v>
      </c>
      <c r="F4989" t="s">
        <v>127</v>
      </c>
      <c r="G4989" t="s">
        <v>155</v>
      </c>
      <c r="H4989" t="s">
        <v>99</v>
      </c>
      <c r="I4989" t="s">
        <v>104</v>
      </c>
      <c r="J4989" t="s">
        <v>99</v>
      </c>
    </row>
    <row r="4991" spans="1:15" x14ac:dyDescent="0.3">
      <c r="A4991" t="s">
        <v>1638</v>
      </c>
    </row>
    <row r="4992" spans="1:15" x14ac:dyDescent="0.3">
      <c r="A4992" t="s">
        <v>44</v>
      </c>
      <c r="B4992" t="s">
        <v>235</v>
      </c>
      <c r="C4992" t="s">
        <v>32</v>
      </c>
      <c r="D4992" t="s">
        <v>1632</v>
      </c>
      <c r="E4992" t="s">
        <v>1633</v>
      </c>
      <c r="F4992" t="s">
        <v>1634</v>
      </c>
      <c r="G4992" t="s">
        <v>1635</v>
      </c>
      <c r="H4992" t="s">
        <v>1636</v>
      </c>
      <c r="I4992" t="s">
        <v>88</v>
      </c>
      <c r="J4992" t="s">
        <v>83</v>
      </c>
      <c r="K4992" t="s">
        <v>1637</v>
      </c>
    </row>
    <row r="4993" spans="1:11" x14ac:dyDescent="0.3">
      <c r="A4993" t="s">
        <v>35</v>
      </c>
      <c r="B4993" t="s">
        <v>236</v>
      </c>
      <c r="C4993">
        <v>1607</v>
      </c>
      <c r="D4993" t="s">
        <v>1105</v>
      </c>
      <c r="E4993" t="s">
        <v>1044</v>
      </c>
      <c r="F4993" t="s">
        <v>424</v>
      </c>
      <c r="G4993" t="s">
        <v>215</v>
      </c>
      <c r="H4993" t="s">
        <v>138</v>
      </c>
      <c r="I4993" t="s">
        <v>104</v>
      </c>
      <c r="J4993" t="s">
        <v>104</v>
      </c>
      <c r="K4993" t="s">
        <v>99</v>
      </c>
    </row>
    <row r="4994" spans="1:11" x14ac:dyDescent="0.3">
      <c r="A4994" t="s">
        <v>35</v>
      </c>
      <c r="B4994" t="s">
        <v>238</v>
      </c>
      <c r="C4994">
        <v>1534</v>
      </c>
      <c r="D4994" t="s">
        <v>139</v>
      </c>
      <c r="E4994" t="s">
        <v>138</v>
      </c>
      <c r="F4994" t="s">
        <v>413</v>
      </c>
      <c r="G4994" t="s">
        <v>319</v>
      </c>
      <c r="H4994" t="s">
        <v>292</v>
      </c>
      <c r="I4994" t="s">
        <v>99</v>
      </c>
      <c r="J4994" t="s">
        <v>99</v>
      </c>
      <c r="K4994" t="s">
        <v>99</v>
      </c>
    </row>
    <row r="4995" spans="1:11" x14ac:dyDescent="0.3">
      <c r="A4995" t="s">
        <v>37</v>
      </c>
      <c r="B4995" t="s">
        <v>236</v>
      </c>
      <c r="C4995">
        <v>2211</v>
      </c>
      <c r="D4995" t="s">
        <v>1232</v>
      </c>
      <c r="E4995" t="s">
        <v>423</v>
      </c>
      <c r="F4995" t="s">
        <v>581</v>
      </c>
      <c r="G4995" t="s">
        <v>154</v>
      </c>
      <c r="H4995" t="s">
        <v>316</v>
      </c>
      <c r="I4995" t="s">
        <v>99</v>
      </c>
      <c r="J4995" t="s">
        <v>198</v>
      </c>
      <c r="K4995" t="s">
        <v>99</v>
      </c>
    </row>
    <row r="4996" spans="1:11" x14ac:dyDescent="0.3">
      <c r="A4996" t="s">
        <v>37</v>
      </c>
      <c r="B4996" t="s">
        <v>238</v>
      </c>
      <c r="C4996">
        <v>1644</v>
      </c>
      <c r="D4996" t="s">
        <v>118</v>
      </c>
      <c r="E4996" t="s">
        <v>151</v>
      </c>
      <c r="F4996" t="s">
        <v>776</v>
      </c>
      <c r="G4996" t="s">
        <v>136</v>
      </c>
      <c r="H4996" t="s">
        <v>117</v>
      </c>
      <c r="I4996" t="s">
        <v>99</v>
      </c>
      <c r="J4996" t="s">
        <v>99</v>
      </c>
      <c r="K4996" t="s">
        <v>99</v>
      </c>
    </row>
    <row r="4997" spans="1:11" x14ac:dyDescent="0.3">
      <c r="A4997" t="s">
        <v>36</v>
      </c>
      <c r="B4997" t="s">
        <v>236</v>
      </c>
      <c r="C4997">
        <v>1566</v>
      </c>
      <c r="D4997" t="s">
        <v>540</v>
      </c>
      <c r="E4997" t="s">
        <v>131</v>
      </c>
      <c r="F4997" t="s">
        <v>1257</v>
      </c>
      <c r="G4997" t="s">
        <v>292</v>
      </c>
      <c r="H4997" t="s">
        <v>155</v>
      </c>
      <c r="I4997" t="s">
        <v>198</v>
      </c>
      <c r="J4997" t="s">
        <v>99</v>
      </c>
      <c r="K4997" t="s">
        <v>104</v>
      </c>
    </row>
    <row r="4998" spans="1:11" x14ac:dyDescent="0.3">
      <c r="A4998" t="s">
        <v>36</v>
      </c>
      <c r="B4998" t="s">
        <v>238</v>
      </c>
      <c r="C4998">
        <v>739</v>
      </c>
      <c r="D4998" t="s">
        <v>110</v>
      </c>
      <c r="E4998" t="s">
        <v>268</v>
      </c>
      <c r="F4998" t="s">
        <v>331</v>
      </c>
      <c r="G4998" t="s">
        <v>663</v>
      </c>
      <c r="H4998" t="s">
        <v>144</v>
      </c>
      <c r="I4998" t="s">
        <v>99</v>
      </c>
      <c r="J4998" t="s">
        <v>99</v>
      </c>
      <c r="K4998" t="s">
        <v>99</v>
      </c>
    </row>
    <row r="4999" spans="1:11" x14ac:dyDescent="0.3">
      <c r="A4999" t="s">
        <v>34</v>
      </c>
      <c r="B4999" t="s">
        <v>236</v>
      </c>
      <c r="C4999">
        <v>717</v>
      </c>
      <c r="D4999" t="s">
        <v>834</v>
      </c>
      <c r="E4999" t="s">
        <v>355</v>
      </c>
      <c r="F4999" t="s">
        <v>608</v>
      </c>
      <c r="G4999" t="s">
        <v>101</v>
      </c>
      <c r="H4999" t="s">
        <v>157</v>
      </c>
      <c r="I4999" t="s">
        <v>99</v>
      </c>
      <c r="J4999" t="s">
        <v>104</v>
      </c>
      <c r="K4999" t="s">
        <v>99</v>
      </c>
    </row>
    <row r="5000" spans="1:11" x14ac:dyDescent="0.3">
      <c r="A5000" t="s">
        <v>34</v>
      </c>
      <c r="B5000" t="s">
        <v>238</v>
      </c>
      <c r="C5000">
        <v>1363</v>
      </c>
      <c r="D5000" t="s">
        <v>124</v>
      </c>
      <c r="E5000" t="s">
        <v>110</v>
      </c>
      <c r="F5000" t="s">
        <v>782</v>
      </c>
      <c r="G5000" t="s">
        <v>114</v>
      </c>
      <c r="H5000" t="s">
        <v>128</v>
      </c>
      <c r="I5000" t="s">
        <v>198</v>
      </c>
      <c r="J5000" t="s">
        <v>99</v>
      </c>
      <c r="K5000" t="s">
        <v>99</v>
      </c>
    </row>
    <row r="5001" spans="1:11" x14ac:dyDescent="0.3">
      <c r="A5001" t="s">
        <v>33</v>
      </c>
      <c r="B5001" t="s">
        <v>236</v>
      </c>
      <c r="C5001">
        <v>1116</v>
      </c>
      <c r="D5001" t="s">
        <v>553</v>
      </c>
      <c r="E5001" t="s">
        <v>501</v>
      </c>
      <c r="F5001" t="s">
        <v>1192</v>
      </c>
      <c r="G5001" t="s">
        <v>319</v>
      </c>
      <c r="H5001" t="s">
        <v>332</v>
      </c>
      <c r="I5001" t="s">
        <v>99</v>
      </c>
      <c r="J5001" t="s">
        <v>99</v>
      </c>
      <c r="K5001" t="s">
        <v>198</v>
      </c>
    </row>
    <row r="5002" spans="1:11" x14ac:dyDescent="0.3">
      <c r="A5002" t="s">
        <v>33</v>
      </c>
      <c r="B5002" t="s">
        <v>238</v>
      </c>
      <c r="C5002">
        <v>821</v>
      </c>
      <c r="D5002" t="s">
        <v>150</v>
      </c>
      <c r="E5002" t="s">
        <v>117</v>
      </c>
      <c r="F5002" t="s">
        <v>162</v>
      </c>
      <c r="G5002" t="s">
        <v>136</v>
      </c>
      <c r="H5002" t="s">
        <v>262</v>
      </c>
      <c r="I5002" t="s">
        <v>99</v>
      </c>
      <c r="J5002" t="s">
        <v>99</v>
      </c>
      <c r="K5002" t="s">
        <v>99</v>
      </c>
    </row>
    <row r="5003" spans="1:11" x14ac:dyDescent="0.3">
      <c r="A5003" t="s">
        <v>49</v>
      </c>
      <c r="B5003" t="s">
        <v>236</v>
      </c>
      <c r="C5003">
        <v>7217</v>
      </c>
      <c r="D5003" t="s">
        <v>729</v>
      </c>
      <c r="E5003" t="s">
        <v>298</v>
      </c>
      <c r="F5003" t="s">
        <v>1363</v>
      </c>
      <c r="G5003" t="s">
        <v>268</v>
      </c>
      <c r="H5003" t="s">
        <v>157</v>
      </c>
      <c r="I5003" t="s">
        <v>99</v>
      </c>
      <c r="J5003" t="s">
        <v>104</v>
      </c>
      <c r="K5003" t="s">
        <v>99</v>
      </c>
    </row>
    <row r="5004" spans="1:11" x14ac:dyDescent="0.3">
      <c r="A5004" t="s">
        <v>49</v>
      </c>
      <c r="B5004" t="s">
        <v>238</v>
      </c>
      <c r="C5004">
        <v>6101</v>
      </c>
      <c r="D5004" t="s">
        <v>242</v>
      </c>
      <c r="E5004" t="s">
        <v>107</v>
      </c>
      <c r="F5004" t="s">
        <v>367</v>
      </c>
      <c r="G5004" t="s">
        <v>319</v>
      </c>
      <c r="H5004" t="s">
        <v>134</v>
      </c>
      <c r="I5004" t="s">
        <v>99</v>
      </c>
      <c r="J5004" t="s">
        <v>99</v>
      </c>
      <c r="K5004" t="s">
        <v>99</v>
      </c>
    </row>
    <row r="5006" spans="1:11" x14ac:dyDescent="0.3">
      <c r="A5006" t="s">
        <v>1639</v>
      </c>
    </row>
    <row r="5007" spans="1:11" x14ac:dyDescent="0.3">
      <c r="A5007" t="s">
        <v>44</v>
      </c>
      <c r="B5007" t="s">
        <v>1335</v>
      </c>
      <c r="C5007" t="s">
        <v>32</v>
      </c>
      <c r="D5007" t="s">
        <v>1632</v>
      </c>
      <c r="E5007" t="s">
        <v>1633</v>
      </c>
      <c r="F5007" t="s">
        <v>1634</v>
      </c>
      <c r="G5007" t="s">
        <v>1635</v>
      </c>
      <c r="H5007" t="s">
        <v>1636</v>
      </c>
      <c r="I5007" t="s">
        <v>88</v>
      </c>
      <c r="J5007" t="s">
        <v>83</v>
      </c>
      <c r="K5007" t="s">
        <v>1637</v>
      </c>
    </row>
    <row r="5008" spans="1:11" x14ac:dyDescent="0.3">
      <c r="A5008" t="s">
        <v>35</v>
      </c>
      <c r="B5008" t="s">
        <v>1336</v>
      </c>
      <c r="C5008">
        <v>2091</v>
      </c>
      <c r="D5008" t="s">
        <v>291</v>
      </c>
      <c r="E5008" t="s">
        <v>401</v>
      </c>
      <c r="F5008" t="s">
        <v>377</v>
      </c>
      <c r="G5008" t="s">
        <v>123</v>
      </c>
      <c r="H5008" t="s">
        <v>268</v>
      </c>
      <c r="I5008" t="s">
        <v>99</v>
      </c>
      <c r="J5008" t="s">
        <v>104</v>
      </c>
      <c r="K5008" t="s">
        <v>99</v>
      </c>
    </row>
    <row r="5009" spans="1:11" x14ac:dyDescent="0.3">
      <c r="A5009" t="s">
        <v>35</v>
      </c>
      <c r="B5009" t="s">
        <v>1338</v>
      </c>
      <c r="C5009">
        <v>246</v>
      </c>
      <c r="D5009" t="s">
        <v>672</v>
      </c>
      <c r="E5009" t="s">
        <v>133</v>
      </c>
      <c r="F5009" t="s">
        <v>221</v>
      </c>
      <c r="G5009" t="s">
        <v>127</v>
      </c>
      <c r="H5009" t="s">
        <v>268</v>
      </c>
      <c r="I5009" t="s">
        <v>99</v>
      </c>
      <c r="J5009" t="s">
        <v>99</v>
      </c>
      <c r="K5009" t="s">
        <v>99</v>
      </c>
    </row>
    <row r="5010" spans="1:11" x14ac:dyDescent="0.3">
      <c r="A5010" t="s">
        <v>35</v>
      </c>
      <c r="B5010" t="s">
        <v>1339</v>
      </c>
      <c r="C5010">
        <v>804</v>
      </c>
      <c r="D5010" t="s">
        <v>311</v>
      </c>
      <c r="E5010" t="s">
        <v>353</v>
      </c>
      <c r="F5010" t="s">
        <v>409</v>
      </c>
      <c r="G5010" t="s">
        <v>136</v>
      </c>
      <c r="H5010" t="s">
        <v>128</v>
      </c>
      <c r="I5010" t="s">
        <v>99</v>
      </c>
      <c r="J5010" t="s">
        <v>99</v>
      </c>
      <c r="K5010" t="s">
        <v>99</v>
      </c>
    </row>
    <row r="5011" spans="1:11" x14ac:dyDescent="0.3">
      <c r="A5011" t="s">
        <v>37</v>
      </c>
      <c r="B5011" t="s">
        <v>1336</v>
      </c>
      <c r="C5011">
        <v>2494</v>
      </c>
      <c r="D5011" t="s">
        <v>683</v>
      </c>
      <c r="E5011" t="s">
        <v>680</v>
      </c>
      <c r="F5011" t="s">
        <v>462</v>
      </c>
      <c r="G5011" t="s">
        <v>268</v>
      </c>
      <c r="H5011" t="s">
        <v>316</v>
      </c>
      <c r="I5011" t="s">
        <v>99</v>
      </c>
      <c r="J5011" t="s">
        <v>104</v>
      </c>
      <c r="K5011" t="s">
        <v>99</v>
      </c>
    </row>
    <row r="5012" spans="1:11" x14ac:dyDescent="0.3">
      <c r="A5012" t="s">
        <v>37</v>
      </c>
      <c r="B5012" t="s">
        <v>1338</v>
      </c>
      <c r="C5012">
        <v>433</v>
      </c>
      <c r="D5012" t="s">
        <v>736</v>
      </c>
      <c r="E5012" t="s">
        <v>536</v>
      </c>
      <c r="F5012" t="s">
        <v>1457</v>
      </c>
      <c r="G5012" t="s">
        <v>128</v>
      </c>
      <c r="H5012" t="s">
        <v>105</v>
      </c>
      <c r="I5012" t="s">
        <v>99</v>
      </c>
      <c r="J5012" t="s">
        <v>198</v>
      </c>
      <c r="K5012" t="s">
        <v>99</v>
      </c>
    </row>
    <row r="5013" spans="1:11" x14ac:dyDescent="0.3">
      <c r="A5013" t="s">
        <v>37</v>
      </c>
      <c r="B5013" t="s">
        <v>1339</v>
      </c>
      <c r="C5013">
        <v>928</v>
      </c>
      <c r="D5013" t="s">
        <v>868</v>
      </c>
      <c r="E5013" t="s">
        <v>811</v>
      </c>
      <c r="F5013" t="s">
        <v>985</v>
      </c>
      <c r="G5013" t="s">
        <v>127</v>
      </c>
      <c r="H5013" t="s">
        <v>151</v>
      </c>
      <c r="I5013" t="s">
        <v>99</v>
      </c>
      <c r="J5013" t="s">
        <v>198</v>
      </c>
      <c r="K5013" t="s">
        <v>99</v>
      </c>
    </row>
    <row r="5014" spans="1:11" x14ac:dyDescent="0.3">
      <c r="A5014" t="s">
        <v>36</v>
      </c>
      <c r="B5014" t="s">
        <v>1336</v>
      </c>
      <c r="C5014">
        <v>1515</v>
      </c>
      <c r="D5014" t="s">
        <v>321</v>
      </c>
      <c r="E5014" t="s">
        <v>716</v>
      </c>
      <c r="F5014" t="s">
        <v>908</v>
      </c>
      <c r="G5014" t="s">
        <v>474</v>
      </c>
      <c r="H5014" t="s">
        <v>98</v>
      </c>
      <c r="I5014" t="s">
        <v>99</v>
      </c>
      <c r="J5014" t="s">
        <v>99</v>
      </c>
      <c r="K5014" t="s">
        <v>99</v>
      </c>
    </row>
    <row r="5015" spans="1:11" x14ac:dyDescent="0.3">
      <c r="A5015" t="s">
        <v>36</v>
      </c>
      <c r="B5015" t="s">
        <v>1338</v>
      </c>
      <c r="C5015">
        <v>235</v>
      </c>
      <c r="D5015" t="s">
        <v>737</v>
      </c>
      <c r="E5015" t="s">
        <v>369</v>
      </c>
      <c r="F5015" t="s">
        <v>1226</v>
      </c>
      <c r="G5015" t="s">
        <v>138</v>
      </c>
      <c r="H5015" t="s">
        <v>149</v>
      </c>
      <c r="I5015" t="s">
        <v>132</v>
      </c>
      <c r="J5015" t="s">
        <v>99</v>
      </c>
      <c r="K5015" t="s">
        <v>99</v>
      </c>
    </row>
    <row r="5016" spans="1:11" x14ac:dyDescent="0.3">
      <c r="A5016" t="s">
        <v>36</v>
      </c>
      <c r="B5016" t="s">
        <v>1339</v>
      </c>
      <c r="C5016">
        <v>555</v>
      </c>
      <c r="D5016" t="s">
        <v>708</v>
      </c>
      <c r="E5016" t="s">
        <v>379</v>
      </c>
      <c r="F5016" t="s">
        <v>784</v>
      </c>
      <c r="G5016" t="s">
        <v>74</v>
      </c>
      <c r="H5016" t="s">
        <v>134</v>
      </c>
      <c r="I5016" t="s">
        <v>99</v>
      </c>
      <c r="J5016" t="s">
        <v>99</v>
      </c>
      <c r="K5016" t="s">
        <v>99</v>
      </c>
    </row>
    <row r="5017" spans="1:11" x14ac:dyDescent="0.3">
      <c r="A5017" t="s">
        <v>34</v>
      </c>
      <c r="B5017" t="s">
        <v>1336</v>
      </c>
      <c r="C5017">
        <v>1346</v>
      </c>
      <c r="D5017" t="s">
        <v>677</v>
      </c>
      <c r="E5017" t="s">
        <v>254</v>
      </c>
      <c r="F5017" t="s">
        <v>1276</v>
      </c>
      <c r="G5017" t="s">
        <v>132</v>
      </c>
      <c r="H5017" t="s">
        <v>105</v>
      </c>
      <c r="I5017" t="s">
        <v>99</v>
      </c>
      <c r="J5017" t="s">
        <v>99</v>
      </c>
      <c r="K5017" t="s">
        <v>99</v>
      </c>
    </row>
    <row r="5018" spans="1:11" x14ac:dyDescent="0.3">
      <c r="A5018" t="s">
        <v>34</v>
      </c>
      <c r="B5018" t="s">
        <v>1338</v>
      </c>
      <c r="C5018">
        <v>134</v>
      </c>
      <c r="D5018" t="s">
        <v>298</v>
      </c>
      <c r="E5018" t="s">
        <v>716</v>
      </c>
      <c r="F5018" t="s">
        <v>477</v>
      </c>
      <c r="G5018" t="s">
        <v>292</v>
      </c>
      <c r="H5018" t="s">
        <v>105</v>
      </c>
      <c r="I5018" t="s">
        <v>99</v>
      </c>
      <c r="J5018" t="s">
        <v>99</v>
      </c>
      <c r="K5018" t="s">
        <v>99</v>
      </c>
    </row>
    <row r="5019" spans="1:11" x14ac:dyDescent="0.3">
      <c r="A5019" t="s">
        <v>34</v>
      </c>
      <c r="B5019" t="s">
        <v>1339</v>
      </c>
      <c r="C5019">
        <v>600</v>
      </c>
      <c r="D5019" t="s">
        <v>315</v>
      </c>
      <c r="E5019" t="s">
        <v>135</v>
      </c>
      <c r="F5019" t="s">
        <v>232</v>
      </c>
      <c r="G5019" t="s">
        <v>319</v>
      </c>
      <c r="H5019" t="s">
        <v>127</v>
      </c>
      <c r="I5019" t="s">
        <v>141</v>
      </c>
      <c r="J5019" t="s">
        <v>104</v>
      </c>
      <c r="K5019" t="s">
        <v>99</v>
      </c>
    </row>
    <row r="5020" spans="1:11" x14ac:dyDescent="0.3">
      <c r="A5020" t="s">
        <v>33</v>
      </c>
      <c r="B5020" t="s">
        <v>1336</v>
      </c>
      <c r="C5020">
        <v>1392</v>
      </c>
      <c r="D5020" t="s">
        <v>281</v>
      </c>
      <c r="E5020" t="s">
        <v>72</v>
      </c>
      <c r="F5020" t="s">
        <v>1640</v>
      </c>
      <c r="G5020" t="s">
        <v>114</v>
      </c>
      <c r="H5020" t="s">
        <v>152</v>
      </c>
      <c r="I5020" t="s">
        <v>99</v>
      </c>
      <c r="J5020" t="s">
        <v>99</v>
      </c>
      <c r="K5020" t="s">
        <v>104</v>
      </c>
    </row>
    <row r="5021" spans="1:11" x14ac:dyDescent="0.3">
      <c r="A5021" t="s">
        <v>33</v>
      </c>
      <c r="B5021" t="s">
        <v>1338</v>
      </c>
      <c r="C5021">
        <v>88</v>
      </c>
      <c r="D5021" t="s">
        <v>704</v>
      </c>
      <c r="E5021" t="s">
        <v>716</v>
      </c>
      <c r="F5021" t="s">
        <v>436</v>
      </c>
      <c r="G5021" t="s">
        <v>100</v>
      </c>
      <c r="H5021" t="s">
        <v>722</v>
      </c>
      <c r="I5021" t="s">
        <v>99</v>
      </c>
      <c r="J5021" t="s">
        <v>99</v>
      </c>
      <c r="K5021" t="s">
        <v>99</v>
      </c>
    </row>
    <row r="5022" spans="1:11" x14ac:dyDescent="0.3">
      <c r="A5022" t="s">
        <v>33</v>
      </c>
      <c r="B5022" t="s">
        <v>1339</v>
      </c>
      <c r="C5022">
        <v>457</v>
      </c>
      <c r="D5022" t="s">
        <v>140</v>
      </c>
      <c r="E5022" t="s">
        <v>718</v>
      </c>
      <c r="F5022" t="s">
        <v>627</v>
      </c>
      <c r="G5022" t="s">
        <v>132</v>
      </c>
      <c r="H5022" t="s">
        <v>145</v>
      </c>
      <c r="I5022" t="s">
        <v>99</v>
      </c>
      <c r="J5022" t="s">
        <v>99</v>
      </c>
      <c r="K5022" t="s">
        <v>99</v>
      </c>
    </row>
    <row r="5023" spans="1:11" x14ac:dyDescent="0.3">
      <c r="A5023" t="s">
        <v>49</v>
      </c>
      <c r="B5023" t="s">
        <v>1336</v>
      </c>
      <c r="C5023">
        <v>8838</v>
      </c>
      <c r="D5023" t="s">
        <v>167</v>
      </c>
      <c r="E5023" t="s">
        <v>182</v>
      </c>
      <c r="F5023" t="s">
        <v>263</v>
      </c>
      <c r="G5023" t="s">
        <v>123</v>
      </c>
      <c r="H5023" t="s">
        <v>154</v>
      </c>
      <c r="I5023" t="s">
        <v>99</v>
      </c>
      <c r="J5023" t="s">
        <v>99</v>
      </c>
      <c r="K5023" t="s">
        <v>99</v>
      </c>
    </row>
    <row r="5024" spans="1:11" x14ac:dyDescent="0.3">
      <c r="A5024" t="s">
        <v>49</v>
      </c>
      <c r="B5024" t="s">
        <v>1338</v>
      </c>
      <c r="C5024">
        <v>1136</v>
      </c>
      <c r="D5024" t="s">
        <v>437</v>
      </c>
      <c r="E5024" t="s">
        <v>294</v>
      </c>
      <c r="F5024" t="s">
        <v>968</v>
      </c>
      <c r="G5024" t="s">
        <v>268</v>
      </c>
      <c r="H5024" t="s">
        <v>118</v>
      </c>
      <c r="I5024" t="s">
        <v>104</v>
      </c>
      <c r="J5024" t="s">
        <v>104</v>
      </c>
      <c r="K5024" t="s">
        <v>99</v>
      </c>
    </row>
    <row r="5025" spans="1:11" x14ac:dyDescent="0.3">
      <c r="A5025" t="s">
        <v>49</v>
      </c>
      <c r="B5025" t="s">
        <v>1339</v>
      </c>
      <c r="C5025">
        <v>3344</v>
      </c>
      <c r="D5025" t="s">
        <v>678</v>
      </c>
      <c r="E5025" t="s">
        <v>449</v>
      </c>
      <c r="F5025" t="s">
        <v>189</v>
      </c>
      <c r="G5025" t="s">
        <v>126</v>
      </c>
      <c r="H5025" t="s">
        <v>107</v>
      </c>
      <c r="I5025" t="s">
        <v>104</v>
      </c>
      <c r="J5025" t="s">
        <v>104</v>
      </c>
      <c r="K5025" t="s">
        <v>99</v>
      </c>
    </row>
    <row r="5027" spans="1:11" x14ac:dyDescent="0.3">
      <c r="A5027" t="s">
        <v>1641</v>
      </c>
    </row>
    <row r="5028" spans="1:11" x14ac:dyDescent="0.3">
      <c r="A5028" t="s">
        <v>44</v>
      </c>
      <c r="B5028" t="s">
        <v>879</v>
      </c>
      <c r="C5028" t="s">
        <v>32</v>
      </c>
      <c r="D5028" t="s">
        <v>1632</v>
      </c>
      <c r="E5028" t="s">
        <v>1633</v>
      </c>
      <c r="F5028" t="s">
        <v>1634</v>
      </c>
      <c r="G5028" t="s">
        <v>1635</v>
      </c>
      <c r="H5028" t="s">
        <v>1636</v>
      </c>
      <c r="I5028" t="s">
        <v>88</v>
      </c>
      <c r="J5028" t="s">
        <v>83</v>
      </c>
      <c r="K5028" t="s">
        <v>1637</v>
      </c>
    </row>
    <row r="5029" spans="1:11" x14ac:dyDescent="0.3">
      <c r="A5029" t="s">
        <v>35</v>
      </c>
      <c r="B5029" t="s">
        <v>880</v>
      </c>
      <c r="C5029">
        <v>595</v>
      </c>
      <c r="D5029" t="s">
        <v>122</v>
      </c>
      <c r="E5029" t="s">
        <v>712</v>
      </c>
      <c r="F5029" t="s">
        <v>79</v>
      </c>
      <c r="G5029" t="s">
        <v>316</v>
      </c>
      <c r="H5029" t="s">
        <v>128</v>
      </c>
      <c r="I5029" t="s">
        <v>99</v>
      </c>
      <c r="J5029" t="s">
        <v>99</v>
      </c>
      <c r="K5029" t="s">
        <v>99</v>
      </c>
    </row>
    <row r="5030" spans="1:11" x14ac:dyDescent="0.3">
      <c r="A5030" t="s">
        <v>35</v>
      </c>
      <c r="B5030" t="s">
        <v>881</v>
      </c>
      <c r="C5030">
        <v>1159</v>
      </c>
      <c r="D5030" t="s">
        <v>167</v>
      </c>
      <c r="E5030" t="s">
        <v>206</v>
      </c>
      <c r="F5030" t="s">
        <v>174</v>
      </c>
      <c r="G5030" t="s">
        <v>121</v>
      </c>
      <c r="H5030" t="s">
        <v>123</v>
      </c>
      <c r="I5030" t="s">
        <v>99</v>
      </c>
      <c r="J5030" t="s">
        <v>99</v>
      </c>
      <c r="K5030" t="s">
        <v>99</v>
      </c>
    </row>
    <row r="5031" spans="1:11" x14ac:dyDescent="0.3">
      <c r="A5031" t="s">
        <v>35</v>
      </c>
      <c r="B5031" t="s">
        <v>882</v>
      </c>
      <c r="C5031">
        <v>1387</v>
      </c>
      <c r="D5031" t="s">
        <v>369</v>
      </c>
      <c r="E5031" t="s">
        <v>664</v>
      </c>
      <c r="F5031" t="s">
        <v>354</v>
      </c>
      <c r="G5031" t="s">
        <v>100</v>
      </c>
      <c r="H5031" t="s">
        <v>128</v>
      </c>
      <c r="I5031" t="s">
        <v>99</v>
      </c>
      <c r="J5031" t="s">
        <v>104</v>
      </c>
      <c r="K5031" t="s">
        <v>99</v>
      </c>
    </row>
    <row r="5032" spans="1:11" x14ac:dyDescent="0.3">
      <c r="A5032" t="s">
        <v>37</v>
      </c>
      <c r="B5032" t="s">
        <v>880</v>
      </c>
      <c r="C5032">
        <v>671</v>
      </c>
      <c r="D5032" t="s">
        <v>746</v>
      </c>
      <c r="E5032" t="s">
        <v>125</v>
      </c>
      <c r="F5032" t="s">
        <v>866</v>
      </c>
      <c r="G5032" t="s">
        <v>121</v>
      </c>
      <c r="H5032" t="s">
        <v>128</v>
      </c>
      <c r="I5032" t="s">
        <v>99</v>
      </c>
      <c r="J5032" t="s">
        <v>207</v>
      </c>
      <c r="K5032" t="s">
        <v>99</v>
      </c>
    </row>
    <row r="5033" spans="1:11" x14ac:dyDescent="0.3">
      <c r="A5033" t="s">
        <v>37</v>
      </c>
      <c r="B5033" t="s">
        <v>881</v>
      </c>
      <c r="C5033">
        <v>1371</v>
      </c>
      <c r="D5033" t="s">
        <v>525</v>
      </c>
      <c r="E5033" t="s">
        <v>1044</v>
      </c>
      <c r="F5033" t="s">
        <v>350</v>
      </c>
      <c r="G5033" t="s">
        <v>147</v>
      </c>
      <c r="H5033" t="s">
        <v>111</v>
      </c>
      <c r="I5033" t="s">
        <v>99</v>
      </c>
      <c r="J5033" t="s">
        <v>104</v>
      </c>
      <c r="K5033" t="s">
        <v>99</v>
      </c>
    </row>
    <row r="5034" spans="1:11" x14ac:dyDescent="0.3">
      <c r="A5034" t="s">
        <v>37</v>
      </c>
      <c r="B5034" t="s">
        <v>882</v>
      </c>
      <c r="C5034">
        <v>1813</v>
      </c>
      <c r="D5034" t="s">
        <v>911</v>
      </c>
      <c r="E5034" t="s">
        <v>291</v>
      </c>
      <c r="F5034" t="s">
        <v>547</v>
      </c>
      <c r="G5034" t="s">
        <v>151</v>
      </c>
      <c r="H5034" t="s">
        <v>128</v>
      </c>
      <c r="I5034" t="s">
        <v>99</v>
      </c>
      <c r="J5034" t="s">
        <v>104</v>
      </c>
      <c r="K5034" t="s">
        <v>99</v>
      </c>
    </row>
    <row r="5035" spans="1:11" x14ac:dyDescent="0.3">
      <c r="A5035" t="s">
        <v>36</v>
      </c>
      <c r="B5035" t="s">
        <v>880</v>
      </c>
      <c r="C5035">
        <v>382</v>
      </c>
      <c r="D5035" t="s">
        <v>163</v>
      </c>
      <c r="E5035" t="s">
        <v>254</v>
      </c>
      <c r="F5035" t="s">
        <v>314</v>
      </c>
      <c r="G5035" t="s">
        <v>135</v>
      </c>
      <c r="H5035" t="s">
        <v>277</v>
      </c>
      <c r="I5035" t="s">
        <v>99</v>
      </c>
      <c r="J5035" t="s">
        <v>99</v>
      </c>
      <c r="K5035" t="s">
        <v>99</v>
      </c>
    </row>
    <row r="5036" spans="1:11" x14ac:dyDescent="0.3">
      <c r="A5036" t="s">
        <v>36</v>
      </c>
      <c r="B5036" t="s">
        <v>881</v>
      </c>
      <c r="C5036">
        <v>866</v>
      </c>
      <c r="D5036" t="s">
        <v>536</v>
      </c>
      <c r="E5036" t="s">
        <v>814</v>
      </c>
      <c r="F5036" t="s">
        <v>1475</v>
      </c>
      <c r="G5036" t="s">
        <v>150</v>
      </c>
      <c r="H5036" t="s">
        <v>124</v>
      </c>
      <c r="I5036" t="s">
        <v>99</v>
      </c>
      <c r="J5036" t="s">
        <v>99</v>
      </c>
      <c r="K5036" t="s">
        <v>104</v>
      </c>
    </row>
    <row r="5037" spans="1:11" x14ac:dyDescent="0.3">
      <c r="A5037" t="s">
        <v>36</v>
      </c>
      <c r="B5037" t="s">
        <v>882</v>
      </c>
      <c r="C5037">
        <v>1057</v>
      </c>
      <c r="D5037" t="s">
        <v>218</v>
      </c>
      <c r="E5037" t="s">
        <v>171</v>
      </c>
      <c r="F5037" t="s">
        <v>612</v>
      </c>
      <c r="G5037" t="s">
        <v>268</v>
      </c>
      <c r="H5037" t="s">
        <v>112</v>
      </c>
      <c r="I5037" t="s">
        <v>198</v>
      </c>
      <c r="J5037" t="s">
        <v>99</v>
      </c>
      <c r="K5037" t="s">
        <v>99</v>
      </c>
    </row>
    <row r="5038" spans="1:11" x14ac:dyDescent="0.3">
      <c r="A5038" t="s">
        <v>34</v>
      </c>
      <c r="B5038" t="s">
        <v>880</v>
      </c>
      <c r="C5038">
        <v>351</v>
      </c>
      <c r="D5038" t="s">
        <v>109</v>
      </c>
      <c r="E5038" t="s">
        <v>138</v>
      </c>
      <c r="F5038" t="s">
        <v>334</v>
      </c>
      <c r="G5038" t="s">
        <v>114</v>
      </c>
      <c r="H5038" t="s">
        <v>111</v>
      </c>
      <c r="I5038" t="s">
        <v>99</v>
      </c>
      <c r="J5038" t="s">
        <v>99</v>
      </c>
      <c r="K5038" t="s">
        <v>99</v>
      </c>
    </row>
    <row r="5039" spans="1:11" x14ac:dyDescent="0.3">
      <c r="A5039" t="s">
        <v>34</v>
      </c>
      <c r="B5039" t="s">
        <v>881</v>
      </c>
      <c r="C5039">
        <v>861</v>
      </c>
      <c r="D5039" t="s">
        <v>444</v>
      </c>
      <c r="E5039" t="s">
        <v>182</v>
      </c>
      <c r="F5039" t="s">
        <v>314</v>
      </c>
      <c r="G5039" t="s">
        <v>108</v>
      </c>
      <c r="H5039" t="s">
        <v>103</v>
      </c>
      <c r="I5039" t="s">
        <v>136</v>
      </c>
      <c r="J5039" t="s">
        <v>104</v>
      </c>
      <c r="K5039" t="s">
        <v>99</v>
      </c>
    </row>
    <row r="5040" spans="1:11" x14ac:dyDescent="0.3">
      <c r="A5040" t="s">
        <v>34</v>
      </c>
      <c r="B5040" t="s">
        <v>882</v>
      </c>
      <c r="C5040">
        <v>868</v>
      </c>
      <c r="D5040" t="s">
        <v>218</v>
      </c>
      <c r="E5040" t="s">
        <v>74</v>
      </c>
      <c r="F5040" t="s">
        <v>1276</v>
      </c>
      <c r="G5040" t="s">
        <v>121</v>
      </c>
      <c r="H5040" t="s">
        <v>138</v>
      </c>
      <c r="I5040" t="s">
        <v>99</v>
      </c>
      <c r="J5040" t="s">
        <v>99</v>
      </c>
      <c r="K5040" t="s">
        <v>99</v>
      </c>
    </row>
    <row r="5041" spans="1:11" x14ac:dyDescent="0.3">
      <c r="A5041" t="s">
        <v>33</v>
      </c>
      <c r="B5041" t="s">
        <v>880</v>
      </c>
      <c r="C5041">
        <v>426</v>
      </c>
      <c r="D5041" t="s">
        <v>303</v>
      </c>
      <c r="E5041" t="s">
        <v>78</v>
      </c>
      <c r="F5041" t="s">
        <v>77</v>
      </c>
      <c r="G5041" t="s">
        <v>198</v>
      </c>
      <c r="H5041" t="s">
        <v>182</v>
      </c>
      <c r="I5041" t="s">
        <v>99</v>
      </c>
      <c r="J5041" t="s">
        <v>99</v>
      </c>
      <c r="K5041" t="s">
        <v>99</v>
      </c>
    </row>
    <row r="5042" spans="1:11" x14ac:dyDescent="0.3">
      <c r="A5042" t="s">
        <v>33</v>
      </c>
      <c r="B5042" t="s">
        <v>881</v>
      </c>
      <c r="C5042">
        <v>682</v>
      </c>
      <c r="D5042" t="s">
        <v>834</v>
      </c>
      <c r="E5042" t="s">
        <v>406</v>
      </c>
      <c r="F5042" t="s">
        <v>280</v>
      </c>
      <c r="G5042" t="s">
        <v>114</v>
      </c>
      <c r="H5042" t="s">
        <v>112</v>
      </c>
      <c r="I5042" t="s">
        <v>99</v>
      </c>
      <c r="J5042" t="s">
        <v>99</v>
      </c>
      <c r="K5042" t="s">
        <v>104</v>
      </c>
    </row>
    <row r="5043" spans="1:11" x14ac:dyDescent="0.3">
      <c r="A5043" t="s">
        <v>33</v>
      </c>
      <c r="B5043" t="s">
        <v>882</v>
      </c>
      <c r="C5043">
        <v>829</v>
      </c>
      <c r="D5043" t="s">
        <v>706</v>
      </c>
      <c r="E5043" t="s">
        <v>248</v>
      </c>
      <c r="F5043" t="s">
        <v>612</v>
      </c>
      <c r="G5043" t="s">
        <v>121</v>
      </c>
      <c r="H5043" t="s">
        <v>70</v>
      </c>
      <c r="I5043" t="s">
        <v>99</v>
      </c>
      <c r="J5043" t="s">
        <v>99</v>
      </c>
      <c r="K5043" t="s">
        <v>104</v>
      </c>
    </row>
    <row r="5044" spans="1:11" x14ac:dyDescent="0.3">
      <c r="A5044" t="s">
        <v>49</v>
      </c>
      <c r="B5044" t="s">
        <v>880</v>
      </c>
      <c r="C5044">
        <v>2425</v>
      </c>
      <c r="D5044" t="s">
        <v>313</v>
      </c>
      <c r="E5044" t="s">
        <v>144</v>
      </c>
      <c r="F5044" t="s">
        <v>172</v>
      </c>
      <c r="G5044" t="s">
        <v>151</v>
      </c>
      <c r="H5044" t="s">
        <v>110</v>
      </c>
      <c r="I5044" t="s">
        <v>99</v>
      </c>
      <c r="J5044" t="s">
        <v>104</v>
      </c>
      <c r="K5044" t="s">
        <v>99</v>
      </c>
    </row>
    <row r="5045" spans="1:11" x14ac:dyDescent="0.3">
      <c r="A5045" t="s">
        <v>49</v>
      </c>
      <c r="B5045" t="s">
        <v>881</v>
      </c>
      <c r="C5045">
        <v>4939</v>
      </c>
      <c r="D5045" t="s">
        <v>690</v>
      </c>
      <c r="E5045" t="s">
        <v>465</v>
      </c>
      <c r="F5045" t="s">
        <v>1079</v>
      </c>
      <c r="G5045" t="s">
        <v>292</v>
      </c>
      <c r="H5045" t="s">
        <v>120</v>
      </c>
      <c r="I5045" t="s">
        <v>104</v>
      </c>
      <c r="J5045" t="s">
        <v>99</v>
      </c>
      <c r="K5045" t="s">
        <v>99</v>
      </c>
    </row>
    <row r="5046" spans="1:11" x14ac:dyDescent="0.3">
      <c r="A5046" t="s">
        <v>49</v>
      </c>
      <c r="B5046" t="s">
        <v>882</v>
      </c>
      <c r="C5046">
        <v>5954</v>
      </c>
      <c r="D5046" t="s">
        <v>38</v>
      </c>
      <c r="E5046" t="s">
        <v>72</v>
      </c>
      <c r="F5046" t="s">
        <v>858</v>
      </c>
      <c r="G5046" t="s">
        <v>126</v>
      </c>
      <c r="H5046" t="s">
        <v>134</v>
      </c>
      <c r="I5046" t="s">
        <v>99</v>
      </c>
      <c r="J5046" t="s">
        <v>104</v>
      </c>
      <c r="K5046" t="s">
        <v>99</v>
      </c>
    </row>
    <row r="5048" spans="1:11" x14ac:dyDescent="0.3">
      <c r="A5048" t="s">
        <v>1642</v>
      </c>
    </row>
    <row r="5049" spans="1:11" x14ac:dyDescent="0.3">
      <c r="A5049" t="s">
        <v>44</v>
      </c>
      <c r="B5049" t="s">
        <v>257</v>
      </c>
      <c r="C5049" t="s">
        <v>32</v>
      </c>
      <c r="D5049" t="s">
        <v>1632</v>
      </c>
      <c r="E5049" t="s">
        <v>1633</v>
      </c>
      <c r="F5049" t="s">
        <v>1634</v>
      </c>
      <c r="G5049" t="s">
        <v>1635</v>
      </c>
      <c r="H5049" t="s">
        <v>1636</v>
      </c>
      <c r="I5049" t="s">
        <v>88</v>
      </c>
      <c r="J5049" t="s">
        <v>83</v>
      </c>
      <c r="K5049" t="s">
        <v>1637</v>
      </c>
    </row>
    <row r="5050" spans="1:11" x14ac:dyDescent="0.3">
      <c r="A5050" t="s">
        <v>35</v>
      </c>
      <c r="B5050" t="s">
        <v>258</v>
      </c>
      <c r="C5050">
        <v>2869</v>
      </c>
      <c r="D5050" t="s">
        <v>171</v>
      </c>
      <c r="E5050" t="s">
        <v>150</v>
      </c>
      <c r="F5050" t="s">
        <v>378</v>
      </c>
      <c r="G5050" t="s">
        <v>101</v>
      </c>
      <c r="H5050" t="s">
        <v>127</v>
      </c>
      <c r="I5050" t="s">
        <v>99</v>
      </c>
      <c r="J5050" t="s">
        <v>104</v>
      </c>
      <c r="K5050" t="s">
        <v>99</v>
      </c>
    </row>
    <row r="5051" spans="1:11" x14ac:dyDescent="0.3">
      <c r="A5051" t="s">
        <v>35</v>
      </c>
      <c r="B5051" t="s">
        <v>260</v>
      </c>
      <c r="C5051">
        <v>272</v>
      </c>
      <c r="D5051" t="s">
        <v>425</v>
      </c>
      <c r="E5051" t="s">
        <v>542</v>
      </c>
      <c r="F5051" t="s">
        <v>1407</v>
      </c>
      <c r="G5051" t="s">
        <v>128</v>
      </c>
      <c r="H5051" t="s">
        <v>78</v>
      </c>
      <c r="I5051" t="s">
        <v>99</v>
      </c>
      <c r="J5051" t="s">
        <v>99</v>
      </c>
      <c r="K5051" t="s">
        <v>99</v>
      </c>
    </row>
    <row r="5052" spans="1:11" x14ac:dyDescent="0.3">
      <c r="A5052" t="s">
        <v>37</v>
      </c>
      <c r="B5052" t="s">
        <v>258</v>
      </c>
      <c r="C5052">
        <v>3855</v>
      </c>
      <c r="D5052" t="s">
        <v>670</v>
      </c>
      <c r="E5052" t="s">
        <v>814</v>
      </c>
      <c r="F5052" t="s">
        <v>1407</v>
      </c>
      <c r="G5052" t="s">
        <v>111</v>
      </c>
      <c r="H5052" t="s">
        <v>103</v>
      </c>
      <c r="I5052" t="s">
        <v>99</v>
      </c>
      <c r="J5052" t="s">
        <v>104</v>
      </c>
      <c r="K5052" t="s">
        <v>99</v>
      </c>
    </row>
    <row r="5053" spans="1:11" x14ac:dyDescent="0.3">
      <c r="A5053" t="s">
        <v>36</v>
      </c>
      <c r="B5053" t="s">
        <v>258</v>
      </c>
      <c r="C5053">
        <v>2100</v>
      </c>
      <c r="D5053" t="s">
        <v>731</v>
      </c>
      <c r="E5053" t="s">
        <v>171</v>
      </c>
      <c r="F5053" t="s">
        <v>908</v>
      </c>
      <c r="G5053" t="s">
        <v>149</v>
      </c>
      <c r="H5053" t="s">
        <v>242</v>
      </c>
      <c r="I5053" t="s">
        <v>104</v>
      </c>
      <c r="J5053" t="s">
        <v>99</v>
      </c>
      <c r="K5053" t="s">
        <v>99</v>
      </c>
    </row>
    <row r="5054" spans="1:11" x14ac:dyDescent="0.3">
      <c r="A5054" t="s">
        <v>36</v>
      </c>
      <c r="B5054" t="s">
        <v>260</v>
      </c>
      <c r="C5054">
        <v>205</v>
      </c>
      <c r="D5054" t="s">
        <v>1157</v>
      </c>
      <c r="E5054" t="s">
        <v>706</v>
      </c>
      <c r="F5054" t="s">
        <v>1368</v>
      </c>
      <c r="G5054" t="s">
        <v>242</v>
      </c>
      <c r="H5054" t="s">
        <v>113</v>
      </c>
      <c r="I5054" t="s">
        <v>141</v>
      </c>
      <c r="J5054" t="s">
        <v>99</v>
      </c>
      <c r="K5054" t="s">
        <v>99</v>
      </c>
    </row>
    <row r="5055" spans="1:11" x14ac:dyDescent="0.3">
      <c r="A5055" t="s">
        <v>34</v>
      </c>
      <c r="B5055" t="s">
        <v>258</v>
      </c>
      <c r="C5055">
        <v>1221</v>
      </c>
      <c r="D5055" t="s">
        <v>220</v>
      </c>
      <c r="E5055" t="s">
        <v>118</v>
      </c>
      <c r="F5055" t="s">
        <v>403</v>
      </c>
      <c r="G5055" t="s">
        <v>207</v>
      </c>
      <c r="H5055" t="s">
        <v>114</v>
      </c>
      <c r="I5055" t="s">
        <v>99</v>
      </c>
      <c r="J5055" t="s">
        <v>99</v>
      </c>
      <c r="K5055" t="s">
        <v>99</v>
      </c>
    </row>
    <row r="5056" spans="1:11" x14ac:dyDescent="0.3">
      <c r="A5056" t="s">
        <v>34</v>
      </c>
      <c r="B5056" t="s">
        <v>260</v>
      </c>
      <c r="C5056">
        <v>859</v>
      </c>
      <c r="D5056" t="s">
        <v>694</v>
      </c>
      <c r="E5056" t="s">
        <v>72</v>
      </c>
      <c r="F5056" t="s">
        <v>854</v>
      </c>
      <c r="G5056" t="s">
        <v>126</v>
      </c>
      <c r="H5056" t="s">
        <v>110</v>
      </c>
      <c r="I5056" t="s">
        <v>198</v>
      </c>
      <c r="J5056" t="s">
        <v>99</v>
      </c>
      <c r="K5056" t="s">
        <v>99</v>
      </c>
    </row>
    <row r="5057" spans="1:11" x14ac:dyDescent="0.3">
      <c r="A5057" t="s">
        <v>33</v>
      </c>
      <c r="B5057" t="s">
        <v>258</v>
      </c>
      <c r="C5057">
        <v>1937</v>
      </c>
      <c r="D5057" t="s">
        <v>805</v>
      </c>
      <c r="E5057" t="s">
        <v>287</v>
      </c>
      <c r="F5057" t="s">
        <v>261</v>
      </c>
      <c r="G5057" t="s">
        <v>108</v>
      </c>
      <c r="H5057" t="s">
        <v>109</v>
      </c>
      <c r="I5057" t="s">
        <v>99</v>
      </c>
      <c r="J5057" t="s">
        <v>99</v>
      </c>
      <c r="K5057" t="s">
        <v>104</v>
      </c>
    </row>
    <row r="5058" spans="1:11" x14ac:dyDescent="0.3">
      <c r="A5058" t="s">
        <v>49</v>
      </c>
      <c r="B5058" t="s">
        <v>258</v>
      </c>
      <c r="C5058">
        <v>11982</v>
      </c>
      <c r="D5058" t="s">
        <v>395</v>
      </c>
      <c r="E5058" t="s">
        <v>251</v>
      </c>
      <c r="F5058" t="s">
        <v>394</v>
      </c>
      <c r="G5058" t="s">
        <v>127</v>
      </c>
      <c r="H5058" t="s">
        <v>105</v>
      </c>
      <c r="I5058" t="s">
        <v>99</v>
      </c>
      <c r="J5058" t="s">
        <v>104</v>
      </c>
      <c r="K5058" t="s">
        <v>99</v>
      </c>
    </row>
    <row r="5059" spans="1:11" x14ac:dyDescent="0.3">
      <c r="A5059" t="s">
        <v>49</v>
      </c>
      <c r="B5059" t="s">
        <v>260</v>
      </c>
      <c r="C5059">
        <v>1336</v>
      </c>
      <c r="D5059" t="s">
        <v>406</v>
      </c>
      <c r="E5059" t="s">
        <v>262</v>
      </c>
      <c r="F5059" t="s">
        <v>176</v>
      </c>
      <c r="G5059" t="s">
        <v>127</v>
      </c>
      <c r="H5059" t="s">
        <v>149</v>
      </c>
      <c r="I5059" t="s">
        <v>198</v>
      </c>
      <c r="J5059" t="s">
        <v>99</v>
      </c>
      <c r="K5059" t="s">
        <v>99</v>
      </c>
    </row>
    <row r="5061" spans="1:11" x14ac:dyDescent="0.3">
      <c r="A5061" t="s">
        <v>1643</v>
      </c>
    </row>
    <row r="5062" spans="1:11" x14ac:dyDescent="0.3">
      <c r="A5062" t="s">
        <v>44</v>
      </c>
      <c r="B5062" t="s">
        <v>32</v>
      </c>
      <c r="C5062" t="s">
        <v>1644</v>
      </c>
      <c r="D5062" t="s">
        <v>1645</v>
      </c>
      <c r="E5062" t="s">
        <v>1646</v>
      </c>
    </row>
    <row r="5063" spans="1:11" x14ac:dyDescent="0.3">
      <c r="A5063" t="s">
        <v>35</v>
      </c>
      <c r="B5063">
        <v>3120</v>
      </c>
      <c r="C5063" t="s">
        <v>152</v>
      </c>
      <c r="D5063" t="s">
        <v>61</v>
      </c>
      <c r="E5063" t="s">
        <v>148</v>
      </c>
    </row>
    <row r="5064" spans="1:11" x14ac:dyDescent="0.3">
      <c r="A5064" t="s">
        <v>37</v>
      </c>
      <c r="B5064">
        <v>3843</v>
      </c>
      <c r="C5064" t="s">
        <v>151</v>
      </c>
      <c r="D5064" t="s">
        <v>1230</v>
      </c>
      <c r="E5064" t="s">
        <v>736</v>
      </c>
    </row>
    <row r="5065" spans="1:11" x14ac:dyDescent="0.3">
      <c r="A5065" t="s">
        <v>36</v>
      </c>
      <c r="B5065">
        <v>2295</v>
      </c>
      <c r="C5065" t="s">
        <v>74</v>
      </c>
      <c r="D5065" t="s">
        <v>917</v>
      </c>
      <c r="E5065" t="s">
        <v>897</v>
      </c>
    </row>
    <row r="5066" spans="1:11" x14ac:dyDescent="0.3">
      <c r="A5066" t="s">
        <v>34</v>
      </c>
      <c r="B5066">
        <v>2046</v>
      </c>
      <c r="C5066" t="s">
        <v>68</v>
      </c>
      <c r="D5066" t="s">
        <v>1119</v>
      </c>
      <c r="E5066" t="s">
        <v>920</v>
      </c>
    </row>
    <row r="5067" spans="1:11" x14ac:dyDescent="0.3">
      <c r="A5067" t="s">
        <v>33</v>
      </c>
      <c r="B5067">
        <v>1932</v>
      </c>
      <c r="C5067" t="s">
        <v>121</v>
      </c>
      <c r="D5067" t="s">
        <v>1457</v>
      </c>
      <c r="E5067" t="s">
        <v>246</v>
      </c>
    </row>
    <row r="5068" spans="1:11" x14ac:dyDescent="0.3">
      <c r="A5068" t="s">
        <v>49</v>
      </c>
      <c r="B5068">
        <v>13236</v>
      </c>
      <c r="C5068" t="s">
        <v>434</v>
      </c>
      <c r="D5068" t="s">
        <v>1155</v>
      </c>
      <c r="E5068" t="s">
        <v>723</v>
      </c>
    </row>
    <row r="5070" spans="1:11" x14ac:dyDescent="0.3">
      <c r="A5070" t="s">
        <v>1647</v>
      </c>
    </row>
    <row r="5071" spans="1:11" x14ac:dyDescent="0.3">
      <c r="A5071" t="s">
        <v>44</v>
      </c>
      <c r="B5071" t="s">
        <v>361</v>
      </c>
      <c r="C5071" t="s">
        <v>32</v>
      </c>
      <c r="D5071" t="s">
        <v>1644</v>
      </c>
      <c r="E5071" t="s">
        <v>1645</v>
      </c>
      <c r="F5071" t="s">
        <v>1646</v>
      </c>
    </row>
    <row r="5072" spans="1:11" x14ac:dyDescent="0.3">
      <c r="A5072" t="s">
        <v>35</v>
      </c>
      <c r="B5072" t="s">
        <v>339</v>
      </c>
      <c r="C5072">
        <v>880</v>
      </c>
      <c r="D5072" t="s">
        <v>721</v>
      </c>
      <c r="E5072" t="s">
        <v>793</v>
      </c>
      <c r="F5072" t="s">
        <v>553</v>
      </c>
    </row>
    <row r="5073" spans="1:6" x14ac:dyDescent="0.3">
      <c r="A5073" t="s">
        <v>35</v>
      </c>
      <c r="B5073" t="s">
        <v>340</v>
      </c>
      <c r="C5073">
        <v>2201</v>
      </c>
      <c r="D5073" t="s">
        <v>434</v>
      </c>
      <c r="E5073" t="s">
        <v>350</v>
      </c>
      <c r="F5073" t="s">
        <v>868</v>
      </c>
    </row>
    <row r="5074" spans="1:6" x14ac:dyDescent="0.3">
      <c r="A5074" t="s">
        <v>35</v>
      </c>
      <c r="B5074" t="s">
        <v>365</v>
      </c>
      <c r="C5074">
        <v>39</v>
      </c>
      <c r="D5074" t="s">
        <v>700</v>
      </c>
      <c r="E5074" t="s">
        <v>874</v>
      </c>
      <c r="F5074" t="s">
        <v>113</v>
      </c>
    </row>
    <row r="5075" spans="1:6" x14ac:dyDescent="0.3">
      <c r="A5075" t="s">
        <v>37</v>
      </c>
      <c r="B5075" t="s">
        <v>339</v>
      </c>
      <c r="C5075">
        <v>1087</v>
      </c>
      <c r="D5075" t="s">
        <v>134</v>
      </c>
      <c r="E5075" t="s">
        <v>498</v>
      </c>
      <c r="F5075" t="s">
        <v>899</v>
      </c>
    </row>
    <row r="5076" spans="1:6" x14ac:dyDescent="0.3">
      <c r="A5076" t="s">
        <v>37</v>
      </c>
      <c r="B5076" t="s">
        <v>340</v>
      </c>
      <c r="C5076">
        <v>2715</v>
      </c>
      <c r="D5076" t="s">
        <v>319</v>
      </c>
      <c r="E5076" t="s">
        <v>1451</v>
      </c>
      <c r="F5076" t="s">
        <v>156</v>
      </c>
    </row>
    <row r="5077" spans="1:6" x14ac:dyDescent="0.3">
      <c r="A5077" t="s">
        <v>37</v>
      </c>
      <c r="B5077" t="s">
        <v>365</v>
      </c>
      <c r="C5077">
        <v>41</v>
      </c>
      <c r="D5077" t="s">
        <v>103</v>
      </c>
      <c r="E5077" t="s">
        <v>1054</v>
      </c>
      <c r="F5077" t="s">
        <v>692</v>
      </c>
    </row>
    <row r="5078" spans="1:6" x14ac:dyDescent="0.3">
      <c r="A5078" t="s">
        <v>36</v>
      </c>
      <c r="B5078" t="s">
        <v>339</v>
      </c>
      <c r="C5078">
        <v>765</v>
      </c>
      <c r="D5078" t="s">
        <v>124</v>
      </c>
      <c r="E5078" t="s">
        <v>1255</v>
      </c>
      <c r="F5078" t="s">
        <v>899</v>
      </c>
    </row>
    <row r="5079" spans="1:6" x14ac:dyDescent="0.3">
      <c r="A5079" t="s">
        <v>36</v>
      </c>
      <c r="B5079" t="s">
        <v>340</v>
      </c>
      <c r="C5079">
        <v>1467</v>
      </c>
      <c r="D5079" t="s">
        <v>663</v>
      </c>
      <c r="E5079" t="s">
        <v>61</v>
      </c>
      <c r="F5079" t="s">
        <v>485</v>
      </c>
    </row>
    <row r="5080" spans="1:6" x14ac:dyDescent="0.3">
      <c r="A5080" t="s">
        <v>36</v>
      </c>
      <c r="B5080" t="s">
        <v>365</v>
      </c>
      <c r="C5080">
        <v>63</v>
      </c>
      <c r="D5080" t="s">
        <v>124</v>
      </c>
      <c r="E5080" t="s">
        <v>623</v>
      </c>
      <c r="F5080" t="s">
        <v>231</v>
      </c>
    </row>
    <row r="5081" spans="1:6" x14ac:dyDescent="0.3">
      <c r="A5081" t="s">
        <v>34</v>
      </c>
      <c r="B5081" t="s">
        <v>339</v>
      </c>
      <c r="C5081">
        <v>540</v>
      </c>
      <c r="D5081" t="s">
        <v>72</v>
      </c>
      <c r="E5081" t="s">
        <v>1002</v>
      </c>
      <c r="F5081" t="s">
        <v>952</v>
      </c>
    </row>
    <row r="5082" spans="1:6" x14ac:dyDescent="0.3">
      <c r="A5082" t="s">
        <v>34</v>
      </c>
      <c r="B5082" t="s">
        <v>340</v>
      </c>
      <c r="C5082">
        <v>1478</v>
      </c>
      <c r="D5082" t="s">
        <v>128</v>
      </c>
      <c r="E5082" t="s">
        <v>53</v>
      </c>
      <c r="F5082" t="s">
        <v>307</v>
      </c>
    </row>
    <row r="5083" spans="1:6" x14ac:dyDescent="0.3">
      <c r="A5083" t="s">
        <v>34</v>
      </c>
      <c r="B5083" t="s">
        <v>365</v>
      </c>
      <c r="C5083">
        <v>28</v>
      </c>
      <c r="D5083" t="s">
        <v>677</v>
      </c>
      <c r="E5083" t="s">
        <v>569</v>
      </c>
      <c r="F5083" t="s">
        <v>167</v>
      </c>
    </row>
    <row r="5084" spans="1:6" x14ac:dyDescent="0.3">
      <c r="A5084" t="s">
        <v>33</v>
      </c>
      <c r="B5084" t="s">
        <v>339</v>
      </c>
      <c r="C5084">
        <v>501</v>
      </c>
      <c r="D5084" t="s">
        <v>101</v>
      </c>
      <c r="E5084" t="s">
        <v>516</v>
      </c>
      <c r="F5084" t="s">
        <v>1494</v>
      </c>
    </row>
    <row r="5085" spans="1:6" x14ac:dyDescent="0.3">
      <c r="A5085" t="s">
        <v>33</v>
      </c>
      <c r="B5085" t="s">
        <v>340</v>
      </c>
      <c r="C5085">
        <v>1412</v>
      </c>
      <c r="D5085" t="s">
        <v>121</v>
      </c>
      <c r="E5085" t="s">
        <v>462</v>
      </c>
      <c r="F5085" t="s">
        <v>188</v>
      </c>
    </row>
    <row r="5086" spans="1:6" x14ac:dyDescent="0.3">
      <c r="A5086" t="s">
        <v>33</v>
      </c>
      <c r="B5086" t="s">
        <v>365</v>
      </c>
      <c r="C5086">
        <v>19</v>
      </c>
      <c r="D5086" t="s">
        <v>99</v>
      </c>
      <c r="E5086" t="s">
        <v>75</v>
      </c>
      <c r="F5086" t="s">
        <v>74</v>
      </c>
    </row>
    <row r="5087" spans="1:6" x14ac:dyDescent="0.3">
      <c r="A5087" t="s">
        <v>49</v>
      </c>
      <c r="B5087" t="s">
        <v>339</v>
      </c>
      <c r="C5087">
        <v>3773</v>
      </c>
      <c r="D5087" t="s">
        <v>664</v>
      </c>
      <c r="E5087" t="s">
        <v>1386</v>
      </c>
      <c r="F5087" t="s">
        <v>817</v>
      </c>
    </row>
    <row r="5088" spans="1:6" x14ac:dyDescent="0.3">
      <c r="A5088" t="s">
        <v>49</v>
      </c>
      <c r="B5088" t="s">
        <v>340</v>
      </c>
      <c r="C5088">
        <v>9273</v>
      </c>
      <c r="D5088" t="s">
        <v>120</v>
      </c>
      <c r="E5088" t="s">
        <v>1279</v>
      </c>
      <c r="F5088" t="s">
        <v>1053</v>
      </c>
    </row>
    <row r="5089" spans="1:6" x14ac:dyDescent="0.3">
      <c r="A5089" t="s">
        <v>49</v>
      </c>
      <c r="B5089" t="s">
        <v>365</v>
      </c>
      <c r="C5089">
        <v>190</v>
      </c>
      <c r="D5089" t="s">
        <v>72</v>
      </c>
      <c r="E5089" t="s">
        <v>1132</v>
      </c>
      <c r="F5089" t="s">
        <v>465</v>
      </c>
    </row>
    <row r="5091" spans="1:6" x14ac:dyDescent="0.3">
      <c r="A5091" t="s">
        <v>1648</v>
      </c>
    </row>
    <row r="5092" spans="1:6" x14ac:dyDescent="0.3">
      <c r="A5092" t="s">
        <v>44</v>
      </c>
      <c r="B5092" t="s">
        <v>209</v>
      </c>
      <c r="C5092" t="s">
        <v>32</v>
      </c>
      <c r="D5092" t="s">
        <v>1644</v>
      </c>
      <c r="E5092" t="s">
        <v>1645</v>
      </c>
      <c r="F5092" t="s">
        <v>1646</v>
      </c>
    </row>
    <row r="5093" spans="1:6" x14ac:dyDescent="0.3">
      <c r="A5093" t="s">
        <v>35</v>
      </c>
      <c r="B5093" t="s">
        <v>210</v>
      </c>
      <c r="C5093">
        <v>134</v>
      </c>
      <c r="D5093" t="s">
        <v>687</v>
      </c>
      <c r="E5093" t="s">
        <v>624</v>
      </c>
      <c r="F5093" t="s">
        <v>578</v>
      </c>
    </row>
    <row r="5094" spans="1:6" x14ac:dyDescent="0.3">
      <c r="A5094" t="s">
        <v>35</v>
      </c>
      <c r="B5094" t="s">
        <v>212</v>
      </c>
      <c r="C5094">
        <v>2427</v>
      </c>
      <c r="D5094" t="s">
        <v>254</v>
      </c>
      <c r="E5094" t="s">
        <v>949</v>
      </c>
      <c r="F5094" t="s">
        <v>795</v>
      </c>
    </row>
    <row r="5095" spans="1:6" x14ac:dyDescent="0.3">
      <c r="A5095" t="s">
        <v>35</v>
      </c>
      <c r="B5095" t="s">
        <v>216</v>
      </c>
      <c r="C5095">
        <v>559</v>
      </c>
      <c r="D5095" t="s">
        <v>204</v>
      </c>
      <c r="E5095" t="s">
        <v>1368</v>
      </c>
      <c r="F5095" t="s">
        <v>838</v>
      </c>
    </row>
    <row r="5096" spans="1:6" x14ac:dyDescent="0.3">
      <c r="A5096" t="s">
        <v>37</v>
      </c>
      <c r="B5096" t="s">
        <v>210</v>
      </c>
      <c r="C5096">
        <v>138</v>
      </c>
      <c r="D5096" t="s">
        <v>117</v>
      </c>
      <c r="E5096" t="s">
        <v>575</v>
      </c>
      <c r="F5096" t="s">
        <v>1157</v>
      </c>
    </row>
    <row r="5097" spans="1:6" x14ac:dyDescent="0.3">
      <c r="A5097" t="s">
        <v>37</v>
      </c>
      <c r="B5097" t="s">
        <v>212</v>
      </c>
      <c r="C5097">
        <v>3594</v>
      </c>
      <c r="D5097" t="s">
        <v>151</v>
      </c>
      <c r="E5097" t="s">
        <v>1327</v>
      </c>
      <c r="F5097" t="s">
        <v>736</v>
      </c>
    </row>
    <row r="5098" spans="1:6" x14ac:dyDescent="0.3">
      <c r="A5098" t="s">
        <v>37</v>
      </c>
      <c r="B5098" t="s">
        <v>216</v>
      </c>
      <c r="C5098">
        <v>111</v>
      </c>
      <c r="D5098" t="s">
        <v>99</v>
      </c>
      <c r="E5098" t="s">
        <v>546</v>
      </c>
      <c r="F5098" t="s">
        <v>545</v>
      </c>
    </row>
    <row r="5099" spans="1:6" x14ac:dyDescent="0.3">
      <c r="A5099" t="s">
        <v>36</v>
      </c>
      <c r="B5099" t="s">
        <v>210</v>
      </c>
      <c r="C5099">
        <v>164</v>
      </c>
      <c r="D5099" t="s">
        <v>182</v>
      </c>
      <c r="E5099" t="s">
        <v>455</v>
      </c>
      <c r="F5099" t="s">
        <v>437</v>
      </c>
    </row>
    <row r="5100" spans="1:6" x14ac:dyDescent="0.3">
      <c r="A5100" t="s">
        <v>36</v>
      </c>
      <c r="B5100" t="s">
        <v>212</v>
      </c>
      <c r="C5100">
        <v>1868</v>
      </c>
      <c r="D5100" t="s">
        <v>158</v>
      </c>
      <c r="E5100" t="s">
        <v>646</v>
      </c>
      <c r="F5100" t="s">
        <v>146</v>
      </c>
    </row>
    <row r="5101" spans="1:6" x14ac:dyDescent="0.3">
      <c r="A5101" t="s">
        <v>36</v>
      </c>
      <c r="B5101" t="s">
        <v>216</v>
      </c>
      <c r="C5101">
        <v>263</v>
      </c>
      <c r="D5101" t="s">
        <v>405</v>
      </c>
      <c r="E5101" t="s">
        <v>962</v>
      </c>
      <c r="F5101" t="s">
        <v>58</v>
      </c>
    </row>
    <row r="5102" spans="1:6" x14ac:dyDescent="0.3">
      <c r="A5102" t="s">
        <v>34</v>
      </c>
      <c r="B5102" t="s">
        <v>210</v>
      </c>
      <c r="C5102">
        <v>252</v>
      </c>
      <c r="D5102" t="s">
        <v>328</v>
      </c>
      <c r="E5102" t="s">
        <v>935</v>
      </c>
      <c r="F5102" t="s">
        <v>545</v>
      </c>
    </row>
    <row r="5103" spans="1:6" x14ac:dyDescent="0.3">
      <c r="A5103" t="s">
        <v>34</v>
      </c>
      <c r="B5103" t="s">
        <v>212</v>
      </c>
      <c r="C5103">
        <v>1558</v>
      </c>
      <c r="D5103" t="s">
        <v>138</v>
      </c>
      <c r="E5103" t="s">
        <v>1124</v>
      </c>
      <c r="F5103" t="s">
        <v>517</v>
      </c>
    </row>
    <row r="5104" spans="1:6" x14ac:dyDescent="0.3">
      <c r="A5104" t="s">
        <v>34</v>
      </c>
      <c r="B5104" t="s">
        <v>216</v>
      </c>
      <c r="C5104">
        <v>236</v>
      </c>
      <c r="D5104" t="s">
        <v>163</v>
      </c>
      <c r="E5104" t="s">
        <v>584</v>
      </c>
      <c r="F5104" t="s">
        <v>906</v>
      </c>
    </row>
    <row r="5105" spans="1:6" x14ac:dyDescent="0.3">
      <c r="A5105" t="s">
        <v>33</v>
      </c>
      <c r="B5105" t="s">
        <v>210</v>
      </c>
      <c r="C5105">
        <v>68</v>
      </c>
      <c r="D5105" t="s">
        <v>101</v>
      </c>
      <c r="E5105" t="s">
        <v>494</v>
      </c>
      <c r="F5105" t="s">
        <v>1414</v>
      </c>
    </row>
    <row r="5106" spans="1:6" x14ac:dyDescent="0.3">
      <c r="A5106" t="s">
        <v>33</v>
      </c>
      <c r="B5106" t="s">
        <v>212</v>
      </c>
      <c r="C5106">
        <v>1795</v>
      </c>
      <c r="D5106" t="s">
        <v>101</v>
      </c>
      <c r="E5106" t="s">
        <v>1457</v>
      </c>
      <c r="F5106" t="s">
        <v>246</v>
      </c>
    </row>
    <row r="5107" spans="1:6" x14ac:dyDescent="0.3">
      <c r="A5107" t="s">
        <v>33</v>
      </c>
      <c r="B5107" t="s">
        <v>216</v>
      </c>
      <c r="C5107">
        <v>69</v>
      </c>
      <c r="D5107" t="s">
        <v>99</v>
      </c>
      <c r="E5107" t="s">
        <v>974</v>
      </c>
      <c r="F5107" t="s">
        <v>741</v>
      </c>
    </row>
    <row r="5108" spans="1:6" x14ac:dyDescent="0.3">
      <c r="A5108" t="s">
        <v>49</v>
      </c>
      <c r="B5108" t="s">
        <v>210</v>
      </c>
      <c r="C5108">
        <v>756</v>
      </c>
      <c r="D5108" t="s">
        <v>70</v>
      </c>
      <c r="E5108" t="s">
        <v>863</v>
      </c>
      <c r="F5108" t="s">
        <v>574</v>
      </c>
    </row>
    <row r="5109" spans="1:6" x14ac:dyDescent="0.3">
      <c r="A5109" t="s">
        <v>49</v>
      </c>
      <c r="B5109" t="s">
        <v>212</v>
      </c>
      <c r="C5109">
        <v>11242</v>
      </c>
      <c r="D5109" t="s">
        <v>332</v>
      </c>
      <c r="E5109" t="s">
        <v>997</v>
      </c>
      <c r="F5109" t="s">
        <v>668</v>
      </c>
    </row>
    <row r="5110" spans="1:6" x14ac:dyDescent="0.3">
      <c r="A5110" t="s">
        <v>49</v>
      </c>
      <c r="B5110" t="s">
        <v>216</v>
      </c>
      <c r="C5110">
        <v>1238</v>
      </c>
      <c r="D5110" t="s">
        <v>135</v>
      </c>
      <c r="E5110" t="s">
        <v>1223</v>
      </c>
      <c r="F5110" t="s">
        <v>344</v>
      </c>
    </row>
    <row r="5112" spans="1:6" x14ac:dyDescent="0.3">
      <c r="A5112" t="s">
        <v>1649</v>
      </c>
    </row>
    <row r="5113" spans="1:6" x14ac:dyDescent="0.3">
      <c r="A5113" t="s">
        <v>44</v>
      </c>
      <c r="B5113" t="s">
        <v>388</v>
      </c>
      <c r="C5113" t="s">
        <v>32</v>
      </c>
      <c r="D5113" t="s">
        <v>1644</v>
      </c>
      <c r="E5113" t="s">
        <v>1645</v>
      </c>
      <c r="F5113" t="s">
        <v>1646</v>
      </c>
    </row>
    <row r="5114" spans="1:6" x14ac:dyDescent="0.3">
      <c r="A5114" t="s">
        <v>35</v>
      </c>
      <c r="B5114" t="s">
        <v>389</v>
      </c>
      <c r="C5114">
        <v>2120</v>
      </c>
      <c r="D5114" t="s">
        <v>160</v>
      </c>
      <c r="E5114" t="s">
        <v>1650</v>
      </c>
      <c r="F5114" t="s">
        <v>574</v>
      </c>
    </row>
    <row r="5115" spans="1:6" x14ac:dyDescent="0.3">
      <c r="A5115" t="s">
        <v>35</v>
      </c>
      <c r="B5115" t="s">
        <v>390</v>
      </c>
      <c r="C5115">
        <v>871</v>
      </c>
      <c r="D5115" t="s">
        <v>150</v>
      </c>
      <c r="E5115" t="s">
        <v>445</v>
      </c>
      <c r="F5115" t="s">
        <v>1053</v>
      </c>
    </row>
    <row r="5116" spans="1:6" x14ac:dyDescent="0.3">
      <c r="A5116" t="s">
        <v>35</v>
      </c>
      <c r="B5116" t="s">
        <v>365</v>
      </c>
      <c r="C5116">
        <v>129</v>
      </c>
      <c r="D5116" t="s">
        <v>141</v>
      </c>
      <c r="E5116" t="s">
        <v>1226</v>
      </c>
      <c r="F5116" t="s">
        <v>678</v>
      </c>
    </row>
    <row r="5117" spans="1:6" x14ac:dyDescent="0.3">
      <c r="A5117" t="s">
        <v>37</v>
      </c>
      <c r="B5117" t="s">
        <v>389</v>
      </c>
      <c r="C5117">
        <v>2301</v>
      </c>
      <c r="D5117" t="s">
        <v>292</v>
      </c>
      <c r="E5117" t="s">
        <v>1329</v>
      </c>
      <c r="F5117" t="s">
        <v>1209</v>
      </c>
    </row>
    <row r="5118" spans="1:6" x14ac:dyDescent="0.3">
      <c r="A5118" t="s">
        <v>37</v>
      </c>
      <c r="B5118" t="s">
        <v>390</v>
      </c>
      <c r="C5118">
        <v>1302</v>
      </c>
      <c r="D5118" t="s">
        <v>123</v>
      </c>
      <c r="E5118" t="s">
        <v>308</v>
      </c>
      <c r="F5118" t="s">
        <v>668</v>
      </c>
    </row>
    <row r="5119" spans="1:6" x14ac:dyDescent="0.3">
      <c r="A5119" t="s">
        <v>37</v>
      </c>
      <c r="B5119" t="s">
        <v>365</v>
      </c>
      <c r="C5119">
        <v>240</v>
      </c>
      <c r="D5119" t="s">
        <v>382</v>
      </c>
      <c r="E5119" t="s">
        <v>1187</v>
      </c>
      <c r="F5119" t="s">
        <v>446</v>
      </c>
    </row>
    <row r="5120" spans="1:6" x14ac:dyDescent="0.3">
      <c r="A5120" t="s">
        <v>36</v>
      </c>
      <c r="B5120" t="s">
        <v>389</v>
      </c>
      <c r="C5120">
        <v>1571</v>
      </c>
      <c r="D5120" t="s">
        <v>145</v>
      </c>
      <c r="E5120" t="s">
        <v>282</v>
      </c>
      <c r="F5120" t="s">
        <v>650</v>
      </c>
    </row>
    <row r="5121" spans="1:6" x14ac:dyDescent="0.3">
      <c r="A5121" t="s">
        <v>36</v>
      </c>
      <c r="B5121" t="s">
        <v>390</v>
      </c>
      <c r="C5121">
        <v>625</v>
      </c>
      <c r="D5121" t="s">
        <v>679</v>
      </c>
      <c r="E5121" t="s">
        <v>346</v>
      </c>
      <c r="F5121" t="s">
        <v>347</v>
      </c>
    </row>
    <row r="5122" spans="1:6" x14ac:dyDescent="0.3">
      <c r="A5122" t="s">
        <v>36</v>
      </c>
      <c r="B5122" t="s">
        <v>365</v>
      </c>
      <c r="C5122">
        <v>99</v>
      </c>
      <c r="D5122" t="s">
        <v>141</v>
      </c>
      <c r="E5122" t="s">
        <v>825</v>
      </c>
      <c r="F5122" t="s">
        <v>146</v>
      </c>
    </row>
    <row r="5123" spans="1:6" x14ac:dyDescent="0.3">
      <c r="A5123" t="s">
        <v>34</v>
      </c>
      <c r="B5123" t="s">
        <v>389</v>
      </c>
      <c r="C5123">
        <v>1361</v>
      </c>
      <c r="D5123" t="s">
        <v>144</v>
      </c>
      <c r="E5123" t="s">
        <v>928</v>
      </c>
      <c r="F5123" t="s">
        <v>456</v>
      </c>
    </row>
    <row r="5124" spans="1:6" x14ac:dyDescent="0.3">
      <c r="A5124" t="s">
        <v>34</v>
      </c>
      <c r="B5124" t="s">
        <v>390</v>
      </c>
      <c r="C5124">
        <v>605</v>
      </c>
      <c r="D5124" t="s">
        <v>316</v>
      </c>
      <c r="E5124" t="s">
        <v>1366</v>
      </c>
      <c r="F5124" t="s">
        <v>833</v>
      </c>
    </row>
    <row r="5125" spans="1:6" x14ac:dyDescent="0.3">
      <c r="A5125" t="s">
        <v>34</v>
      </c>
      <c r="B5125" t="s">
        <v>365</v>
      </c>
      <c r="C5125">
        <v>80</v>
      </c>
      <c r="D5125" t="s">
        <v>126</v>
      </c>
      <c r="E5125" t="s">
        <v>472</v>
      </c>
      <c r="F5125" t="s">
        <v>1008</v>
      </c>
    </row>
    <row r="5126" spans="1:6" x14ac:dyDescent="0.3">
      <c r="A5126" t="s">
        <v>33</v>
      </c>
      <c r="B5126" t="s">
        <v>389</v>
      </c>
      <c r="C5126">
        <v>1088</v>
      </c>
      <c r="D5126" t="s">
        <v>319</v>
      </c>
      <c r="E5126" t="s">
        <v>1075</v>
      </c>
      <c r="F5126" t="s">
        <v>540</v>
      </c>
    </row>
    <row r="5127" spans="1:6" x14ac:dyDescent="0.3">
      <c r="A5127" t="s">
        <v>33</v>
      </c>
      <c r="B5127" t="s">
        <v>390</v>
      </c>
      <c r="C5127">
        <v>705</v>
      </c>
      <c r="D5127" t="s">
        <v>100</v>
      </c>
      <c r="E5127" t="s">
        <v>772</v>
      </c>
      <c r="F5127" t="s">
        <v>197</v>
      </c>
    </row>
    <row r="5128" spans="1:6" x14ac:dyDescent="0.3">
      <c r="A5128" t="s">
        <v>33</v>
      </c>
      <c r="B5128" t="s">
        <v>365</v>
      </c>
      <c r="C5128">
        <v>139</v>
      </c>
      <c r="D5128" t="s">
        <v>99</v>
      </c>
      <c r="E5128" t="s">
        <v>649</v>
      </c>
      <c r="F5128" t="s">
        <v>650</v>
      </c>
    </row>
    <row r="5129" spans="1:6" x14ac:dyDescent="0.3">
      <c r="A5129" t="s">
        <v>49</v>
      </c>
      <c r="B5129" t="s">
        <v>389</v>
      </c>
      <c r="C5129">
        <v>8441</v>
      </c>
      <c r="D5129" t="s">
        <v>149</v>
      </c>
      <c r="E5129" t="s">
        <v>1350</v>
      </c>
      <c r="F5129" t="s">
        <v>64</v>
      </c>
    </row>
    <row r="5130" spans="1:6" x14ac:dyDescent="0.3">
      <c r="A5130" t="s">
        <v>49</v>
      </c>
      <c r="B5130" t="s">
        <v>390</v>
      </c>
      <c r="C5130">
        <v>4108</v>
      </c>
      <c r="D5130" t="s">
        <v>154</v>
      </c>
      <c r="E5130" t="s">
        <v>1370</v>
      </c>
      <c r="F5130" t="s">
        <v>696</v>
      </c>
    </row>
    <row r="5131" spans="1:6" x14ac:dyDescent="0.3">
      <c r="A5131" t="s">
        <v>49</v>
      </c>
      <c r="B5131" t="s">
        <v>365</v>
      </c>
      <c r="C5131">
        <v>687</v>
      </c>
      <c r="D5131" t="s">
        <v>108</v>
      </c>
      <c r="E5131" t="s">
        <v>1469</v>
      </c>
      <c r="F5131" t="s">
        <v>156</v>
      </c>
    </row>
    <row r="5133" spans="1:6" x14ac:dyDescent="0.3">
      <c r="A5133" t="s">
        <v>1651</v>
      </c>
    </row>
    <row r="5134" spans="1:6" x14ac:dyDescent="0.3">
      <c r="A5134" t="s">
        <v>44</v>
      </c>
      <c r="B5134" t="s">
        <v>235</v>
      </c>
      <c r="C5134" t="s">
        <v>32</v>
      </c>
      <c r="D5134" t="s">
        <v>1644</v>
      </c>
      <c r="E5134" t="s">
        <v>1645</v>
      </c>
      <c r="F5134" t="s">
        <v>1646</v>
      </c>
    </row>
    <row r="5135" spans="1:6" x14ac:dyDescent="0.3">
      <c r="A5135" t="s">
        <v>35</v>
      </c>
      <c r="B5135" t="s">
        <v>236</v>
      </c>
      <c r="C5135">
        <v>1603</v>
      </c>
      <c r="D5135" t="s">
        <v>157</v>
      </c>
      <c r="E5135" t="s">
        <v>490</v>
      </c>
      <c r="F5135" t="s">
        <v>592</v>
      </c>
    </row>
    <row r="5136" spans="1:6" x14ac:dyDescent="0.3">
      <c r="A5136" t="s">
        <v>35</v>
      </c>
      <c r="B5136" t="s">
        <v>238</v>
      </c>
      <c r="C5136">
        <v>1517</v>
      </c>
      <c r="D5136" t="s">
        <v>305</v>
      </c>
      <c r="E5136" t="s">
        <v>928</v>
      </c>
      <c r="F5136" t="s">
        <v>668</v>
      </c>
    </row>
    <row r="5137" spans="1:51" x14ac:dyDescent="0.3">
      <c r="A5137" t="s">
        <v>37</v>
      </c>
      <c r="B5137" t="s">
        <v>236</v>
      </c>
      <c r="C5137">
        <v>2204</v>
      </c>
      <c r="D5137" t="s">
        <v>268</v>
      </c>
      <c r="E5137" t="s">
        <v>601</v>
      </c>
      <c r="F5137" t="s">
        <v>924</v>
      </c>
    </row>
    <row r="5138" spans="1:51" x14ac:dyDescent="0.3">
      <c r="A5138" t="s">
        <v>37</v>
      </c>
      <c r="B5138" t="s">
        <v>238</v>
      </c>
      <c r="C5138">
        <v>1639</v>
      </c>
      <c r="D5138" t="s">
        <v>382</v>
      </c>
      <c r="E5138" t="s">
        <v>300</v>
      </c>
      <c r="F5138" t="s">
        <v>156</v>
      </c>
    </row>
    <row r="5139" spans="1:51" x14ac:dyDescent="0.3">
      <c r="A5139" t="s">
        <v>36</v>
      </c>
      <c r="B5139" t="s">
        <v>236</v>
      </c>
      <c r="C5139">
        <v>1561</v>
      </c>
      <c r="D5139" t="s">
        <v>122</v>
      </c>
      <c r="E5139" t="s">
        <v>528</v>
      </c>
      <c r="F5139" t="s">
        <v>967</v>
      </c>
    </row>
    <row r="5140" spans="1:51" x14ac:dyDescent="0.3">
      <c r="A5140" t="s">
        <v>36</v>
      </c>
      <c r="B5140" t="s">
        <v>238</v>
      </c>
      <c r="C5140">
        <v>734</v>
      </c>
      <c r="D5140" t="s">
        <v>124</v>
      </c>
      <c r="E5140" t="s">
        <v>922</v>
      </c>
      <c r="F5140" t="s">
        <v>574</v>
      </c>
    </row>
    <row r="5141" spans="1:51" x14ac:dyDescent="0.3">
      <c r="A5141" t="s">
        <v>34</v>
      </c>
      <c r="B5141" t="s">
        <v>236</v>
      </c>
      <c r="C5141">
        <v>706</v>
      </c>
      <c r="D5141" t="s">
        <v>242</v>
      </c>
      <c r="E5141" t="s">
        <v>1474</v>
      </c>
      <c r="F5141" t="s">
        <v>729</v>
      </c>
    </row>
    <row r="5142" spans="1:51" x14ac:dyDescent="0.3">
      <c r="A5142" t="s">
        <v>34</v>
      </c>
      <c r="B5142" t="s">
        <v>238</v>
      </c>
      <c r="C5142">
        <v>1340</v>
      </c>
      <c r="D5142" t="s">
        <v>68</v>
      </c>
      <c r="E5142" t="s">
        <v>915</v>
      </c>
      <c r="F5142" t="s">
        <v>724</v>
      </c>
    </row>
    <row r="5143" spans="1:51" x14ac:dyDescent="0.3">
      <c r="A5143" t="s">
        <v>33</v>
      </c>
      <c r="B5143" t="s">
        <v>236</v>
      </c>
      <c r="C5143">
        <v>1114</v>
      </c>
      <c r="D5143" t="s">
        <v>100</v>
      </c>
      <c r="E5143" t="s">
        <v>302</v>
      </c>
      <c r="F5143" t="s">
        <v>156</v>
      </c>
    </row>
    <row r="5144" spans="1:51" x14ac:dyDescent="0.3">
      <c r="A5144" t="s">
        <v>33</v>
      </c>
      <c r="B5144" t="s">
        <v>238</v>
      </c>
      <c r="C5144">
        <v>818</v>
      </c>
      <c r="D5144" t="s">
        <v>101</v>
      </c>
      <c r="E5144" t="s">
        <v>1170</v>
      </c>
      <c r="F5144" t="s">
        <v>864</v>
      </c>
    </row>
    <row r="5145" spans="1:51" x14ac:dyDescent="0.3">
      <c r="A5145" t="s">
        <v>49</v>
      </c>
      <c r="B5145" t="s">
        <v>236</v>
      </c>
      <c r="C5145">
        <v>7188</v>
      </c>
      <c r="D5145" t="s">
        <v>107</v>
      </c>
      <c r="E5145" t="s">
        <v>490</v>
      </c>
      <c r="F5145" t="s">
        <v>960</v>
      </c>
    </row>
    <row r="5146" spans="1:51" x14ac:dyDescent="0.3">
      <c r="A5146" t="s">
        <v>49</v>
      </c>
      <c r="B5146" t="s">
        <v>238</v>
      </c>
      <c r="C5146">
        <v>6048</v>
      </c>
      <c r="D5146" t="s">
        <v>412</v>
      </c>
      <c r="E5146" t="s">
        <v>1082</v>
      </c>
      <c r="F5146" t="s">
        <v>732</v>
      </c>
    </row>
    <row r="5148" spans="1:51" x14ac:dyDescent="0.3">
      <c r="A5148" t="s">
        <v>1652</v>
      </c>
    </row>
    <row r="5149" spans="1:51" x14ac:dyDescent="0.3">
      <c r="A5149" t="s">
        <v>44</v>
      </c>
      <c r="B5149" t="s">
        <v>1653</v>
      </c>
      <c r="C5149" t="s">
        <v>1654</v>
      </c>
      <c r="D5149" t="s">
        <v>1655</v>
      </c>
      <c r="E5149" t="s">
        <v>1656</v>
      </c>
      <c r="F5149" t="s">
        <v>1657</v>
      </c>
      <c r="G5149" t="s">
        <v>1658</v>
      </c>
      <c r="H5149" t="s">
        <v>1659</v>
      </c>
      <c r="I5149" t="s">
        <v>1660</v>
      </c>
      <c r="J5149" t="s">
        <v>1661</v>
      </c>
      <c r="K5149" t="s">
        <v>1662</v>
      </c>
      <c r="L5149" t="s">
        <v>1663</v>
      </c>
      <c r="M5149" t="s">
        <v>1664</v>
      </c>
      <c r="N5149" t="s">
        <v>1665</v>
      </c>
      <c r="O5149" t="s">
        <v>1666</v>
      </c>
      <c r="P5149" t="s">
        <v>1667</v>
      </c>
      <c r="Q5149" t="s">
        <v>1668</v>
      </c>
      <c r="R5149" t="s">
        <v>1669</v>
      </c>
      <c r="S5149" t="s">
        <v>1670</v>
      </c>
      <c r="T5149" t="s">
        <v>1671</v>
      </c>
      <c r="U5149" t="s">
        <v>1672</v>
      </c>
      <c r="V5149" t="s">
        <v>1673</v>
      </c>
      <c r="W5149" t="s">
        <v>1674</v>
      </c>
      <c r="X5149" t="s">
        <v>1675</v>
      </c>
      <c r="Y5149" t="s">
        <v>1676</v>
      </c>
      <c r="Z5149" t="s">
        <v>1677</v>
      </c>
      <c r="AA5149" t="s">
        <v>1678</v>
      </c>
      <c r="AB5149" t="s">
        <v>1679</v>
      </c>
      <c r="AC5149" t="s">
        <v>1680</v>
      </c>
      <c r="AD5149" t="s">
        <v>1681</v>
      </c>
      <c r="AE5149" t="s">
        <v>1682</v>
      </c>
      <c r="AF5149" t="s">
        <v>1683</v>
      </c>
      <c r="AG5149" t="s">
        <v>1684</v>
      </c>
      <c r="AH5149" t="s">
        <v>1685</v>
      </c>
      <c r="AI5149" t="s">
        <v>1686</v>
      </c>
      <c r="AJ5149" t="s">
        <v>1687</v>
      </c>
      <c r="AK5149" t="s">
        <v>1688</v>
      </c>
      <c r="AL5149" t="s">
        <v>1689</v>
      </c>
      <c r="AM5149" t="s">
        <v>1690</v>
      </c>
      <c r="AN5149" t="s">
        <v>1691</v>
      </c>
      <c r="AO5149" t="s">
        <v>1692</v>
      </c>
      <c r="AP5149" t="s">
        <v>1693</v>
      </c>
      <c r="AQ5149" t="s">
        <v>1694</v>
      </c>
      <c r="AR5149" t="s">
        <v>1695</v>
      </c>
      <c r="AS5149" t="s">
        <v>1696</v>
      </c>
      <c r="AT5149" t="s">
        <v>1697</v>
      </c>
      <c r="AU5149" t="s">
        <v>1698</v>
      </c>
      <c r="AV5149" t="s">
        <v>1699</v>
      </c>
      <c r="AW5149" t="s">
        <v>1700</v>
      </c>
      <c r="AX5149" t="s">
        <v>1701</v>
      </c>
      <c r="AY5149" t="s">
        <v>1702</v>
      </c>
    </row>
    <row r="5150" spans="1:51" x14ac:dyDescent="0.3">
      <c r="A5150" t="s">
        <v>35</v>
      </c>
      <c r="B5150">
        <v>3145</v>
      </c>
      <c r="C5150" t="s">
        <v>831</v>
      </c>
      <c r="D5150" t="s">
        <v>145</v>
      </c>
      <c r="E5150" t="s">
        <v>420</v>
      </c>
      <c r="F5150" t="s">
        <v>305</v>
      </c>
      <c r="G5150" t="s">
        <v>150</v>
      </c>
      <c r="H5150" t="s">
        <v>110</v>
      </c>
      <c r="I5150" t="s">
        <v>126</v>
      </c>
      <c r="J5150" t="s">
        <v>738</v>
      </c>
      <c r="K5150" t="s">
        <v>132</v>
      </c>
      <c r="L5150">
        <v>3145</v>
      </c>
      <c r="M5150" t="s">
        <v>312</v>
      </c>
      <c r="N5150" t="s">
        <v>130</v>
      </c>
      <c r="O5150" t="s">
        <v>268</v>
      </c>
      <c r="P5150" t="s">
        <v>151</v>
      </c>
      <c r="Q5150" t="s">
        <v>382</v>
      </c>
      <c r="R5150" t="s">
        <v>141</v>
      </c>
      <c r="S5150" t="s">
        <v>99</v>
      </c>
      <c r="T5150" t="s">
        <v>382</v>
      </c>
      <c r="U5150" t="s">
        <v>104</v>
      </c>
      <c r="V5150">
        <v>3145</v>
      </c>
      <c r="W5150" t="s">
        <v>243</v>
      </c>
      <c r="X5150" t="s">
        <v>107</v>
      </c>
      <c r="Y5150" t="s">
        <v>111</v>
      </c>
      <c r="Z5150" t="s">
        <v>111</v>
      </c>
      <c r="AA5150" t="s">
        <v>101</v>
      </c>
      <c r="AB5150" t="s">
        <v>132</v>
      </c>
      <c r="AC5150" t="s">
        <v>124</v>
      </c>
      <c r="AD5150" t="s">
        <v>198</v>
      </c>
      <c r="AE5150" t="s">
        <v>104</v>
      </c>
      <c r="AF5150">
        <v>3145</v>
      </c>
      <c r="AG5150" t="s">
        <v>69</v>
      </c>
      <c r="AH5150" t="s">
        <v>141</v>
      </c>
      <c r="AI5150" t="s">
        <v>253</v>
      </c>
      <c r="AJ5150" t="s">
        <v>114</v>
      </c>
      <c r="AK5150" t="s">
        <v>108</v>
      </c>
      <c r="AL5150" t="s">
        <v>198</v>
      </c>
      <c r="AM5150" t="s">
        <v>99</v>
      </c>
      <c r="AN5150" t="s">
        <v>101</v>
      </c>
      <c r="AO5150" t="s">
        <v>104</v>
      </c>
      <c r="AP5150">
        <v>3145</v>
      </c>
      <c r="AQ5150" t="s">
        <v>221</v>
      </c>
      <c r="AR5150" t="s">
        <v>151</v>
      </c>
      <c r="AS5150" t="s">
        <v>292</v>
      </c>
      <c r="AT5150" t="s">
        <v>319</v>
      </c>
      <c r="AU5150" t="s">
        <v>319</v>
      </c>
      <c r="AV5150" t="s">
        <v>141</v>
      </c>
      <c r="AW5150" t="s">
        <v>112</v>
      </c>
      <c r="AX5150" t="s">
        <v>141</v>
      </c>
      <c r="AY5150" t="s">
        <v>207</v>
      </c>
    </row>
    <row r="5151" spans="1:51" x14ac:dyDescent="0.3">
      <c r="A5151" t="s">
        <v>37</v>
      </c>
      <c r="B5151">
        <v>3855</v>
      </c>
      <c r="C5151" t="s">
        <v>1077</v>
      </c>
      <c r="D5151" t="s">
        <v>150</v>
      </c>
      <c r="E5151" t="s">
        <v>41</v>
      </c>
      <c r="F5151" t="s">
        <v>722</v>
      </c>
      <c r="G5151" t="s">
        <v>363</v>
      </c>
      <c r="H5151" t="s">
        <v>684</v>
      </c>
      <c r="I5151" t="s">
        <v>107</v>
      </c>
      <c r="J5151" t="s">
        <v>449</v>
      </c>
      <c r="K5151" t="s">
        <v>198</v>
      </c>
      <c r="L5151">
        <v>3855</v>
      </c>
      <c r="M5151" t="s">
        <v>378</v>
      </c>
      <c r="N5151" t="s">
        <v>111</v>
      </c>
      <c r="O5151" t="s">
        <v>103</v>
      </c>
      <c r="P5151" t="s">
        <v>215</v>
      </c>
      <c r="Q5151" t="s">
        <v>101</v>
      </c>
      <c r="R5151" t="s">
        <v>253</v>
      </c>
      <c r="S5151" t="s">
        <v>198</v>
      </c>
      <c r="T5151" t="s">
        <v>141</v>
      </c>
      <c r="U5151" t="s">
        <v>104</v>
      </c>
      <c r="V5151">
        <v>3855</v>
      </c>
      <c r="W5151" t="s">
        <v>166</v>
      </c>
      <c r="X5151" t="s">
        <v>103</v>
      </c>
      <c r="Y5151" t="s">
        <v>105</v>
      </c>
      <c r="Z5151" t="s">
        <v>316</v>
      </c>
      <c r="AA5151" t="s">
        <v>100</v>
      </c>
      <c r="AB5151" t="s">
        <v>253</v>
      </c>
      <c r="AC5151" t="s">
        <v>132</v>
      </c>
      <c r="AD5151" t="s">
        <v>104</v>
      </c>
      <c r="AE5151" t="s">
        <v>104</v>
      </c>
      <c r="AF5151">
        <v>3855</v>
      </c>
      <c r="AG5151" t="s">
        <v>383</v>
      </c>
      <c r="AH5151" t="s">
        <v>136</v>
      </c>
      <c r="AI5151" t="s">
        <v>136</v>
      </c>
      <c r="AJ5151" t="s">
        <v>198</v>
      </c>
      <c r="AK5151" t="s">
        <v>136</v>
      </c>
      <c r="AL5151" t="s">
        <v>104</v>
      </c>
      <c r="AM5151" t="s">
        <v>99</v>
      </c>
      <c r="AN5151" t="s">
        <v>198</v>
      </c>
      <c r="AO5151" t="s">
        <v>99</v>
      </c>
      <c r="AP5151">
        <v>3855</v>
      </c>
      <c r="AQ5151" t="s">
        <v>415</v>
      </c>
      <c r="AR5151" t="s">
        <v>215</v>
      </c>
      <c r="AS5151" t="s">
        <v>319</v>
      </c>
      <c r="AT5151" t="s">
        <v>114</v>
      </c>
      <c r="AU5151" t="s">
        <v>253</v>
      </c>
      <c r="AV5151" t="s">
        <v>141</v>
      </c>
      <c r="AW5151" t="s">
        <v>141</v>
      </c>
      <c r="AX5151" t="s">
        <v>99</v>
      </c>
      <c r="AY5151" t="s">
        <v>198</v>
      </c>
    </row>
    <row r="5152" spans="1:51" x14ac:dyDescent="0.3">
      <c r="A5152" t="s">
        <v>36</v>
      </c>
      <c r="B5152">
        <v>2305</v>
      </c>
      <c r="C5152" t="s">
        <v>957</v>
      </c>
      <c r="D5152" t="s">
        <v>110</v>
      </c>
      <c r="E5152" t="s">
        <v>142</v>
      </c>
      <c r="F5152" t="s">
        <v>122</v>
      </c>
      <c r="G5152" t="s">
        <v>74</v>
      </c>
      <c r="H5152" t="s">
        <v>109</v>
      </c>
      <c r="I5152" t="s">
        <v>103</v>
      </c>
      <c r="J5152" t="s">
        <v>440</v>
      </c>
      <c r="K5152" t="s">
        <v>198</v>
      </c>
      <c r="L5152">
        <v>2305</v>
      </c>
      <c r="M5152" t="s">
        <v>858</v>
      </c>
      <c r="N5152" t="s">
        <v>110</v>
      </c>
      <c r="O5152" t="s">
        <v>134</v>
      </c>
      <c r="P5152" t="s">
        <v>120</v>
      </c>
      <c r="Q5152" t="s">
        <v>115</v>
      </c>
      <c r="R5152" t="s">
        <v>253</v>
      </c>
      <c r="S5152" t="s">
        <v>104</v>
      </c>
      <c r="T5152" t="s">
        <v>319</v>
      </c>
      <c r="U5152" t="s">
        <v>99</v>
      </c>
      <c r="V5152">
        <v>2305</v>
      </c>
      <c r="W5152" t="s">
        <v>1292</v>
      </c>
      <c r="X5152" t="s">
        <v>215</v>
      </c>
      <c r="Y5152" t="s">
        <v>277</v>
      </c>
      <c r="Z5152" t="s">
        <v>107</v>
      </c>
      <c r="AA5152" t="s">
        <v>268</v>
      </c>
      <c r="AB5152" t="s">
        <v>151</v>
      </c>
      <c r="AC5152" t="s">
        <v>151</v>
      </c>
      <c r="AD5152" t="s">
        <v>99</v>
      </c>
      <c r="AE5152" t="s">
        <v>132</v>
      </c>
      <c r="AF5152">
        <v>2305</v>
      </c>
      <c r="AG5152" t="s">
        <v>771</v>
      </c>
      <c r="AH5152" t="s">
        <v>115</v>
      </c>
      <c r="AI5152" t="s">
        <v>292</v>
      </c>
      <c r="AJ5152" t="s">
        <v>108</v>
      </c>
      <c r="AK5152" t="s">
        <v>101</v>
      </c>
      <c r="AL5152" t="s">
        <v>207</v>
      </c>
      <c r="AM5152" t="s">
        <v>253</v>
      </c>
      <c r="AN5152" t="s">
        <v>207</v>
      </c>
      <c r="AO5152" t="s">
        <v>207</v>
      </c>
      <c r="AP5152">
        <v>2305</v>
      </c>
      <c r="AQ5152" t="s">
        <v>866</v>
      </c>
      <c r="AR5152" t="s">
        <v>123</v>
      </c>
      <c r="AS5152" t="s">
        <v>134</v>
      </c>
      <c r="AT5152" t="s">
        <v>316</v>
      </c>
      <c r="AU5152" t="s">
        <v>319</v>
      </c>
      <c r="AV5152" t="s">
        <v>215</v>
      </c>
      <c r="AW5152" t="s">
        <v>126</v>
      </c>
      <c r="AX5152" t="s">
        <v>198</v>
      </c>
      <c r="AY5152" t="s">
        <v>104</v>
      </c>
    </row>
    <row r="5153" spans="1:52" x14ac:dyDescent="0.3">
      <c r="A5153" t="s">
        <v>34</v>
      </c>
      <c r="B5153">
        <v>2080</v>
      </c>
      <c r="C5153" t="s">
        <v>1239</v>
      </c>
      <c r="D5153" t="s">
        <v>118</v>
      </c>
      <c r="E5153" t="s">
        <v>804</v>
      </c>
      <c r="F5153" t="s">
        <v>150</v>
      </c>
      <c r="G5153" t="s">
        <v>474</v>
      </c>
      <c r="H5153" t="s">
        <v>316</v>
      </c>
      <c r="I5153" t="s">
        <v>115</v>
      </c>
      <c r="J5153" t="s">
        <v>406</v>
      </c>
      <c r="K5153" t="s">
        <v>121</v>
      </c>
      <c r="L5153">
        <v>2080</v>
      </c>
      <c r="M5153" t="s">
        <v>288</v>
      </c>
      <c r="N5153" t="s">
        <v>328</v>
      </c>
      <c r="O5153" t="s">
        <v>147</v>
      </c>
      <c r="P5153" t="s">
        <v>151</v>
      </c>
      <c r="Q5153" t="s">
        <v>132</v>
      </c>
      <c r="R5153" t="s">
        <v>207</v>
      </c>
      <c r="S5153" t="s">
        <v>104</v>
      </c>
      <c r="T5153" t="s">
        <v>215</v>
      </c>
      <c r="U5153" t="s">
        <v>104</v>
      </c>
      <c r="V5153">
        <v>2080</v>
      </c>
      <c r="W5153" t="s">
        <v>176</v>
      </c>
      <c r="X5153" t="s">
        <v>127</v>
      </c>
      <c r="Y5153" t="s">
        <v>130</v>
      </c>
      <c r="Z5153" t="s">
        <v>316</v>
      </c>
      <c r="AA5153" t="s">
        <v>132</v>
      </c>
      <c r="AB5153" t="s">
        <v>207</v>
      </c>
      <c r="AC5153" t="s">
        <v>154</v>
      </c>
      <c r="AD5153" t="s">
        <v>115</v>
      </c>
      <c r="AE5153" t="s">
        <v>207</v>
      </c>
      <c r="AF5153">
        <v>2080</v>
      </c>
      <c r="AG5153" t="s">
        <v>358</v>
      </c>
      <c r="AH5153" t="s">
        <v>132</v>
      </c>
      <c r="AI5153" t="s">
        <v>123</v>
      </c>
      <c r="AJ5153" t="s">
        <v>100</v>
      </c>
      <c r="AK5153" t="s">
        <v>207</v>
      </c>
      <c r="AL5153" t="s">
        <v>207</v>
      </c>
      <c r="AM5153" t="s">
        <v>198</v>
      </c>
      <c r="AN5153" t="s">
        <v>114</v>
      </c>
      <c r="AO5153" t="s">
        <v>207</v>
      </c>
      <c r="AP5153">
        <v>2080</v>
      </c>
      <c r="AQ5153" t="s">
        <v>1276</v>
      </c>
      <c r="AR5153" t="s">
        <v>114</v>
      </c>
      <c r="AS5153" t="s">
        <v>147</v>
      </c>
      <c r="AT5153" t="s">
        <v>111</v>
      </c>
      <c r="AU5153" t="s">
        <v>141</v>
      </c>
      <c r="AV5153" t="s">
        <v>253</v>
      </c>
      <c r="AW5153" t="s">
        <v>103</v>
      </c>
      <c r="AX5153" t="s">
        <v>198</v>
      </c>
      <c r="AY5153" t="s">
        <v>136</v>
      </c>
    </row>
    <row r="5154" spans="1:52" x14ac:dyDescent="0.3">
      <c r="A5154" t="s">
        <v>33</v>
      </c>
      <c r="B5154">
        <v>1937</v>
      </c>
      <c r="C5154" t="s">
        <v>1224</v>
      </c>
      <c r="D5154" t="s">
        <v>157</v>
      </c>
      <c r="E5154" t="s">
        <v>254</v>
      </c>
      <c r="F5154" t="s">
        <v>412</v>
      </c>
      <c r="G5154" t="s">
        <v>712</v>
      </c>
      <c r="H5154" t="s">
        <v>130</v>
      </c>
      <c r="I5154" t="s">
        <v>121</v>
      </c>
      <c r="J5154" t="s">
        <v>368</v>
      </c>
      <c r="K5154" t="s">
        <v>198</v>
      </c>
      <c r="L5154">
        <v>1937</v>
      </c>
      <c r="M5154" t="s">
        <v>1438</v>
      </c>
      <c r="N5154" t="s">
        <v>292</v>
      </c>
      <c r="O5154" t="s">
        <v>121</v>
      </c>
      <c r="P5154" t="s">
        <v>108</v>
      </c>
      <c r="Q5154" t="s">
        <v>198</v>
      </c>
      <c r="R5154" t="s">
        <v>207</v>
      </c>
      <c r="S5154" t="s">
        <v>104</v>
      </c>
      <c r="T5154" t="s">
        <v>136</v>
      </c>
      <c r="U5154" t="s">
        <v>99</v>
      </c>
      <c r="V5154">
        <v>1937</v>
      </c>
      <c r="W5154" t="s">
        <v>337</v>
      </c>
      <c r="X5154" t="s">
        <v>100</v>
      </c>
      <c r="Y5154" t="s">
        <v>319</v>
      </c>
      <c r="Z5154" t="s">
        <v>253</v>
      </c>
      <c r="AA5154" t="s">
        <v>136</v>
      </c>
      <c r="AB5154" t="s">
        <v>136</v>
      </c>
      <c r="AC5154" t="s">
        <v>136</v>
      </c>
      <c r="AD5154" t="s">
        <v>99</v>
      </c>
      <c r="AE5154" t="s">
        <v>99</v>
      </c>
      <c r="AF5154">
        <v>1937</v>
      </c>
      <c r="AG5154" t="s">
        <v>766</v>
      </c>
      <c r="AH5154" t="s">
        <v>207</v>
      </c>
      <c r="AI5154" t="s">
        <v>132</v>
      </c>
      <c r="AJ5154" t="s">
        <v>207</v>
      </c>
      <c r="AK5154" t="s">
        <v>198</v>
      </c>
      <c r="AL5154" t="s">
        <v>99</v>
      </c>
      <c r="AM5154" t="s">
        <v>104</v>
      </c>
      <c r="AN5154" t="s">
        <v>207</v>
      </c>
      <c r="AO5154" t="s">
        <v>99</v>
      </c>
      <c r="AP5154">
        <v>1937</v>
      </c>
      <c r="AQ5154" t="s">
        <v>265</v>
      </c>
      <c r="AR5154" t="s">
        <v>100</v>
      </c>
      <c r="AS5154" t="s">
        <v>108</v>
      </c>
      <c r="AT5154" t="s">
        <v>132</v>
      </c>
      <c r="AU5154" t="s">
        <v>207</v>
      </c>
      <c r="AV5154" t="s">
        <v>207</v>
      </c>
      <c r="AW5154" t="s">
        <v>198</v>
      </c>
      <c r="AX5154" t="s">
        <v>99</v>
      </c>
      <c r="AY5154" t="s">
        <v>99</v>
      </c>
    </row>
    <row r="5155" spans="1:52" x14ac:dyDescent="0.3">
      <c r="A5155" t="s">
        <v>49</v>
      </c>
      <c r="B5155">
        <v>13322</v>
      </c>
      <c r="C5155" t="s">
        <v>1108</v>
      </c>
      <c r="D5155" t="s">
        <v>158</v>
      </c>
      <c r="E5155" t="s">
        <v>72</v>
      </c>
      <c r="F5155" t="s">
        <v>248</v>
      </c>
      <c r="G5155" t="s">
        <v>254</v>
      </c>
      <c r="H5155" t="s">
        <v>712</v>
      </c>
      <c r="I5155" t="s">
        <v>127</v>
      </c>
      <c r="J5155" t="s">
        <v>701</v>
      </c>
      <c r="K5155" t="s">
        <v>253</v>
      </c>
      <c r="L5155">
        <v>13322</v>
      </c>
      <c r="M5155" t="s">
        <v>232</v>
      </c>
      <c r="N5155" t="s">
        <v>332</v>
      </c>
      <c r="O5155" t="s">
        <v>117</v>
      </c>
      <c r="P5155" t="s">
        <v>127</v>
      </c>
      <c r="Q5155" t="s">
        <v>100</v>
      </c>
      <c r="R5155" t="s">
        <v>141</v>
      </c>
      <c r="S5155" t="s">
        <v>104</v>
      </c>
      <c r="T5155" t="s">
        <v>100</v>
      </c>
      <c r="U5155" t="s">
        <v>104</v>
      </c>
      <c r="V5155">
        <v>13322</v>
      </c>
      <c r="W5155" t="s">
        <v>312</v>
      </c>
      <c r="X5155" t="s">
        <v>111</v>
      </c>
      <c r="Y5155" t="s">
        <v>107</v>
      </c>
      <c r="Z5155" t="s">
        <v>111</v>
      </c>
      <c r="AA5155" t="s">
        <v>100</v>
      </c>
      <c r="AB5155" t="s">
        <v>115</v>
      </c>
      <c r="AC5155" t="s">
        <v>128</v>
      </c>
      <c r="AD5155" t="s">
        <v>198</v>
      </c>
      <c r="AE5155" t="s">
        <v>198</v>
      </c>
      <c r="AF5155">
        <v>13322</v>
      </c>
      <c r="AG5155" t="s">
        <v>779</v>
      </c>
      <c r="AH5155" t="s">
        <v>141</v>
      </c>
      <c r="AI5155" t="s">
        <v>114</v>
      </c>
      <c r="AJ5155" t="s">
        <v>115</v>
      </c>
      <c r="AK5155" t="s">
        <v>253</v>
      </c>
      <c r="AL5155" t="s">
        <v>198</v>
      </c>
      <c r="AM5155" t="s">
        <v>104</v>
      </c>
      <c r="AN5155" t="s">
        <v>115</v>
      </c>
      <c r="AO5155" t="s">
        <v>104</v>
      </c>
      <c r="AP5155">
        <v>13322</v>
      </c>
      <c r="AQ5155" t="s">
        <v>421</v>
      </c>
      <c r="AR5155" t="s">
        <v>382</v>
      </c>
      <c r="AS5155" t="s">
        <v>151</v>
      </c>
      <c r="AT5155" t="s">
        <v>319</v>
      </c>
      <c r="AU5155" t="s">
        <v>132</v>
      </c>
      <c r="AV5155" t="s">
        <v>253</v>
      </c>
      <c r="AW5155" t="s">
        <v>292</v>
      </c>
      <c r="AX5155" t="s">
        <v>198</v>
      </c>
      <c r="AY5155" t="s">
        <v>198</v>
      </c>
    </row>
    <row r="5157" spans="1:52" x14ac:dyDescent="0.3">
      <c r="A5157" t="s">
        <v>1703</v>
      </c>
    </row>
    <row r="5158" spans="1:52" x14ac:dyDescent="0.3">
      <c r="A5158" t="s">
        <v>44</v>
      </c>
      <c r="B5158" t="s">
        <v>361</v>
      </c>
      <c r="C5158" t="s">
        <v>1653</v>
      </c>
      <c r="D5158" t="s">
        <v>1654</v>
      </c>
      <c r="E5158" t="s">
        <v>1655</v>
      </c>
      <c r="F5158" t="s">
        <v>1656</v>
      </c>
      <c r="G5158" t="s">
        <v>1657</v>
      </c>
      <c r="H5158" t="s">
        <v>1658</v>
      </c>
      <c r="I5158" t="s">
        <v>1659</v>
      </c>
      <c r="J5158" t="s">
        <v>1660</v>
      </c>
      <c r="K5158" t="s">
        <v>1661</v>
      </c>
      <c r="L5158" t="s">
        <v>1662</v>
      </c>
      <c r="M5158" t="s">
        <v>1663</v>
      </c>
      <c r="N5158" t="s">
        <v>1664</v>
      </c>
      <c r="O5158" t="s">
        <v>1665</v>
      </c>
      <c r="P5158" t="s">
        <v>1666</v>
      </c>
      <c r="Q5158" t="s">
        <v>1667</v>
      </c>
      <c r="R5158" t="s">
        <v>1668</v>
      </c>
      <c r="S5158" t="s">
        <v>1669</v>
      </c>
      <c r="T5158" t="s">
        <v>1671</v>
      </c>
      <c r="U5158" t="s">
        <v>1670</v>
      </c>
      <c r="V5158" t="s">
        <v>1672</v>
      </c>
      <c r="W5158" t="s">
        <v>1673</v>
      </c>
      <c r="X5158" t="s">
        <v>1674</v>
      </c>
      <c r="Y5158" t="s">
        <v>1675</v>
      </c>
      <c r="Z5158" t="s">
        <v>1676</v>
      </c>
      <c r="AA5158" t="s">
        <v>1677</v>
      </c>
      <c r="AB5158" t="s">
        <v>1678</v>
      </c>
      <c r="AC5158" t="s">
        <v>1679</v>
      </c>
      <c r="AD5158" t="s">
        <v>1680</v>
      </c>
      <c r="AE5158" t="s">
        <v>1681</v>
      </c>
      <c r="AF5158" t="s">
        <v>1682</v>
      </c>
      <c r="AG5158" t="s">
        <v>1683</v>
      </c>
      <c r="AH5158" t="s">
        <v>1684</v>
      </c>
      <c r="AI5158" t="s">
        <v>1685</v>
      </c>
      <c r="AJ5158" t="s">
        <v>1686</v>
      </c>
      <c r="AK5158" t="s">
        <v>1687</v>
      </c>
      <c r="AL5158" t="s">
        <v>1688</v>
      </c>
      <c r="AM5158" t="s">
        <v>1689</v>
      </c>
      <c r="AN5158" t="s">
        <v>1690</v>
      </c>
      <c r="AO5158" t="s">
        <v>1691</v>
      </c>
      <c r="AP5158" t="s">
        <v>1692</v>
      </c>
      <c r="AQ5158" t="s">
        <v>1693</v>
      </c>
      <c r="AR5158" t="s">
        <v>1694</v>
      </c>
      <c r="AS5158" t="s">
        <v>1695</v>
      </c>
      <c r="AT5158" t="s">
        <v>1696</v>
      </c>
      <c r="AU5158" t="s">
        <v>1697</v>
      </c>
      <c r="AV5158" t="s">
        <v>1698</v>
      </c>
      <c r="AW5158" t="s">
        <v>1699</v>
      </c>
      <c r="AX5158" t="s">
        <v>1700</v>
      </c>
      <c r="AY5158" t="s">
        <v>1701</v>
      </c>
      <c r="AZ5158" t="s">
        <v>1702</v>
      </c>
    </row>
    <row r="5159" spans="1:52" x14ac:dyDescent="0.3">
      <c r="A5159" t="s">
        <v>35</v>
      </c>
      <c r="B5159" t="s">
        <v>339</v>
      </c>
      <c r="C5159">
        <v>890</v>
      </c>
      <c r="D5159" t="s">
        <v>674</v>
      </c>
      <c r="E5159" t="s">
        <v>139</v>
      </c>
      <c r="F5159" t="s">
        <v>470</v>
      </c>
      <c r="G5159" t="s">
        <v>254</v>
      </c>
      <c r="H5159" t="s">
        <v>122</v>
      </c>
      <c r="I5159" t="s">
        <v>144</v>
      </c>
      <c r="J5159" t="s">
        <v>215</v>
      </c>
      <c r="K5159" t="s">
        <v>834</v>
      </c>
      <c r="L5159" t="s">
        <v>100</v>
      </c>
      <c r="M5159">
        <v>890</v>
      </c>
      <c r="N5159" t="s">
        <v>500</v>
      </c>
      <c r="O5159" t="s">
        <v>143</v>
      </c>
      <c r="P5159" t="s">
        <v>474</v>
      </c>
      <c r="Q5159" t="s">
        <v>117</v>
      </c>
      <c r="R5159" t="s">
        <v>155</v>
      </c>
      <c r="S5159" t="s">
        <v>136</v>
      </c>
      <c r="T5159" t="s">
        <v>712</v>
      </c>
      <c r="U5159" t="s">
        <v>99</v>
      </c>
      <c r="V5159" t="s">
        <v>207</v>
      </c>
      <c r="W5159">
        <v>890</v>
      </c>
      <c r="X5159" t="s">
        <v>541</v>
      </c>
      <c r="Y5159" t="s">
        <v>434</v>
      </c>
      <c r="Z5159" t="s">
        <v>155</v>
      </c>
      <c r="AA5159" t="s">
        <v>332</v>
      </c>
      <c r="AB5159" t="s">
        <v>215</v>
      </c>
      <c r="AC5159" t="s">
        <v>100</v>
      </c>
      <c r="AD5159" t="s">
        <v>206</v>
      </c>
      <c r="AE5159" t="s">
        <v>207</v>
      </c>
      <c r="AF5159" t="s">
        <v>104</v>
      </c>
      <c r="AG5159">
        <v>890</v>
      </c>
      <c r="AH5159" t="s">
        <v>329</v>
      </c>
      <c r="AI5159" t="s">
        <v>132</v>
      </c>
      <c r="AJ5159" t="s">
        <v>108</v>
      </c>
      <c r="AK5159" t="s">
        <v>108</v>
      </c>
      <c r="AL5159" t="s">
        <v>382</v>
      </c>
      <c r="AM5159" t="s">
        <v>198</v>
      </c>
      <c r="AN5159" t="s">
        <v>99</v>
      </c>
      <c r="AO5159" t="s">
        <v>120</v>
      </c>
      <c r="AP5159" t="s">
        <v>104</v>
      </c>
      <c r="AQ5159">
        <v>890</v>
      </c>
      <c r="AR5159" t="s">
        <v>1132</v>
      </c>
      <c r="AS5159" t="s">
        <v>105</v>
      </c>
      <c r="AT5159" t="s">
        <v>138</v>
      </c>
      <c r="AU5159" t="s">
        <v>147</v>
      </c>
      <c r="AV5159" t="s">
        <v>115</v>
      </c>
      <c r="AW5159" t="s">
        <v>198</v>
      </c>
      <c r="AX5159" t="s">
        <v>408</v>
      </c>
      <c r="AY5159" t="s">
        <v>132</v>
      </c>
      <c r="AZ5159" t="s">
        <v>136</v>
      </c>
    </row>
    <row r="5160" spans="1:52" x14ac:dyDescent="0.3">
      <c r="A5160" t="s">
        <v>35</v>
      </c>
      <c r="B5160" t="s">
        <v>340</v>
      </c>
      <c r="C5160">
        <v>2215</v>
      </c>
      <c r="D5160" t="s">
        <v>839</v>
      </c>
      <c r="E5160" t="s">
        <v>160</v>
      </c>
      <c r="F5160" t="s">
        <v>248</v>
      </c>
      <c r="G5160" t="s">
        <v>671</v>
      </c>
      <c r="H5160" t="s">
        <v>152</v>
      </c>
      <c r="I5160" t="s">
        <v>105</v>
      </c>
      <c r="J5160" t="s">
        <v>126</v>
      </c>
      <c r="K5160" t="s">
        <v>465</v>
      </c>
      <c r="L5160" t="s">
        <v>115</v>
      </c>
      <c r="M5160">
        <v>2215</v>
      </c>
      <c r="N5160" t="s">
        <v>203</v>
      </c>
      <c r="O5160" t="s">
        <v>138</v>
      </c>
      <c r="P5160" t="s">
        <v>126</v>
      </c>
      <c r="Q5160" t="s">
        <v>126</v>
      </c>
      <c r="R5160" t="s">
        <v>108</v>
      </c>
      <c r="S5160" t="s">
        <v>253</v>
      </c>
      <c r="T5160" t="s">
        <v>141</v>
      </c>
      <c r="U5160" t="s">
        <v>99</v>
      </c>
      <c r="V5160" t="s">
        <v>104</v>
      </c>
      <c r="W5160">
        <v>2215</v>
      </c>
      <c r="X5160" t="s">
        <v>873</v>
      </c>
      <c r="Y5160" t="s">
        <v>103</v>
      </c>
      <c r="Z5160" t="s">
        <v>215</v>
      </c>
      <c r="AA5160" t="s">
        <v>126</v>
      </c>
      <c r="AB5160" t="s">
        <v>121</v>
      </c>
      <c r="AC5160" t="s">
        <v>115</v>
      </c>
      <c r="AD5160" t="s">
        <v>147</v>
      </c>
      <c r="AE5160" t="s">
        <v>104</v>
      </c>
      <c r="AF5160" t="s">
        <v>104</v>
      </c>
      <c r="AG5160">
        <v>2215</v>
      </c>
      <c r="AH5160" t="s">
        <v>265</v>
      </c>
      <c r="AI5160" t="s">
        <v>141</v>
      </c>
      <c r="AJ5160" t="s">
        <v>141</v>
      </c>
      <c r="AK5160" t="s">
        <v>114</v>
      </c>
      <c r="AL5160" t="s">
        <v>136</v>
      </c>
      <c r="AM5160" t="s">
        <v>198</v>
      </c>
      <c r="AN5160" t="s">
        <v>104</v>
      </c>
      <c r="AO5160" t="s">
        <v>132</v>
      </c>
      <c r="AP5160" t="s">
        <v>104</v>
      </c>
      <c r="AQ5160">
        <v>2215</v>
      </c>
      <c r="AR5160" t="s">
        <v>323</v>
      </c>
      <c r="AS5160" t="s">
        <v>126</v>
      </c>
      <c r="AT5160" t="s">
        <v>215</v>
      </c>
      <c r="AU5160" t="s">
        <v>132</v>
      </c>
      <c r="AV5160" t="s">
        <v>319</v>
      </c>
      <c r="AW5160" t="s">
        <v>253</v>
      </c>
      <c r="AX5160" t="s">
        <v>127</v>
      </c>
      <c r="AY5160" t="s">
        <v>136</v>
      </c>
      <c r="AZ5160" t="s">
        <v>198</v>
      </c>
    </row>
    <row r="5161" spans="1:52" x14ac:dyDescent="0.3">
      <c r="A5161" t="s">
        <v>35</v>
      </c>
      <c r="B5161" t="s">
        <v>365</v>
      </c>
      <c r="C5161">
        <v>40</v>
      </c>
      <c r="D5161" t="s">
        <v>1383</v>
      </c>
      <c r="E5161" t="s">
        <v>101</v>
      </c>
      <c r="F5161" t="s">
        <v>740</v>
      </c>
      <c r="G5161" t="s">
        <v>138</v>
      </c>
      <c r="H5161" t="s">
        <v>474</v>
      </c>
      <c r="I5161" t="s">
        <v>115</v>
      </c>
      <c r="J5161" t="s">
        <v>99</v>
      </c>
      <c r="K5161" t="s">
        <v>395</v>
      </c>
      <c r="L5161" t="s">
        <v>132</v>
      </c>
      <c r="M5161">
        <v>40</v>
      </c>
      <c r="N5161" t="s">
        <v>441</v>
      </c>
      <c r="O5161" t="s">
        <v>99</v>
      </c>
      <c r="P5161" t="s">
        <v>115</v>
      </c>
      <c r="Q5161" t="s">
        <v>743</v>
      </c>
      <c r="R5161" t="s">
        <v>99</v>
      </c>
      <c r="S5161" t="s">
        <v>99</v>
      </c>
      <c r="T5161" t="s">
        <v>99</v>
      </c>
      <c r="U5161" t="s">
        <v>99</v>
      </c>
      <c r="V5161" t="s">
        <v>99</v>
      </c>
      <c r="W5161">
        <v>40</v>
      </c>
      <c r="X5161" t="s">
        <v>436</v>
      </c>
      <c r="Y5161" t="s">
        <v>115</v>
      </c>
      <c r="Z5161" t="s">
        <v>474</v>
      </c>
      <c r="AA5161" t="s">
        <v>542</v>
      </c>
      <c r="AB5161" t="s">
        <v>99</v>
      </c>
      <c r="AC5161" t="s">
        <v>99</v>
      </c>
      <c r="AD5161" t="s">
        <v>99</v>
      </c>
      <c r="AE5161" t="s">
        <v>99</v>
      </c>
      <c r="AF5161" t="s">
        <v>99</v>
      </c>
      <c r="AG5161">
        <v>40</v>
      </c>
      <c r="AH5161" t="s">
        <v>371</v>
      </c>
      <c r="AI5161" t="s">
        <v>99</v>
      </c>
      <c r="AJ5161" t="s">
        <v>99</v>
      </c>
      <c r="AK5161" t="s">
        <v>155</v>
      </c>
      <c r="AL5161" t="s">
        <v>542</v>
      </c>
      <c r="AM5161" t="s">
        <v>99</v>
      </c>
      <c r="AN5161" t="s">
        <v>99</v>
      </c>
      <c r="AO5161" t="s">
        <v>99</v>
      </c>
      <c r="AP5161" t="s">
        <v>99</v>
      </c>
      <c r="AQ5161">
        <v>40</v>
      </c>
      <c r="AR5161" t="s">
        <v>374</v>
      </c>
      <c r="AS5161" t="s">
        <v>132</v>
      </c>
      <c r="AT5161" t="s">
        <v>99</v>
      </c>
      <c r="AU5161" t="s">
        <v>99</v>
      </c>
      <c r="AV5161" t="s">
        <v>542</v>
      </c>
      <c r="AW5161" t="s">
        <v>99</v>
      </c>
      <c r="AX5161" t="s">
        <v>99</v>
      </c>
      <c r="AY5161" t="s">
        <v>99</v>
      </c>
      <c r="AZ5161" t="s">
        <v>99</v>
      </c>
    </row>
    <row r="5162" spans="1:52" x14ac:dyDescent="0.3">
      <c r="A5162" t="s">
        <v>37</v>
      </c>
      <c r="B5162" t="s">
        <v>339</v>
      </c>
      <c r="C5162">
        <v>1093</v>
      </c>
      <c r="D5162" t="s">
        <v>669</v>
      </c>
      <c r="E5162" t="s">
        <v>664</v>
      </c>
      <c r="F5162" t="s">
        <v>184</v>
      </c>
      <c r="G5162" t="s">
        <v>251</v>
      </c>
      <c r="H5162" t="s">
        <v>142</v>
      </c>
      <c r="I5162" t="s">
        <v>144</v>
      </c>
      <c r="J5162" t="s">
        <v>129</v>
      </c>
      <c r="K5162" t="s">
        <v>720</v>
      </c>
      <c r="L5162" t="s">
        <v>198</v>
      </c>
      <c r="M5162">
        <v>1093</v>
      </c>
      <c r="N5162" t="s">
        <v>77</v>
      </c>
      <c r="O5162" t="s">
        <v>134</v>
      </c>
      <c r="P5162" t="s">
        <v>138</v>
      </c>
      <c r="Q5162" t="s">
        <v>117</v>
      </c>
      <c r="R5162" t="s">
        <v>292</v>
      </c>
      <c r="S5162" t="s">
        <v>121</v>
      </c>
      <c r="T5162" t="s">
        <v>132</v>
      </c>
      <c r="U5162" t="s">
        <v>136</v>
      </c>
      <c r="V5162" t="s">
        <v>198</v>
      </c>
      <c r="W5162">
        <v>1093</v>
      </c>
      <c r="X5162" t="s">
        <v>317</v>
      </c>
      <c r="Y5162" t="s">
        <v>412</v>
      </c>
      <c r="Z5162" t="s">
        <v>112</v>
      </c>
      <c r="AA5162" t="s">
        <v>129</v>
      </c>
      <c r="AB5162" t="s">
        <v>215</v>
      </c>
      <c r="AC5162" t="s">
        <v>101</v>
      </c>
      <c r="AD5162" t="s">
        <v>319</v>
      </c>
      <c r="AE5162" t="s">
        <v>198</v>
      </c>
      <c r="AF5162" t="s">
        <v>104</v>
      </c>
      <c r="AG5162">
        <v>1093</v>
      </c>
      <c r="AH5162" t="s">
        <v>1026</v>
      </c>
      <c r="AI5162" t="s">
        <v>207</v>
      </c>
      <c r="AJ5162" t="s">
        <v>136</v>
      </c>
      <c r="AK5162" t="s">
        <v>207</v>
      </c>
      <c r="AL5162" t="s">
        <v>141</v>
      </c>
      <c r="AM5162" t="s">
        <v>104</v>
      </c>
      <c r="AN5162" t="s">
        <v>99</v>
      </c>
      <c r="AO5162" t="s">
        <v>198</v>
      </c>
      <c r="AP5162" t="s">
        <v>99</v>
      </c>
      <c r="AQ5162">
        <v>1093</v>
      </c>
      <c r="AR5162" t="s">
        <v>422</v>
      </c>
      <c r="AS5162" t="s">
        <v>117</v>
      </c>
      <c r="AT5162" t="s">
        <v>151</v>
      </c>
      <c r="AU5162" t="s">
        <v>123</v>
      </c>
      <c r="AV5162" t="s">
        <v>108</v>
      </c>
      <c r="AW5162" t="s">
        <v>108</v>
      </c>
      <c r="AX5162" t="s">
        <v>121</v>
      </c>
      <c r="AY5162" t="s">
        <v>99</v>
      </c>
      <c r="AZ5162" t="s">
        <v>141</v>
      </c>
    </row>
    <row r="5163" spans="1:52" x14ac:dyDescent="0.3">
      <c r="A5163" t="s">
        <v>37</v>
      </c>
      <c r="B5163" t="s">
        <v>340</v>
      </c>
      <c r="C5163">
        <v>2721</v>
      </c>
      <c r="D5163" t="s">
        <v>1123</v>
      </c>
      <c r="E5163" t="s">
        <v>150</v>
      </c>
      <c r="F5163" t="s">
        <v>722</v>
      </c>
      <c r="G5163" t="s">
        <v>722</v>
      </c>
      <c r="H5163" t="s">
        <v>78</v>
      </c>
      <c r="I5163" t="s">
        <v>242</v>
      </c>
      <c r="J5163" t="s">
        <v>316</v>
      </c>
      <c r="K5163" t="s">
        <v>420</v>
      </c>
      <c r="L5163" t="s">
        <v>198</v>
      </c>
      <c r="M5163">
        <v>2721</v>
      </c>
      <c r="N5163" t="s">
        <v>161</v>
      </c>
      <c r="O5163" t="s">
        <v>215</v>
      </c>
      <c r="P5163" t="s">
        <v>111</v>
      </c>
      <c r="Q5163" t="s">
        <v>126</v>
      </c>
      <c r="R5163" t="s">
        <v>108</v>
      </c>
      <c r="S5163" t="s">
        <v>207</v>
      </c>
      <c r="T5163" t="s">
        <v>207</v>
      </c>
      <c r="U5163" t="s">
        <v>104</v>
      </c>
      <c r="V5163" t="s">
        <v>104</v>
      </c>
      <c r="W5163">
        <v>2721</v>
      </c>
      <c r="X5163" t="s">
        <v>364</v>
      </c>
      <c r="Y5163" t="s">
        <v>126</v>
      </c>
      <c r="Z5163" t="s">
        <v>120</v>
      </c>
      <c r="AA5163" t="s">
        <v>292</v>
      </c>
      <c r="AB5163" t="s">
        <v>132</v>
      </c>
      <c r="AC5163" t="s">
        <v>136</v>
      </c>
      <c r="AD5163" t="s">
        <v>141</v>
      </c>
      <c r="AE5163" t="s">
        <v>99</v>
      </c>
      <c r="AF5163" t="s">
        <v>104</v>
      </c>
      <c r="AG5163">
        <v>2721</v>
      </c>
      <c r="AH5163" t="s">
        <v>383</v>
      </c>
      <c r="AI5163" t="s">
        <v>136</v>
      </c>
      <c r="AJ5163" t="s">
        <v>141</v>
      </c>
      <c r="AK5163" t="s">
        <v>104</v>
      </c>
      <c r="AL5163" t="s">
        <v>136</v>
      </c>
      <c r="AM5163" t="s">
        <v>104</v>
      </c>
      <c r="AN5163" t="s">
        <v>99</v>
      </c>
      <c r="AO5163" t="s">
        <v>198</v>
      </c>
      <c r="AP5163" t="s">
        <v>99</v>
      </c>
      <c r="AQ5163">
        <v>2721</v>
      </c>
      <c r="AR5163" t="s">
        <v>331</v>
      </c>
      <c r="AS5163" t="s">
        <v>126</v>
      </c>
      <c r="AT5163" t="s">
        <v>121</v>
      </c>
      <c r="AU5163" t="s">
        <v>115</v>
      </c>
      <c r="AV5163" t="s">
        <v>136</v>
      </c>
      <c r="AW5163" t="s">
        <v>136</v>
      </c>
      <c r="AX5163" t="s">
        <v>207</v>
      </c>
      <c r="AY5163" t="s">
        <v>99</v>
      </c>
      <c r="AZ5163" t="s">
        <v>99</v>
      </c>
    </row>
    <row r="5164" spans="1:52" x14ac:dyDescent="0.3">
      <c r="A5164" t="s">
        <v>37</v>
      </c>
      <c r="B5164" t="s">
        <v>365</v>
      </c>
      <c r="C5164">
        <v>41</v>
      </c>
      <c r="D5164" t="s">
        <v>1015</v>
      </c>
      <c r="E5164" t="s">
        <v>152</v>
      </c>
      <c r="F5164" t="s">
        <v>664</v>
      </c>
      <c r="G5164" t="s">
        <v>127</v>
      </c>
      <c r="H5164" t="s">
        <v>233</v>
      </c>
      <c r="I5164" t="s">
        <v>663</v>
      </c>
      <c r="J5164" t="s">
        <v>126</v>
      </c>
      <c r="K5164" t="s">
        <v>158</v>
      </c>
      <c r="L5164" t="s">
        <v>99</v>
      </c>
      <c r="M5164">
        <v>41</v>
      </c>
      <c r="N5164" t="s">
        <v>226</v>
      </c>
      <c r="O5164" t="s">
        <v>128</v>
      </c>
      <c r="P5164" t="s">
        <v>215</v>
      </c>
      <c r="Q5164" t="s">
        <v>99</v>
      </c>
      <c r="R5164" t="s">
        <v>103</v>
      </c>
      <c r="S5164" t="s">
        <v>99</v>
      </c>
      <c r="T5164" t="s">
        <v>99</v>
      </c>
      <c r="U5164" t="s">
        <v>99</v>
      </c>
      <c r="V5164" t="s">
        <v>99</v>
      </c>
      <c r="W5164">
        <v>41</v>
      </c>
      <c r="X5164" t="s">
        <v>211</v>
      </c>
      <c r="Y5164" t="s">
        <v>99</v>
      </c>
      <c r="Z5164" t="s">
        <v>99</v>
      </c>
      <c r="AA5164" t="s">
        <v>99</v>
      </c>
      <c r="AB5164" t="s">
        <v>99</v>
      </c>
      <c r="AC5164" t="s">
        <v>99</v>
      </c>
      <c r="AD5164" t="s">
        <v>99</v>
      </c>
      <c r="AE5164" t="s">
        <v>99</v>
      </c>
      <c r="AF5164" t="s">
        <v>99</v>
      </c>
      <c r="AG5164">
        <v>41</v>
      </c>
      <c r="AH5164" t="s">
        <v>851</v>
      </c>
      <c r="AI5164" t="s">
        <v>99</v>
      </c>
      <c r="AJ5164" t="s">
        <v>99</v>
      </c>
      <c r="AK5164" t="s">
        <v>99</v>
      </c>
      <c r="AL5164" t="s">
        <v>103</v>
      </c>
      <c r="AM5164" t="s">
        <v>99</v>
      </c>
      <c r="AN5164" t="s">
        <v>99</v>
      </c>
      <c r="AO5164" t="s">
        <v>99</v>
      </c>
      <c r="AP5164" t="s">
        <v>99</v>
      </c>
      <c r="AQ5164">
        <v>41</v>
      </c>
      <c r="AR5164" t="s">
        <v>211</v>
      </c>
      <c r="AS5164" t="s">
        <v>99</v>
      </c>
      <c r="AT5164" t="s">
        <v>99</v>
      </c>
      <c r="AU5164" t="s">
        <v>99</v>
      </c>
      <c r="AV5164" t="s">
        <v>99</v>
      </c>
      <c r="AW5164" t="s">
        <v>99</v>
      </c>
      <c r="AX5164" t="s">
        <v>99</v>
      </c>
      <c r="AY5164" t="s">
        <v>99</v>
      </c>
      <c r="AZ5164" t="s">
        <v>99</v>
      </c>
    </row>
    <row r="5165" spans="1:52" x14ac:dyDescent="0.3">
      <c r="A5165" t="s">
        <v>36</v>
      </c>
      <c r="B5165" t="s">
        <v>339</v>
      </c>
      <c r="C5165">
        <v>770</v>
      </c>
      <c r="D5165" t="s">
        <v>862</v>
      </c>
      <c r="E5165" t="s">
        <v>149</v>
      </c>
      <c r="F5165" t="s">
        <v>369</v>
      </c>
      <c r="G5165" t="s">
        <v>135</v>
      </c>
      <c r="H5165" t="s">
        <v>109</v>
      </c>
      <c r="I5165" t="s">
        <v>233</v>
      </c>
      <c r="J5165" t="s">
        <v>105</v>
      </c>
      <c r="K5165" t="s">
        <v>188</v>
      </c>
      <c r="L5165" t="s">
        <v>141</v>
      </c>
      <c r="M5165">
        <v>770</v>
      </c>
      <c r="N5165" t="s">
        <v>263</v>
      </c>
      <c r="O5165" t="s">
        <v>412</v>
      </c>
      <c r="P5165" t="s">
        <v>712</v>
      </c>
      <c r="Q5165" t="s">
        <v>316</v>
      </c>
      <c r="R5165" t="s">
        <v>132</v>
      </c>
      <c r="S5165" t="s">
        <v>253</v>
      </c>
      <c r="T5165" t="s">
        <v>108</v>
      </c>
      <c r="U5165" t="s">
        <v>104</v>
      </c>
      <c r="V5165" t="s">
        <v>99</v>
      </c>
      <c r="W5165">
        <v>770</v>
      </c>
      <c r="X5165" t="s">
        <v>524</v>
      </c>
      <c r="Y5165" t="s">
        <v>123</v>
      </c>
      <c r="Z5165" t="s">
        <v>664</v>
      </c>
      <c r="AA5165" t="s">
        <v>316</v>
      </c>
      <c r="AB5165" t="s">
        <v>105</v>
      </c>
      <c r="AC5165" t="s">
        <v>117</v>
      </c>
      <c r="AD5165" t="s">
        <v>114</v>
      </c>
      <c r="AE5165" t="s">
        <v>99</v>
      </c>
      <c r="AF5165" t="s">
        <v>207</v>
      </c>
      <c r="AG5165">
        <v>770</v>
      </c>
      <c r="AH5165" t="s">
        <v>185</v>
      </c>
      <c r="AI5165" t="s">
        <v>100</v>
      </c>
      <c r="AJ5165" t="s">
        <v>157</v>
      </c>
      <c r="AK5165" t="s">
        <v>136</v>
      </c>
      <c r="AL5165" t="s">
        <v>151</v>
      </c>
      <c r="AM5165" t="s">
        <v>104</v>
      </c>
      <c r="AN5165" t="s">
        <v>104</v>
      </c>
      <c r="AO5165" t="s">
        <v>207</v>
      </c>
      <c r="AP5165" t="s">
        <v>198</v>
      </c>
      <c r="AQ5165">
        <v>770</v>
      </c>
      <c r="AR5165" t="s">
        <v>845</v>
      </c>
      <c r="AS5165" t="s">
        <v>117</v>
      </c>
      <c r="AT5165" t="s">
        <v>139</v>
      </c>
      <c r="AU5165" t="s">
        <v>215</v>
      </c>
      <c r="AV5165" t="s">
        <v>319</v>
      </c>
      <c r="AW5165" t="s">
        <v>151</v>
      </c>
      <c r="AX5165" t="s">
        <v>141</v>
      </c>
      <c r="AY5165" t="s">
        <v>136</v>
      </c>
      <c r="AZ5165" t="s">
        <v>99</v>
      </c>
    </row>
    <row r="5166" spans="1:52" x14ac:dyDescent="0.3">
      <c r="A5166" t="s">
        <v>36</v>
      </c>
      <c r="B5166" t="s">
        <v>340</v>
      </c>
      <c r="C5166">
        <v>1472</v>
      </c>
      <c r="D5166" t="s">
        <v>610</v>
      </c>
      <c r="E5166" t="s">
        <v>154</v>
      </c>
      <c r="F5166" t="s">
        <v>133</v>
      </c>
      <c r="G5166" t="s">
        <v>353</v>
      </c>
      <c r="H5166" t="s">
        <v>204</v>
      </c>
      <c r="I5166" t="s">
        <v>242</v>
      </c>
      <c r="J5166" t="s">
        <v>111</v>
      </c>
      <c r="K5166" t="s">
        <v>542</v>
      </c>
      <c r="L5166" t="s">
        <v>99</v>
      </c>
      <c r="M5166">
        <v>1472</v>
      </c>
      <c r="N5166" t="s">
        <v>221</v>
      </c>
      <c r="O5166" t="s">
        <v>138</v>
      </c>
      <c r="P5166" t="s">
        <v>155</v>
      </c>
      <c r="Q5166" t="s">
        <v>147</v>
      </c>
      <c r="R5166" t="s">
        <v>253</v>
      </c>
      <c r="S5166" t="s">
        <v>115</v>
      </c>
      <c r="T5166" t="s">
        <v>215</v>
      </c>
      <c r="U5166" t="s">
        <v>104</v>
      </c>
      <c r="V5166" t="s">
        <v>99</v>
      </c>
      <c r="W5166">
        <v>1472</v>
      </c>
      <c r="X5166" t="s">
        <v>443</v>
      </c>
      <c r="Y5166" t="s">
        <v>215</v>
      </c>
      <c r="Z5166" t="s">
        <v>130</v>
      </c>
      <c r="AA5166" t="s">
        <v>157</v>
      </c>
      <c r="AB5166" t="s">
        <v>123</v>
      </c>
      <c r="AC5166" t="s">
        <v>127</v>
      </c>
      <c r="AD5166" t="s">
        <v>103</v>
      </c>
      <c r="AE5166" t="s">
        <v>99</v>
      </c>
      <c r="AF5166" t="s">
        <v>114</v>
      </c>
      <c r="AG5166">
        <v>1472</v>
      </c>
      <c r="AH5166" t="s">
        <v>75</v>
      </c>
      <c r="AI5166" t="s">
        <v>253</v>
      </c>
      <c r="AJ5166" t="s">
        <v>215</v>
      </c>
      <c r="AK5166" t="s">
        <v>121</v>
      </c>
      <c r="AL5166" t="s">
        <v>108</v>
      </c>
      <c r="AM5166" t="s">
        <v>136</v>
      </c>
      <c r="AN5166" t="s">
        <v>132</v>
      </c>
      <c r="AO5166" t="s">
        <v>198</v>
      </c>
      <c r="AP5166" t="s">
        <v>136</v>
      </c>
      <c r="AQ5166">
        <v>1472</v>
      </c>
      <c r="AR5166" t="s">
        <v>205</v>
      </c>
      <c r="AS5166" t="s">
        <v>127</v>
      </c>
      <c r="AT5166" t="s">
        <v>138</v>
      </c>
      <c r="AU5166" t="s">
        <v>157</v>
      </c>
      <c r="AV5166" t="s">
        <v>126</v>
      </c>
      <c r="AW5166" t="s">
        <v>382</v>
      </c>
      <c r="AX5166" t="s">
        <v>292</v>
      </c>
      <c r="AY5166" t="s">
        <v>104</v>
      </c>
      <c r="AZ5166" t="s">
        <v>104</v>
      </c>
    </row>
    <row r="5167" spans="1:52" x14ac:dyDescent="0.3">
      <c r="A5167" t="s">
        <v>36</v>
      </c>
      <c r="B5167" t="s">
        <v>365</v>
      </c>
      <c r="C5167">
        <v>63</v>
      </c>
      <c r="D5167" t="s">
        <v>53</v>
      </c>
      <c r="E5167" t="s">
        <v>99</v>
      </c>
      <c r="F5167" t="s">
        <v>149</v>
      </c>
      <c r="G5167" t="s">
        <v>151</v>
      </c>
      <c r="H5167" t="s">
        <v>130</v>
      </c>
      <c r="I5167" t="s">
        <v>254</v>
      </c>
      <c r="J5167" t="s">
        <v>127</v>
      </c>
      <c r="K5167" t="s">
        <v>664</v>
      </c>
      <c r="L5167" t="s">
        <v>99</v>
      </c>
      <c r="M5167">
        <v>63</v>
      </c>
      <c r="N5167" t="s">
        <v>205</v>
      </c>
      <c r="O5167" t="s">
        <v>468</v>
      </c>
      <c r="P5167" t="s">
        <v>118</v>
      </c>
      <c r="Q5167" t="s">
        <v>111</v>
      </c>
      <c r="R5167" t="s">
        <v>319</v>
      </c>
      <c r="S5167" t="s">
        <v>99</v>
      </c>
      <c r="T5167" t="s">
        <v>253</v>
      </c>
      <c r="U5167" t="s">
        <v>99</v>
      </c>
      <c r="V5167" t="s">
        <v>99</v>
      </c>
      <c r="W5167">
        <v>63</v>
      </c>
      <c r="X5167" t="s">
        <v>183</v>
      </c>
      <c r="Y5167" t="s">
        <v>382</v>
      </c>
      <c r="Z5167" t="s">
        <v>108</v>
      </c>
      <c r="AA5167" t="s">
        <v>412</v>
      </c>
      <c r="AB5167" t="s">
        <v>141</v>
      </c>
      <c r="AC5167" t="s">
        <v>99</v>
      </c>
      <c r="AD5167" t="s">
        <v>121</v>
      </c>
      <c r="AE5167" t="s">
        <v>99</v>
      </c>
      <c r="AF5167" t="s">
        <v>99</v>
      </c>
      <c r="AG5167">
        <v>63</v>
      </c>
      <c r="AH5167" t="s">
        <v>1438</v>
      </c>
      <c r="AI5167" t="s">
        <v>115</v>
      </c>
      <c r="AJ5167" t="s">
        <v>100</v>
      </c>
      <c r="AK5167" t="s">
        <v>108</v>
      </c>
      <c r="AL5167" t="s">
        <v>127</v>
      </c>
      <c r="AM5167" t="s">
        <v>198</v>
      </c>
      <c r="AN5167" t="s">
        <v>99</v>
      </c>
      <c r="AO5167" t="s">
        <v>253</v>
      </c>
      <c r="AP5167" t="s">
        <v>99</v>
      </c>
      <c r="AQ5167">
        <v>63</v>
      </c>
      <c r="AR5167" t="s">
        <v>386</v>
      </c>
      <c r="AS5167" t="s">
        <v>99</v>
      </c>
      <c r="AT5167" t="s">
        <v>141</v>
      </c>
      <c r="AU5167" t="s">
        <v>108</v>
      </c>
      <c r="AV5167" t="s">
        <v>108</v>
      </c>
      <c r="AW5167" t="s">
        <v>99</v>
      </c>
      <c r="AX5167" t="s">
        <v>99</v>
      </c>
      <c r="AY5167" t="s">
        <v>99</v>
      </c>
      <c r="AZ5167" t="s">
        <v>99</v>
      </c>
    </row>
    <row r="5168" spans="1:52" x14ac:dyDescent="0.3">
      <c r="A5168" t="s">
        <v>34</v>
      </c>
      <c r="B5168" t="s">
        <v>339</v>
      </c>
      <c r="C5168">
        <v>555</v>
      </c>
      <c r="D5168" t="s">
        <v>965</v>
      </c>
      <c r="E5168" t="s">
        <v>110</v>
      </c>
      <c r="F5168" t="s">
        <v>289</v>
      </c>
      <c r="G5168" t="s">
        <v>72</v>
      </c>
      <c r="H5168" t="s">
        <v>684</v>
      </c>
      <c r="I5168" t="s">
        <v>332</v>
      </c>
      <c r="J5168" t="s">
        <v>319</v>
      </c>
      <c r="K5168" t="s">
        <v>1008</v>
      </c>
      <c r="L5168" t="s">
        <v>319</v>
      </c>
      <c r="M5168">
        <v>555</v>
      </c>
      <c r="N5168" t="s">
        <v>500</v>
      </c>
      <c r="O5168" t="s">
        <v>379</v>
      </c>
      <c r="P5168" t="s">
        <v>434</v>
      </c>
      <c r="Q5168" t="s">
        <v>151</v>
      </c>
      <c r="R5168" t="s">
        <v>121</v>
      </c>
      <c r="S5168" t="s">
        <v>115</v>
      </c>
      <c r="T5168" t="s">
        <v>120</v>
      </c>
      <c r="U5168" t="s">
        <v>99</v>
      </c>
      <c r="V5168" t="s">
        <v>207</v>
      </c>
      <c r="W5168">
        <v>555</v>
      </c>
      <c r="X5168" t="s">
        <v>1132</v>
      </c>
      <c r="Y5168" t="s">
        <v>107</v>
      </c>
      <c r="Z5168" t="s">
        <v>254</v>
      </c>
      <c r="AA5168" t="s">
        <v>110</v>
      </c>
      <c r="AB5168" t="s">
        <v>132</v>
      </c>
      <c r="AC5168" t="s">
        <v>198</v>
      </c>
      <c r="AD5168" t="s">
        <v>122</v>
      </c>
      <c r="AE5168" t="s">
        <v>121</v>
      </c>
      <c r="AF5168" t="s">
        <v>207</v>
      </c>
      <c r="AG5168">
        <v>555</v>
      </c>
      <c r="AH5168" t="s">
        <v>364</v>
      </c>
      <c r="AI5168" t="s">
        <v>136</v>
      </c>
      <c r="AJ5168" t="s">
        <v>103</v>
      </c>
      <c r="AK5168" t="s">
        <v>117</v>
      </c>
      <c r="AL5168" t="s">
        <v>253</v>
      </c>
      <c r="AM5168" t="s">
        <v>104</v>
      </c>
      <c r="AN5168" t="s">
        <v>136</v>
      </c>
      <c r="AO5168" t="s">
        <v>121</v>
      </c>
      <c r="AP5168" t="s">
        <v>253</v>
      </c>
      <c r="AQ5168">
        <v>555</v>
      </c>
      <c r="AR5168" t="s">
        <v>243</v>
      </c>
      <c r="AS5168" t="s">
        <v>126</v>
      </c>
      <c r="AT5168" t="s">
        <v>474</v>
      </c>
      <c r="AU5168" t="s">
        <v>127</v>
      </c>
      <c r="AV5168" t="s">
        <v>114</v>
      </c>
      <c r="AW5168" t="s">
        <v>100</v>
      </c>
      <c r="AX5168" t="s">
        <v>712</v>
      </c>
      <c r="AY5168" t="s">
        <v>136</v>
      </c>
      <c r="AZ5168" t="s">
        <v>115</v>
      </c>
    </row>
    <row r="5169" spans="1:52" x14ac:dyDescent="0.3">
      <c r="A5169" t="s">
        <v>34</v>
      </c>
      <c r="B5169" t="s">
        <v>340</v>
      </c>
      <c r="C5169">
        <v>1497</v>
      </c>
      <c r="D5169" t="s">
        <v>533</v>
      </c>
      <c r="E5169" t="s">
        <v>118</v>
      </c>
      <c r="F5169" t="s">
        <v>461</v>
      </c>
      <c r="G5169" t="s">
        <v>74</v>
      </c>
      <c r="H5169" t="s">
        <v>129</v>
      </c>
      <c r="I5169" t="s">
        <v>292</v>
      </c>
      <c r="J5169" t="s">
        <v>136</v>
      </c>
      <c r="K5169" t="s">
        <v>218</v>
      </c>
      <c r="L5169" t="s">
        <v>100</v>
      </c>
      <c r="M5169">
        <v>1497</v>
      </c>
      <c r="N5169" t="s">
        <v>169</v>
      </c>
      <c r="O5169" t="s">
        <v>155</v>
      </c>
      <c r="P5169" t="s">
        <v>111</v>
      </c>
      <c r="Q5169" t="s">
        <v>151</v>
      </c>
      <c r="R5169" t="s">
        <v>253</v>
      </c>
      <c r="S5169" t="s">
        <v>99</v>
      </c>
      <c r="T5169" t="s">
        <v>114</v>
      </c>
      <c r="U5169" t="s">
        <v>104</v>
      </c>
      <c r="V5169" t="s">
        <v>104</v>
      </c>
      <c r="W5169">
        <v>1497</v>
      </c>
      <c r="X5169" t="s">
        <v>961</v>
      </c>
      <c r="Y5169" t="s">
        <v>101</v>
      </c>
      <c r="Z5169" t="s">
        <v>107</v>
      </c>
      <c r="AA5169" t="s">
        <v>123</v>
      </c>
      <c r="AB5169" t="s">
        <v>108</v>
      </c>
      <c r="AC5169" t="s">
        <v>198</v>
      </c>
      <c r="AD5169" t="s">
        <v>319</v>
      </c>
      <c r="AE5169" t="s">
        <v>141</v>
      </c>
      <c r="AF5169" t="s">
        <v>198</v>
      </c>
      <c r="AG5169">
        <v>1497</v>
      </c>
      <c r="AH5169" t="s">
        <v>1017</v>
      </c>
      <c r="AI5169" t="s">
        <v>114</v>
      </c>
      <c r="AJ5169" t="s">
        <v>382</v>
      </c>
      <c r="AK5169" t="s">
        <v>136</v>
      </c>
      <c r="AL5169" t="s">
        <v>198</v>
      </c>
      <c r="AM5169" t="s">
        <v>136</v>
      </c>
      <c r="AN5169" t="s">
        <v>99</v>
      </c>
      <c r="AO5169" t="s">
        <v>253</v>
      </c>
      <c r="AP5169" t="s">
        <v>104</v>
      </c>
      <c r="AQ5169">
        <v>1497</v>
      </c>
      <c r="AR5169" t="s">
        <v>329</v>
      </c>
      <c r="AS5169" t="s">
        <v>115</v>
      </c>
      <c r="AT5169" t="s">
        <v>292</v>
      </c>
      <c r="AU5169" t="s">
        <v>111</v>
      </c>
      <c r="AV5169" t="s">
        <v>198</v>
      </c>
      <c r="AW5169" t="s">
        <v>207</v>
      </c>
      <c r="AX5169" t="s">
        <v>101</v>
      </c>
      <c r="AY5169" t="s">
        <v>99</v>
      </c>
      <c r="AZ5169" t="s">
        <v>207</v>
      </c>
    </row>
    <row r="5170" spans="1:52" x14ac:dyDescent="0.3">
      <c r="A5170" t="s">
        <v>34</v>
      </c>
      <c r="B5170" t="s">
        <v>365</v>
      </c>
      <c r="C5170">
        <v>28</v>
      </c>
      <c r="D5170" t="s">
        <v>579</v>
      </c>
      <c r="E5170" t="s">
        <v>468</v>
      </c>
      <c r="F5170" t="s">
        <v>675</v>
      </c>
      <c r="G5170" t="s">
        <v>114</v>
      </c>
      <c r="H5170" t="s">
        <v>117</v>
      </c>
      <c r="I5170" t="s">
        <v>138</v>
      </c>
      <c r="J5170" t="s">
        <v>99</v>
      </c>
      <c r="K5170" t="s">
        <v>933</v>
      </c>
      <c r="L5170" t="s">
        <v>99</v>
      </c>
      <c r="M5170">
        <v>28</v>
      </c>
      <c r="N5170" t="s">
        <v>71</v>
      </c>
      <c r="O5170" t="s">
        <v>253</v>
      </c>
      <c r="P5170" t="s">
        <v>99</v>
      </c>
      <c r="Q5170" t="s">
        <v>99</v>
      </c>
      <c r="R5170" t="s">
        <v>99</v>
      </c>
      <c r="S5170" t="s">
        <v>319</v>
      </c>
      <c r="T5170" t="s">
        <v>468</v>
      </c>
      <c r="U5170" t="s">
        <v>99</v>
      </c>
      <c r="V5170" t="s">
        <v>99</v>
      </c>
      <c r="W5170">
        <v>28</v>
      </c>
      <c r="X5170" t="s">
        <v>178</v>
      </c>
      <c r="Y5170" t="s">
        <v>99</v>
      </c>
      <c r="Z5170" t="s">
        <v>99</v>
      </c>
      <c r="AA5170" t="s">
        <v>319</v>
      </c>
      <c r="AB5170" t="s">
        <v>99</v>
      </c>
      <c r="AC5170" t="s">
        <v>138</v>
      </c>
      <c r="AD5170" t="s">
        <v>416</v>
      </c>
      <c r="AE5170" t="s">
        <v>99</v>
      </c>
      <c r="AF5170" t="s">
        <v>319</v>
      </c>
      <c r="AG5170">
        <v>28</v>
      </c>
      <c r="AH5170" t="s">
        <v>219</v>
      </c>
      <c r="AI5170" t="s">
        <v>99</v>
      </c>
      <c r="AJ5170" t="s">
        <v>99</v>
      </c>
      <c r="AK5170" t="s">
        <v>99</v>
      </c>
      <c r="AL5170" t="s">
        <v>99</v>
      </c>
      <c r="AM5170" t="s">
        <v>207</v>
      </c>
      <c r="AN5170" t="s">
        <v>99</v>
      </c>
      <c r="AO5170" t="s">
        <v>291</v>
      </c>
      <c r="AP5170" t="s">
        <v>99</v>
      </c>
      <c r="AQ5170">
        <v>28</v>
      </c>
      <c r="AR5170" t="s">
        <v>424</v>
      </c>
      <c r="AS5170" t="s">
        <v>99</v>
      </c>
      <c r="AT5170" t="s">
        <v>99</v>
      </c>
      <c r="AU5170" t="s">
        <v>150</v>
      </c>
      <c r="AV5170" t="s">
        <v>99</v>
      </c>
      <c r="AW5170" t="s">
        <v>149</v>
      </c>
      <c r="AX5170" t="s">
        <v>291</v>
      </c>
      <c r="AY5170" t="s">
        <v>99</v>
      </c>
      <c r="AZ5170" t="s">
        <v>99</v>
      </c>
    </row>
    <row r="5171" spans="1:52" x14ac:dyDescent="0.3">
      <c r="A5171" t="s">
        <v>33</v>
      </c>
      <c r="B5171" t="s">
        <v>339</v>
      </c>
      <c r="C5171">
        <v>503</v>
      </c>
      <c r="D5171" t="s">
        <v>906</v>
      </c>
      <c r="E5171" t="s">
        <v>103</v>
      </c>
      <c r="F5171" t="s">
        <v>664</v>
      </c>
      <c r="G5171" t="s">
        <v>277</v>
      </c>
      <c r="H5171" t="s">
        <v>109</v>
      </c>
      <c r="I5171" t="s">
        <v>135</v>
      </c>
      <c r="J5171" t="s">
        <v>268</v>
      </c>
      <c r="K5171" t="s">
        <v>833</v>
      </c>
      <c r="L5171" t="s">
        <v>141</v>
      </c>
      <c r="M5171">
        <v>503</v>
      </c>
      <c r="N5171" t="s">
        <v>323</v>
      </c>
      <c r="O5171" t="s">
        <v>129</v>
      </c>
      <c r="P5171" t="s">
        <v>101</v>
      </c>
      <c r="Q5171" t="s">
        <v>215</v>
      </c>
      <c r="R5171" t="s">
        <v>136</v>
      </c>
      <c r="S5171" t="s">
        <v>141</v>
      </c>
      <c r="T5171" t="s">
        <v>136</v>
      </c>
      <c r="U5171" t="s">
        <v>99</v>
      </c>
      <c r="V5171" t="s">
        <v>99</v>
      </c>
      <c r="W5171">
        <v>503</v>
      </c>
      <c r="X5171" t="s">
        <v>323</v>
      </c>
      <c r="Y5171" t="s">
        <v>126</v>
      </c>
      <c r="Z5171" t="s">
        <v>138</v>
      </c>
      <c r="AA5171" t="s">
        <v>215</v>
      </c>
      <c r="AB5171" t="s">
        <v>207</v>
      </c>
      <c r="AC5171" t="s">
        <v>114</v>
      </c>
      <c r="AD5171" t="s">
        <v>141</v>
      </c>
      <c r="AE5171" t="s">
        <v>99</v>
      </c>
      <c r="AF5171" t="s">
        <v>99</v>
      </c>
      <c r="AG5171">
        <v>503</v>
      </c>
      <c r="AH5171" t="s">
        <v>766</v>
      </c>
      <c r="AI5171" t="s">
        <v>136</v>
      </c>
      <c r="AJ5171" t="s">
        <v>108</v>
      </c>
      <c r="AK5171" t="s">
        <v>207</v>
      </c>
      <c r="AL5171" t="s">
        <v>198</v>
      </c>
      <c r="AM5171" t="s">
        <v>198</v>
      </c>
      <c r="AN5171" t="s">
        <v>99</v>
      </c>
      <c r="AO5171" t="s">
        <v>99</v>
      </c>
      <c r="AP5171" t="s">
        <v>99</v>
      </c>
      <c r="AQ5171">
        <v>503</v>
      </c>
      <c r="AR5171" t="s">
        <v>391</v>
      </c>
      <c r="AS5171" t="s">
        <v>151</v>
      </c>
      <c r="AT5171" t="s">
        <v>151</v>
      </c>
      <c r="AU5171" t="s">
        <v>101</v>
      </c>
      <c r="AV5171" t="s">
        <v>141</v>
      </c>
      <c r="AW5171" t="s">
        <v>141</v>
      </c>
      <c r="AX5171" t="s">
        <v>198</v>
      </c>
      <c r="AY5171" t="s">
        <v>99</v>
      </c>
      <c r="AZ5171" t="s">
        <v>99</v>
      </c>
    </row>
    <row r="5172" spans="1:52" x14ac:dyDescent="0.3">
      <c r="A5172" t="s">
        <v>33</v>
      </c>
      <c r="B5172" t="s">
        <v>340</v>
      </c>
      <c r="C5172">
        <v>1415</v>
      </c>
      <c r="D5172" t="s">
        <v>63</v>
      </c>
      <c r="E5172" t="s">
        <v>105</v>
      </c>
      <c r="F5172" t="s">
        <v>143</v>
      </c>
      <c r="G5172" t="s">
        <v>277</v>
      </c>
      <c r="H5172" t="s">
        <v>332</v>
      </c>
      <c r="I5172" t="s">
        <v>105</v>
      </c>
      <c r="J5172" t="s">
        <v>132</v>
      </c>
      <c r="K5172" t="s">
        <v>722</v>
      </c>
      <c r="L5172" t="s">
        <v>104</v>
      </c>
      <c r="M5172">
        <v>1415</v>
      </c>
      <c r="N5172" t="s">
        <v>237</v>
      </c>
      <c r="O5172" t="s">
        <v>126</v>
      </c>
      <c r="P5172" t="s">
        <v>100</v>
      </c>
      <c r="Q5172" t="s">
        <v>253</v>
      </c>
      <c r="R5172" t="s">
        <v>198</v>
      </c>
      <c r="S5172" t="s">
        <v>207</v>
      </c>
      <c r="T5172" t="s">
        <v>207</v>
      </c>
      <c r="U5172" t="s">
        <v>104</v>
      </c>
      <c r="V5172" t="s">
        <v>99</v>
      </c>
      <c r="W5172">
        <v>1415</v>
      </c>
      <c r="X5172" t="s">
        <v>398</v>
      </c>
      <c r="Y5172" t="s">
        <v>114</v>
      </c>
      <c r="Z5172" t="s">
        <v>132</v>
      </c>
      <c r="AA5172" t="s">
        <v>198</v>
      </c>
      <c r="AB5172" t="s">
        <v>207</v>
      </c>
      <c r="AC5172" t="s">
        <v>198</v>
      </c>
      <c r="AD5172" t="s">
        <v>136</v>
      </c>
      <c r="AE5172" t="s">
        <v>104</v>
      </c>
      <c r="AF5172" t="s">
        <v>99</v>
      </c>
      <c r="AG5172">
        <v>1415</v>
      </c>
      <c r="AH5172" t="s">
        <v>438</v>
      </c>
      <c r="AI5172" t="s">
        <v>207</v>
      </c>
      <c r="AJ5172" t="s">
        <v>115</v>
      </c>
      <c r="AK5172" t="s">
        <v>136</v>
      </c>
      <c r="AL5172" t="s">
        <v>104</v>
      </c>
      <c r="AM5172" t="s">
        <v>99</v>
      </c>
      <c r="AN5172" t="s">
        <v>104</v>
      </c>
      <c r="AO5172" t="s">
        <v>136</v>
      </c>
      <c r="AP5172" t="s">
        <v>99</v>
      </c>
      <c r="AQ5172">
        <v>1415</v>
      </c>
      <c r="AR5172" t="s">
        <v>476</v>
      </c>
      <c r="AS5172" t="s">
        <v>115</v>
      </c>
      <c r="AT5172" t="s">
        <v>141</v>
      </c>
      <c r="AU5172" t="s">
        <v>253</v>
      </c>
      <c r="AV5172" t="s">
        <v>198</v>
      </c>
      <c r="AW5172" t="s">
        <v>198</v>
      </c>
      <c r="AX5172" t="s">
        <v>198</v>
      </c>
      <c r="AY5172" t="s">
        <v>99</v>
      </c>
      <c r="AZ5172" t="s">
        <v>99</v>
      </c>
    </row>
    <row r="5173" spans="1:52" x14ac:dyDescent="0.3">
      <c r="A5173" t="s">
        <v>33</v>
      </c>
      <c r="B5173" t="s">
        <v>365</v>
      </c>
      <c r="C5173">
        <v>19</v>
      </c>
      <c r="D5173" t="s">
        <v>1166</v>
      </c>
      <c r="E5173" t="s">
        <v>680</v>
      </c>
      <c r="F5173" t="s">
        <v>328</v>
      </c>
      <c r="G5173" t="s">
        <v>99</v>
      </c>
      <c r="H5173" t="s">
        <v>99</v>
      </c>
      <c r="I5173" t="s">
        <v>99</v>
      </c>
      <c r="J5173" t="s">
        <v>99</v>
      </c>
      <c r="K5173" t="s">
        <v>74</v>
      </c>
      <c r="L5173" t="s">
        <v>99</v>
      </c>
      <c r="M5173">
        <v>19</v>
      </c>
      <c r="N5173" t="s">
        <v>211</v>
      </c>
      <c r="O5173" t="s">
        <v>99</v>
      </c>
      <c r="P5173" t="s">
        <v>99</v>
      </c>
      <c r="Q5173" t="s">
        <v>99</v>
      </c>
      <c r="R5173" t="s">
        <v>99</v>
      </c>
      <c r="S5173" t="s">
        <v>99</v>
      </c>
      <c r="T5173" t="s">
        <v>99</v>
      </c>
      <c r="U5173" t="s">
        <v>99</v>
      </c>
      <c r="V5173" t="s">
        <v>99</v>
      </c>
      <c r="W5173">
        <v>19</v>
      </c>
      <c r="X5173" t="s">
        <v>75</v>
      </c>
      <c r="Y5173" t="s">
        <v>99</v>
      </c>
      <c r="Z5173" t="s">
        <v>99</v>
      </c>
      <c r="AA5173" t="s">
        <v>99</v>
      </c>
      <c r="AB5173" t="s">
        <v>74</v>
      </c>
      <c r="AC5173" t="s">
        <v>99</v>
      </c>
      <c r="AD5173" t="s">
        <v>99</v>
      </c>
      <c r="AE5173" t="s">
        <v>99</v>
      </c>
      <c r="AF5173" t="s">
        <v>99</v>
      </c>
      <c r="AG5173">
        <v>19</v>
      </c>
      <c r="AH5173" t="s">
        <v>75</v>
      </c>
      <c r="AI5173" t="s">
        <v>99</v>
      </c>
      <c r="AJ5173" t="s">
        <v>74</v>
      </c>
      <c r="AK5173" t="s">
        <v>99</v>
      </c>
      <c r="AL5173" t="s">
        <v>99</v>
      </c>
      <c r="AM5173" t="s">
        <v>99</v>
      </c>
      <c r="AN5173" t="s">
        <v>99</v>
      </c>
      <c r="AO5173" t="s">
        <v>99</v>
      </c>
      <c r="AP5173" t="s">
        <v>99</v>
      </c>
      <c r="AQ5173">
        <v>19</v>
      </c>
      <c r="AR5173" t="s">
        <v>211</v>
      </c>
      <c r="AS5173" t="s">
        <v>99</v>
      </c>
      <c r="AT5173" t="s">
        <v>99</v>
      </c>
      <c r="AU5173" t="s">
        <v>99</v>
      </c>
      <c r="AV5173" t="s">
        <v>99</v>
      </c>
      <c r="AW5173" t="s">
        <v>99</v>
      </c>
      <c r="AX5173" t="s">
        <v>99</v>
      </c>
      <c r="AY5173" t="s">
        <v>99</v>
      </c>
      <c r="AZ5173" t="s">
        <v>99</v>
      </c>
    </row>
    <row r="5174" spans="1:52" x14ac:dyDescent="0.3">
      <c r="A5174" t="s">
        <v>49</v>
      </c>
      <c r="B5174" t="s">
        <v>339</v>
      </c>
      <c r="C5174">
        <v>3811</v>
      </c>
      <c r="D5174" t="s">
        <v>1148</v>
      </c>
      <c r="E5174" t="s">
        <v>242</v>
      </c>
      <c r="F5174" t="s">
        <v>671</v>
      </c>
      <c r="G5174" t="s">
        <v>78</v>
      </c>
      <c r="H5174" t="s">
        <v>122</v>
      </c>
      <c r="I5174" t="s">
        <v>144</v>
      </c>
      <c r="J5174" t="s">
        <v>103</v>
      </c>
      <c r="K5174" t="s">
        <v>307</v>
      </c>
      <c r="L5174" t="s">
        <v>132</v>
      </c>
      <c r="M5174">
        <v>3811</v>
      </c>
      <c r="N5174" t="s">
        <v>439</v>
      </c>
      <c r="O5174" t="s">
        <v>144</v>
      </c>
      <c r="P5174" t="s">
        <v>154</v>
      </c>
      <c r="Q5174" t="s">
        <v>111</v>
      </c>
      <c r="R5174" t="s">
        <v>123</v>
      </c>
      <c r="S5174" t="s">
        <v>115</v>
      </c>
      <c r="T5174" t="s">
        <v>111</v>
      </c>
      <c r="U5174" t="s">
        <v>104</v>
      </c>
      <c r="V5174" t="s">
        <v>198</v>
      </c>
      <c r="W5174">
        <v>3811</v>
      </c>
      <c r="X5174" t="s">
        <v>968</v>
      </c>
      <c r="Y5174" t="s">
        <v>332</v>
      </c>
      <c r="Z5174" t="s">
        <v>149</v>
      </c>
      <c r="AA5174" t="s">
        <v>155</v>
      </c>
      <c r="AB5174" t="s">
        <v>319</v>
      </c>
      <c r="AC5174" t="s">
        <v>100</v>
      </c>
      <c r="AD5174" t="s">
        <v>124</v>
      </c>
      <c r="AE5174" t="s">
        <v>136</v>
      </c>
      <c r="AF5174" t="s">
        <v>104</v>
      </c>
      <c r="AG5174">
        <v>3811</v>
      </c>
      <c r="AH5174" t="s">
        <v>335</v>
      </c>
      <c r="AI5174" t="s">
        <v>253</v>
      </c>
      <c r="AJ5174" t="s">
        <v>101</v>
      </c>
      <c r="AK5174" t="s">
        <v>114</v>
      </c>
      <c r="AL5174" t="s">
        <v>108</v>
      </c>
      <c r="AM5174" t="s">
        <v>104</v>
      </c>
      <c r="AN5174" t="s">
        <v>104</v>
      </c>
      <c r="AO5174" t="s">
        <v>100</v>
      </c>
      <c r="AP5174" t="s">
        <v>198</v>
      </c>
      <c r="AQ5174">
        <v>3811</v>
      </c>
      <c r="AR5174" t="s">
        <v>200</v>
      </c>
      <c r="AS5174" t="s">
        <v>117</v>
      </c>
      <c r="AT5174" t="s">
        <v>157</v>
      </c>
      <c r="AU5174" t="s">
        <v>292</v>
      </c>
      <c r="AV5174" t="s">
        <v>108</v>
      </c>
      <c r="AW5174" t="s">
        <v>132</v>
      </c>
      <c r="AX5174" t="s">
        <v>112</v>
      </c>
      <c r="AY5174" t="s">
        <v>207</v>
      </c>
      <c r="AZ5174" t="s">
        <v>136</v>
      </c>
    </row>
    <row r="5175" spans="1:52" x14ac:dyDescent="0.3">
      <c r="A5175" t="s">
        <v>49</v>
      </c>
      <c r="B5175" t="s">
        <v>340</v>
      </c>
      <c r="C5175">
        <v>9320</v>
      </c>
      <c r="D5175" t="s">
        <v>1704</v>
      </c>
      <c r="E5175" t="s">
        <v>468</v>
      </c>
      <c r="F5175" t="s">
        <v>113</v>
      </c>
      <c r="G5175" t="s">
        <v>401</v>
      </c>
      <c r="H5175" t="s">
        <v>144</v>
      </c>
      <c r="I5175" t="s">
        <v>154</v>
      </c>
      <c r="J5175" t="s">
        <v>382</v>
      </c>
      <c r="K5175" t="s">
        <v>179</v>
      </c>
      <c r="L5175" t="s">
        <v>141</v>
      </c>
      <c r="M5175">
        <v>9320</v>
      </c>
      <c r="N5175" t="s">
        <v>247</v>
      </c>
      <c r="O5175" t="s">
        <v>103</v>
      </c>
      <c r="P5175" t="s">
        <v>123</v>
      </c>
      <c r="Q5175" t="s">
        <v>382</v>
      </c>
      <c r="R5175" t="s">
        <v>115</v>
      </c>
      <c r="S5175" t="s">
        <v>136</v>
      </c>
      <c r="T5175" t="s">
        <v>253</v>
      </c>
      <c r="U5175" t="s">
        <v>104</v>
      </c>
      <c r="V5175" t="s">
        <v>104</v>
      </c>
      <c r="W5175">
        <v>9320</v>
      </c>
      <c r="X5175" t="s">
        <v>421</v>
      </c>
      <c r="Y5175" t="s">
        <v>215</v>
      </c>
      <c r="Z5175" t="s">
        <v>268</v>
      </c>
      <c r="AA5175" t="s">
        <v>382</v>
      </c>
      <c r="AB5175" t="s">
        <v>108</v>
      </c>
      <c r="AC5175" t="s">
        <v>141</v>
      </c>
      <c r="AD5175" t="s">
        <v>126</v>
      </c>
      <c r="AE5175" t="s">
        <v>198</v>
      </c>
      <c r="AF5175" t="s">
        <v>198</v>
      </c>
      <c r="AG5175">
        <v>9320</v>
      </c>
      <c r="AH5175" t="s">
        <v>404</v>
      </c>
      <c r="AI5175" t="s">
        <v>141</v>
      </c>
      <c r="AJ5175" t="s">
        <v>132</v>
      </c>
      <c r="AK5175" t="s">
        <v>253</v>
      </c>
      <c r="AL5175" t="s">
        <v>207</v>
      </c>
      <c r="AM5175" t="s">
        <v>198</v>
      </c>
      <c r="AN5175" t="s">
        <v>104</v>
      </c>
      <c r="AO5175" t="s">
        <v>141</v>
      </c>
      <c r="AP5175" t="s">
        <v>104</v>
      </c>
      <c r="AQ5175">
        <v>9320</v>
      </c>
      <c r="AR5175" t="s">
        <v>391</v>
      </c>
      <c r="AS5175" t="s">
        <v>121</v>
      </c>
      <c r="AT5175" t="s">
        <v>382</v>
      </c>
      <c r="AU5175" t="s">
        <v>121</v>
      </c>
      <c r="AV5175" t="s">
        <v>115</v>
      </c>
      <c r="AW5175" t="s">
        <v>141</v>
      </c>
      <c r="AX5175" t="s">
        <v>114</v>
      </c>
      <c r="AY5175" t="s">
        <v>104</v>
      </c>
      <c r="AZ5175" t="s">
        <v>104</v>
      </c>
    </row>
    <row r="5176" spans="1:52" x14ac:dyDescent="0.3">
      <c r="A5176" t="s">
        <v>49</v>
      </c>
      <c r="B5176" t="s">
        <v>365</v>
      </c>
      <c r="C5176">
        <v>191</v>
      </c>
      <c r="D5176" t="s">
        <v>1224</v>
      </c>
      <c r="E5176" t="s">
        <v>139</v>
      </c>
      <c r="F5176" t="s">
        <v>220</v>
      </c>
      <c r="G5176" t="s">
        <v>127</v>
      </c>
      <c r="H5176" t="s">
        <v>68</v>
      </c>
      <c r="I5176" t="s">
        <v>332</v>
      </c>
      <c r="J5176" t="s">
        <v>115</v>
      </c>
      <c r="K5176" t="s">
        <v>708</v>
      </c>
      <c r="L5176" t="s">
        <v>198</v>
      </c>
      <c r="M5176">
        <v>191</v>
      </c>
      <c r="N5176" t="s">
        <v>166</v>
      </c>
      <c r="O5176" t="s">
        <v>215</v>
      </c>
      <c r="P5176" t="s">
        <v>121</v>
      </c>
      <c r="Q5176" t="s">
        <v>124</v>
      </c>
      <c r="R5176" t="s">
        <v>132</v>
      </c>
      <c r="S5176" t="s">
        <v>207</v>
      </c>
      <c r="T5176" t="s">
        <v>101</v>
      </c>
      <c r="U5176" t="s">
        <v>99</v>
      </c>
      <c r="V5176" t="s">
        <v>99</v>
      </c>
      <c r="W5176">
        <v>191</v>
      </c>
      <c r="X5176" t="s">
        <v>448</v>
      </c>
      <c r="Y5176" t="s">
        <v>136</v>
      </c>
      <c r="Z5176" t="s">
        <v>101</v>
      </c>
      <c r="AA5176" t="s">
        <v>98</v>
      </c>
      <c r="AB5176" t="s">
        <v>132</v>
      </c>
      <c r="AC5176" t="s">
        <v>115</v>
      </c>
      <c r="AD5176" t="s">
        <v>128</v>
      </c>
      <c r="AE5176" t="s">
        <v>99</v>
      </c>
      <c r="AF5176" t="s">
        <v>207</v>
      </c>
      <c r="AG5176">
        <v>191</v>
      </c>
      <c r="AH5176" t="s">
        <v>293</v>
      </c>
      <c r="AI5176" t="s">
        <v>104</v>
      </c>
      <c r="AJ5176" t="s">
        <v>108</v>
      </c>
      <c r="AK5176" t="s">
        <v>114</v>
      </c>
      <c r="AL5176" t="s">
        <v>277</v>
      </c>
      <c r="AM5176" t="s">
        <v>104</v>
      </c>
      <c r="AN5176" t="s">
        <v>99</v>
      </c>
      <c r="AO5176" t="s">
        <v>316</v>
      </c>
      <c r="AP5176" t="s">
        <v>99</v>
      </c>
      <c r="AQ5176">
        <v>191</v>
      </c>
      <c r="AR5176" t="s">
        <v>293</v>
      </c>
      <c r="AS5176" t="s">
        <v>198</v>
      </c>
      <c r="AT5176" t="s">
        <v>104</v>
      </c>
      <c r="AU5176" t="s">
        <v>215</v>
      </c>
      <c r="AV5176" t="s">
        <v>474</v>
      </c>
      <c r="AW5176" t="s">
        <v>114</v>
      </c>
      <c r="AX5176" t="s">
        <v>103</v>
      </c>
      <c r="AY5176" t="s">
        <v>99</v>
      </c>
      <c r="AZ5176" t="s">
        <v>99</v>
      </c>
    </row>
    <row r="5178" spans="1:52" x14ac:dyDescent="0.3">
      <c r="A5178" t="s">
        <v>1705</v>
      </c>
    </row>
    <row r="5179" spans="1:52" x14ac:dyDescent="0.3">
      <c r="A5179" t="s">
        <v>44</v>
      </c>
      <c r="B5179" t="s">
        <v>209</v>
      </c>
      <c r="C5179" t="s">
        <v>1653</v>
      </c>
      <c r="D5179" t="s">
        <v>1654</v>
      </c>
      <c r="E5179" t="s">
        <v>1655</v>
      </c>
      <c r="F5179" t="s">
        <v>1656</v>
      </c>
      <c r="G5179" t="s">
        <v>1657</v>
      </c>
      <c r="H5179" t="s">
        <v>1658</v>
      </c>
      <c r="I5179" t="s">
        <v>1659</v>
      </c>
      <c r="J5179" t="s">
        <v>1660</v>
      </c>
      <c r="K5179" t="s">
        <v>1661</v>
      </c>
      <c r="L5179" t="s">
        <v>1662</v>
      </c>
      <c r="M5179" t="s">
        <v>1663</v>
      </c>
      <c r="N5179" t="s">
        <v>1664</v>
      </c>
      <c r="O5179" t="s">
        <v>1665</v>
      </c>
      <c r="P5179" t="s">
        <v>1666</v>
      </c>
      <c r="Q5179" t="s">
        <v>1667</v>
      </c>
      <c r="R5179" t="s">
        <v>1668</v>
      </c>
      <c r="S5179" t="s">
        <v>1669</v>
      </c>
      <c r="T5179" t="s">
        <v>1670</v>
      </c>
      <c r="U5179" t="s">
        <v>1671</v>
      </c>
      <c r="V5179" t="s">
        <v>1672</v>
      </c>
      <c r="W5179" t="s">
        <v>1673</v>
      </c>
      <c r="X5179" t="s">
        <v>1674</v>
      </c>
      <c r="Y5179" t="s">
        <v>1677</v>
      </c>
      <c r="Z5179" t="s">
        <v>1678</v>
      </c>
      <c r="AA5179" t="s">
        <v>1675</v>
      </c>
      <c r="AB5179" t="s">
        <v>1676</v>
      </c>
      <c r="AC5179" t="s">
        <v>1679</v>
      </c>
      <c r="AD5179" t="s">
        <v>1680</v>
      </c>
      <c r="AE5179" t="s">
        <v>1681</v>
      </c>
      <c r="AF5179" t="s">
        <v>1682</v>
      </c>
      <c r="AG5179" t="s">
        <v>1683</v>
      </c>
      <c r="AH5179" t="s">
        <v>1684</v>
      </c>
      <c r="AI5179" t="s">
        <v>1686</v>
      </c>
      <c r="AJ5179" t="s">
        <v>1689</v>
      </c>
      <c r="AK5179" t="s">
        <v>1685</v>
      </c>
      <c r="AL5179" t="s">
        <v>1687</v>
      </c>
      <c r="AM5179" t="s">
        <v>1688</v>
      </c>
      <c r="AN5179" t="s">
        <v>1690</v>
      </c>
      <c r="AO5179" t="s">
        <v>1691</v>
      </c>
      <c r="AP5179" t="s">
        <v>1692</v>
      </c>
      <c r="AQ5179" t="s">
        <v>1693</v>
      </c>
      <c r="AR5179" t="s">
        <v>1694</v>
      </c>
      <c r="AS5179" t="s">
        <v>1696</v>
      </c>
      <c r="AT5179" t="s">
        <v>1697</v>
      </c>
      <c r="AU5179" t="s">
        <v>1695</v>
      </c>
      <c r="AV5179" t="s">
        <v>1698</v>
      </c>
      <c r="AW5179" t="s">
        <v>1699</v>
      </c>
      <c r="AX5179" t="s">
        <v>1700</v>
      </c>
      <c r="AY5179" t="s">
        <v>1701</v>
      </c>
      <c r="AZ5179" t="s">
        <v>1702</v>
      </c>
    </row>
    <row r="5180" spans="1:52" x14ac:dyDescent="0.3">
      <c r="A5180" t="s">
        <v>35</v>
      </c>
      <c r="B5180" t="s">
        <v>210</v>
      </c>
      <c r="C5180">
        <v>136</v>
      </c>
      <c r="D5180" t="s">
        <v>342</v>
      </c>
      <c r="E5180" t="s">
        <v>145</v>
      </c>
      <c r="F5180" t="s">
        <v>325</v>
      </c>
      <c r="G5180" t="s">
        <v>125</v>
      </c>
      <c r="H5180" t="s">
        <v>731</v>
      </c>
      <c r="I5180" t="s">
        <v>149</v>
      </c>
      <c r="J5180" t="s">
        <v>141</v>
      </c>
      <c r="K5180" t="s">
        <v>960</v>
      </c>
      <c r="L5180" t="s">
        <v>198</v>
      </c>
      <c r="M5180">
        <v>136</v>
      </c>
      <c r="N5180" t="s">
        <v>1476</v>
      </c>
      <c r="O5180" t="s">
        <v>138</v>
      </c>
      <c r="P5180" t="s">
        <v>267</v>
      </c>
      <c r="Q5180" t="s">
        <v>114</v>
      </c>
      <c r="R5180" t="s">
        <v>99</v>
      </c>
      <c r="S5180" t="s">
        <v>132</v>
      </c>
      <c r="T5180" t="s">
        <v>99</v>
      </c>
      <c r="U5180" t="s">
        <v>115</v>
      </c>
      <c r="V5180" t="s">
        <v>141</v>
      </c>
      <c r="W5180">
        <v>136</v>
      </c>
      <c r="X5180" t="s">
        <v>774</v>
      </c>
      <c r="Y5180" t="s">
        <v>98</v>
      </c>
      <c r="Z5180" t="s">
        <v>292</v>
      </c>
      <c r="AA5180" t="s">
        <v>215</v>
      </c>
      <c r="AB5180" t="s">
        <v>154</v>
      </c>
      <c r="AC5180" t="s">
        <v>136</v>
      </c>
      <c r="AD5180" t="s">
        <v>109</v>
      </c>
      <c r="AE5180" t="s">
        <v>141</v>
      </c>
      <c r="AF5180" t="s">
        <v>99</v>
      </c>
      <c r="AG5180">
        <v>136</v>
      </c>
      <c r="AH5180" t="s">
        <v>870</v>
      </c>
      <c r="AI5180" t="s">
        <v>215</v>
      </c>
      <c r="AJ5180" t="s">
        <v>99</v>
      </c>
      <c r="AK5180" t="s">
        <v>121</v>
      </c>
      <c r="AL5180" t="s">
        <v>100</v>
      </c>
      <c r="AM5180" t="s">
        <v>305</v>
      </c>
      <c r="AN5180" t="s">
        <v>132</v>
      </c>
      <c r="AO5180" t="s">
        <v>149</v>
      </c>
      <c r="AP5180" t="s">
        <v>99</v>
      </c>
      <c r="AQ5180">
        <v>136</v>
      </c>
      <c r="AR5180" t="s">
        <v>411</v>
      </c>
      <c r="AS5180" t="s">
        <v>151</v>
      </c>
      <c r="AT5180" t="s">
        <v>319</v>
      </c>
      <c r="AU5180" t="s">
        <v>268</v>
      </c>
      <c r="AV5180" t="s">
        <v>99</v>
      </c>
      <c r="AW5180" t="s">
        <v>99</v>
      </c>
      <c r="AX5180" t="s">
        <v>731</v>
      </c>
      <c r="AY5180" t="s">
        <v>99</v>
      </c>
      <c r="AZ5180" t="s">
        <v>141</v>
      </c>
    </row>
    <row r="5181" spans="1:52" x14ac:dyDescent="0.3">
      <c r="A5181" t="s">
        <v>35</v>
      </c>
      <c r="B5181" t="s">
        <v>212</v>
      </c>
      <c r="C5181">
        <v>2442</v>
      </c>
      <c r="D5181" t="s">
        <v>943</v>
      </c>
      <c r="E5181" t="s">
        <v>328</v>
      </c>
      <c r="F5181" t="s">
        <v>305</v>
      </c>
      <c r="G5181" t="s">
        <v>248</v>
      </c>
      <c r="H5181" t="s">
        <v>74</v>
      </c>
      <c r="I5181" t="s">
        <v>147</v>
      </c>
      <c r="J5181" t="s">
        <v>114</v>
      </c>
      <c r="K5181" t="s">
        <v>1044</v>
      </c>
      <c r="L5181" t="s">
        <v>132</v>
      </c>
      <c r="M5181">
        <v>2442</v>
      </c>
      <c r="N5181" t="s">
        <v>221</v>
      </c>
      <c r="O5181" t="s">
        <v>110</v>
      </c>
      <c r="P5181" t="s">
        <v>123</v>
      </c>
      <c r="Q5181" t="s">
        <v>127</v>
      </c>
      <c r="R5181" t="s">
        <v>117</v>
      </c>
      <c r="S5181" t="s">
        <v>115</v>
      </c>
      <c r="T5181" t="s">
        <v>99</v>
      </c>
      <c r="U5181" t="s">
        <v>123</v>
      </c>
      <c r="V5181" t="s">
        <v>104</v>
      </c>
      <c r="W5181">
        <v>2442</v>
      </c>
      <c r="X5181" t="s">
        <v>394</v>
      </c>
      <c r="Y5181" t="s">
        <v>151</v>
      </c>
      <c r="Z5181" t="s">
        <v>114</v>
      </c>
      <c r="AA5181" t="s">
        <v>138</v>
      </c>
      <c r="AB5181" t="s">
        <v>117</v>
      </c>
      <c r="AC5181" t="s">
        <v>132</v>
      </c>
      <c r="AD5181" t="s">
        <v>74</v>
      </c>
      <c r="AE5181" t="s">
        <v>198</v>
      </c>
      <c r="AF5181" t="s">
        <v>104</v>
      </c>
      <c r="AG5181">
        <v>2442</v>
      </c>
      <c r="AH5181" t="s">
        <v>466</v>
      </c>
      <c r="AI5181" t="s">
        <v>141</v>
      </c>
      <c r="AJ5181" t="s">
        <v>104</v>
      </c>
      <c r="AK5181" t="s">
        <v>136</v>
      </c>
      <c r="AL5181" t="s">
        <v>207</v>
      </c>
      <c r="AM5181" t="s">
        <v>104</v>
      </c>
      <c r="AN5181" t="s">
        <v>99</v>
      </c>
      <c r="AO5181" t="s">
        <v>100</v>
      </c>
      <c r="AP5181" t="s">
        <v>104</v>
      </c>
      <c r="AQ5181">
        <v>2442</v>
      </c>
      <c r="AR5181" t="s">
        <v>221</v>
      </c>
      <c r="AS5181" t="s">
        <v>292</v>
      </c>
      <c r="AT5181" t="s">
        <v>215</v>
      </c>
      <c r="AU5181" t="s">
        <v>111</v>
      </c>
      <c r="AV5181" t="s">
        <v>253</v>
      </c>
      <c r="AW5181" t="s">
        <v>115</v>
      </c>
      <c r="AX5181" t="s">
        <v>112</v>
      </c>
      <c r="AY5181" t="s">
        <v>115</v>
      </c>
      <c r="AZ5181" t="s">
        <v>207</v>
      </c>
    </row>
    <row r="5182" spans="1:52" x14ac:dyDescent="0.3">
      <c r="A5182" t="s">
        <v>35</v>
      </c>
      <c r="B5182" t="s">
        <v>216</v>
      </c>
      <c r="C5182">
        <v>567</v>
      </c>
      <c r="D5182" t="s">
        <v>827</v>
      </c>
      <c r="E5182" t="s">
        <v>299</v>
      </c>
      <c r="F5182" t="s">
        <v>722</v>
      </c>
      <c r="G5182" t="s">
        <v>220</v>
      </c>
      <c r="H5182" t="s">
        <v>78</v>
      </c>
      <c r="I5182" t="s">
        <v>675</v>
      </c>
      <c r="J5182" t="s">
        <v>157</v>
      </c>
      <c r="K5182" t="s">
        <v>694</v>
      </c>
      <c r="L5182" t="s">
        <v>114</v>
      </c>
      <c r="M5182">
        <v>567</v>
      </c>
      <c r="N5182" t="s">
        <v>422</v>
      </c>
      <c r="O5182" t="s">
        <v>149</v>
      </c>
      <c r="P5182" t="s">
        <v>100</v>
      </c>
      <c r="Q5182" t="s">
        <v>120</v>
      </c>
      <c r="R5182" t="s">
        <v>99</v>
      </c>
      <c r="S5182" t="s">
        <v>198</v>
      </c>
      <c r="T5182" t="s">
        <v>99</v>
      </c>
      <c r="U5182" t="s">
        <v>108</v>
      </c>
      <c r="V5182" t="s">
        <v>104</v>
      </c>
      <c r="W5182">
        <v>567</v>
      </c>
      <c r="X5182" t="s">
        <v>764</v>
      </c>
      <c r="Y5182" t="s">
        <v>111</v>
      </c>
      <c r="Z5182" t="s">
        <v>127</v>
      </c>
      <c r="AA5182" t="s">
        <v>268</v>
      </c>
      <c r="AB5182" t="s">
        <v>101</v>
      </c>
      <c r="AC5182" t="s">
        <v>132</v>
      </c>
      <c r="AD5182" t="s">
        <v>138</v>
      </c>
      <c r="AE5182" t="s">
        <v>198</v>
      </c>
      <c r="AF5182" t="s">
        <v>104</v>
      </c>
      <c r="AG5182">
        <v>567</v>
      </c>
      <c r="AH5182" t="s">
        <v>161</v>
      </c>
      <c r="AI5182" t="s">
        <v>253</v>
      </c>
      <c r="AJ5182" t="s">
        <v>141</v>
      </c>
      <c r="AK5182" t="s">
        <v>115</v>
      </c>
      <c r="AL5182" t="s">
        <v>120</v>
      </c>
      <c r="AM5182" t="s">
        <v>101</v>
      </c>
      <c r="AN5182" t="s">
        <v>99</v>
      </c>
      <c r="AO5182" t="s">
        <v>100</v>
      </c>
      <c r="AP5182" t="s">
        <v>104</v>
      </c>
      <c r="AQ5182">
        <v>567</v>
      </c>
      <c r="AR5182" t="s">
        <v>164</v>
      </c>
      <c r="AS5182" t="s">
        <v>268</v>
      </c>
      <c r="AT5182" t="s">
        <v>253</v>
      </c>
      <c r="AU5182" t="s">
        <v>319</v>
      </c>
      <c r="AV5182" t="s">
        <v>134</v>
      </c>
      <c r="AW5182" t="s">
        <v>99</v>
      </c>
      <c r="AX5182" t="s">
        <v>120</v>
      </c>
      <c r="AY5182" t="s">
        <v>99</v>
      </c>
      <c r="AZ5182" t="s">
        <v>198</v>
      </c>
    </row>
    <row r="5183" spans="1:52" x14ac:dyDescent="0.3">
      <c r="A5183" t="s">
        <v>37</v>
      </c>
      <c r="B5183" t="s">
        <v>210</v>
      </c>
      <c r="C5183">
        <v>138</v>
      </c>
      <c r="D5183" t="s">
        <v>1236</v>
      </c>
      <c r="E5183" t="s">
        <v>325</v>
      </c>
      <c r="F5183" t="s">
        <v>139</v>
      </c>
      <c r="G5183" t="s">
        <v>122</v>
      </c>
      <c r="H5183" t="s">
        <v>412</v>
      </c>
      <c r="I5183" t="s">
        <v>671</v>
      </c>
      <c r="J5183" t="s">
        <v>147</v>
      </c>
      <c r="K5183" t="s">
        <v>70</v>
      </c>
      <c r="L5183" t="s">
        <v>99</v>
      </c>
      <c r="M5183">
        <v>138</v>
      </c>
      <c r="N5183" t="s">
        <v>172</v>
      </c>
      <c r="O5183" t="s">
        <v>138</v>
      </c>
      <c r="P5183" t="s">
        <v>132</v>
      </c>
      <c r="Q5183" t="s">
        <v>134</v>
      </c>
      <c r="R5183" t="s">
        <v>141</v>
      </c>
      <c r="S5183" t="s">
        <v>99</v>
      </c>
      <c r="T5183" t="s">
        <v>100</v>
      </c>
      <c r="U5183" t="s">
        <v>114</v>
      </c>
      <c r="V5183" t="s">
        <v>99</v>
      </c>
      <c r="W5183">
        <v>138</v>
      </c>
      <c r="X5183" t="s">
        <v>877</v>
      </c>
      <c r="Y5183" t="s">
        <v>120</v>
      </c>
      <c r="Z5183" t="s">
        <v>136</v>
      </c>
      <c r="AA5183" t="s">
        <v>117</v>
      </c>
      <c r="AB5183" t="s">
        <v>107</v>
      </c>
      <c r="AC5183" t="s">
        <v>319</v>
      </c>
      <c r="AD5183" t="s">
        <v>141</v>
      </c>
      <c r="AE5183" t="s">
        <v>99</v>
      </c>
      <c r="AF5183" t="s">
        <v>141</v>
      </c>
      <c r="AG5183">
        <v>138</v>
      </c>
      <c r="AH5183" t="s">
        <v>776</v>
      </c>
      <c r="AI5183" t="s">
        <v>114</v>
      </c>
      <c r="AJ5183" t="s">
        <v>99</v>
      </c>
      <c r="AK5183" t="s">
        <v>108</v>
      </c>
      <c r="AL5183" t="s">
        <v>141</v>
      </c>
      <c r="AM5183" t="s">
        <v>136</v>
      </c>
      <c r="AN5183" t="s">
        <v>99</v>
      </c>
      <c r="AO5183" t="s">
        <v>141</v>
      </c>
      <c r="AP5183" t="s">
        <v>99</v>
      </c>
      <c r="AQ5183">
        <v>138</v>
      </c>
      <c r="AR5183" t="s">
        <v>376</v>
      </c>
      <c r="AS5183" t="s">
        <v>103</v>
      </c>
      <c r="AT5183" t="s">
        <v>132</v>
      </c>
      <c r="AU5183" t="s">
        <v>100</v>
      </c>
      <c r="AV5183" t="s">
        <v>99</v>
      </c>
      <c r="AW5183" t="s">
        <v>100</v>
      </c>
      <c r="AX5183" t="s">
        <v>141</v>
      </c>
      <c r="AY5183" t="s">
        <v>99</v>
      </c>
      <c r="AZ5183" t="s">
        <v>99</v>
      </c>
    </row>
    <row r="5184" spans="1:52" x14ac:dyDescent="0.3">
      <c r="A5184" t="s">
        <v>37</v>
      </c>
      <c r="B5184" t="s">
        <v>212</v>
      </c>
      <c r="C5184">
        <v>3606</v>
      </c>
      <c r="D5184" t="s">
        <v>1183</v>
      </c>
      <c r="E5184" t="s">
        <v>664</v>
      </c>
      <c r="F5184" t="s">
        <v>125</v>
      </c>
      <c r="G5184" t="s">
        <v>804</v>
      </c>
      <c r="H5184" t="s">
        <v>363</v>
      </c>
      <c r="I5184" t="s">
        <v>412</v>
      </c>
      <c r="J5184" t="s">
        <v>107</v>
      </c>
      <c r="K5184" t="s">
        <v>206</v>
      </c>
      <c r="L5184" t="s">
        <v>198</v>
      </c>
      <c r="M5184">
        <v>3606</v>
      </c>
      <c r="N5184" t="s">
        <v>183</v>
      </c>
      <c r="O5184" t="s">
        <v>111</v>
      </c>
      <c r="P5184" t="s">
        <v>103</v>
      </c>
      <c r="Q5184" t="s">
        <v>215</v>
      </c>
      <c r="R5184" t="s">
        <v>101</v>
      </c>
      <c r="S5184" t="s">
        <v>253</v>
      </c>
      <c r="T5184" t="s">
        <v>104</v>
      </c>
      <c r="U5184" t="s">
        <v>136</v>
      </c>
      <c r="V5184" t="s">
        <v>198</v>
      </c>
      <c r="W5184">
        <v>3606</v>
      </c>
      <c r="X5184" t="s">
        <v>166</v>
      </c>
      <c r="Y5184" t="s">
        <v>316</v>
      </c>
      <c r="Z5184" t="s">
        <v>100</v>
      </c>
      <c r="AA5184" t="s">
        <v>117</v>
      </c>
      <c r="AB5184" t="s">
        <v>138</v>
      </c>
      <c r="AC5184" t="s">
        <v>253</v>
      </c>
      <c r="AD5184" t="s">
        <v>132</v>
      </c>
      <c r="AE5184" t="s">
        <v>104</v>
      </c>
      <c r="AF5184" t="s">
        <v>104</v>
      </c>
      <c r="AG5184">
        <v>3606</v>
      </c>
      <c r="AH5184" t="s">
        <v>229</v>
      </c>
      <c r="AI5184" t="s">
        <v>136</v>
      </c>
      <c r="AJ5184" t="s">
        <v>104</v>
      </c>
      <c r="AK5184" t="s">
        <v>207</v>
      </c>
      <c r="AL5184" t="s">
        <v>198</v>
      </c>
      <c r="AM5184" t="s">
        <v>136</v>
      </c>
      <c r="AN5184" t="s">
        <v>99</v>
      </c>
      <c r="AO5184" t="s">
        <v>198</v>
      </c>
      <c r="AP5184" t="s">
        <v>99</v>
      </c>
      <c r="AQ5184">
        <v>3606</v>
      </c>
      <c r="AR5184" t="s">
        <v>415</v>
      </c>
      <c r="AS5184" t="s">
        <v>101</v>
      </c>
      <c r="AT5184" t="s">
        <v>114</v>
      </c>
      <c r="AU5184" t="s">
        <v>215</v>
      </c>
      <c r="AV5184" t="s">
        <v>253</v>
      </c>
      <c r="AW5184" t="s">
        <v>141</v>
      </c>
      <c r="AX5184" t="s">
        <v>141</v>
      </c>
      <c r="AY5184" t="s">
        <v>99</v>
      </c>
      <c r="AZ5184" t="s">
        <v>198</v>
      </c>
    </row>
    <row r="5185" spans="1:52" x14ac:dyDescent="0.3">
      <c r="A5185" t="s">
        <v>37</v>
      </c>
      <c r="B5185" t="s">
        <v>216</v>
      </c>
      <c r="C5185">
        <v>111</v>
      </c>
      <c r="D5185" t="s">
        <v>1184</v>
      </c>
      <c r="E5185" t="s">
        <v>149</v>
      </c>
      <c r="F5185" t="s">
        <v>379</v>
      </c>
      <c r="G5185" t="s">
        <v>305</v>
      </c>
      <c r="H5185" t="s">
        <v>677</v>
      </c>
      <c r="I5185" t="s">
        <v>152</v>
      </c>
      <c r="J5185" t="s">
        <v>100</v>
      </c>
      <c r="K5185" t="s">
        <v>434</v>
      </c>
      <c r="L5185" t="s">
        <v>99</v>
      </c>
      <c r="M5185">
        <v>111</v>
      </c>
      <c r="N5185" t="s">
        <v>413</v>
      </c>
      <c r="O5185" t="s">
        <v>128</v>
      </c>
      <c r="P5185" t="s">
        <v>268</v>
      </c>
      <c r="Q5185" t="s">
        <v>99</v>
      </c>
      <c r="R5185" t="s">
        <v>99</v>
      </c>
      <c r="S5185" t="s">
        <v>99</v>
      </c>
      <c r="T5185" t="s">
        <v>99</v>
      </c>
      <c r="U5185" t="s">
        <v>99</v>
      </c>
      <c r="V5185" t="s">
        <v>99</v>
      </c>
      <c r="W5185">
        <v>111</v>
      </c>
      <c r="X5185" t="s">
        <v>293</v>
      </c>
      <c r="Y5185" t="s">
        <v>382</v>
      </c>
      <c r="Z5185" t="s">
        <v>100</v>
      </c>
      <c r="AA5185" t="s">
        <v>154</v>
      </c>
      <c r="AB5185" t="s">
        <v>128</v>
      </c>
      <c r="AC5185" t="s">
        <v>114</v>
      </c>
      <c r="AD5185" t="s">
        <v>99</v>
      </c>
      <c r="AE5185" t="s">
        <v>99</v>
      </c>
      <c r="AF5185" t="s">
        <v>99</v>
      </c>
      <c r="AG5185">
        <v>111</v>
      </c>
      <c r="AH5185" t="s">
        <v>786</v>
      </c>
      <c r="AI5185" t="s">
        <v>115</v>
      </c>
      <c r="AJ5185" t="s">
        <v>99</v>
      </c>
      <c r="AK5185" t="s">
        <v>120</v>
      </c>
      <c r="AL5185" t="s">
        <v>121</v>
      </c>
      <c r="AM5185" t="s">
        <v>99</v>
      </c>
      <c r="AN5185" t="s">
        <v>99</v>
      </c>
      <c r="AO5185" t="s">
        <v>99</v>
      </c>
      <c r="AP5185" t="s">
        <v>99</v>
      </c>
      <c r="AQ5185">
        <v>111</v>
      </c>
      <c r="AR5185" t="s">
        <v>415</v>
      </c>
      <c r="AS5185" t="s">
        <v>147</v>
      </c>
      <c r="AT5185" t="s">
        <v>253</v>
      </c>
      <c r="AU5185" t="s">
        <v>103</v>
      </c>
      <c r="AV5185" t="s">
        <v>99</v>
      </c>
      <c r="AW5185" t="s">
        <v>99</v>
      </c>
      <c r="AX5185" t="s">
        <v>99</v>
      </c>
      <c r="AY5185" t="s">
        <v>99</v>
      </c>
      <c r="AZ5185" t="s">
        <v>99</v>
      </c>
    </row>
    <row r="5186" spans="1:52" x14ac:dyDescent="0.3">
      <c r="A5186" t="s">
        <v>36</v>
      </c>
      <c r="B5186" t="s">
        <v>210</v>
      </c>
      <c r="C5186">
        <v>165</v>
      </c>
      <c r="D5186" t="s">
        <v>632</v>
      </c>
      <c r="E5186" t="s">
        <v>155</v>
      </c>
      <c r="F5186" t="s">
        <v>395</v>
      </c>
      <c r="G5186" t="s">
        <v>72</v>
      </c>
      <c r="H5186" t="s">
        <v>151</v>
      </c>
      <c r="I5186" t="s">
        <v>141</v>
      </c>
      <c r="J5186" t="s">
        <v>147</v>
      </c>
      <c r="K5186" t="s">
        <v>201</v>
      </c>
      <c r="L5186" t="s">
        <v>115</v>
      </c>
      <c r="M5186">
        <v>165</v>
      </c>
      <c r="N5186" t="s">
        <v>219</v>
      </c>
      <c r="O5186" t="s">
        <v>154</v>
      </c>
      <c r="P5186" t="s">
        <v>120</v>
      </c>
      <c r="Q5186" t="s">
        <v>134</v>
      </c>
      <c r="R5186" t="s">
        <v>253</v>
      </c>
      <c r="S5186" t="s">
        <v>99</v>
      </c>
      <c r="T5186" t="s">
        <v>99</v>
      </c>
      <c r="U5186" t="s">
        <v>132</v>
      </c>
      <c r="V5186" t="s">
        <v>99</v>
      </c>
      <c r="W5186">
        <v>165</v>
      </c>
      <c r="X5186" t="s">
        <v>469</v>
      </c>
      <c r="Y5186" t="s">
        <v>382</v>
      </c>
      <c r="Z5186" t="s">
        <v>474</v>
      </c>
      <c r="AA5186" t="s">
        <v>105</v>
      </c>
      <c r="AB5186" t="s">
        <v>149</v>
      </c>
      <c r="AC5186" t="s">
        <v>132</v>
      </c>
      <c r="AD5186" t="s">
        <v>215</v>
      </c>
      <c r="AE5186" t="s">
        <v>99</v>
      </c>
      <c r="AF5186" t="s">
        <v>99</v>
      </c>
      <c r="AG5186">
        <v>165</v>
      </c>
      <c r="AH5186" t="s">
        <v>286</v>
      </c>
      <c r="AI5186" t="s">
        <v>130</v>
      </c>
      <c r="AJ5186" t="s">
        <v>99</v>
      </c>
      <c r="AK5186" t="s">
        <v>115</v>
      </c>
      <c r="AL5186" t="s">
        <v>103</v>
      </c>
      <c r="AM5186" t="s">
        <v>105</v>
      </c>
      <c r="AN5186" t="s">
        <v>99</v>
      </c>
      <c r="AO5186" t="s">
        <v>126</v>
      </c>
      <c r="AP5186" t="s">
        <v>115</v>
      </c>
      <c r="AQ5186">
        <v>165</v>
      </c>
      <c r="AR5186" t="s">
        <v>172</v>
      </c>
      <c r="AS5186" t="s">
        <v>319</v>
      </c>
      <c r="AT5186" t="s">
        <v>141</v>
      </c>
      <c r="AU5186" t="s">
        <v>468</v>
      </c>
      <c r="AV5186" t="s">
        <v>99</v>
      </c>
      <c r="AW5186" t="s">
        <v>99</v>
      </c>
      <c r="AX5186" t="s">
        <v>292</v>
      </c>
      <c r="AY5186" t="s">
        <v>115</v>
      </c>
      <c r="AZ5186" t="s">
        <v>99</v>
      </c>
    </row>
    <row r="5187" spans="1:52" x14ac:dyDescent="0.3">
      <c r="A5187" t="s">
        <v>36</v>
      </c>
      <c r="B5187" t="s">
        <v>212</v>
      </c>
      <c r="C5187">
        <v>1875</v>
      </c>
      <c r="D5187" t="s">
        <v>938</v>
      </c>
      <c r="E5187" t="s">
        <v>129</v>
      </c>
      <c r="F5187" t="s">
        <v>248</v>
      </c>
      <c r="G5187" t="s">
        <v>143</v>
      </c>
      <c r="H5187" t="s">
        <v>150</v>
      </c>
      <c r="I5187" t="s">
        <v>679</v>
      </c>
      <c r="J5187" t="s">
        <v>151</v>
      </c>
      <c r="K5187" t="s">
        <v>303</v>
      </c>
      <c r="L5187" t="s">
        <v>99</v>
      </c>
      <c r="M5187">
        <v>1875</v>
      </c>
      <c r="N5187" t="s">
        <v>1010</v>
      </c>
      <c r="O5187" t="s">
        <v>130</v>
      </c>
      <c r="P5187" t="s">
        <v>118</v>
      </c>
      <c r="Q5187" t="s">
        <v>316</v>
      </c>
      <c r="R5187" t="s">
        <v>132</v>
      </c>
      <c r="S5187" t="s">
        <v>253</v>
      </c>
      <c r="T5187" t="s">
        <v>198</v>
      </c>
      <c r="U5187" t="s">
        <v>319</v>
      </c>
      <c r="V5187" t="s">
        <v>99</v>
      </c>
      <c r="W5187">
        <v>1875</v>
      </c>
      <c r="X5187" t="s">
        <v>439</v>
      </c>
      <c r="Y5187" t="s">
        <v>332</v>
      </c>
      <c r="Z5187" t="s">
        <v>127</v>
      </c>
      <c r="AA5187" t="s">
        <v>101</v>
      </c>
      <c r="AB5187" t="s">
        <v>412</v>
      </c>
      <c r="AC5187" t="s">
        <v>268</v>
      </c>
      <c r="AD5187" t="s">
        <v>292</v>
      </c>
      <c r="AE5187" t="s">
        <v>99</v>
      </c>
      <c r="AF5187" t="s">
        <v>114</v>
      </c>
      <c r="AG5187">
        <v>1875</v>
      </c>
      <c r="AH5187" t="s">
        <v>331</v>
      </c>
      <c r="AI5187" t="s">
        <v>151</v>
      </c>
      <c r="AJ5187" t="s">
        <v>104</v>
      </c>
      <c r="AK5187" t="s">
        <v>108</v>
      </c>
      <c r="AL5187" t="s">
        <v>136</v>
      </c>
      <c r="AM5187" t="s">
        <v>115</v>
      </c>
      <c r="AN5187" t="s">
        <v>136</v>
      </c>
      <c r="AO5187" t="s">
        <v>104</v>
      </c>
      <c r="AP5187" t="s">
        <v>99</v>
      </c>
      <c r="AQ5187">
        <v>1875</v>
      </c>
      <c r="AR5187" t="s">
        <v>217</v>
      </c>
      <c r="AS5187" t="s">
        <v>138</v>
      </c>
      <c r="AT5187" t="s">
        <v>268</v>
      </c>
      <c r="AU5187" t="s">
        <v>215</v>
      </c>
      <c r="AV5187" t="s">
        <v>123</v>
      </c>
      <c r="AW5187" t="s">
        <v>151</v>
      </c>
      <c r="AX5187" t="s">
        <v>319</v>
      </c>
      <c r="AY5187" t="s">
        <v>198</v>
      </c>
      <c r="AZ5187" t="s">
        <v>104</v>
      </c>
    </row>
    <row r="5188" spans="1:52" x14ac:dyDescent="0.3">
      <c r="A5188" t="s">
        <v>36</v>
      </c>
      <c r="B5188" t="s">
        <v>216</v>
      </c>
      <c r="C5188">
        <v>265</v>
      </c>
      <c r="D5188" t="s">
        <v>824</v>
      </c>
      <c r="E5188" t="s">
        <v>157</v>
      </c>
      <c r="F5188" t="s">
        <v>737</v>
      </c>
      <c r="G5188" t="s">
        <v>672</v>
      </c>
      <c r="H5188" t="s">
        <v>412</v>
      </c>
      <c r="I5188" t="s">
        <v>401</v>
      </c>
      <c r="J5188" t="s">
        <v>325</v>
      </c>
      <c r="K5188" t="s">
        <v>41</v>
      </c>
      <c r="L5188" t="s">
        <v>115</v>
      </c>
      <c r="M5188">
        <v>265</v>
      </c>
      <c r="N5188" t="s">
        <v>875</v>
      </c>
      <c r="O5188" t="s">
        <v>147</v>
      </c>
      <c r="P5188" t="s">
        <v>134</v>
      </c>
      <c r="Q5188" t="s">
        <v>155</v>
      </c>
      <c r="R5188" t="s">
        <v>104</v>
      </c>
      <c r="S5188" t="s">
        <v>126</v>
      </c>
      <c r="T5188" t="s">
        <v>99</v>
      </c>
      <c r="U5188" t="s">
        <v>319</v>
      </c>
      <c r="V5188" t="s">
        <v>99</v>
      </c>
      <c r="W5188">
        <v>265</v>
      </c>
      <c r="X5188" t="s">
        <v>407</v>
      </c>
      <c r="Y5188" t="s">
        <v>319</v>
      </c>
      <c r="Z5188" t="s">
        <v>155</v>
      </c>
      <c r="AA5188" t="s">
        <v>157</v>
      </c>
      <c r="AB5188" t="s">
        <v>468</v>
      </c>
      <c r="AC5188" t="s">
        <v>115</v>
      </c>
      <c r="AD5188" t="s">
        <v>126</v>
      </c>
      <c r="AE5188" t="s">
        <v>99</v>
      </c>
      <c r="AF5188" t="s">
        <v>198</v>
      </c>
      <c r="AG5188">
        <v>265</v>
      </c>
      <c r="AH5188" t="s">
        <v>314</v>
      </c>
      <c r="AI5188" t="s">
        <v>101</v>
      </c>
      <c r="AJ5188" t="s">
        <v>111</v>
      </c>
      <c r="AK5188" t="s">
        <v>99</v>
      </c>
      <c r="AL5188" t="s">
        <v>147</v>
      </c>
      <c r="AM5188" t="s">
        <v>105</v>
      </c>
      <c r="AN5188" t="s">
        <v>111</v>
      </c>
      <c r="AO5188" t="s">
        <v>99</v>
      </c>
      <c r="AP5188" t="s">
        <v>292</v>
      </c>
      <c r="AQ5188">
        <v>265</v>
      </c>
      <c r="AR5188" t="s">
        <v>1137</v>
      </c>
      <c r="AS5188" t="s">
        <v>305</v>
      </c>
      <c r="AT5188" t="s">
        <v>675</v>
      </c>
      <c r="AU5188" t="s">
        <v>198</v>
      </c>
      <c r="AV5188" t="s">
        <v>99</v>
      </c>
      <c r="AW5188" t="s">
        <v>132</v>
      </c>
      <c r="AX5188" t="s">
        <v>319</v>
      </c>
      <c r="AY5188" t="s">
        <v>99</v>
      </c>
      <c r="AZ5188" t="s">
        <v>99</v>
      </c>
    </row>
    <row r="5189" spans="1:52" x14ac:dyDescent="0.3">
      <c r="A5189" t="s">
        <v>34</v>
      </c>
      <c r="B5189" t="s">
        <v>210</v>
      </c>
      <c r="C5189">
        <v>256</v>
      </c>
      <c r="D5189" t="s">
        <v>1112</v>
      </c>
      <c r="E5189" t="s">
        <v>412</v>
      </c>
      <c r="F5189" t="s">
        <v>267</v>
      </c>
      <c r="G5189" t="s">
        <v>70</v>
      </c>
      <c r="H5189" t="s">
        <v>143</v>
      </c>
      <c r="I5189" t="s">
        <v>143</v>
      </c>
      <c r="J5189" t="s">
        <v>136</v>
      </c>
      <c r="K5189" t="s">
        <v>701</v>
      </c>
      <c r="L5189" t="s">
        <v>141</v>
      </c>
      <c r="M5189">
        <v>256</v>
      </c>
      <c r="N5189" t="s">
        <v>187</v>
      </c>
      <c r="O5189" t="s">
        <v>144</v>
      </c>
      <c r="P5189" t="s">
        <v>118</v>
      </c>
      <c r="Q5189" t="s">
        <v>157</v>
      </c>
      <c r="R5189" t="s">
        <v>99</v>
      </c>
      <c r="S5189" t="s">
        <v>141</v>
      </c>
      <c r="T5189" t="s">
        <v>207</v>
      </c>
      <c r="U5189" t="s">
        <v>268</v>
      </c>
      <c r="V5189" t="s">
        <v>99</v>
      </c>
      <c r="W5189">
        <v>256</v>
      </c>
      <c r="X5189" t="s">
        <v>885</v>
      </c>
      <c r="Y5189" t="s">
        <v>129</v>
      </c>
      <c r="Z5189" t="s">
        <v>207</v>
      </c>
      <c r="AA5189" t="s">
        <v>292</v>
      </c>
      <c r="AB5189" t="s">
        <v>277</v>
      </c>
      <c r="AC5189" t="s">
        <v>99</v>
      </c>
      <c r="AD5189" t="s">
        <v>111</v>
      </c>
      <c r="AE5189" t="s">
        <v>132</v>
      </c>
      <c r="AF5189" t="s">
        <v>99</v>
      </c>
      <c r="AG5189">
        <v>256</v>
      </c>
      <c r="AH5189" t="s">
        <v>877</v>
      </c>
      <c r="AI5189" t="s">
        <v>292</v>
      </c>
      <c r="AJ5189" t="s">
        <v>99</v>
      </c>
      <c r="AK5189" t="s">
        <v>215</v>
      </c>
      <c r="AL5189" t="s">
        <v>712</v>
      </c>
      <c r="AM5189" t="s">
        <v>141</v>
      </c>
      <c r="AN5189" t="s">
        <v>99</v>
      </c>
      <c r="AO5189" t="s">
        <v>215</v>
      </c>
      <c r="AP5189" t="s">
        <v>132</v>
      </c>
      <c r="AQ5189">
        <v>256</v>
      </c>
      <c r="AR5189" t="s">
        <v>409</v>
      </c>
      <c r="AS5189" t="s">
        <v>268</v>
      </c>
      <c r="AT5189" t="s">
        <v>107</v>
      </c>
      <c r="AU5189" t="s">
        <v>121</v>
      </c>
      <c r="AV5189" t="s">
        <v>215</v>
      </c>
      <c r="AW5189" t="s">
        <v>141</v>
      </c>
      <c r="AX5189" t="s">
        <v>319</v>
      </c>
      <c r="AY5189" t="s">
        <v>132</v>
      </c>
      <c r="AZ5189" t="s">
        <v>141</v>
      </c>
    </row>
    <row r="5190" spans="1:52" x14ac:dyDescent="0.3">
      <c r="A5190" t="s">
        <v>34</v>
      </c>
      <c r="B5190" t="s">
        <v>212</v>
      </c>
      <c r="C5190">
        <v>1582</v>
      </c>
      <c r="D5190" t="s">
        <v>983</v>
      </c>
      <c r="E5190" t="s">
        <v>105</v>
      </c>
      <c r="F5190" t="s">
        <v>671</v>
      </c>
      <c r="G5190" t="s">
        <v>143</v>
      </c>
      <c r="H5190" t="s">
        <v>138</v>
      </c>
      <c r="I5190" t="s">
        <v>319</v>
      </c>
      <c r="J5190" t="s">
        <v>253</v>
      </c>
      <c r="K5190" t="s">
        <v>175</v>
      </c>
      <c r="L5190" t="s">
        <v>121</v>
      </c>
      <c r="M5190">
        <v>1582</v>
      </c>
      <c r="N5190" t="s">
        <v>889</v>
      </c>
      <c r="O5190" t="s">
        <v>149</v>
      </c>
      <c r="P5190" t="s">
        <v>316</v>
      </c>
      <c r="Q5190" t="s">
        <v>319</v>
      </c>
      <c r="R5190" t="s">
        <v>253</v>
      </c>
      <c r="S5190" t="s">
        <v>99</v>
      </c>
      <c r="T5190" t="s">
        <v>99</v>
      </c>
      <c r="U5190" t="s">
        <v>132</v>
      </c>
      <c r="V5190" t="s">
        <v>198</v>
      </c>
      <c r="W5190">
        <v>1582</v>
      </c>
      <c r="X5190" t="s">
        <v>854</v>
      </c>
      <c r="Y5190" t="s">
        <v>292</v>
      </c>
      <c r="Z5190" t="s">
        <v>207</v>
      </c>
      <c r="AA5190" t="s">
        <v>127</v>
      </c>
      <c r="AB5190" t="s">
        <v>118</v>
      </c>
      <c r="AC5190" t="s">
        <v>198</v>
      </c>
      <c r="AD5190" t="s">
        <v>155</v>
      </c>
      <c r="AE5190" t="s">
        <v>115</v>
      </c>
      <c r="AF5190" t="s">
        <v>99</v>
      </c>
      <c r="AG5190">
        <v>1582</v>
      </c>
      <c r="AH5190" t="s">
        <v>759</v>
      </c>
      <c r="AI5190" t="s">
        <v>126</v>
      </c>
      <c r="AJ5190" t="s">
        <v>198</v>
      </c>
      <c r="AK5190" t="s">
        <v>141</v>
      </c>
      <c r="AL5190" t="s">
        <v>141</v>
      </c>
      <c r="AM5190" t="s">
        <v>104</v>
      </c>
      <c r="AN5190" t="s">
        <v>99</v>
      </c>
      <c r="AO5190" t="s">
        <v>253</v>
      </c>
      <c r="AP5190" t="s">
        <v>104</v>
      </c>
      <c r="AQ5190">
        <v>1582</v>
      </c>
      <c r="AR5190" t="s">
        <v>323</v>
      </c>
      <c r="AS5190" t="s">
        <v>111</v>
      </c>
      <c r="AT5190" t="s">
        <v>382</v>
      </c>
      <c r="AU5190" t="s">
        <v>108</v>
      </c>
      <c r="AV5190" t="s">
        <v>198</v>
      </c>
      <c r="AW5190" t="s">
        <v>115</v>
      </c>
      <c r="AX5190" t="s">
        <v>111</v>
      </c>
      <c r="AY5190" t="s">
        <v>99</v>
      </c>
      <c r="AZ5190" t="s">
        <v>141</v>
      </c>
    </row>
    <row r="5191" spans="1:52" x14ac:dyDescent="0.3">
      <c r="A5191" t="s">
        <v>34</v>
      </c>
      <c r="B5191" t="s">
        <v>216</v>
      </c>
      <c r="C5191">
        <v>242</v>
      </c>
      <c r="D5191" t="s">
        <v>669</v>
      </c>
      <c r="E5191" t="s">
        <v>468</v>
      </c>
      <c r="F5191" t="s">
        <v>70</v>
      </c>
      <c r="G5191" t="s">
        <v>233</v>
      </c>
      <c r="H5191" t="s">
        <v>70</v>
      </c>
      <c r="I5191" t="s">
        <v>474</v>
      </c>
      <c r="J5191" t="s">
        <v>382</v>
      </c>
      <c r="K5191" t="s">
        <v>1045</v>
      </c>
      <c r="L5191" t="s">
        <v>319</v>
      </c>
      <c r="M5191">
        <v>242</v>
      </c>
      <c r="N5191" t="s">
        <v>939</v>
      </c>
      <c r="O5191" t="s">
        <v>369</v>
      </c>
      <c r="P5191" t="s">
        <v>147</v>
      </c>
      <c r="Q5191" t="s">
        <v>154</v>
      </c>
      <c r="R5191" t="s">
        <v>316</v>
      </c>
      <c r="S5191" t="s">
        <v>114</v>
      </c>
      <c r="T5191" t="s">
        <v>99</v>
      </c>
      <c r="U5191" t="s">
        <v>242</v>
      </c>
      <c r="V5191" t="s">
        <v>99</v>
      </c>
      <c r="W5191">
        <v>242</v>
      </c>
      <c r="X5191" t="s">
        <v>1170</v>
      </c>
      <c r="Y5191" t="s">
        <v>332</v>
      </c>
      <c r="Z5191" t="s">
        <v>110</v>
      </c>
      <c r="AA5191" t="s">
        <v>127</v>
      </c>
      <c r="AB5191" t="s">
        <v>474</v>
      </c>
      <c r="AC5191" t="s">
        <v>114</v>
      </c>
      <c r="AD5191" t="s">
        <v>204</v>
      </c>
      <c r="AE5191" t="s">
        <v>114</v>
      </c>
      <c r="AF5191" t="s">
        <v>127</v>
      </c>
      <c r="AG5191">
        <v>242</v>
      </c>
      <c r="AH5191" t="s">
        <v>961</v>
      </c>
      <c r="AI5191" t="s">
        <v>332</v>
      </c>
      <c r="AJ5191" t="s">
        <v>115</v>
      </c>
      <c r="AK5191" t="s">
        <v>108</v>
      </c>
      <c r="AL5191" t="s">
        <v>104</v>
      </c>
      <c r="AM5191" t="s">
        <v>108</v>
      </c>
      <c r="AN5191" t="s">
        <v>114</v>
      </c>
      <c r="AO5191" t="s">
        <v>292</v>
      </c>
      <c r="AP5191" t="s">
        <v>207</v>
      </c>
      <c r="AQ5191">
        <v>242</v>
      </c>
      <c r="AR5191" t="s">
        <v>870</v>
      </c>
      <c r="AS5191" t="s">
        <v>663</v>
      </c>
      <c r="AT5191" t="s">
        <v>110</v>
      </c>
      <c r="AU5191" t="s">
        <v>114</v>
      </c>
      <c r="AV5191" t="s">
        <v>207</v>
      </c>
      <c r="AW5191" t="s">
        <v>136</v>
      </c>
      <c r="AX5191" t="s">
        <v>684</v>
      </c>
      <c r="AY5191" t="s">
        <v>104</v>
      </c>
      <c r="AZ5191" t="s">
        <v>104</v>
      </c>
    </row>
    <row r="5192" spans="1:52" x14ac:dyDescent="0.3">
      <c r="A5192" t="s">
        <v>33</v>
      </c>
      <c r="B5192" t="s">
        <v>210</v>
      </c>
      <c r="C5192">
        <v>68</v>
      </c>
      <c r="D5192" t="s">
        <v>1706</v>
      </c>
      <c r="E5192" t="s">
        <v>107</v>
      </c>
      <c r="F5192" t="s">
        <v>408</v>
      </c>
      <c r="G5192" t="s">
        <v>182</v>
      </c>
      <c r="H5192" t="s">
        <v>328</v>
      </c>
      <c r="I5192" t="s">
        <v>128</v>
      </c>
      <c r="J5192" t="s">
        <v>126</v>
      </c>
      <c r="K5192" t="s">
        <v>231</v>
      </c>
      <c r="L5192" t="s">
        <v>99</v>
      </c>
      <c r="M5192">
        <v>68</v>
      </c>
      <c r="N5192" t="s">
        <v>376</v>
      </c>
      <c r="O5192" t="s">
        <v>101</v>
      </c>
      <c r="P5192" t="s">
        <v>120</v>
      </c>
      <c r="Q5192" t="s">
        <v>123</v>
      </c>
      <c r="R5192" t="s">
        <v>99</v>
      </c>
      <c r="S5192" t="s">
        <v>99</v>
      </c>
      <c r="T5192" t="s">
        <v>99</v>
      </c>
      <c r="U5192" t="s">
        <v>99</v>
      </c>
      <c r="V5192" t="s">
        <v>99</v>
      </c>
      <c r="W5192">
        <v>68</v>
      </c>
      <c r="X5192" t="s">
        <v>467</v>
      </c>
      <c r="Y5192" t="s">
        <v>147</v>
      </c>
      <c r="Z5192" t="s">
        <v>120</v>
      </c>
      <c r="AA5192" t="s">
        <v>99</v>
      </c>
      <c r="AB5192" t="s">
        <v>99</v>
      </c>
      <c r="AC5192" t="s">
        <v>99</v>
      </c>
      <c r="AD5192" t="s">
        <v>99</v>
      </c>
      <c r="AE5192" t="s">
        <v>99</v>
      </c>
      <c r="AF5192" t="s">
        <v>99</v>
      </c>
      <c r="AG5192">
        <v>68</v>
      </c>
      <c r="AH5192" t="s">
        <v>758</v>
      </c>
      <c r="AI5192" t="s">
        <v>130</v>
      </c>
      <c r="AJ5192" t="s">
        <v>101</v>
      </c>
      <c r="AK5192" t="s">
        <v>99</v>
      </c>
      <c r="AL5192" t="s">
        <v>99</v>
      </c>
      <c r="AM5192" t="s">
        <v>99</v>
      </c>
      <c r="AN5192" t="s">
        <v>99</v>
      </c>
      <c r="AO5192" t="s">
        <v>99</v>
      </c>
      <c r="AP5192" t="s">
        <v>99</v>
      </c>
      <c r="AQ5192">
        <v>68</v>
      </c>
      <c r="AR5192" t="s">
        <v>335</v>
      </c>
      <c r="AS5192" t="s">
        <v>103</v>
      </c>
      <c r="AT5192" t="s">
        <v>147</v>
      </c>
      <c r="AU5192" t="s">
        <v>99</v>
      </c>
      <c r="AV5192" t="s">
        <v>99</v>
      </c>
      <c r="AW5192" t="s">
        <v>99</v>
      </c>
      <c r="AX5192" t="s">
        <v>99</v>
      </c>
      <c r="AY5192" t="s">
        <v>99</v>
      </c>
      <c r="AZ5192" t="s">
        <v>99</v>
      </c>
    </row>
    <row r="5193" spans="1:52" x14ac:dyDescent="0.3">
      <c r="A5193" t="s">
        <v>33</v>
      </c>
      <c r="B5193" t="s">
        <v>212</v>
      </c>
      <c r="C5193">
        <v>1800</v>
      </c>
      <c r="D5193" t="s">
        <v>1069</v>
      </c>
      <c r="E5193" t="s">
        <v>105</v>
      </c>
      <c r="F5193" t="s">
        <v>204</v>
      </c>
      <c r="G5193" t="s">
        <v>242</v>
      </c>
      <c r="H5193" t="s">
        <v>474</v>
      </c>
      <c r="I5193" t="s">
        <v>712</v>
      </c>
      <c r="J5193" t="s">
        <v>100</v>
      </c>
      <c r="K5193" t="s">
        <v>368</v>
      </c>
      <c r="L5193" t="s">
        <v>198</v>
      </c>
      <c r="M5193">
        <v>1800</v>
      </c>
      <c r="N5193" t="s">
        <v>413</v>
      </c>
      <c r="O5193" t="s">
        <v>111</v>
      </c>
      <c r="P5193" t="s">
        <v>114</v>
      </c>
      <c r="Q5193" t="s">
        <v>108</v>
      </c>
      <c r="R5193" t="s">
        <v>104</v>
      </c>
      <c r="S5193" t="s">
        <v>207</v>
      </c>
      <c r="T5193" t="s">
        <v>104</v>
      </c>
      <c r="U5193" t="s">
        <v>136</v>
      </c>
      <c r="V5193" t="s">
        <v>99</v>
      </c>
      <c r="W5193">
        <v>1800</v>
      </c>
      <c r="X5193" t="s">
        <v>1017</v>
      </c>
      <c r="Y5193" t="s">
        <v>141</v>
      </c>
      <c r="Z5193" t="s">
        <v>207</v>
      </c>
      <c r="AA5193" t="s">
        <v>100</v>
      </c>
      <c r="AB5193" t="s">
        <v>126</v>
      </c>
      <c r="AC5193" t="s">
        <v>136</v>
      </c>
      <c r="AD5193" t="s">
        <v>141</v>
      </c>
      <c r="AE5193" t="s">
        <v>104</v>
      </c>
      <c r="AF5193" t="s">
        <v>99</v>
      </c>
      <c r="AG5193">
        <v>1800</v>
      </c>
      <c r="AH5193" t="s">
        <v>438</v>
      </c>
      <c r="AI5193" t="s">
        <v>253</v>
      </c>
      <c r="AJ5193" t="s">
        <v>99</v>
      </c>
      <c r="AK5193" t="s">
        <v>136</v>
      </c>
      <c r="AL5193" t="s">
        <v>136</v>
      </c>
      <c r="AM5193" t="s">
        <v>198</v>
      </c>
      <c r="AN5193" t="s">
        <v>104</v>
      </c>
      <c r="AO5193" t="s">
        <v>207</v>
      </c>
      <c r="AP5193" t="s">
        <v>99</v>
      </c>
      <c r="AQ5193">
        <v>1800</v>
      </c>
      <c r="AR5193" t="s">
        <v>776</v>
      </c>
      <c r="AS5193" t="s">
        <v>108</v>
      </c>
      <c r="AT5193" t="s">
        <v>115</v>
      </c>
      <c r="AU5193" t="s">
        <v>114</v>
      </c>
      <c r="AV5193" t="s">
        <v>207</v>
      </c>
      <c r="AW5193" t="s">
        <v>207</v>
      </c>
      <c r="AX5193" t="s">
        <v>198</v>
      </c>
      <c r="AY5193" t="s">
        <v>99</v>
      </c>
      <c r="AZ5193" t="s">
        <v>99</v>
      </c>
    </row>
    <row r="5194" spans="1:52" x14ac:dyDescent="0.3">
      <c r="A5194" t="s">
        <v>33</v>
      </c>
      <c r="B5194" t="s">
        <v>216</v>
      </c>
      <c r="C5194">
        <v>69</v>
      </c>
      <c r="D5194" t="s">
        <v>1001</v>
      </c>
      <c r="E5194" t="s">
        <v>99</v>
      </c>
      <c r="F5194" t="s">
        <v>731</v>
      </c>
      <c r="G5194" t="s">
        <v>155</v>
      </c>
      <c r="H5194" t="s">
        <v>382</v>
      </c>
      <c r="I5194" t="s">
        <v>382</v>
      </c>
      <c r="J5194" t="s">
        <v>155</v>
      </c>
      <c r="K5194" t="s">
        <v>287</v>
      </c>
      <c r="L5194" t="s">
        <v>99</v>
      </c>
      <c r="M5194">
        <v>69</v>
      </c>
      <c r="N5194" t="s">
        <v>252</v>
      </c>
      <c r="O5194" t="s">
        <v>127</v>
      </c>
      <c r="P5194" t="s">
        <v>157</v>
      </c>
      <c r="Q5194" t="s">
        <v>99</v>
      </c>
      <c r="R5194" t="s">
        <v>157</v>
      </c>
      <c r="S5194" t="s">
        <v>99</v>
      </c>
      <c r="T5194" t="s">
        <v>99</v>
      </c>
      <c r="U5194" t="s">
        <v>99</v>
      </c>
      <c r="V5194" t="s">
        <v>99</v>
      </c>
      <c r="W5194">
        <v>69</v>
      </c>
      <c r="X5194" t="s">
        <v>376</v>
      </c>
      <c r="Y5194" t="s">
        <v>99</v>
      </c>
      <c r="Z5194" t="s">
        <v>114</v>
      </c>
      <c r="AA5194" t="s">
        <v>157</v>
      </c>
      <c r="AB5194" t="s">
        <v>127</v>
      </c>
      <c r="AC5194" t="s">
        <v>99</v>
      </c>
      <c r="AD5194" t="s">
        <v>99</v>
      </c>
      <c r="AE5194" t="s">
        <v>99</v>
      </c>
      <c r="AF5194" t="s">
        <v>99</v>
      </c>
      <c r="AG5194">
        <v>69</v>
      </c>
      <c r="AH5194" t="s">
        <v>1026</v>
      </c>
      <c r="AI5194" t="s">
        <v>127</v>
      </c>
      <c r="AJ5194" t="s">
        <v>99</v>
      </c>
      <c r="AK5194" t="s">
        <v>99</v>
      </c>
      <c r="AL5194" t="s">
        <v>99</v>
      </c>
      <c r="AM5194" t="s">
        <v>99</v>
      </c>
      <c r="AN5194" t="s">
        <v>99</v>
      </c>
      <c r="AO5194" t="s">
        <v>99</v>
      </c>
      <c r="AP5194" t="s">
        <v>99</v>
      </c>
      <c r="AQ5194">
        <v>69</v>
      </c>
      <c r="AR5194" t="s">
        <v>375</v>
      </c>
      <c r="AS5194" t="s">
        <v>99</v>
      </c>
      <c r="AT5194" t="s">
        <v>382</v>
      </c>
      <c r="AU5194" t="s">
        <v>155</v>
      </c>
      <c r="AV5194" t="s">
        <v>99</v>
      </c>
      <c r="AW5194" t="s">
        <v>99</v>
      </c>
      <c r="AX5194" t="s">
        <v>99</v>
      </c>
      <c r="AY5194" t="s">
        <v>99</v>
      </c>
      <c r="AZ5194" t="s">
        <v>99</v>
      </c>
    </row>
    <row r="5195" spans="1:52" x14ac:dyDescent="0.3">
      <c r="A5195" t="s">
        <v>49</v>
      </c>
      <c r="B5195" t="s">
        <v>210</v>
      </c>
      <c r="C5195">
        <v>763</v>
      </c>
      <c r="D5195" t="s">
        <v>609</v>
      </c>
      <c r="E5195" t="s">
        <v>412</v>
      </c>
      <c r="F5195" t="s">
        <v>313</v>
      </c>
      <c r="G5195" t="s">
        <v>299</v>
      </c>
      <c r="H5195" t="s">
        <v>109</v>
      </c>
      <c r="I5195" t="s">
        <v>158</v>
      </c>
      <c r="J5195" t="s">
        <v>101</v>
      </c>
      <c r="K5195" t="s">
        <v>676</v>
      </c>
      <c r="L5195" t="s">
        <v>136</v>
      </c>
      <c r="M5195">
        <v>763</v>
      </c>
      <c r="N5195" t="s">
        <v>200</v>
      </c>
      <c r="O5195" t="s">
        <v>712</v>
      </c>
      <c r="P5195" t="s">
        <v>684</v>
      </c>
      <c r="Q5195" t="s">
        <v>128</v>
      </c>
      <c r="R5195" t="s">
        <v>198</v>
      </c>
      <c r="S5195" t="s">
        <v>136</v>
      </c>
      <c r="T5195" t="s">
        <v>207</v>
      </c>
      <c r="U5195" t="s">
        <v>319</v>
      </c>
      <c r="V5195" t="s">
        <v>104</v>
      </c>
      <c r="W5195">
        <v>763</v>
      </c>
      <c r="X5195" t="s">
        <v>1707</v>
      </c>
      <c r="Y5195" t="s">
        <v>134</v>
      </c>
      <c r="Z5195" t="s">
        <v>319</v>
      </c>
      <c r="AA5195" t="s">
        <v>151</v>
      </c>
      <c r="AB5195" t="s">
        <v>129</v>
      </c>
      <c r="AC5195" t="s">
        <v>136</v>
      </c>
      <c r="AD5195" t="s">
        <v>128</v>
      </c>
      <c r="AE5195" t="s">
        <v>136</v>
      </c>
      <c r="AF5195" t="s">
        <v>104</v>
      </c>
      <c r="AG5195">
        <v>763</v>
      </c>
      <c r="AH5195" t="s">
        <v>164</v>
      </c>
      <c r="AI5195" t="s">
        <v>268</v>
      </c>
      <c r="AJ5195" t="s">
        <v>104</v>
      </c>
      <c r="AK5195" t="s">
        <v>121</v>
      </c>
      <c r="AL5195" t="s">
        <v>117</v>
      </c>
      <c r="AM5195" t="s">
        <v>103</v>
      </c>
      <c r="AN5195" t="s">
        <v>198</v>
      </c>
      <c r="AO5195" t="s">
        <v>151</v>
      </c>
      <c r="AP5195" t="s">
        <v>136</v>
      </c>
      <c r="AQ5195">
        <v>763</v>
      </c>
      <c r="AR5195" t="s">
        <v>448</v>
      </c>
      <c r="AS5195" t="s">
        <v>111</v>
      </c>
      <c r="AT5195" t="s">
        <v>151</v>
      </c>
      <c r="AU5195" t="s">
        <v>123</v>
      </c>
      <c r="AV5195" t="s">
        <v>115</v>
      </c>
      <c r="AW5195" t="s">
        <v>136</v>
      </c>
      <c r="AX5195" t="s">
        <v>118</v>
      </c>
      <c r="AY5195" t="s">
        <v>136</v>
      </c>
      <c r="AZ5195" t="s">
        <v>207</v>
      </c>
    </row>
    <row r="5196" spans="1:52" x14ac:dyDescent="0.3">
      <c r="A5196" t="s">
        <v>49</v>
      </c>
      <c r="B5196" t="s">
        <v>212</v>
      </c>
      <c r="C5196">
        <v>11305</v>
      </c>
      <c r="D5196" t="s">
        <v>1256</v>
      </c>
      <c r="E5196" t="s">
        <v>684</v>
      </c>
      <c r="F5196" t="s">
        <v>363</v>
      </c>
      <c r="G5196" t="s">
        <v>679</v>
      </c>
      <c r="H5196" t="s">
        <v>143</v>
      </c>
      <c r="I5196" t="s">
        <v>129</v>
      </c>
      <c r="J5196" t="s">
        <v>215</v>
      </c>
      <c r="K5196" t="s">
        <v>255</v>
      </c>
      <c r="L5196" t="s">
        <v>141</v>
      </c>
      <c r="M5196">
        <v>11305</v>
      </c>
      <c r="N5196" t="s">
        <v>422</v>
      </c>
      <c r="O5196" t="s">
        <v>105</v>
      </c>
      <c r="P5196" t="s">
        <v>111</v>
      </c>
      <c r="Q5196" t="s">
        <v>382</v>
      </c>
      <c r="R5196" t="s">
        <v>121</v>
      </c>
      <c r="S5196" t="s">
        <v>141</v>
      </c>
      <c r="T5196" t="s">
        <v>104</v>
      </c>
      <c r="U5196" t="s">
        <v>108</v>
      </c>
      <c r="V5196" t="s">
        <v>104</v>
      </c>
      <c r="W5196">
        <v>11305</v>
      </c>
      <c r="X5196" t="s">
        <v>448</v>
      </c>
      <c r="Y5196" t="s">
        <v>292</v>
      </c>
      <c r="Z5196" t="s">
        <v>108</v>
      </c>
      <c r="AA5196" t="s">
        <v>111</v>
      </c>
      <c r="AB5196" t="s">
        <v>107</v>
      </c>
      <c r="AC5196" t="s">
        <v>115</v>
      </c>
      <c r="AD5196" t="s">
        <v>316</v>
      </c>
      <c r="AE5196" t="s">
        <v>198</v>
      </c>
      <c r="AF5196" t="s">
        <v>104</v>
      </c>
      <c r="AG5196">
        <v>11305</v>
      </c>
      <c r="AH5196" t="s">
        <v>851</v>
      </c>
      <c r="AI5196" t="s">
        <v>132</v>
      </c>
      <c r="AJ5196" t="s">
        <v>104</v>
      </c>
      <c r="AK5196" t="s">
        <v>136</v>
      </c>
      <c r="AL5196" t="s">
        <v>207</v>
      </c>
      <c r="AM5196" t="s">
        <v>207</v>
      </c>
      <c r="AN5196" t="s">
        <v>99</v>
      </c>
      <c r="AO5196" t="s">
        <v>141</v>
      </c>
      <c r="AP5196" t="s">
        <v>99</v>
      </c>
      <c r="AQ5196">
        <v>11305</v>
      </c>
      <c r="AR5196" t="s">
        <v>252</v>
      </c>
      <c r="AS5196" t="s">
        <v>215</v>
      </c>
      <c r="AT5196" t="s">
        <v>101</v>
      </c>
      <c r="AU5196" t="s">
        <v>382</v>
      </c>
      <c r="AV5196" t="s">
        <v>253</v>
      </c>
      <c r="AW5196" t="s">
        <v>115</v>
      </c>
      <c r="AX5196" t="s">
        <v>127</v>
      </c>
      <c r="AY5196" t="s">
        <v>198</v>
      </c>
      <c r="AZ5196" t="s">
        <v>198</v>
      </c>
    </row>
    <row r="5197" spans="1:52" x14ac:dyDescent="0.3">
      <c r="A5197" t="s">
        <v>49</v>
      </c>
      <c r="B5197" t="s">
        <v>216</v>
      </c>
      <c r="C5197">
        <v>1254</v>
      </c>
      <c r="D5197" t="s">
        <v>578</v>
      </c>
      <c r="E5197" t="s">
        <v>675</v>
      </c>
      <c r="F5197" t="s">
        <v>220</v>
      </c>
      <c r="G5197" t="s">
        <v>804</v>
      </c>
      <c r="H5197" t="s">
        <v>184</v>
      </c>
      <c r="I5197" t="s">
        <v>204</v>
      </c>
      <c r="J5197" t="s">
        <v>147</v>
      </c>
      <c r="K5197" t="s">
        <v>393</v>
      </c>
      <c r="L5197" t="s">
        <v>108</v>
      </c>
      <c r="M5197">
        <v>1254</v>
      </c>
      <c r="N5197" t="s">
        <v>845</v>
      </c>
      <c r="O5197" t="s">
        <v>124</v>
      </c>
      <c r="P5197" t="s">
        <v>127</v>
      </c>
      <c r="Q5197" t="s">
        <v>128</v>
      </c>
      <c r="R5197" t="s">
        <v>115</v>
      </c>
      <c r="S5197" t="s">
        <v>136</v>
      </c>
      <c r="T5197" t="s">
        <v>99</v>
      </c>
      <c r="U5197" t="s">
        <v>215</v>
      </c>
      <c r="V5197" t="s">
        <v>104</v>
      </c>
      <c r="W5197">
        <v>1254</v>
      </c>
      <c r="X5197" t="s">
        <v>266</v>
      </c>
      <c r="Y5197" t="s">
        <v>268</v>
      </c>
      <c r="Z5197" t="s">
        <v>268</v>
      </c>
      <c r="AA5197" t="s">
        <v>117</v>
      </c>
      <c r="AB5197" t="s">
        <v>117</v>
      </c>
      <c r="AC5197" t="s">
        <v>132</v>
      </c>
      <c r="AD5197" t="s">
        <v>138</v>
      </c>
      <c r="AE5197" t="s">
        <v>136</v>
      </c>
      <c r="AF5197" t="s">
        <v>141</v>
      </c>
      <c r="AG5197">
        <v>1254</v>
      </c>
      <c r="AH5197" t="s">
        <v>247</v>
      </c>
      <c r="AI5197" t="s">
        <v>319</v>
      </c>
      <c r="AJ5197" t="s">
        <v>253</v>
      </c>
      <c r="AK5197" t="s">
        <v>132</v>
      </c>
      <c r="AL5197" t="s">
        <v>151</v>
      </c>
      <c r="AM5197" t="s">
        <v>121</v>
      </c>
      <c r="AN5197" t="s">
        <v>136</v>
      </c>
      <c r="AO5197" t="s">
        <v>100</v>
      </c>
      <c r="AP5197" t="s">
        <v>207</v>
      </c>
      <c r="AQ5197">
        <v>1254</v>
      </c>
      <c r="AR5197" t="s">
        <v>762</v>
      </c>
      <c r="AS5197" t="s">
        <v>154</v>
      </c>
      <c r="AT5197" t="s">
        <v>127</v>
      </c>
      <c r="AU5197" t="s">
        <v>319</v>
      </c>
      <c r="AV5197" t="s">
        <v>268</v>
      </c>
      <c r="AW5197" t="s">
        <v>198</v>
      </c>
      <c r="AX5197" t="s">
        <v>147</v>
      </c>
      <c r="AY5197" t="s">
        <v>99</v>
      </c>
      <c r="AZ5197" t="s">
        <v>198</v>
      </c>
    </row>
    <row r="5199" spans="1:52" x14ac:dyDescent="0.3">
      <c r="A5199" t="s">
        <v>1708</v>
      </c>
    </row>
    <row r="5200" spans="1:52" x14ac:dyDescent="0.3">
      <c r="A5200" t="s">
        <v>44</v>
      </c>
      <c r="B5200" t="s">
        <v>388</v>
      </c>
      <c r="C5200" t="s">
        <v>1653</v>
      </c>
      <c r="D5200" t="s">
        <v>1654</v>
      </c>
      <c r="E5200" t="s">
        <v>1655</v>
      </c>
      <c r="F5200" t="s">
        <v>1656</v>
      </c>
      <c r="G5200" t="s">
        <v>1657</v>
      </c>
      <c r="H5200" t="s">
        <v>1658</v>
      </c>
      <c r="I5200" t="s">
        <v>1659</v>
      </c>
      <c r="J5200" t="s">
        <v>1660</v>
      </c>
      <c r="K5200" t="s">
        <v>1661</v>
      </c>
      <c r="L5200" t="s">
        <v>1662</v>
      </c>
      <c r="M5200" t="s">
        <v>1663</v>
      </c>
      <c r="N5200" t="s">
        <v>1664</v>
      </c>
      <c r="O5200" t="s">
        <v>1665</v>
      </c>
      <c r="P5200" t="s">
        <v>1666</v>
      </c>
      <c r="Q5200" t="s">
        <v>1667</v>
      </c>
      <c r="R5200" t="s">
        <v>1668</v>
      </c>
      <c r="S5200" t="s">
        <v>1669</v>
      </c>
      <c r="T5200" t="s">
        <v>1670</v>
      </c>
      <c r="U5200" t="s">
        <v>1671</v>
      </c>
      <c r="V5200" t="s">
        <v>1672</v>
      </c>
      <c r="W5200" t="s">
        <v>1673</v>
      </c>
      <c r="X5200" t="s">
        <v>1674</v>
      </c>
      <c r="Y5200" t="s">
        <v>1675</v>
      </c>
      <c r="Z5200" t="s">
        <v>1676</v>
      </c>
      <c r="AA5200" t="s">
        <v>1677</v>
      </c>
      <c r="AB5200" t="s">
        <v>1678</v>
      </c>
      <c r="AC5200" t="s">
        <v>1679</v>
      </c>
      <c r="AD5200" t="s">
        <v>1680</v>
      </c>
      <c r="AE5200" t="s">
        <v>1681</v>
      </c>
      <c r="AF5200" t="s">
        <v>1682</v>
      </c>
      <c r="AG5200" t="s">
        <v>1683</v>
      </c>
      <c r="AH5200" t="s">
        <v>1684</v>
      </c>
      <c r="AI5200" t="s">
        <v>1685</v>
      </c>
      <c r="AJ5200" t="s">
        <v>1686</v>
      </c>
      <c r="AK5200" t="s">
        <v>1687</v>
      </c>
      <c r="AL5200" t="s">
        <v>1688</v>
      </c>
      <c r="AM5200" t="s">
        <v>1689</v>
      </c>
      <c r="AN5200" t="s">
        <v>1690</v>
      </c>
      <c r="AO5200" t="s">
        <v>1691</v>
      </c>
      <c r="AP5200" t="s">
        <v>1692</v>
      </c>
      <c r="AQ5200" t="s">
        <v>1693</v>
      </c>
      <c r="AR5200" t="s">
        <v>1694</v>
      </c>
      <c r="AS5200" t="s">
        <v>1695</v>
      </c>
      <c r="AT5200" t="s">
        <v>1696</v>
      </c>
      <c r="AU5200" t="s">
        <v>1697</v>
      </c>
      <c r="AV5200" t="s">
        <v>1698</v>
      </c>
      <c r="AW5200" t="s">
        <v>1699</v>
      </c>
      <c r="AX5200" t="s">
        <v>1700</v>
      </c>
      <c r="AY5200" t="s">
        <v>1701</v>
      </c>
      <c r="AZ5200" t="s">
        <v>1702</v>
      </c>
    </row>
    <row r="5201" spans="1:52" x14ac:dyDescent="0.3">
      <c r="A5201" t="s">
        <v>35</v>
      </c>
      <c r="B5201" t="s">
        <v>389</v>
      </c>
      <c r="C5201">
        <v>2141</v>
      </c>
      <c r="D5201" t="s">
        <v>837</v>
      </c>
      <c r="E5201" t="s">
        <v>184</v>
      </c>
      <c r="F5201" t="s">
        <v>182</v>
      </c>
      <c r="G5201" t="s">
        <v>182</v>
      </c>
      <c r="H5201" t="s">
        <v>353</v>
      </c>
      <c r="I5201" t="s">
        <v>712</v>
      </c>
      <c r="J5201" t="s">
        <v>126</v>
      </c>
      <c r="K5201" t="s">
        <v>298</v>
      </c>
      <c r="L5201" t="s">
        <v>100</v>
      </c>
      <c r="M5201">
        <v>2141</v>
      </c>
      <c r="N5201" t="s">
        <v>447</v>
      </c>
      <c r="O5201" t="s">
        <v>112</v>
      </c>
      <c r="P5201" t="s">
        <v>103</v>
      </c>
      <c r="Q5201" t="s">
        <v>292</v>
      </c>
      <c r="R5201" t="s">
        <v>114</v>
      </c>
      <c r="S5201" t="s">
        <v>253</v>
      </c>
      <c r="T5201" t="s">
        <v>99</v>
      </c>
      <c r="U5201" t="s">
        <v>101</v>
      </c>
      <c r="V5201" t="s">
        <v>104</v>
      </c>
      <c r="W5201">
        <v>2141</v>
      </c>
      <c r="X5201" t="s">
        <v>769</v>
      </c>
      <c r="Y5201" t="s">
        <v>138</v>
      </c>
      <c r="Z5201" t="s">
        <v>103</v>
      </c>
      <c r="AA5201" t="s">
        <v>127</v>
      </c>
      <c r="AB5201" t="s">
        <v>215</v>
      </c>
      <c r="AC5201" t="s">
        <v>136</v>
      </c>
      <c r="AD5201" t="s">
        <v>242</v>
      </c>
      <c r="AE5201" t="s">
        <v>198</v>
      </c>
      <c r="AF5201" t="s">
        <v>104</v>
      </c>
      <c r="AG5201">
        <v>2141</v>
      </c>
      <c r="AH5201" t="s">
        <v>334</v>
      </c>
      <c r="AI5201" t="s">
        <v>115</v>
      </c>
      <c r="AJ5201" t="s">
        <v>132</v>
      </c>
      <c r="AK5201" t="s">
        <v>101</v>
      </c>
      <c r="AL5201" t="s">
        <v>101</v>
      </c>
      <c r="AM5201" t="s">
        <v>198</v>
      </c>
      <c r="AN5201" t="s">
        <v>104</v>
      </c>
      <c r="AO5201" t="s">
        <v>127</v>
      </c>
      <c r="AP5201" t="s">
        <v>198</v>
      </c>
      <c r="AQ5201">
        <v>2141</v>
      </c>
      <c r="AR5201" t="s">
        <v>858</v>
      </c>
      <c r="AS5201" t="s">
        <v>111</v>
      </c>
      <c r="AT5201" t="s">
        <v>117</v>
      </c>
      <c r="AU5201" t="s">
        <v>126</v>
      </c>
      <c r="AV5201" t="s">
        <v>382</v>
      </c>
      <c r="AW5201" t="s">
        <v>104</v>
      </c>
      <c r="AX5201" t="s">
        <v>112</v>
      </c>
      <c r="AY5201" t="s">
        <v>115</v>
      </c>
      <c r="AZ5201" t="s">
        <v>198</v>
      </c>
    </row>
    <row r="5202" spans="1:52" x14ac:dyDescent="0.3">
      <c r="A5202" t="s">
        <v>35</v>
      </c>
      <c r="B5202" t="s">
        <v>390</v>
      </c>
      <c r="C5202">
        <v>875</v>
      </c>
      <c r="D5202" t="s">
        <v>630</v>
      </c>
      <c r="E5202" t="s">
        <v>129</v>
      </c>
      <c r="F5202" t="s">
        <v>152</v>
      </c>
      <c r="G5202" t="s">
        <v>143</v>
      </c>
      <c r="H5202" t="s">
        <v>474</v>
      </c>
      <c r="I5202" t="s">
        <v>138</v>
      </c>
      <c r="J5202" t="s">
        <v>123</v>
      </c>
      <c r="K5202" t="s">
        <v>188</v>
      </c>
      <c r="L5202" t="s">
        <v>104</v>
      </c>
      <c r="M5202">
        <v>875</v>
      </c>
      <c r="N5202" t="s">
        <v>266</v>
      </c>
      <c r="O5202" t="s">
        <v>138</v>
      </c>
      <c r="P5202" t="s">
        <v>111</v>
      </c>
      <c r="Q5202" t="s">
        <v>123</v>
      </c>
      <c r="R5202" t="s">
        <v>134</v>
      </c>
      <c r="S5202" t="s">
        <v>141</v>
      </c>
      <c r="T5202" t="s">
        <v>99</v>
      </c>
      <c r="U5202" t="s">
        <v>128</v>
      </c>
      <c r="V5202" t="s">
        <v>198</v>
      </c>
      <c r="W5202">
        <v>875</v>
      </c>
      <c r="X5202" t="s">
        <v>1640</v>
      </c>
      <c r="Y5202" t="s">
        <v>117</v>
      </c>
      <c r="Z5202" t="s">
        <v>126</v>
      </c>
      <c r="AA5202" t="s">
        <v>154</v>
      </c>
      <c r="AB5202" t="s">
        <v>136</v>
      </c>
      <c r="AC5202" t="s">
        <v>123</v>
      </c>
      <c r="AD5202" t="s">
        <v>679</v>
      </c>
      <c r="AE5202" t="s">
        <v>198</v>
      </c>
      <c r="AF5202" t="s">
        <v>198</v>
      </c>
      <c r="AG5202">
        <v>875</v>
      </c>
      <c r="AH5202" t="s">
        <v>982</v>
      </c>
      <c r="AI5202" t="s">
        <v>207</v>
      </c>
      <c r="AJ5202" t="s">
        <v>198</v>
      </c>
      <c r="AK5202" t="s">
        <v>136</v>
      </c>
      <c r="AL5202" t="s">
        <v>99</v>
      </c>
      <c r="AM5202" t="s">
        <v>198</v>
      </c>
      <c r="AN5202" t="s">
        <v>99</v>
      </c>
      <c r="AO5202" t="s">
        <v>104</v>
      </c>
      <c r="AP5202" t="s">
        <v>99</v>
      </c>
      <c r="AQ5202">
        <v>875</v>
      </c>
      <c r="AR5202" t="s">
        <v>217</v>
      </c>
      <c r="AS5202" t="s">
        <v>382</v>
      </c>
      <c r="AT5202" t="s">
        <v>215</v>
      </c>
      <c r="AU5202" t="s">
        <v>121</v>
      </c>
      <c r="AV5202" t="s">
        <v>100</v>
      </c>
      <c r="AW5202" t="s">
        <v>126</v>
      </c>
      <c r="AX5202" t="s">
        <v>158</v>
      </c>
      <c r="AY5202" t="s">
        <v>99</v>
      </c>
      <c r="AZ5202" t="s">
        <v>207</v>
      </c>
    </row>
    <row r="5203" spans="1:52" x14ac:dyDescent="0.3">
      <c r="A5203" t="s">
        <v>35</v>
      </c>
      <c r="B5203" t="s">
        <v>365</v>
      </c>
      <c r="C5203">
        <v>129</v>
      </c>
      <c r="D5203" t="s">
        <v>935</v>
      </c>
      <c r="E5203" t="s">
        <v>292</v>
      </c>
      <c r="F5203" t="s">
        <v>262</v>
      </c>
      <c r="G5203" t="s">
        <v>133</v>
      </c>
      <c r="H5203" t="s">
        <v>363</v>
      </c>
      <c r="I5203" t="s">
        <v>101</v>
      </c>
      <c r="J5203" t="s">
        <v>99</v>
      </c>
      <c r="K5203" t="s">
        <v>663</v>
      </c>
      <c r="L5203" t="s">
        <v>99</v>
      </c>
      <c r="M5203">
        <v>129</v>
      </c>
      <c r="N5203" t="s">
        <v>999</v>
      </c>
      <c r="O5203" t="s">
        <v>141</v>
      </c>
      <c r="P5203" t="s">
        <v>207</v>
      </c>
      <c r="Q5203" t="s">
        <v>253</v>
      </c>
      <c r="R5203" t="s">
        <v>99</v>
      </c>
      <c r="S5203" t="s">
        <v>99</v>
      </c>
      <c r="T5203" t="s">
        <v>99</v>
      </c>
      <c r="U5203" t="s">
        <v>99</v>
      </c>
      <c r="V5203" t="s">
        <v>99</v>
      </c>
      <c r="W5203">
        <v>129</v>
      </c>
      <c r="X5203" t="s">
        <v>413</v>
      </c>
      <c r="Y5203" t="s">
        <v>132</v>
      </c>
      <c r="Z5203" t="s">
        <v>100</v>
      </c>
      <c r="AA5203" t="s">
        <v>198</v>
      </c>
      <c r="AB5203" t="s">
        <v>136</v>
      </c>
      <c r="AC5203" t="s">
        <v>132</v>
      </c>
      <c r="AD5203" t="s">
        <v>382</v>
      </c>
      <c r="AE5203" t="s">
        <v>99</v>
      </c>
      <c r="AF5203" t="s">
        <v>99</v>
      </c>
      <c r="AG5203">
        <v>129</v>
      </c>
      <c r="AH5203" t="s">
        <v>970</v>
      </c>
      <c r="AI5203" t="s">
        <v>99</v>
      </c>
      <c r="AJ5203" t="s">
        <v>99</v>
      </c>
      <c r="AK5203" t="s">
        <v>99</v>
      </c>
      <c r="AL5203" t="s">
        <v>99</v>
      </c>
      <c r="AM5203" t="s">
        <v>99</v>
      </c>
      <c r="AN5203" t="s">
        <v>99</v>
      </c>
      <c r="AO5203" t="s">
        <v>141</v>
      </c>
      <c r="AP5203" t="s">
        <v>99</v>
      </c>
      <c r="AQ5203">
        <v>129</v>
      </c>
      <c r="AR5203" t="s">
        <v>980</v>
      </c>
      <c r="AS5203" t="s">
        <v>253</v>
      </c>
      <c r="AT5203" t="s">
        <v>99</v>
      </c>
      <c r="AU5203" t="s">
        <v>99</v>
      </c>
      <c r="AV5203" t="s">
        <v>99</v>
      </c>
      <c r="AW5203" t="s">
        <v>99</v>
      </c>
      <c r="AX5203" t="s">
        <v>99</v>
      </c>
      <c r="AY5203" t="s">
        <v>99</v>
      </c>
      <c r="AZ5203" t="s">
        <v>99</v>
      </c>
    </row>
    <row r="5204" spans="1:52" x14ac:dyDescent="0.3">
      <c r="A5204" t="s">
        <v>37</v>
      </c>
      <c r="B5204" t="s">
        <v>389</v>
      </c>
      <c r="C5204">
        <v>2305</v>
      </c>
      <c r="D5204" t="s">
        <v>555</v>
      </c>
      <c r="E5204" t="s">
        <v>150</v>
      </c>
      <c r="F5204" t="s">
        <v>72</v>
      </c>
      <c r="G5204" t="s">
        <v>470</v>
      </c>
      <c r="H5204" t="s">
        <v>363</v>
      </c>
      <c r="I5204" t="s">
        <v>468</v>
      </c>
      <c r="J5204" t="s">
        <v>154</v>
      </c>
      <c r="K5204" t="s">
        <v>677</v>
      </c>
      <c r="L5204" t="s">
        <v>104</v>
      </c>
      <c r="M5204">
        <v>2305</v>
      </c>
      <c r="N5204" t="s">
        <v>403</v>
      </c>
      <c r="O5204" t="s">
        <v>268</v>
      </c>
      <c r="P5204" t="s">
        <v>111</v>
      </c>
      <c r="Q5204" t="s">
        <v>127</v>
      </c>
      <c r="R5204" t="s">
        <v>121</v>
      </c>
      <c r="S5204" t="s">
        <v>253</v>
      </c>
      <c r="T5204" t="s">
        <v>198</v>
      </c>
      <c r="U5204" t="s">
        <v>136</v>
      </c>
      <c r="V5204" t="s">
        <v>99</v>
      </c>
      <c r="W5204">
        <v>2305</v>
      </c>
      <c r="X5204" t="s">
        <v>409</v>
      </c>
      <c r="Y5204" t="s">
        <v>117</v>
      </c>
      <c r="Z5204" t="s">
        <v>105</v>
      </c>
      <c r="AA5204" t="s">
        <v>120</v>
      </c>
      <c r="AB5204" t="s">
        <v>121</v>
      </c>
      <c r="AC5204" t="s">
        <v>115</v>
      </c>
      <c r="AD5204" t="s">
        <v>108</v>
      </c>
      <c r="AE5204" t="s">
        <v>104</v>
      </c>
      <c r="AF5204" t="s">
        <v>104</v>
      </c>
      <c r="AG5204">
        <v>2305</v>
      </c>
      <c r="AH5204" t="s">
        <v>766</v>
      </c>
      <c r="AI5204" t="s">
        <v>136</v>
      </c>
      <c r="AJ5204" t="s">
        <v>136</v>
      </c>
      <c r="AK5204" t="s">
        <v>207</v>
      </c>
      <c r="AL5204" t="s">
        <v>141</v>
      </c>
      <c r="AM5204" t="s">
        <v>104</v>
      </c>
      <c r="AN5204" t="s">
        <v>99</v>
      </c>
      <c r="AO5204" t="s">
        <v>198</v>
      </c>
      <c r="AP5204" t="s">
        <v>99</v>
      </c>
      <c r="AQ5204">
        <v>2305</v>
      </c>
      <c r="AR5204" t="s">
        <v>505</v>
      </c>
      <c r="AS5204" t="s">
        <v>319</v>
      </c>
      <c r="AT5204" t="s">
        <v>101</v>
      </c>
      <c r="AU5204" t="s">
        <v>114</v>
      </c>
      <c r="AV5204" t="s">
        <v>253</v>
      </c>
      <c r="AW5204" t="s">
        <v>253</v>
      </c>
      <c r="AX5204" t="s">
        <v>141</v>
      </c>
      <c r="AY5204" t="s">
        <v>104</v>
      </c>
      <c r="AZ5204" t="s">
        <v>99</v>
      </c>
    </row>
    <row r="5205" spans="1:52" x14ac:dyDescent="0.3">
      <c r="A5205" t="s">
        <v>37</v>
      </c>
      <c r="B5205" t="s">
        <v>390</v>
      </c>
      <c r="C5205">
        <v>1309</v>
      </c>
      <c r="D5205" t="s">
        <v>918</v>
      </c>
      <c r="E5205" t="s">
        <v>150</v>
      </c>
      <c r="F5205" t="s">
        <v>133</v>
      </c>
      <c r="G5205" t="s">
        <v>405</v>
      </c>
      <c r="H5205" t="s">
        <v>299</v>
      </c>
      <c r="I5205" t="s">
        <v>139</v>
      </c>
      <c r="J5205" t="s">
        <v>111</v>
      </c>
      <c r="K5205" t="s">
        <v>405</v>
      </c>
      <c r="L5205" t="s">
        <v>136</v>
      </c>
      <c r="M5205">
        <v>1309</v>
      </c>
      <c r="N5205" t="s">
        <v>422</v>
      </c>
      <c r="O5205" t="s">
        <v>292</v>
      </c>
      <c r="P5205" t="s">
        <v>107</v>
      </c>
      <c r="Q5205" t="s">
        <v>127</v>
      </c>
      <c r="R5205" t="s">
        <v>101</v>
      </c>
      <c r="S5205" t="s">
        <v>141</v>
      </c>
      <c r="T5205" t="s">
        <v>104</v>
      </c>
      <c r="U5205" t="s">
        <v>253</v>
      </c>
      <c r="V5205" t="s">
        <v>136</v>
      </c>
      <c r="W5205">
        <v>1309</v>
      </c>
      <c r="X5205" t="s">
        <v>232</v>
      </c>
      <c r="Y5205" t="s">
        <v>103</v>
      </c>
      <c r="Z5205" t="s">
        <v>154</v>
      </c>
      <c r="AA5205" t="s">
        <v>151</v>
      </c>
      <c r="AB5205" t="s">
        <v>114</v>
      </c>
      <c r="AC5205" t="s">
        <v>141</v>
      </c>
      <c r="AD5205" t="s">
        <v>115</v>
      </c>
      <c r="AE5205" t="s">
        <v>104</v>
      </c>
      <c r="AF5205" t="s">
        <v>198</v>
      </c>
      <c r="AG5205">
        <v>1309</v>
      </c>
      <c r="AH5205" t="s">
        <v>385</v>
      </c>
      <c r="AI5205" t="s">
        <v>136</v>
      </c>
      <c r="AJ5205" t="s">
        <v>207</v>
      </c>
      <c r="AK5205" t="s">
        <v>104</v>
      </c>
      <c r="AL5205" t="s">
        <v>207</v>
      </c>
      <c r="AM5205" t="s">
        <v>104</v>
      </c>
      <c r="AN5205" t="s">
        <v>99</v>
      </c>
      <c r="AO5205" t="s">
        <v>104</v>
      </c>
      <c r="AP5205" t="s">
        <v>99</v>
      </c>
      <c r="AQ5205">
        <v>1309</v>
      </c>
      <c r="AR5205" t="s">
        <v>326</v>
      </c>
      <c r="AS5205" t="s">
        <v>151</v>
      </c>
      <c r="AT5205" t="s">
        <v>215</v>
      </c>
      <c r="AU5205" t="s">
        <v>114</v>
      </c>
      <c r="AV5205" t="s">
        <v>253</v>
      </c>
      <c r="AW5205" t="s">
        <v>141</v>
      </c>
      <c r="AX5205" t="s">
        <v>253</v>
      </c>
      <c r="AY5205" t="s">
        <v>99</v>
      </c>
      <c r="AZ5205" t="s">
        <v>136</v>
      </c>
    </row>
    <row r="5206" spans="1:52" x14ac:dyDescent="0.3">
      <c r="A5206" t="s">
        <v>37</v>
      </c>
      <c r="B5206" t="s">
        <v>365</v>
      </c>
      <c r="C5206">
        <v>241</v>
      </c>
      <c r="D5206" t="s">
        <v>596</v>
      </c>
      <c r="E5206" t="s">
        <v>664</v>
      </c>
      <c r="F5206" t="s">
        <v>41</v>
      </c>
      <c r="G5206" t="s">
        <v>242</v>
      </c>
      <c r="H5206" t="s">
        <v>461</v>
      </c>
      <c r="I5206" t="s">
        <v>468</v>
      </c>
      <c r="J5206" t="s">
        <v>127</v>
      </c>
      <c r="K5206" t="s">
        <v>163</v>
      </c>
      <c r="L5206" t="s">
        <v>99</v>
      </c>
      <c r="M5206">
        <v>241</v>
      </c>
      <c r="N5206" t="s">
        <v>329</v>
      </c>
      <c r="O5206" t="s">
        <v>120</v>
      </c>
      <c r="P5206" t="s">
        <v>151</v>
      </c>
      <c r="Q5206" t="s">
        <v>198</v>
      </c>
      <c r="R5206" t="s">
        <v>123</v>
      </c>
      <c r="S5206" t="s">
        <v>207</v>
      </c>
      <c r="T5206" t="s">
        <v>99</v>
      </c>
      <c r="U5206" t="s">
        <v>99</v>
      </c>
      <c r="V5206" t="s">
        <v>99</v>
      </c>
      <c r="W5206">
        <v>241</v>
      </c>
      <c r="X5206" t="s">
        <v>403</v>
      </c>
      <c r="Y5206" t="s">
        <v>117</v>
      </c>
      <c r="Z5206" t="s">
        <v>292</v>
      </c>
      <c r="AA5206" t="s">
        <v>157</v>
      </c>
      <c r="AB5206" t="s">
        <v>136</v>
      </c>
      <c r="AC5206" t="s">
        <v>207</v>
      </c>
      <c r="AD5206" t="s">
        <v>136</v>
      </c>
      <c r="AE5206" t="s">
        <v>99</v>
      </c>
      <c r="AF5206" t="s">
        <v>99</v>
      </c>
      <c r="AG5206">
        <v>241</v>
      </c>
      <c r="AH5206" t="s">
        <v>383</v>
      </c>
      <c r="AI5206" t="s">
        <v>99</v>
      </c>
      <c r="AJ5206" t="s">
        <v>101</v>
      </c>
      <c r="AK5206" t="s">
        <v>99</v>
      </c>
      <c r="AL5206" t="s">
        <v>207</v>
      </c>
      <c r="AM5206" t="s">
        <v>99</v>
      </c>
      <c r="AN5206" t="s">
        <v>99</v>
      </c>
      <c r="AO5206" t="s">
        <v>99</v>
      </c>
      <c r="AP5206" t="s">
        <v>99</v>
      </c>
      <c r="AQ5206">
        <v>241</v>
      </c>
      <c r="AR5206" t="s">
        <v>505</v>
      </c>
      <c r="AS5206" t="s">
        <v>147</v>
      </c>
      <c r="AT5206" t="s">
        <v>108</v>
      </c>
      <c r="AU5206" t="s">
        <v>132</v>
      </c>
      <c r="AV5206" t="s">
        <v>99</v>
      </c>
      <c r="AW5206" t="s">
        <v>99</v>
      </c>
      <c r="AX5206" t="s">
        <v>136</v>
      </c>
      <c r="AY5206" t="s">
        <v>99</v>
      </c>
      <c r="AZ5206" t="s">
        <v>136</v>
      </c>
    </row>
    <row r="5207" spans="1:52" x14ac:dyDescent="0.3">
      <c r="A5207" t="s">
        <v>36</v>
      </c>
      <c r="B5207" t="s">
        <v>389</v>
      </c>
      <c r="C5207">
        <v>1578</v>
      </c>
      <c r="D5207" t="s">
        <v>947</v>
      </c>
      <c r="E5207" t="s">
        <v>107</v>
      </c>
      <c r="F5207" t="s">
        <v>182</v>
      </c>
      <c r="G5207" t="s">
        <v>70</v>
      </c>
      <c r="H5207" t="s">
        <v>74</v>
      </c>
      <c r="I5207" t="s">
        <v>143</v>
      </c>
      <c r="J5207" t="s">
        <v>128</v>
      </c>
      <c r="K5207" t="s">
        <v>990</v>
      </c>
      <c r="L5207" t="s">
        <v>198</v>
      </c>
      <c r="M5207">
        <v>1578</v>
      </c>
      <c r="N5207" t="s">
        <v>769</v>
      </c>
      <c r="O5207" t="s">
        <v>242</v>
      </c>
      <c r="P5207" t="s">
        <v>474</v>
      </c>
      <c r="Q5207" t="s">
        <v>147</v>
      </c>
      <c r="R5207" t="s">
        <v>108</v>
      </c>
      <c r="S5207" t="s">
        <v>132</v>
      </c>
      <c r="T5207" t="s">
        <v>198</v>
      </c>
      <c r="U5207" t="s">
        <v>132</v>
      </c>
      <c r="V5207" t="s">
        <v>99</v>
      </c>
      <c r="W5207">
        <v>1578</v>
      </c>
      <c r="X5207" t="s">
        <v>431</v>
      </c>
      <c r="Y5207" t="s">
        <v>123</v>
      </c>
      <c r="Z5207" t="s">
        <v>98</v>
      </c>
      <c r="AA5207" t="s">
        <v>129</v>
      </c>
      <c r="AB5207" t="s">
        <v>117</v>
      </c>
      <c r="AC5207" t="s">
        <v>117</v>
      </c>
      <c r="AD5207" t="s">
        <v>121</v>
      </c>
      <c r="AE5207" t="s">
        <v>99</v>
      </c>
      <c r="AF5207" t="s">
        <v>115</v>
      </c>
      <c r="AG5207">
        <v>1578</v>
      </c>
      <c r="AH5207" t="s">
        <v>354</v>
      </c>
      <c r="AI5207" t="s">
        <v>100</v>
      </c>
      <c r="AJ5207" t="s">
        <v>128</v>
      </c>
      <c r="AK5207" t="s">
        <v>141</v>
      </c>
      <c r="AL5207" t="s">
        <v>127</v>
      </c>
      <c r="AM5207" t="s">
        <v>141</v>
      </c>
      <c r="AN5207" t="s">
        <v>141</v>
      </c>
      <c r="AO5207" t="s">
        <v>136</v>
      </c>
      <c r="AP5207" t="s">
        <v>141</v>
      </c>
      <c r="AQ5207">
        <v>1578</v>
      </c>
      <c r="AR5207" t="s">
        <v>1010</v>
      </c>
      <c r="AS5207" t="s">
        <v>215</v>
      </c>
      <c r="AT5207" t="s">
        <v>149</v>
      </c>
      <c r="AU5207" t="s">
        <v>268</v>
      </c>
      <c r="AV5207" t="s">
        <v>101</v>
      </c>
      <c r="AW5207" t="s">
        <v>382</v>
      </c>
      <c r="AX5207" t="s">
        <v>319</v>
      </c>
      <c r="AY5207" t="s">
        <v>207</v>
      </c>
      <c r="AZ5207" t="s">
        <v>104</v>
      </c>
    </row>
    <row r="5208" spans="1:52" x14ac:dyDescent="0.3">
      <c r="A5208" t="s">
        <v>36</v>
      </c>
      <c r="B5208" t="s">
        <v>390</v>
      </c>
      <c r="C5208">
        <v>627</v>
      </c>
      <c r="D5208" t="s">
        <v>609</v>
      </c>
      <c r="E5208" t="s">
        <v>204</v>
      </c>
      <c r="F5208" t="s">
        <v>449</v>
      </c>
      <c r="G5208" t="s">
        <v>160</v>
      </c>
      <c r="H5208" t="s">
        <v>434</v>
      </c>
      <c r="I5208" t="s">
        <v>122</v>
      </c>
      <c r="J5208" t="s">
        <v>316</v>
      </c>
      <c r="K5208" t="s">
        <v>687</v>
      </c>
      <c r="L5208" t="s">
        <v>99</v>
      </c>
      <c r="M5208">
        <v>627</v>
      </c>
      <c r="N5208" t="s">
        <v>448</v>
      </c>
      <c r="O5208" t="s">
        <v>111</v>
      </c>
      <c r="P5208" t="s">
        <v>128</v>
      </c>
      <c r="Q5208" t="s">
        <v>157</v>
      </c>
      <c r="R5208" t="s">
        <v>207</v>
      </c>
      <c r="S5208" t="s">
        <v>136</v>
      </c>
      <c r="T5208" t="s">
        <v>99</v>
      </c>
      <c r="U5208" t="s">
        <v>107</v>
      </c>
      <c r="V5208" t="s">
        <v>104</v>
      </c>
      <c r="W5208">
        <v>627</v>
      </c>
      <c r="X5208" t="s">
        <v>1226</v>
      </c>
      <c r="Y5208" t="s">
        <v>215</v>
      </c>
      <c r="Z5208" t="s">
        <v>158</v>
      </c>
      <c r="AA5208" t="s">
        <v>121</v>
      </c>
      <c r="AB5208" t="s">
        <v>316</v>
      </c>
      <c r="AC5208" t="s">
        <v>319</v>
      </c>
      <c r="AD5208" t="s">
        <v>712</v>
      </c>
      <c r="AE5208" t="s">
        <v>104</v>
      </c>
      <c r="AF5208" t="s">
        <v>121</v>
      </c>
      <c r="AG5208">
        <v>627</v>
      </c>
      <c r="AH5208" t="s">
        <v>265</v>
      </c>
      <c r="AI5208" t="s">
        <v>104</v>
      </c>
      <c r="AJ5208" t="s">
        <v>207</v>
      </c>
      <c r="AK5208" t="s">
        <v>151</v>
      </c>
      <c r="AL5208" t="s">
        <v>99</v>
      </c>
      <c r="AM5208" t="s">
        <v>104</v>
      </c>
      <c r="AN5208" t="s">
        <v>108</v>
      </c>
      <c r="AO5208" t="s">
        <v>99</v>
      </c>
      <c r="AP5208" t="s">
        <v>99</v>
      </c>
      <c r="AQ5208">
        <v>627</v>
      </c>
      <c r="AR5208" t="s">
        <v>883</v>
      </c>
      <c r="AS5208" t="s">
        <v>128</v>
      </c>
      <c r="AT5208" t="s">
        <v>292</v>
      </c>
      <c r="AU5208" t="s">
        <v>118</v>
      </c>
      <c r="AV5208" t="s">
        <v>151</v>
      </c>
      <c r="AW5208" t="s">
        <v>292</v>
      </c>
      <c r="AX5208" t="s">
        <v>292</v>
      </c>
      <c r="AY5208" t="s">
        <v>198</v>
      </c>
      <c r="AZ5208" t="s">
        <v>99</v>
      </c>
    </row>
    <row r="5209" spans="1:52" x14ac:dyDescent="0.3">
      <c r="A5209" t="s">
        <v>36</v>
      </c>
      <c r="B5209" t="s">
        <v>365</v>
      </c>
      <c r="C5209">
        <v>100</v>
      </c>
      <c r="D5209" t="s">
        <v>1184</v>
      </c>
      <c r="E5209" t="s">
        <v>130</v>
      </c>
      <c r="F5209" t="s">
        <v>154</v>
      </c>
      <c r="G5209" t="s">
        <v>468</v>
      </c>
      <c r="H5209" t="s">
        <v>76</v>
      </c>
      <c r="I5209" t="s">
        <v>179</v>
      </c>
      <c r="J5209" t="s">
        <v>198</v>
      </c>
      <c r="K5209" t="s">
        <v>78</v>
      </c>
      <c r="L5209" t="s">
        <v>121</v>
      </c>
      <c r="M5209">
        <v>100</v>
      </c>
      <c r="N5209" t="s">
        <v>986</v>
      </c>
      <c r="O5209" t="s">
        <v>136</v>
      </c>
      <c r="P5209" t="s">
        <v>132</v>
      </c>
      <c r="Q5209" t="s">
        <v>115</v>
      </c>
      <c r="R5209" t="s">
        <v>99</v>
      </c>
      <c r="S5209" t="s">
        <v>99</v>
      </c>
      <c r="T5209" t="s">
        <v>99</v>
      </c>
      <c r="U5209" t="s">
        <v>198</v>
      </c>
      <c r="V5209" t="s">
        <v>99</v>
      </c>
      <c r="W5209">
        <v>100</v>
      </c>
      <c r="X5209" t="s">
        <v>229</v>
      </c>
      <c r="Y5209" t="s">
        <v>207</v>
      </c>
      <c r="Z5209" t="s">
        <v>207</v>
      </c>
      <c r="AA5209" t="s">
        <v>207</v>
      </c>
      <c r="AB5209" t="s">
        <v>99</v>
      </c>
      <c r="AC5209" t="s">
        <v>207</v>
      </c>
      <c r="AD5209" t="s">
        <v>198</v>
      </c>
      <c r="AE5209" t="s">
        <v>99</v>
      </c>
      <c r="AF5209" t="s">
        <v>99</v>
      </c>
      <c r="AG5209">
        <v>100</v>
      </c>
      <c r="AH5209" t="s">
        <v>778</v>
      </c>
      <c r="AI5209" t="s">
        <v>99</v>
      </c>
      <c r="AJ5209" t="s">
        <v>474</v>
      </c>
      <c r="AK5209" t="s">
        <v>198</v>
      </c>
      <c r="AL5209" t="s">
        <v>207</v>
      </c>
      <c r="AM5209" t="s">
        <v>99</v>
      </c>
      <c r="AN5209" t="s">
        <v>99</v>
      </c>
      <c r="AO5209" t="s">
        <v>198</v>
      </c>
      <c r="AP5209" t="s">
        <v>99</v>
      </c>
      <c r="AQ5209">
        <v>100</v>
      </c>
      <c r="AR5209" t="s">
        <v>1022</v>
      </c>
      <c r="AS5209" t="s">
        <v>207</v>
      </c>
      <c r="AT5209" t="s">
        <v>99</v>
      </c>
      <c r="AU5209" t="s">
        <v>207</v>
      </c>
      <c r="AV5209" t="s">
        <v>99</v>
      </c>
      <c r="AW5209" t="s">
        <v>99</v>
      </c>
      <c r="AX5209" t="s">
        <v>198</v>
      </c>
      <c r="AY5209" t="s">
        <v>99</v>
      </c>
      <c r="AZ5209" t="s">
        <v>99</v>
      </c>
    </row>
    <row r="5210" spans="1:52" x14ac:dyDescent="0.3">
      <c r="A5210" t="s">
        <v>34</v>
      </c>
      <c r="B5210" t="s">
        <v>389</v>
      </c>
      <c r="C5210">
        <v>1385</v>
      </c>
      <c r="D5210" t="s">
        <v>907</v>
      </c>
      <c r="E5210" t="s">
        <v>112</v>
      </c>
      <c r="F5210" t="s">
        <v>405</v>
      </c>
      <c r="G5210" t="s">
        <v>679</v>
      </c>
      <c r="H5210" t="s">
        <v>68</v>
      </c>
      <c r="I5210" t="s">
        <v>105</v>
      </c>
      <c r="J5210" t="s">
        <v>132</v>
      </c>
      <c r="K5210" t="s">
        <v>373</v>
      </c>
      <c r="L5210" t="s">
        <v>121</v>
      </c>
      <c r="M5210">
        <v>1385</v>
      </c>
      <c r="N5210" t="s">
        <v>320</v>
      </c>
      <c r="O5210" t="s">
        <v>150</v>
      </c>
      <c r="P5210" t="s">
        <v>316</v>
      </c>
      <c r="Q5210" t="s">
        <v>117</v>
      </c>
      <c r="R5210" t="s">
        <v>100</v>
      </c>
      <c r="S5210" t="s">
        <v>198</v>
      </c>
      <c r="T5210" t="s">
        <v>104</v>
      </c>
      <c r="U5210" t="s">
        <v>215</v>
      </c>
      <c r="V5210" t="s">
        <v>104</v>
      </c>
      <c r="W5210">
        <v>1385</v>
      </c>
      <c r="X5210" t="s">
        <v>784</v>
      </c>
      <c r="Y5210" t="s">
        <v>123</v>
      </c>
      <c r="Z5210" t="s">
        <v>149</v>
      </c>
      <c r="AA5210" t="s">
        <v>154</v>
      </c>
      <c r="AB5210" t="s">
        <v>108</v>
      </c>
      <c r="AC5210" t="s">
        <v>207</v>
      </c>
      <c r="AD5210" t="s">
        <v>110</v>
      </c>
      <c r="AE5210" t="s">
        <v>108</v>
      </c>
      <c r="AF5210" t="s">
        <v>207</v>
      </c>
      <c r="AG5210">
        <v>1385</v>
      </c>
      <c r="AH5210" t="s">
        <v>771</v>
      </c>
      <c r="AI5210" t="s">
        <v>108</v>
      </c>
      <c r="AJ5210" t="s">
        <v>292</v>
      </c>
      <c r="AK5210" t="s">
        <v>319</v>
      </c>
      <c r="AL5210" t="s">
        <v>141</v>
      </c>
      <c r="AM5210" t="s">
        <v>136</v>
      </c>
      <c r="AN5210" t="s">
        <v>198</v>
      </c>
      <c r="AO5210" t="s">
        <v>114</v>
      </c>
      <c r="AP5210" t="s">
        <v>104</v>
      </c>
      <c r="AQ5210">
        <v>1385</v>
      </c>
      <c r="AR5210" t="s">
        <v>417</v>
      </c>
      <c r="AS5210" t="s">
        <v>115</v>
      </c>
      <c r="AT5210" t="s">
        <v>332</v>
      </c>
      <c r="AU5210" t="s">
        <v>120</v>
      </c>
      <c r="AV5210" t="s">
        <v>253</v>
      </c>
      <c r="AW5210" t="s">
        <v>132</v>
      </c>
      <c r="AX5210" t="s">
        <v>128</v>
      </c>
      <c r="AY5210" t="s">
        <v>198</v>
      </c>
      <c r="AZ5210" t="s">
        <v>207</v>
      </c>
    </row>
    <row r="5211" spans="1:52" x14ac:dyDescent="0.3">
      <c r="A5211" t="s">
        <v>34</v>
      </c>
      <c r="B5211" t="s">
        <v>390</v>
      </c>
      <c r="C5211">
        <v>615</v>
      </c>
      <c r="D5211" t="s">
        <v>1069</v>
      </c>
      <c r="E5211" t="s">
        <v>120</v>
      </c>
      <c r="F5211" t="s">
        <v>142</v>
      </c>
      <c r="G5211" t="s">
        <v>468</v>
      </c>
      <c r="H5211" t="s">
        <v>316</v>
      </c>
      <c r="I5211" t="s">
        <v>101</v>
      </c>
      <c r="J5211" t="s">
        <v>136</v>
      </c>
      <c r="K5211" t="s">
        <v>672</v>
      </c>
      <c r="L5211" t="s">
        <v>121</v>
      </c>
      <c r="M5211">
        <v>615</v>
      </c>
      <c r="N5211" t="s">
        <v>172</v>
      </c>
      <c r="O5211" t="s">
        <v>157</v>
      </c>
      <c r="P5211" t="s">
        <v>134</v>
      </c>
      <c r="Q5211" t="s">
        <v>100</v>
      </c>
      <c r="R5211" t="s">
        <v>104</v>
      </c>
      <c r="S5211" t="s">
        <v>136</v>
      </c>
      <c r="T5211" t="s">
        <v>99</v>
      </c>
      <c r="U5211" t="s">
        <v>123</v>
      </c>
      <c r="V5211" t="s">
        <v>104</v>
      </c>
      <c r="W5211">
        <v>615</v>
      </c>
      <c r="X5211" t="s">
        <v>293</v>
      </c>
      <c r="Y5211" t="s">
        <v>123</v>
      </c>
      <c r="Z5211" t="s">
        <v>155</v>
      </c>
      <c r="AA5211" t="s">
        <v>132</v>
      </c>
      <c r="AB5211" t="s">
        <v>253</v>
      </c>
      <c r="AC5211" t="s">
        <v>104</v>
      </c>
      <c r="AD5211" t="s">
        <v>128</v>
      </c>
      <c r="AE5211" t="s">
        <v>141</v>
      </c>
      <c r="AF5211" t="s">
        <v>104</v>
      </c>
      <c r="AG5211">
        <v>615</v>
      </c>
      <c r="AH5211" t="s">
        <v>237</v>
      </c>
      <c r="AI5211" t="s">
        <v>141</v>
      </c>
      <c r="AJ5211" t="s">
        <v>382</v>
      </c>
      <c r="AK5211" t="s">
        <v>207</v>
      </c>
      <c r="AL5211" t="s">
        <v>99</v>
      </c>
      <c r="AM5211" t="s">
        <v>99</v>
      </c>
      <c r="AN5211" t="s">
        <v>99</v>
      </c>
      <c r="AO5211" t="s">
        <v>114</v>
      </c>
      <c r="AP5211" t="s">
        <v>253</v>
      </c>
      <c r="AQ5211">
        <v>615</v>
      </c>
      <c r="AR5211" t="s">
        <v>419</v>
      </c>
      <c r="AS5211" t="s">
        <v>382</v>
      </c>
      <c r="AT5211" t="s">
        <v>215</v>
      </c>
      <c r="AU5211" t="s">
        <v>132</v>
      </c>
      <c r="AV5211" t="s">
        <v>207</v>
      </c>
      <c r="AW5211" t="s">
        <v>198</v>
      </c>
      <c r="AX5211" t="s">
        <v>268</v>
      </c>
      <c r="AY5211" t="s">
        <v>104</v>
      </c>
      <c r="AZ5211" t="s">
        <v>108</v>
      </c>
    </row>
    <row r="5212" spans="1:52" x14ac:dyDescent="0.3">
      <c r="A5212" t="s">
        <v>34</v>
      </c>
      <c r="B5212" t="s">
        <v>365</v>
      </c>
      <c r="C5212">
        <v>80</v>
      </c>
      <c r="D5212" t="s">
        <v>1111</v>
      </c>
      <c r="E5212" t="s">
        <v>99</v>
      </c>
      <c r="F5212" t="s">
        <v>41</v>
      </c>
      <c r="G5212" t="s">
        <v>664</v>
      </c>
      <c r="H5212" t="s">
        <v>220</v>
      </c>
      <c r="I5212" t="s">
        <v>215</v>
      </c>
      <c r="J5212" t="s">
        <v>151</v>
      </c>
      <c r="K5212" t="s">
        <v>220</v>
      </c>
      <c r="L5212" t="s">
        <v>99</v>
      </c>
      <c r="M5212">
        <v>80</v>
      </c>
      <c r="N5212" t="s">
        <v>786</v>
      </c>
      <c r="O5212" t="s">
        <v>151</v>
      </c>
      <c r="P5212" t="s">
        <v>114</v>
      </c>
      <c r="Q5212" t="s">
        <v>121</v>
      </c>
      <c r="R5212" t="s">
        <v>141</v>
      </c>
      <c r="S5212" t="s">
        <v>99</v>
      </c>
      <c r="T5212" t="s">
        <v>99</v>
      </c>
      <c r="U5212" t="s">
        <v>99</v>
      </c>
      <c r="V5212" t="s">
        <v>99</v>
      </c>
      <c r="W5212">
        <v>80</v>
      </c>
      <c r="X5212" t="s">
        <v>414</v>
      </c>
      <c r="Y5212" t="s">
        <v>99</v>
      </c>
      <c r="Z5212" t="s">
        <v>141</v>
      </c>
      <c r="AA5212" t="s">
        <v>99</v>
      </c>
      <c r="AB5212" t="s">
        <v>121</v>
      </c>
      <c r="AC5212" t="s">
        <v>141</v>
      </c>
      <c r="AD5212" t="s">
        <v>434</v>
      </c>
      <c r="AE5212" t="s">
        <v>99</v>
      </c>
      <c r="AF5212" t="s">
        <v>99</v>
      </c>
      <c r="AG5212">
        <v>80</v>
      </c>
      <c r="AH5212" t="s">
        <v>998</v>
      </c>
      <c r="AI5212" t="s">
        <v>99</v>
      </c>
      <c r="AJ5212" t="s">
        <v>141</v>
      </c>
      <c r="AK5212" t="s">
        <v>151</v>
      </c>
      <c r="AL5212" t="s">
        <v>99</v>
      </c>
      <c r="AM5212" t="s">
        <v>99</v>
      </c>
      <c r="AN5212" t="s">
        <v>141</v>
      </c>
      <c r="AO5212" t="s">
        <v>99</v>
      </c>
      <c r="AP5212" t="s">
        <v>99</v>
      </c>
      <c r="AQ5212">
        <v>80</v>
      </c>
      <c r="AR5212" t="s">
        <v>780</v>
      </c>
      <c r="AS5212" t="s">
        <v>99</v>
      </c>
      <c r="AT5212" t="s">
        <v>141</v>
      </c>
      <c r="AU5212" t="s">
        <v>121</v>
      </c>
      <c r="AV5212" t="s">
        <v>99</v>
      </c>
      <c r="AW5212" t="s">
        <v>141</v>
      </c>
      <c r="AX5212" t="s">
        <v>141</v>
      </c>
      <c r="AY5212" t="s">
        <v>99</v>
      </c>
      <c r="AZ5212" t="s">
        <v>99</v>
      </c>
    </row>
    <row r="5213" spans="1:52" x14ac:dyDescent="0.3">
      <c r="A5213" t="s">
        <v>33</v>
      </c>
      <c r="B5213" t="s">
        <v>389</v>
      </c>
      <c r="C5213">
        <v>1090</v>
      </c>
      <c r="D5213" t="s">
        <v>646</v>
      </c>
      <c r="E5213" t="s">
        <v>332</v>
      </c>
      <c r="F5213" t="s">
        <v>184</v>
      </c>
      <c r="G5213" t="s">
        <v>158</v>
      </c>
      <c r="H5213" t="s">
        <v>242</v>
      </c>
      <c r="I5213" t="s">
        <v>98</v>
      </c>
      <c r="J5213" t="s">
        <v>215</v>
      </c>
      <c r="K5213" t="s">
        <v>294</v>
      </c>
      <c r="L5213" t="s">
        <v>198</v>
      </c>
      <c r="M5213">
        <v>1090</v>
      </c>
      <c r="N5213" t="s">
        <v>358</v>
      </c>
      <c r="O5213" t="s">
        <v>316</v>
      </c>
      <c r="P5213" t="s">
        <v>319</v>
      </c>
      <c r="Q5213" t="s">
        <v>108</v>
      </c>
      <c r="R5213" t="s">
        <v>198</v>
      </c>
      <c r="S5213" t="s">
        <v>198</v>
      </c>
      <c r="T5213" t="s">
        <v>104</v>
      </c>
      <c r="U5213" t="s">
        <v>207</v>
      </c>
      <c r="V5213" t="s">
        <v>99</v>
      </c>
      <c r="W5213">
        <v>1090</v>
      </c>
      <c r="X5213" t="s">
        <v>69</v>
      </c>
      <c r="Y5213" t="s">
        <v>121</v>
      </c>
      <c r="Z5213" t="s">
        <v>123</v>
      </c>
      <c r="AA5213" t="s">
        <v>141</v>
      </c>
      <c r="AB5213" t="s">
        <v>141</v>
      </c>
      <c r="AC5213" t="s">
        <v>136</v>
      </c>
      <c r="AD5213" t="s">
        <v>198</v>
      </c>
      <c r="AE5213" t="s">
        <v>99</v>
      </c>
      <c r="AF5213" t="s">
        <v>99</v>
      </c>
      <c r="AG5213">
        <v>1090</v>
      </c>
      <c r="AH5213" t="s">
        <v>780</v>
      </c>
      <c r="AI5213" t="s">
        <v>136</v>
      </c>
      <c r="AJ5213" t="s">
        <v>100</v>
      </c>
      <c r="AK5213" t="s">
        <v>207</v>
      </c>
      <c r="AL5213" t="s">
        <v>207</v>
      </c>
      <c r="AM5213" t="s">
        <v>104</v>
      </c>
      <c r="AN5213" t="s">
        <v>104</v>
      </c>
      <c r="AO5213" t="s">
        <v>136</v>
      </c>
      <c r="AP5213" t="s">
        <v>99</v>
      </c>
      <c r="AQ5213">
        <v>1090</v>
      </c>
      <c r="AR5213" t="s">
        <v>779</v>
      </c>
      <c r="AS5213" t="s">
        <v>100</v>
      </c>
      <c r="AT5213" t="s">
        <v>121</v>
      </c>
      <c r="AU5213" t="s">
        <v>132</v>
      </c>
      <c r="AV5213" t="s">
        <v>198</v>
      </c>
      <c r="AW5213" t="s">
        <v>207</v>
      </c>
      <c r="AX5213" t="s">
        <v>104</v>
      </c>
      <c r="AY5213" t="s">
        <v>99</v>
      </c>
      <c r="AZ5213" t="s">
        <v>99</v>
      </c>
    </row>
    <row r="5214" spans="1:52" x14ac:dyDescent="0.3">
      <c r="A5214" t="s">
        <v>33</v>
      </c>
      <c r="B5214" t="s">
        <v>390</v>
      </c>
      <c r="C5214">
        <v>708</v>
      </c>
      <c r="D5214" t="s">
        <v>1245</v>
      </c>
      <c r="E5214" t="s">
        <v>120</v>
      </c>
      <c r="F5214" t="s">
        <v>325</v>
      </c>
      <c r="G5214" t="s">
        <v>684</v>
      </c>
      <c r="H5214" t="s">
        <v>332</v>
      </c>
      <c r="I5214" t="s">
        <v>107</v>
      </c>
      <c r="J5214" t="s">
        <v>141</v>
      </c>
      <c r="K5214" t="s">
        <v>449</v>
      </c>
      <c r="L5214" t="s">
        <v>207</v>
      </c>
      <c r="M5214">
        <v>708</v>
      </c>
      <c r="N5214" t="s">
        <v>69</v>
      </c>
      <c r="O5214" t="s">
        <v>127</v>
      </c>
      <c r="P5214" t="s">
        <v>115</v>
      </c>
      <c r="Q5214" t="s">
        <v>114</v>
      </c>
      <c r="R5214" t="s">
        <v>207</v>
      </c>
      <c r="S5214" t="s">
        <v>141</v>
      </c>
      <c r="T5214" t="s">
        <v>99</v>
      </c>
      <c r="U5214" t="s">
        <v>141</v>
      </c>
      <c r="V5214" t="s">
        <v>99</v>
      </c>
      <c r="W5214">
        <v>708</v>
      </c>
      <c r="X5214" t="s">
        <v>237</v>
      </c>
      <c r="Y5214" t="s">
        <v>100</v>
      </c>
      <c r="Z5214" t="s">
        <v>132</v>
      </c>
      <c r="AA5214" t="s">
        <v>115</v>
      </c>
      <c r="AB5214" t="s">
        <v>207</v>
      </c>
      <c r="AC5214" t="s">
        <v>136</v>
      </c>
      <c r="AD5214" t="s">
        <v>115</v>
      </c>
      <c r="AE5214" t="s">
        <v>104</v>
      </c>
      <c r="AF5214" t="s">
        <v>99</v>
      </c>
      <c r="AG5214">
        <v>708</v>
      </c>
      <c r="AH5214" t="s">
        <v>1022</v>
      </c>
      <c r="AI5214" t="s">
        <v>198</v>
      </c>
      <c r="AJ5214" t="s">
        <v>198</v>
      </c>
      <c r="AK5214" t="s">
        <v>136</v>
      </c>
      <c r="AL5214" t="s">
        <v>99</v>
      </c>
      <c r="AM5214" t="s">
        <v>99</v>
      </c>
      <c r="AN5214" t="s">
        <v>99</v>
      </c>
      <c r="AO5214" t="s">
        <v>104</v>
      </c>
      <c r="AP5214" t="s">
        <v>99</v>
      </c>
      <c r="AQ5214">
        <v>708</v>
      </c>
      <c r="AR5214" t="s">
        <v>776</v>
      </c>
      <c r="AS5214" t="s">
        <v>100</v>
      </c>
      <c r="AT5214" t="s">
        <v>141</v>
      </c>
      <c r="AU5214" t="s">
        <v>108</v>
      </c>
      <c r="AV5214" t="s">
        <v>207</v>
      </c>
      <c r="AW5214" t="s">
        <v>207</v>
      </c>
      <c r="AX5214" t="s">
        <v>136</v>
      </c>
      <c r="AY5214" t="s">
        <v>99</v>
      </c>
      <c r="AZ5214" t="s">
        <v>99</v>
      </c>
    </row>
    <row r="5215" spans="1:52" x14ac:dyDescent="0.3">
      <c r="A5215" t="s">
        <v>33</v>
      </c>
      <c r="B5215" t="s">
        <v>365</v>
      </c>
      <c r="C5215">
        <v>139</v>
      </c>
      <c r="D5215" t="s">
        <v>458</v>
      </c>
      <c r="E5215" t="s">
        <v>127</v>
      </c>
      <c r="F5215" t="s">
        <v>115</v>
      </c>
      <c r="G5215" t="s">
        <v>215</v>
      </c>
      <c r="H5215" t="s">
        <v>129</v>
      </c>
      <c r="I5215" t="s">
        <v>99</v>
      </c>
      <c r="J5215" t="s">
        <v>99</v>
      </c>
      <c r="K5215" t="s">
        <v>481</v>
      </c>
      <c r="L5215" t="s">
        <v>99</v>
      </c>
      <c r="M5215">
        <v>139</v>
      </c>
      <c r="N5215" t="s">
        <v>780</v>
      </c>
      <c r="O5215" t="s">
        <v>99</v>
      </c>
      <c r="P5215" t="s">
        <v>151</v>
      </c>
      <c r="Q5215" t="s">
        <v>115</v>
      </c>
      <c r="R5215" t="s">
        <v>99</v>
      </c>
      <c r="S5215" t="s">
        <v>99</v>
      </c>
      <c r="T5215" t="s">
        <v>99</v>
      </c>
      <c r="U5215" t="s">
        <v>99</v>
      </c>
      <c r="V5215" t="s">
        <v>99</v>
      </c>
      <c r="W5215">
        <v>139</v>
      </c>
      <c r="X5215" t="s">
        <v>780</v>
      </c>
      <c r="Y5215" t="s">
        <v>99</v>
      </c>
      <c r="Z5215" t="s">
        <v>108</v>
      </c>
      <c r="AA5215" t="s">
        <v>115</v>
      </c>
      <c r="AB5215" t="s">
        <v>99</v>
      </c>
      <c r="AC5215" t="s">
        <v>99</v>
      </c>
      <c r="AD5215" t="s">
        <v>100</v>
      </c>
      <c r="AE5215" t="s">
        <v>99</v>
      </c>
      <c r="AF5215" t="s">
        <v>99</v>
      </c>
      <c r="AG5215">
        <v>139</v>
      </c>
      <c r="AH5215" t="s">
        <v>993</v>
      </c>
      <c r="AI5215" t="s">
        <v>99</v>
      </c>
      <c r="AJ5215" t="s">
        <v>382</v>
      </c>
      <c r="AK5215" t="s">
        <v>99</v>
      </c>
      <c r="AL5215" t="s">
        <v>99</v>
      </c>
      <c r="AM5215" t="s">
        <v>99</v>
      </c>
      <c r="AN5215" t="s">
        <v>99</v>
      </c>
      <c r="AO5215" t="s">
        <v>99</v>
      </c>
      <c r="AP5215" t="s">
        <v>99</v>
      </c>
      <c r="AQ5215">
        <v>139</v>
      </c>
      <c r="AR5215" t="s">
        <v>1026</v>
      </c>
      <c r="AS5215" t="s">
        <v>108</v>
      </c>
      <c r="AT5215" t="s">
        <v>108</v>
      </c>
      <c r="AU5215" t="s">
        <v>99</v>
      </c>
      <c r="AV5215" t="s">
        <v>99</v>
      </c>
      <c r="AW5215" t="s">
        <v>99</v>
      </c>
      <c r="AX5215" t="s">
        <v>99</v>
      </c>
      <c r="AY5215" t="s">
        <v>99</v>
      </c>
      <c r="AZ5215" t="s">
        <v>99</v>
      </c>
    </row>
    <row r="5216" spans="1:52" x14ac:dyDescent="0.3">
      <c r="A5216" t="s">
        <v>49</v>
      </c>
      <c r="B5216" t="s">
        <v>389</v>
      </c>
      <c r="C5216">
        <v>8499</v>
      </c>
      <c r="D5216" t="s">
        <v>591</v>
      </c>
      <c r="E5216" t="s">
        <v>325</v>
      </c>
      <c r="F5216" t="s">
        <v>41</v>
      </c>
      <c r="G5216" t="s">
        <v>113</v>
      </c>
      <c r="H5216" t="s">
        <v>109</v>
      </c>
      <c r="I5216" t="s">
        <v>149</v>
      </c>
      <c r="J5216" t="s">
        <v>151</v>
      </c>
      <c r="K5216" t="s">
        <v>687</v>
      </c>
      <c r="L5216" t="s">
        <v>115</v>
      </c>
      <c r="M5216">
        <v>8499</v>
      </c>
      <c r="N5216" t="s">
        <v>877</v>
      </c>
      <c r="O5216" t="s">
        <v>434</v>
      </c>
      <c r="P5216" t="s">
        <v>117</v>
      </c>
      <c r="Q5216" t="s">
        <v>151</v>
      </c>
      <c r="R5216" t="s">
        <v>108</v>
      </c>
      <c r="S5216" t="s">
        <v>141</v>
      </c>
      <c r="T5216" t="s">
        <v>104</v>
      </c>
      <c r="U5216" t="s">
        <v>114</v>
      </c>
      <c r="V5216" t="s">
        <v>104</v>
      </c>
      <c r="W5216">
        <v>8499</v>
      </c>
      <c r="X5216" t="s">
        <v>858</v>
      </c>
      <c r="Y5216" t="s">
        <v>117</v>
      </c>
      <c r="Z5216" t="s">
        <v>138</v>
      </c>
      <c r="AA5216" t="s">
        <v>117</v>
      </c>
      <c r="AB5216" t="s">
        <v>101</v>
      </c>
      <c r="AC5216" t="s">
        <v>115</v>
      </c>
      <c r="AD5216" t="s">
        <v>128</v>
      </c>
      <c r="AE5216" t="s">
        <v>207</v>
      </c>
      <c r="AF5216" t="s">
        <v>198</v>
      </c>
      <c r="AG5216">
        <v>8499</v>
      </c>
      <c r="AH5216" t="s">
        <v>375</v>
      </c>
      <c r="AI5216" t="s">
        <v>115</v>
      </c>
      <c r="AJ5216" t="s">
        <v>121</v>
      </c>
      <c r="AK5216" t="s">
        <v>108</v>
      </c>
      <c r="AL5216" t="s">
        <v>132</v>
      </c>
      <c r="AM5216" t="s">
        <v>198</v>
      </c>
      <c r="AN5216" t="s">
        <v>104</v>
      </c>
      <c r="AO5216" t="s">
        <v>108</v>
      </c>
      <c r="AP5216" t="s">
        <v>104</v>
      </c>
      <c r="AQ5216">
        <v>8499</v>
      </c>
      <c r="AR5216" t="s">
        <v>377</v>
      </c>
      <c r="AS5216" t="s">
        <v>126</v>
      </c>
      <c r="AT5216" t="s">
        <v>117</v>
      </c>
      <c r="AU5216" t="s">
        <v>382</v>
      </c>
      <c r="AV5216" t="s">
        <v>108</v>
      </c>
      <c r="AW5216" t="s">
        <v>141</v>
      </c>
      <c r="AX5216" t="s">
        <v>111</v>
      </c>
      <c r="AY5216" t="s">
        <v>207</v>
      </c>
      <c r="AZ5216" t="s">
        <v>104</v>
      </c>
    </row>
    <row r="5217" spans="1:52" x14ac:dyDescent="0.3">
      <c r="A5217" t="s">
        <v>49</v>
      </c>
      <c r="B5217" t="s">
        <v>390</v>
      </c>
      <c r="C5217">
        <v>4134</v>
      </c>
      <c r="D5217" t="s">
        <v>910</v>
      </c>
      <c r="E5217" t="s">
        <v>149</v>
      </c>
      <c r="F5217" t="s">
        <v>113</v>
      </c>
      <c r="G5217" t="s">
        <v>160</v>
      </c>
      <c r="H5217" t="s">
        <v>277</v>
      </c>
      <c r="I5217" t="s">
        <v>154</v>
      </c>
      <c r="J5217" t="s">
        <v>126</v>
      </c>
      <c r="K5217" t="s">
        <v>355</v>
      </c>
      <c r="L5217" t="s">
        <v>136</v>
      </c>
      <c r="M5217">
        <v>4134</v>
      </c>
      <c r="N5217" t="s">
        <v>1276</v>
      </c>
      <c r="O5217" t="s">
        <v>103</v>
      </c>
      <c r="P5217" t="s">
        <v>103</v>
      </c>
      <c r="Q5217" t="s">
        <v>215</v>
      </c>
      <c r="R5217" t="s">
        <v>319</v>
      </c>
      <c r="S5217" t="s">
        <v>141</v>
      </c>
      <c r="T5217" t="s">
        <v>99</v>
      </c>
      <c r="U5217" t="s">
        <v>126</v>
      </c>
      <c r="V5217" t="s">
        <v>198</v>
      </c>
      <c r="W5217">
        <v>4134</v>
      </c>
      <c r="X5217" t="s">
        <v>219</v>
      </c>
      <c r="Y5217" t="s">
        <v>292</v>
      </c>
      <c r="Z5217" t="s">
        <v>128</v>
      </c>
      <c r="AA5217" t="s">
        <v>123</v>
      </c>
      <c r="AB5217" t="s">
        <v>115</v>
      </c>
      <c r="AC5217" t="s">
        <v>132</v>
      </c>
      <c r="AD5217" t="s">
        <v>147</v>
      </c>
      <c r="AE5217" t="s">
        <v>198</v>
      </c>
      <c r="AF5217" t="s">
        <v>198</v>
      </c>
      <c r="AG5217">
        <v>4134</v>
      </c>
      <c r="AH5217" t="s">
        <v>1026</v>
      </c>
      <c r="AI5217" t="s">
        <v>207</v>
      </c>
      <c r="AJ5217" t="s">
        <v>141</v>
      </c>
      <c r="AK5217" t="s">
        <v>136</v>
      </c>
      <c r="AL5217" t="s">
        <v>104</v>
      </c>
      <c r="AM5217" t="s">
        <v>104</v>
      </c>
      <c r="AN5217" t="s">
        <v>104</v>
      </c>
      <c r="AO5217" t="s">
        <v>207</v>
      </c>
      <c r="AP5217" t="s">
        <v>104</v>
      </c>
      <c r="AQ5217">
        <v>4134</v>
      </c>
      <c r="AR5217" t="s">
        <v>203</v>
      </c>
      <c r="AS5217" t="s">
        <v>215</v>
      </c>
      <c r="AT5217" t="s">
        <v>126</v>
      </c>
      <c r="AU5217" t="s">
        <v>121</v>
      </c>
      <c r="AV5217" t="s">
        <v>115</v>
      </c>
      <c r="AW5217" t="s">
        <v>132</v>
      </c>
      <c r="AX5217" t="s">
        <v>292</v>
      </c>
      <c r="AY5217" t="s">
        <v>99</v>
      </c>
      <c r="AZ5217" t="s">
        <v>136</v>
      </c>
    </row>
    <row r="5218" spans="1:52" x14ac:dyDescent="0.3">
      <c r="A5218" t="s">
        <v>49</v>
      </c>
      <c r="B5218" t="s">
        <v>365</v>
      </c>
      <c r="C5218">
        <v>689</v>
      </c>
      <c r="D5218" t="s">
        <v>625</v>
      </c>
      <c r="E5218" t="s">
        <v>134</v>
      </c>
      <c r="F5218" t="s">
        <v>150</v>
      </c>
      <c r="G5218" t="s">
        <v>468</v>
      </c>
      <c r="H5218" t="s">
        <v>305</v>
      </c>
      <c r="I5218" t="s">
        <v>134</v>
      </c>
      <c r="J5218" t="s">
        <v>108</v>
      </c>
      <c r="K5218" t="s">
        <v>368</v>
      </c>
      <c r="L5218" t="s">
        <v>104</v>
      </c>
      <c r="M5218">
        <v>689</v>
      </c>
      <c r="N5218" t="s">
        <v>433</v>
      </c>
      <c r="O5218" t="s">
        <v>319</v>
      </c>
      <c r="P5218" t="s">
        <v>319</v>
      </c>
      <c r="Q5218" t="s">
        <v>253</v>
      </c>
      <c r="R5218" t="s">
        <v>115</v>
      </c>
      <c r="S5218" t="s">
        <v>104</v>
      </c>
      <c r="T5218" t="s">
        <v>99</v>
      </c>
      <c r="U5218" t="s">
        <v>99</v>
      </c>
      <c r="V5218" t="s">
        <v>99</v>
      </c>
      <c r="W5218">
        <v>689</v>
      </c>
      <c r="X5218" t="s">
        <v>358</v>
      </c>
      <c r="Y5218" t="s">
        <v>114</v>
      </c>
      <c r="Z5218" t="s">
        <v>121</v>
      </c>
      <c r="AA5218" t="s">
        <v>101</v>
      </c>
      <c r="AB5218" t="s">
        <v>136</v>
      </c>
      <c r="AC5218" t="s">
        <v>136</v>
      </c>
      <c r="AD5218" t="s">
        <v>101</v>
      </c>
      <c r="AE5218" t="s">
        <v>99</v>
      </c>
      <c r="AF5218" t="s">
        <v>99</v>
      </c>
      <c r="AG5218">
        <v>689</v>
      </c>
      <c r="AH5218" t="s">
        <v>766</v>
      </c>
      <c r="AI5218" t="s">
        <v>99</v>
      </c>
      <c r="AJ5218" t="s">
        <v>101</v>
      </c>
      <c r="AK5218" t="s">
        <v>207</v>
      </c>
      <c r="AL5218" t="s">
        <v>198</v>
      </c>
      <c r="AM5218" t="s">
        <v>99</v>
      </c>
      <c r="AN5218" t="s">
        <v>104</v>
      </c>
      <c r="AO5218" t="s">
        <v>104</v>
      </c>
      <c r="AP5218" t="s">
        <v>99</v>
      </c>
      <c r="AQ5218">
        <v>689</v>
      </c>
      <c r="AR5218" t="s">
        <v>398</v>
      </c>
      <c r="AS5218" t="s">
        <v>101</v>
      </c>
      <c r="AT5218" t="s">
        <v>253</v>
      </c>
      <c r="AU5218" t="s">
        <v>141</v>
      </c>
      <c r="AV5218" t="s">
        <v>99</v>
      </c>
      <c r="AW5218" t="s">
        <v>104</v>
      </c>
      <c r="AX5218" t="s">
        <v>198</v>
      </c>
      <c r="AY5218" t="s">
        <v>99</v>
      </c>
      <c r="AZ5218" t="s">
        <v>104</v>
      </c>
    </row>
    <row r="5220" spans="1:52" x14ac:dyDescent="0.3">
      <c r="A5220" t="s">
        <v>1709</v>
      </c>
    </row>
    <row r="5221" spans="1:52" x14ac:dyDescent="0.3">
      <c r="A5221" t="s">
        <v>44</v>
      </c>
      <c r="B5221" t="s">
        <v>235</v>
      </c>
      <c r="C5221" t="s">
        <v>1653</v>
      </c>
      <c r="D5221" t="s">
        <v>1654</v>
      </c>
      <c r="E5221" t="s">
        <v>1655</v>
      </c>
      <c r="F5221" t="s">
        <v>1656</v>
      </c>
      <c r="G5221" t="s">
        <v>1657</v>
      </c>
      <c r="H5221" t="s">
        <v>1658</v>
      </c>
      <c r="I5221" t="s">
        <v>1659</v>
      </c>
      <c r="J5221" t="s">
        <v>1660</v>
      </c>
      <c r="K5221" t="s">
        <v>1661</v>
      </c>
      <c r="L5221" t="s">
        <v>1662</v>
      </c>
      <c r="M5221" t="s">
        <v>1663</v>
      </c>
      <c r="N5221" t="s">
        <v>1664</v>
      </c>
      <c r="O5221" t="s">
        <v>1665</v>
      </c>
      <c r="P5221" t="s">
        <v>1666</v>
      </c>
      <c r="Q5221" t="s">
        <v>1667</v>
      </c>
      <c r="R5221" t="s">
        <v>1668</v>
      </c>
      <c r="S5221" t="s">
        <v>1669</v>
      </c>
      <c r="T5221" t="s">
        <v>1671</v>
      </c>
      <c r="U5221" t="s">
        <v>1670</v>
      </c>
      <c r="V5221" t="s">
        <v>1672</v>
      </c>
      <c r="W5221" t="s">
        <v>1673</v>
      </c>
      <c r="X5221" t="s">
        <v>1674</v>
      </c>
      <c r="Y5221" t="s">
        <v>1675</v>
      </c>
      <c r="Z5221" t="s">
        <v>1676</v>
      </c>
      <c r="AA5221" t="s">
        <v>1677</v>
      </c>
      <c r="AB5221" t="s">
        <v>1678</v>
      </c>
      <c r="AC5221" t="s">
        <v>1679</v>
      </c>
      <c r="AD5221" t="s">
        <v>1680</v>
      </c>
      <c r="AE5221" t="s">
        <v>1681</v>
      </c>
      <c r="AF5221" t="s">
        <v>1682</v>
      </c>
      <c r="AG5221" t="s">
        <v>1683</v>
      </c>
      <c r="AH5221" t="s">
        <v>1684</v>
      </c>
      <c r="AI5221" t="s">
        <v>1685</v>
      </c>
      <c r="AJ5221" t="s">
        <v>1686</v>
      </c>
      <c r="AK5221" t="s">
        <v>1687</v>
      </c>
      <c r="AL5221" t="s">
        <v>1688</v>
      </c>
      <c r="AM5221" t="s">
        <v>1689</v>
      </c>
      <c r="AN5221" t="s">
        <v>1691</v>
      </c>
      <c r="AO5221" t="s">
        <v>1690</v>
      </c>
      <c r="AP5221" t="s">
        <v>1692</v>
      </c>
      <c r="AQ5221" t="s">
        <v>1693</v>
      </c>
      <c r="AR5221" t="s">
        <v>1694</v>
      </c>
      <c r="AS5221" t="s">
        <v>1695</v>
      </c>
      <c r="AT5221" t="s">
        <v>1696</v>
      </c>
      <c r="AU5221" t="s">
        <v>1697</v>
      </c>
      <c r="AV5221" t="s">
        <v>1699</v>
      </c>
      <c r="AW5221" t="s">
        <v>1698</v>
      </c>
      <c r="AX5221" t="s">
        <v>1700</v>
      </c>
      <c r="AY5221" t="s">
        <v>1701</v>
      </c>
      <c r="AZ5221" t="s">
        <v>1702</v>
      </c>
    </row>
    <row r="5222" spans="1:52" x14ac:dyDescent="0.3">
      <c r="A5222" t="s">
        <v>35</v>
      </c>
      <c r="B5222" t="s">
        <v>236</v>
      </c>
      <c r="C5222">
        <v>1610</v>
      </c>
      <c r="D5222" t="s">
        <v>936</v>
      </c>
      <c r="E5222" t="s">
        <v>124</v>
      </c>
      <c r="F5222" t="s">
        <v>716</v>
      </c>
      <c r="G5222" t="s">
        <v>722</v>
      </c>
      <c r="H5222" t="s">
        <v>109</v>
      </c>
      <c r="I5222" t="s">
        <v>118</v>
      </c>
      <c r="J5222" t="s">
        <v>215</v>
      </c>
      <c r="K5222" t="s">
        <v>444</v>
      </c>
      <c r="L5222" t="s">
        <v>198</v>
      </c>
      <c r="M5222">
        <v>1610</v>
      </c>
      <c r="N5222" t="s">
        <v>293</v>
      </c>
      <c r="O5222" t="s">
        <v>155</v>
      </c>
      <c r="P5222" t="s">
        <v>316</v>
      </c>
      <c r="Q5222" t="s">
        <v>292</v>
      </c>
      <c r="R5222" t="s">
        <v>253</v>
      </c>
      <c r="S5222" t="s">
        <v>141</v>
      </c>
      <c r="T5222" t="s">
        <v>253</v>
      </c>
      <c r="U5222" t="s">
        <v>99</v>
      </c>
      <c r="V5222" t="s">
        <v>104</v>
      </c>
      <c r="W5222">
        <v>1610</v>
      </c>
      <c r="X5222" t="s">
        <v>447</v>
      </c>
      <c r="Y5222" t="s">
        <v>134</v>
      </c>
      <c r="Z5222" t="s">
        <v>120</v>
      </c>
      <c r="AA5222" t="s">
        <v>268</v>
      </c>
      <c r="AB5222" t="s">
        <v>121</v>
      </c>
      <c r="AC5222" t="s">
        <v>198</v>
      </c>
      <c r="AD5222" t="s">
        <v>126</v>
      </c>
      <c r="AE5222" t="s">
        <v>104</v>
      </c>
      <c r="AF5222" t="s">
        <v>198</v>
      </c>
      <c r="AG5222">
        <v>1610</v>
      </c>
      <c r="AH5222" t="s">
        <v>776</v>
      </c>
      <c r="AI5222" t="s">
        <v>141</v>
      </c>
      <c r="AJ5222" t="s">
        <v>141</v>
      </c>
      <c r="AK5222" t="s">
        <v>121</v>
      </c>
      <c r="AL5222" t="s">
        <v>253</v>
      </c>
      <c r="AM5222" t="s">
        <v>198</v>
      </c>
      <c r="AN5222" t="s">
        <v>207</v>
      </c>
      <c r="AO5222" t="s">
        <v>99</v>
      </c>
      <c r="AP5222" t="s">
        <v>99</v>
      </c>
      <c r="AQ5222">
        <v>1610</v>
      </c>
      <c r="AR5222" t="s">
        <v>73</v>
      </c>
      <c r="AS5222" t="s">
        <v>292</v>
      </c>
      <c r="AT5222" t="s">
        <v>147</v>
      </c>
      <c r="AU5222" t="s">
        <v>101</v>
      </c>
      <c r="AV5222" t="s">
        <v>104</v>
      </c>
      <c r="AW5222" t="s">
        <v>115</v>
      </c>
      <c r="AX5222" t="s">
        <v>101</v>
      </c>
      <c r="AY5222" t="s">
        <v>198</v>
      </c>
      <c r="AZ5222" t="s">
        <v>104</v>
      </c>
    </row>
    <row r="5223" spans="1:52" x14ac:dyDescent="0.3">
      <c r="A5223" t="s">
        <v>35</v>
      </c>
      <c r="B5223" t="s">
        <v>238</v>
      </c>
      <c r="C5223">
        <v>1535</v>
      </c>
      <c r="D5223" t="s">
        <v>538</v>
      </c>
      <c r="E5223" t="s">
        <v>135</v>
      </c>
      <c r="F5223" t="s">
        <v>78</v>
      </c>
      <c r="G5223" t="s">
        <v>353</v>
      </c>
      <c r="H5223" t="s">
        <v>160</v>
      </c>
      <c r="I5223" t="s">
        <v>129</v>
      </c>
      <c r="J5223" t="s">
        <v>319</v>
      </c>
      <c r="K5223" t="s">
        <v>743</v>
      </c>
      <c r="L5223" t="s">
        <v>100</v>
      </c>
      <c r="M5223">
        <v>1535</v>
      </c>
      <c r="N5223" t="s">
        <v>858</v>
      </c>
      <c r="O5223" t="s">
        <v>712</v>
      </c>
      <c r="P5223" t="s">
        <v>111</v>
      </c>
      <c r="Q5223" t="s">
        <v>123</v>
      </c>
      <c r="R5223" t="s">
        <v>151</v>
      </c>
      <c r="S5223" t="s">
        <v>253</v>
      </c>
      <c r="T5223" t="s">
        <v>151</v>
      </c>
      <c r="U5223" t="s">
        <v>99</v>
      </c>
      <c r="V5223" t="s">
        <v>104</v>
      </c>
      <c r="W5223">
        <v>1535</v>
      </c>
      <c r="X5223" t="s">
        <v>908</v>
      </c>
      <c r="Y5223" t="s">
        <v>316</v>
      </c>
      <c r="Z5223" t="s">
        <v>123</v>
      </c>
      <c r="AA5223" t="s">
        <v>111</v>
      </c>
      <c r="AB5223" t="s">
        <v>101</v>
      </c>
      <c r="AC5223" t="s">
        <v>100</v>
      </c>
      <c r="AD5223" t="s">
        <v>160</v>
      </c>
      <c r="AE5223" t="s">
        <v>198</v>
      </c>
      <c r="AF5223" t="s">
        <v>104</v>
      </c>
      <c r="AG5223">
        <v>1535</v>
      </c>
      <c r="AH5223" t="s">
        <v>505</v>
      </c>
      <c r="AI5223" t="s">
        <v>253</v>
      </c>
      <c r="AJ5223" t="s">
        <v>115</v>
      </c>
      <c r="AK5223" t="s">
        <v>108</v>
      </c>
      <c r="AL5223" t="s">
        <v>114</v>
      </c>
      <c r="AM5223" t="s">
        <v>198</v>
      </c>
      <c r="AN5223" t="s">
        <v>215</v>
      </c>
      <c r="AO5223" t="s">
        <v>104</v>
      </c>
      <c r="AP5223" t="s">
        <v>198</v>
      </c>
      <c r="AQ5223">
        <v>1535</v>
      </c>
      <c r="AR5223" t="s">
        <v>263</v>
      </c>
      <c r="AS5223" t="s">
        <v>123</v>
      </c>
      <c r="AT5223" t="s">
        <v>127</v>
      </c>
      <c r="AU5223" t="s">
        <v>319</v>
      </c>
      <c r="AV5223" t="s">
        <v>253</v>
      </c>
      <c r="AW5223" t="s">
        <v>215</v>
      </c>
      <c r="AX5223" t="s">
        <v>204</v>
      </c>
      <c r="AY5223" t="s">
        <v>253</v>
      </c>
      <c r="AZ5223" t="s">
        <v>207</v>
      </c>
    </row>
    <row r="5224" spans="1:52" x14ac:dyDescent="0.3">
      <c r="A5224" t="s">
        <v>37</v>
      </c>
      <c r="B5224" t="s">
        <v>236</v>
      </c>
      <c r="C5224">
        <v>2211</v>
      </c>
      <c r="D5224" t="s">
        <v>588</v>
      </c>
      <c r="E5224" t="s">
        <v>122</v>
      </c>
      <c r="F5224" t="s">
        <v>125</v>
      </c>
      <c r="G5224" t="s">
        <v>716</v>
      </c>
      <c r="H5224" t="s">
        <v>363</v>
      </c>
      <c r="I5224" t="s">
        <v>468</v>
      </c>
      <c r="J5224" t="s">
        <v>105</v>
      </c>
      <c r="K5224" t="s">
        <v>321</v>
      </c>
      <c r="L5224" t="s">
        <v>104</v>
      </c>
      <c r="M5224">
        <v>2211</v>
      </c>
      <c r="N5224" t="s">
        <v>889</v>
      </c>
      <c r="O5224" t="s">
        <v>117</v>
      </c>
      <c r="P5224" t="s">
        <v>107</v>
      </c>
      <c r="Q5224" t="s">
        <v>127</v>
      </c>
      <c r="R5224" t="s">
        <v>382</v>
      </c>
      <c r="S5224" t="s">
        <v>253</v>
      </c>
      <c r="T5224" t="s">
        <v>141</v>
      </c>
      <c r="U5224" t="s">
        <v>207</v>
      </c>
      <c r="V5224" t="s">
        <v>104</v>
      </c>
      <c r="W5224">
        <v>2211</v>
      </c>
      <c r="X5224" t="s">
        <v>448</v>
      </c>
      <c r="Y5224" t="s">
        <v>117</v>
      </c>
      <c r="Z5224" t="s">
        <v>155</v>
      </c>
      <c r="AA5224" t="s">
        <v>147</v>
      </c>
      <c r="AB5224" t="s">
        <v>100</v>
      </c>
      <c r="AC5224" t="s">
        <v>132</v>
      </c>
      <c r="AD5224" t="s">
        <v>132</v>
      </c>
      <c r="AE5224" t="s">
        <v>99</v>
      </c>
      <c r="AF5224" t="s">
        <v>198</v>
      </c>
      <c r="AG5224">
        <v>2211</v>
      </c>
      <c r="AH5224" t="s">
        <v>999</v>
      </c>
      <c r="AI5224" t="s">
        <v>104</v>
      </c>
      <c r="AJ5224" t="s">
        <v>141</v>
      </c>
      <c r="AK5224" t="s">
        <v>104</v>
      </c>
      <c r="AL5224" t="s">
        <v>136</v>
      </c>
      <c r="AM5224" t="s">
        <v>104</v>
      </c>
      <c r="AN5224" t="s">
        <v>104</v>
      </c>
      <c r="AO5224" t="s">
        <v>99</v>
      </c>
      <c r="AP5224" t="s">
        <v>99</v>
      </c>
      <c r="AQ5224">
        <v>2211</v>
      </c>
      <c r="AR5224" t="s">
        <v>771</v>
      </c>
      <c r="AS5224" t="s">
        <v>215</v>
      </c>
      <c r="AT5224" t="s">
        <v>382</v>
      </c>
      <c r="AU5224" t="s">
        <v>114</v>
      </c>
      <c r="AV5224" t="s">
        <v>141</v>
      </c>
      <c r="AW5224" t="s">
        <v>132</v>
      </c>
      <c r="AX5224" t="s">
        <v>115</v>
      </c>
      <c r="AY5224" t="s">
        <v>104</v>
      </c>
      <c r="AZ5224" t="s">
        <v>104</v>
      </c>
    </row>
    <row r="5225" spans="1:52" x14ac:dyDescent="0.3">
      <c r="A5225" t="s">
        <v>37</v>
      </c>
      <c r="B5225" t="s">
        <v>238</v>
      </c>
      <c r="C5225">
        <v>1644</v>
      </c>
      <c r="D5225" t="s">
        <v>1706</v>
      </c>
      <c r="E5225" t="s">
        <v>663</v>
      </c>
      <c r="F5225" t="s">
        <v>72</v>
      </c>
      <c r="G5225" t="s">
        <v>299</v>
      </c>
      <c r="H5225" t="s">
        <v>363</v>
      </c>
      <c r="I5225" t="s">
        <v>68</v>
      </c>
      <c r="J5225" t="s">
        <v>128</v>
      </c>
      <c r="K5225" t="s">
        <v>41</v>
      </c>
      <c r="L5225" t="s">
        <v>198</v>
      </c>
      <c r="M5225">
        <v>1644</v>
      </c>
      <c r="N5225" t="s">
        <v>329</v>
      </c>
      <c r="O5225" t="s">
        <v>151</v>
      </c>
      <c r="P5225" t="s">
        <v>215</v>
      </c>
      <c r="Q5225" t="s">
        <v>126</v>
      </c>
      <c r="R5225" t="s">
        <v>108</v>
      </c>
      <c r="S5225" t="s">
        <v>141</v>
      </c>
      <c r="T5225" t="s">
        <v>136</v>
      </c>
      <c r="U5225" t="s">
        <v>99</v>
      </c>
      <c r="V5225" t="s">
        <v>198</v>
      </c>
      <c r="W5225">
        <v>1644</v>
      </c>
      <c r="X5225" t="s">
        <v>293</v>
      </c>
      <c r="Y5225" t="s">
        <v>103</v>
      </c>
      <c r="Z5225" t="s">
        <v>107</v>
      </c>
      <c r="AA5225" t="s">
        <v>292</v>
      </c>
      <c r="AB5225" t="s">
        <v>114</v>
      </c>
      <c r="AC5225" t="s">
        <v>207</v>
      </c>
      <c r="AD5225" t="s">
        <v>115</v>
      </c>
      <c r="AE5225" t="s">
        <v>104</v>
      </c>
      <c r="AF5225" t="s">
        <v>104</v>
      </c>
      <c r="AG5225">
        <v>1644</v>
      </c>
      <c r="AH5225" t="s">
        <v>202</v>
      </c>
      <c r="AI5225" t="s">
        <v>115</v>
      </c>
      <c r="AJ5225" t="s">
        <v>136</v>
      </c>
      <c r="AK5225" t="s">
        <v>207</v>
      </c>
      <c r="AL5225" t="s">
        <v>141</v>
      </c>
      <c r="AM5225" t="s">
        <v>104</v>
      </c>
      <c r="AN5225" t="s">
        <v>198</v>
      </c>
      <c r="AO5225" t="s">
        <v>99</v>
      </c>
      <c r="AP5225" t="s">
        <v>99</v>
      </c>
      <c r="AQ5225">
        <v>1644</v>
      </c>
      <c r="AR5225" t="s">
        <v>413</v>
      </c>
      <c r="AS5225" t="s">
        <v>215</v>
      </c>
      <c r="AT5225" t="s">
        <v>100</v>
      </c>
      <c r="AU5225" t="s">
        <v>114</v>
      </c>
      <c r="AV5225" t="s">
        <v>141</v>
      </c>
      <c r="AW5225" t="s">
        <v>198</v>
      </c>
      <c r="AX5225" t="s">
        <v>207</v>
      </c>
      <c r="AY5225" t="s">
        <v>99</v>
      </c>
      <c r="AZ5225" t="s">
        <v>198</v>
      </c>
    </row>
    <row r="5226" spans="1:52" x14ac:dyDescent="0.3">
      <c r="A5226" t="s">
        <v>36</v>
      </c>
      <c r="B5226" t="s">
        <v>236</v>
      </c>
      <c r="C5226">
        <v>1566</v>
      </c>
      <c r="D5226" t="s">
        <v>565</v>
      </c>
      <c r="E5226" t="s">
        <v>110</v>
      </c>
      <c r="F5226" t="s">
        <v>296</v>
      </c>
      <c r="G5226" t="s">
        <v>184</v>
      </c>
      <c r="H5226" t="s">
        <v>248</v>
      </c>
      <c r="I5226" t="s">
        <v>328</v>
      </c>
      <c r="J5226" t="s">
        <v>147</v>
      </c>
      <c r="K5226" t="s">
        <v>689</v>
      </c>
      <c r="L5226" t="s">
        <v>198</v>
      </c>
      <c r="M5226">
        <v>1566</v>
      </c>
      <c r="N5226" t="s">
        <v>469</v>
      </c>
      <c r="O5226" t="s">
        <v>68</v>
      </c>
      <c r="P5226" t="s">
        <v>434</v>
      </c>
      <c r="Q5226" t="s">
        <v>110</v>
      </c>
      <c r="R5226" t="s">
        <v>121</v>
      </c>
      <c r="S5226" t="s">
        <v>121</v>
      </c>
      <c r="T5226" t="s">
        <v>114</v>
      </c>
      <c r="U5226" t="s">
        <v>104</v>
      </c>
      <c r="V5226" t="s">
        <v>99</v>
      </c>
      <c r="W5226">
        <v>1566</v>
      </c>
      <c r="X5226" t="s">
        <v>396</v>
      </c>
      <c r="Y5226" t="s">
        <v>126</v>
      </c>
      <c r="Z5226" t="s">
        <v>434</v>
      </c>
      <c r="AA5226" t="s">
        <v>332</v>
      </c>
      <c r="AB5226" t="s">
        <v>215</v>
      </c>
      <c r="AC5226" t="s">
        <v>117</v>
      </c>
      <c r="AD5226" t="s">
        <v>111</v>
      </c>
      <c r="AE5226" t="s">
        <v>99</v>
      </c>
      <c r="AF5226" t="s">
        <v>382</v>
      </c>
      <c r="AG5226">
        <v>1566</v>
      </c>
      <c r="AH5226" t="s">
        <v>334</v>
      </c>
      <c r="AI5226" t="s">
        <v>136</v>
      </c>
      <c r="AJ5226" t="s">
        <v>147</v>
      </c>
      <c r="AK5226" t="s">
        <v>253</v>
      </c>
      <c r="AL5226" t="s">
        <v>114</v>
      </c>
      <c r="AM5226" t="s">
        <v>104</v>
      </c>
      <c r="AN5226" t="s">
        <v>198</v>
      </c>
      <c r="AO5226" t="s">
        <v>115</v>
      </c>
      <c r="AP5226" t="s">
        <v>198</v>
      </c>
      <c r="AQ5226">
        <v>1566</v>
      </c>
      <c r="AR5226" t="s">
        <v>762</v>
      </c>
      <c r="AS5226" t="s">
        <v>103</v>
      </c>
      <c r="AT5226" t="s">
        <v>127</v>
      </c>
      <c r="AU5226" t="s">
        <v>123</v>
      </c>
      <c r="AV5226" t="s">
        <v>151</v>
      </c>
      <c r="AW5226" t="s">
        <v>292</v>
      </c>
      <c r="AX5226" t="s">
        <v>123</v>
      </c>
      <c r="AY5226" t="s">
        <v>207</v>
      </c>
      <c r="AZ5226" t="s">
        <v>99</v>
      </c>
    </row>
    <row r="5227" spans="1:52" x14ac:dyDescent="0.3">
      <c r="A5227" t="s">
        <v>36</v>
      </c>
      <c r="B5227" t="s">
        <v>238</v>
      </c>
      <c r="C5227">
        <v>739</v>
      </c>
      <c r="D5227" t="s">
        <v>943</v>
      </c>
      <c r="E5227" t="s">
        <v>118</v>
      </c>
      <c r="F5227" t="s">
        <v>470</v>
      </c>
      <c r="G5227" t="s">
        <v>122</v>
      </c>
      <c r="H5227" t="s">
        <v>412</v>
      </c>
      <c r="I5227" t="s">
        <v>70</v>
      </c>
      <c r="J5227" t="s">
        <v>268</v>
      </c>
      <c r="K5227" t="s">
        <v>406</v>
      </c>
      <c r="L5227" t="s">
        <v>198</v>
      </c>
      <c r="M5227">
        <v>739</v>
      </c>
      <c r="N5227" t="s">
        <v>1282</v>
      </c>
      <c r="O5227" t="s">
        <v>105</v>
      </c>
      <c r="P5227" t="s">
        <v>138</v>
      </c>
      <c r="Q5227" t="s">
        <v>123</v>
      </c>
      <c r="R5227" t="s">
        <v>207</v>
      </c>
      <c r="S5227" t="s">
        <v>198</v>
      </c>
      <c r="T5227" t="s">
        <v>215</v>
      </c>
      <c r="U5227" t="s">
        <v>104</v>
      </c>
      <c r="V5227" t="s">
        <v>99</v>
      </c>
      <c r="W5227">
        <v>739</v>
      </c>
      <c r="X5227" t="s">
        <v>908</v>
      </c>
      <c r="Y5227" t="s">
        <v>123</v>
      </c>
      <c r="Z5227" t="s">
        <v>328</v>
      </c>
      <c r="AA5227" t="s">
        <v>316</v>
      </c>
      <c r="AB5227" t="s">
        <v>128</v>
      </c>
      <c r="AC5227" t="s">
        <v>382</v>
      </c>
      <c r="AD5227" t="s">
        <v>127</v>
      </c>
      <c r="AE5227" t="s">
        <v>99</v>
      </c>
      <c r="AF5227" t="s">
        <v>198</v>
      </c>
      <c r="AG5227">
        <v>739</v>
      </c>
      <c r="AH5227" t="s">
        <v>326</v>
      </c>
      <c r="AI5227" t="s">
        <v>114</v>
      </c>
      <c r="AJ5227" t="s">
        <v>382</v>
      </c>
      <c r="AK5227" t="s">
        <v>100</v>
      </c>
      <c r="AL5227" t="s">
        <v>126</v>
      </c>
      <c r="AM5227" t="s">
        <v>141</v>
      </c>
      <c r="AN5227" t="s">
        <v>207</v>
      </c>
      <c r="AO5227" t="s">
        <v>136</v>
      </c>
      <c r="AP5227" t="s">
        <v>136</v>
      </c>
      <c r="AQ5227">
        <v>739</v>
      </c>
      <c r="AR5227" t="s">
        <v>205</v>
      </c>
      <c r="AS5227" t="s">
        <v>126</v>
      </c>
      <c r="AT5227" t="s">
        <v>412</v>
      </c>
      <c r="AU5227" t="s">
        <v>157</v>
      </c>
      <c r="AV5227" t="s">
        <v>319</v>
      </c>
      <c r="AW5227" t="s">
        <v>114</v>
      </c>
      <c r="AX5227" t="s">
        <v>101</v>
      </c>
      <c r="AY5227" t="s">
        <v>198</v>
      </c>
      <c r="AZ5227" t="s">
        <v>104</v>
      </c>
    </row>
    <row r="5228" spans="1:52" x14ac:dyDescent="0.3">
      <c r="A5228" t="s">
        <v>34</v>
      </c>
      <c r="B5228" t="s">
        <v>236</v>
      </c>
      <c r="C5228">
        <v>717</v>
      </c>
      <c r="D5228" t="s">
        <v>943</v>
      </c>
      <c r="E5228" t="s">
        <v>130</v>
      </c>
      <c r="F5228" t="s">
        <v>233</v>
      </c>
      <c r="G5228" t="s">
        <v>299</v>
      </c>
      <c r="H5228" t="s">
        <v>74</v>
      </c>
      <c r="I5228" t="s">
        <v>138</v>
      </c>
      <c r="J5228" t="s">
        <v>108</v>
      </c>
      <c r="K5228" t="s">
        <v>373</v>
      </c>
      <c r="L5228" t="s">
        <v>215</v>
      </c>
      <c r="M5228">
        <v>717</v>
      </c>
      <c r="N5228" t="s">
        <v>769</v>
      </c>
      <c r="O5228" t="s">
        <v>74</v>
      </c>
      <c r="P5228" t="s">
        <v>332</v>
      </c>
      <c r="Q5228" t="s">
        <v>292</v>
      </c>
      <c r="R5228" t="s">
        <v>108</v>
      </c>
      <c r="S5228" t="s">
        <v>141</v>
      </c>
      <c r="T5228" t="s">
        <v>215</v>
      </c>
      <c r="U5228" t="s">
        <v>99</v>
      </c>
      <c r="V5228" t="s">
        <v>99</v>
      </c>
      <c r="W5228">
        <v>717</v>
      </c>
      <c r="X5228" t="s">
        <v>1135</v>
      </c>
      <c r="Y5228" t="s">
        <v>127</v>
      </c>
      <c r="Z5228" t="s">
        <v>474</v>
      </c>
      <c r="AA5228" t="s">
        <v>151</v>
      </c>
      <c r="AB5228" t="s">
        <v>319</v>
      </c>
      <c r="AC5228" t="s">
        <v>104</v>
      </c>
      <c r="AD5228" t="s">
        <v>130</v>
      </c>
      <c r="AE5228" t="s">
        <v>108</v>
      </c>
      <c r="AF5228" t="s">
        <v>99</v>
      </c>
      <c r="AG5228">
        <v>717</v>
      </c>
      <c r="AH5228" t="s">
        <v>237</v>
      </c>
      <c r="AI5228" t="s">
        <v>207</v>
      </c>
      <c r="AJ5228" t="s">
        <v>132</v>
      </c>
      <c r="AK5228" t="s">
        <v>115</v>
      </c>
      <c r="AL5228" t="s">
        <v>207</v>
      </c>
      <c r="AM5228" t="s">
        <v>99</v>
      </c>
      <c r="AN5228" t="s">
        <v>121</v>
      </c>
      <c r="AO5228" t="s">
        <v>136</v>
      </c>
      <c r="AP5228" t="s">
        <v>136</v>
      </c>
      <c r="AQ5228">
        <v>717</v>
      </c>
      <c r="AR5228" t="s">
        <v>232</v>
      </c>
      <c r="AS5228" t="s">
        <v>319</v>
      </c>
      <c r="AT5228" t="s">
        <v>120</v>
      </c>
      <c r="AU5228" t="s">
        <v>151</v>
      </c>
      <c r="AV5228" t="s">
        <v>115</v>
      </c>
      <c r="AW5228" t="s">
        <v>207</v>
      </c>
      <c r="AX5228" t="s">
        <v>292</v>
      </c>
      <c r="AY5228" t="s">
        <v>99</v>
      </c>
      <c r="AZ5228" t="s">
        <v>121</v>
      </c>
    </row>
    <row r="5229" spans="1:52" x14ac:dyDescent="0.3">
      <c r="A5229" t="s">
        <v>34</v>
      </c>
      <c r="B5229" t="s">
        <v>238</v>
      </c>
      <c r="C5229">
        <v>1363</v>
      </c>
      <c r="D5229" t="s">
        <v>573</v>
      </c>
      <c r="E5229" t="s">
        <v>134</v>
      </c>
      <c r="F5229" t="s">
        <v>133</v>
      </c>
      <c r="G5229" t="s">
        <v>675</v>
      </c>
      <c r="H5229" t="s">
        <v>154</v>
      </c>
      <c r="I5229" t="s">
        <v>268</v>
      </c>
      <c r="J5229" t="s">
        <v>253</v>
      </c>
      <c r="K5229" t="s">
        <v>173</v>
      </c>
      <c r="L5229" t="s">
        <v>108</v>
      </c>
      <c r="M5229">
        <v>1363</v>
      </c>
      <c r="N5229" t="s">
        <v>217</v>
      </c>
      <c r="O5229" t="s">
        <v>98</v>
      </c>
      <c r="P5229" t="s">
        <v>316</v>
      </c>
      <c r="Q5229" t="s">
        <v>123</v>
      </c>
      <c r="R5229" t="s">
        <v>132</v>
      </c>
      <c r="S5229" t="s">
        <v>198</v>
      </c>
      <c r="T5229" t="s">
        <v>215</v>
      </c>
      <c r="U5229" t="s">
        <v>104</v>
      </c>
      <c r="V5229" t="s">
        <v>198</v>
      </c>
      <c r="W5229">
        <v>1363</v>
      </c>
      <c r="X5229" t="s">
        <v>855</v>
      </c>
      <c r="Y5229" t="s">
        <v>127</v>
      </c>
      <c r="Z5229" t="s">
        <v>129</v>
      </c>
      <c r="AA5229" t="s">
        <v>120</v>
      </c>
      <c r="AB5229" t="s">
        <v>253</v>
      </c>
      <c r="AC5229" t="s">
        <v>136</v>
      </c>
      <c r="AD5229" t="s">
        <v>155</v>
      </c>
      <c r="AE5229" t="s">
        <v>115</v>
      </c>
      <c r="AF5229" t="s">
        <v>136</v>
      </c>
      <c r="AG5229">
        <v>1363</v>
      </c>
      <c r="AH5229" t="s">
        <v>414</v>
      </c>
      <c r="AI5229" t="s">
        <v>114</v>
      </c>
      <c r="AJ5229" t="s">
        <v>117</v>
      </c>
      <c r="AK5229" t="s">
        <v>101</v>
      </c>
      <c r="AL5229" t="s">
        <v>207</v>
      </c>
      <c r="AM5229" t="s">
        <v>136</v>
      </c>
      <c r="AN5229" t="s">
        <v>108</v>
      </c>
      <c r="AO5229" t="s">
        <v>99</v>
      </c>
      <c r="AP5229" t="s">
        <v>198</v>
      </c>
      <c r="AQ5229">
        <v>1363</v>
      </c>
      <c r="AR5229" t="s">
        <v>392</v>
      </c>
      <c r="AS5229" t="s">
        <v>132</v>
      </c>
      <c r="AT5229" t="s">
        <v>147</v>
      </c>
      <c r="AU5229" t="s">
        <v>111</v>
      </c>
      <c r="AV5229" t="s">
        <v>253</v>
      </c>
      <c r="AW5229" t="s">
        <v>141</v>
      </c>
      <c r="AX5229" t="s">
        <v>128</v>
      </c>
      <c r="AY5229" t="s">
        <v>198</v>
      </c>
      <c r="AZ5229" t="s">
        <v>104</v>
      </c>
    </row>
    <row r="5230" spans="1:52" x14ac:dyDescent="0.3">
      <c r="A5230" t="s">
        <v>33</v>
      </c>
      <c r="B5230" t="s">
        <v>236</v>
      </c>
      <c r="C5230">
        <v>1116</v>
      </c>
      <c r="D5230" t="s">
        <v>282</v>
      </c>
      <c r="E5230" t="s">
        <v>157</v>
      </c>
      <c r="F5230" t="s">
        <v>150</v>
      </c>
      <c r="G5230" t="s">
        <v>254</v>
      </c>
      <c r="H5230" t="s">
        <v>712</v>
      </c>
      <c r="I5230" t="s">
        <v>712</v>
      </c>
      <c r="J5230" t="s">
        <v>132</v>
      </c>
      <c r="K5230" t="s">
        <v>372</v>
      </c>
      <c r="L5230" t="s">
        <v>104</v>
      </c>
      <c r="M5230">
        <v>1116</v>
      </c>
      <c r="N5230" t="s">
        <v>758</v>
      </c>
      <c r="O5230" t="s">
        <v>117</v>
      </c>
      <c r="P5230" t="s">
        <v>121</v>
      </c>
      <c r="Q5230" t="s">
        <v>319</v>
      </c>
      <c r="R5230" t="s">
        <v>198</v>
      </c>
      <c r="S5230" t="s">
        <v>104</v>
      </c>
      <c r="T5230" t="s">
        <v>207</v>
      </c>
      <c r="U5230" t="s">
        <v>99</v>
      </c>
      <c r="V5230" t="s">
        <v>99</v>
      </c>
      <c r="W5230">
        <v>1116</v>
      </c>
      <c r="X5230" t="s">
        <v>433</v>
      </c>
      <c r="Y5230" t="s">
        <v>100</v>
      </c>
      <c r="Z5230" t="s">
        <v>215</v>
      </c>
      <c r="AA5230" t="s">
        <v>253</v>
      </c>
      <c r="AB5230" t="s">
        <v>136</v>
      </c>
      <c r="AC5230" t="s">
        <v>104</v>
      </c>
      <c r="AD5230" t="s">
        <v>198</v>
      </c>
      <c r="AE5230" t="s">
        <v>104</v>
      </c>
      <c r="AF5230" t="s">
        <v>99</v>
      </c>
      <c r="AG5230">
        <v>1116</v>
      </c>
      <c r="AH5230" t="s">
        <v>851</v>
      </c>
      <c r="AI5230" t="s">
        <v>104</v>
      </c>
      <c r="AJ5230" t="s">
        <v>121</v>
      </c>
      <c r="AK5230" t="s">
        <v>141</v>
      </c>
      <c r="AL5230" t="s">
        <v>198</v>
      </c>
      <c r="AM5230" t="s">
        <v>104</v>
      </c>
      <c r="AN5230" t="s">
        <v>136</v>
      </c>
      <c r="AO5230" t="s">
        <v>99</v>
      </c>
      <c r="AP5230" t="s">
        <v>99</v>
      </c>
      <c r="AQ5230">
        <v>1116</v>
      </c>
      <c r="AR5230" t="s">
        <v>398</v>
      </c>
      <c r="AS5230" t="s">
        <v>253</v>
      </c>
      <c r="AT5230" t="s">
        <v>100</v>
      </c>
      <c r="AU5230" t="s">
        <v>108</v>
      </c>
      <c r="AV5230" t="s">
        <v>198</v>
      </c>
      <c r="AW5230" t="s">
        <v>99</v>
      </c>
      <c r="AX5230" t="s">
        <v>99</v>
      </c>
      <c r="AY5230" t="s">
        <v>99</v>
      </c>
      <c r="AZ5230" t="s">
        <v>99</v>
      </c>
    </row>
    <row r="5231" spans="1:52" x14ac:dyDescent="0.3">
      <c r="A5231" t="s">
        <v>33</v>
      </c>
      <c r="B5231" t="s">
        <v>238</v>
      </c>
      <c r="C5231">
        <v>821</v>
      </c>
      <c r="D5231" t="s">
        <v>284</v>
      </c>
      <c r="E5231" t="s">
        <v>157</v>
      </c>
      <c r="F5231" t="s">
        <v>328</v>
      </c>
      <c r="G5231" t="s">
        <v>154</v>
      </c>
      <c r="H5231" t="s">
        <v>712</v>
      </c>
      <c r="I5231" t="s">
        <v>110</v>
      </c>
      <c r="J5231" t="s">
        <v>126</v>
      </c>
      <c r="K5231" t="s">
        <v>291</v>
      </c>
      <c r="L5231" t="s">
        <v>136</v>
      </c>
      <c r="M5231">
        <v>821</v>
      </c>
      <c r="N5231" t="s">
        <v>69</v>
      </c>
      <c r="O5231" t="s">
        <v>123</v>
      </c>
      <c r="P5231" t="s">
        <v>121</v>
      </c>
      <c r="Q5231" t="s">
        <v>141</v>
      </c>
      <c r="R5231" t="s">
        <v>198</v>
      </c>
      <c r="S5231" t="s">
        <v>141</v>
      </c>
      <c r="T5231" t="s">
        <v>136</v>
      </c>
      <c r="U5231" t="s">
        <v>104</v>
      </c>
      <c r="V5231" t="s">
        <v>99</v>
      </c>
      <c r="W5231">
        <v>821</v>
      </c>
      <c r="X5231" t="s">
        <v>367</v>
      </c>
      <c r="Y5231" t="s">
        <v>100</v>
      </c>
      <c r="Z5231" t="s">
        <v>121</v>
      </c>
      <c r="AA5231" t="s">
        <v>253</v>
      </c>
      <c r="AB5231" t="s">
        <v>207</v>
      </c>
      <c r="AC5231" t="s">
        <v>115</v>
      </c>
      <c r="AD5231" t="s">
        <v>115</v>
      </c>
      <c r="AE5231" t="s">
        <v>99</v>
      </c>
      <c r="AF5231" t="s">
        <v>99</v>
      </c>
      <c r="AG5231">
        <v>821</v>
      </c>
      <c r="AH5231" t="s">
        <v>229</v>
      </c>
      <c r="AI5231" t="s">
        <v>141</v>
      </c>
      <c r="AJ5231" t="s">
        <v>136</v>
      </c>
      <c r="AK5231" t="s">
        <v>104</v>
      </c>
      <c r="AL5231" t="s">
        <v>104</v>
      </c>
      <c r="AM5231" t="s">
        <v>99</v>
      </c>
      <c r="AN5231" t="s">
        <v>104</v>
      </c>
      <c r="AO5231" t="s">
        <v>104</v>
      </c>
      <c r="AP5231" t="s">
        <v>99</v>
      </c>
      <c r="AQ5231">
        <v>821</v>
      </c>
      <c r="AR5231" t="s">
        <v>433</v>
      </c>
      <c r="AS5231" t="s">
        <v>126</v>
      </c>
      <c r="AT5231" t="s">
        <v>115</v>
      </c>
      <c r="AU5231" t="s">
        <v>115</v>
      </c>
      <c r="AV5231" t="s">
        <v>136</v>
      </c>
      <c r="AW5231" t="s">
        <v>141</v>
      </c>
      <c r="AX5231" t="s">
        <v>136</v>
      </c>
      <c r="AY5231" t="s">
        <v>99</v>
      </c>
      <c r="AZ5231" t="s">
        <v>99</v>
      </c>
    </row>
    <row r="5232" spans="1:52" x14ac:dyDescent="0.3">
      <c r="A5232" t="s">
        <v>49</v>
      </c>
      <c r="B5232" t="s">
        <v>236</v>
      </c>
      <c r="C5232">
        <v>7220</v>
      </c>
      <c r="D5232" t="s">
        <v>793</v>
      </c>
      <c r="E5232" t="s">
        <v>98</v>
      </c>
      <c r="F5232" t="s">
        <v>182</v>
      </c>
      <c r="G5232" t="s">
        <v>125</v>
      </c>
      <c r="H5232" t="s">
        <v>152</v>
      </c>
      <c r="I5232" t="s">
        <v>149</v>
      </c>
      <c r="J5232" t="s">
        <v>292</v>
      </c>
      <c r="K5232" t="s">
        <v>372</v>
      </c>
      <c r="L5232" t="s">
        <v>207</v>
      </c>
      <c r="M5232">
        <v>7220</v>
      </c>
      <c r="N5232" t="s">
        <v>232</v>
      </c>
      <c r="O5232" t="s">
        <v>138</v>
      </c>
      <c r="P5232" t="s">
        <v>120</v>
      </c>
      <c r="Q5232" t="s">
        <v>151</v>
      </c>
      <c r="R5232" t="s">
        <v>114</v>
      </c>
      <c r="S5232" t="s">
        <v>141</v>
      </c>
      <c r="T5232" t="s">
        <v>115</v>
      </c>
      <c r="U5232" t="s">
        <v>104</v>
      </c>
      <c r="V5232" t="s">
        <v>104</v>
      </c>
      <c r="W5232">
        <v>7220</v>
      </c>
      <c r="X5232" t="s">
        <v>966</v>
      </c>
      <c r="Y5232" t="s">
        <v>268</v>
      </c>
      <c r="Z5232" t="s">
        <v>105</v>
      </c>
      <c r="AA5232" t="s">
        <v>268</v>
      </c>
      <c r="AB5232" t="s">
        <v>100</v>
      </c>
      <c r="AC5232" t="s">
        <v>253</v>
      </c>
      <c r="AD5232" t="s">
        <v>319</v>
      </c>
      <c r="AE5232" t="s">
        <v>198</v>
      </c>
      <c r="AF5232" t="s">
        <v>198</v>
      </c>
      <c r="AG5232">
        <v>7220</v>
      </c>
      <c r="AH5232" t="s">
        <v>466</v>
      </c>
      <c r="AI5232" t="s">
        <v>207</v>
      </c>
      <c r="AJ5232" t="s">
        <v>108</v>
      </c>
      <c r="AK5232" t="s">
        <v>253</v>
      </c>
      <c r="AL5232" t="s">
        <v>136</v>
      </c>
      <c r="AM5232" t="s">
        <v>104</v>
      </c>
      <c r="AN5232" t="s">
        <v>136</v>
      </c>
      <c r="AO5232" t="s">
        <v>104</v>
      </c>
      <c r="AP5232" t="s">
        <v>104</v>
      </c>
      <c r="AQ5232">
        <v>7220</v>
      </c>
      <c r="AR5232" t="s">
        <v>329</v>
      </c>
      <c r="AS5232" t="s">
        <v>382</v>
      </c>
      <c r="AT5232" t="s">
        <v>151</v>
      </c>
      <c r="AU5232" t="s">
        <v>101</v>
      </c>
      <c r="AV5232" t="s">
        <v>141</v>
      </c>
      <c r="AW5232" t="s">
        <v>115</v>
      </c>
      <c r="AX5232" t="s">
        <v>114</v>
      </c>
      <c r="AY5232" t="s">
        <v>104</v>
      </c>
      <c r="AZ5232" t="s">
        <v>198</v>
      </c>
    </row>
    <row r="5233" spans="1:52" x14ac:dyDescent="0.3">
      <c r="A5233" t="s">
        <v>49</v>
      </c>
      <c r="B5233" t="s">
        <v>238</v>
      </c>
      <c r="C5233">
        <v>6102</v>
      </c>
      <c r="D5233" t="s">
        <v>596</v>
      </c>
      <c r="E5233" t="s">
        <v>158</v>
      </c>
      <c r="F5233" t="s">
        <v>363</v>
      </c>
      <c r="G5233" t="s">
        <v>150</v>
      </c>
      <c r="H5233" t="s">
        <v>144</v>
      </c>
      <c r="I5233" t="s">
        <v>130</v>
      </c>
      <c r="J5233" t="s">
        <v>382</v>
      </c>
      <c r="K5233" t="s">
        <v>704</v>
      </c>
      <c r="L5233" t="s">
        <v>115</v>
      </c>
      <c r="M5233">
        <v>6102</v>
      </c>
      <c r="N5233" t="s">
        <v>873</v>
      </c>
      <c r="O5233" t="s">
        <v>134</v>
      </c>
      <c r="P5233" t="s">
        <v>292</v>
      </c>
      <c r="Q5233" t="s">
        <v>215</v>
      </c>
      <c r="R5233" t="s">
        <v>100</v>
      </c>
      <c r="S5233" t="s">
        <v>136</v>
      </c>
      <c r="T5233" t="s">
        <v>101</v>
      </c>
      <c r="U5233" t="s">
        <v>104</v>
      </c>
      <c r="V5233" t="s">
        <v>104</v>
      </c>
      <c r="W5233">
        <v>6102</v>
      </c>
      <c r="X5233" t="s">
        <v>845</v>
      </c>
      <c r="Y5233" t="s">
        <v>111</v>
      </c>
      <c r="Z5233" t="s">
        <v>120</v>
      </c>
      <c r="AA5233" t="s">
        <v>292</v>
      </c>
      <c r="AB5233" t="s">
        <v>100</v>
      </c>
      <c r="AC5233" t="s">
        <v>132</v>
      </c>
      <c r="AD5233" t="s">
        <v>154</v>
      </c>
      <c r="AE5233" t="s">
        <v>207</v>
      </c>
      <c r="AF5233" t="s">
        <v>104</v>
      </c>
      <c r="AG5233">
        <v>6102</v>
      </c>
      <c r="AH5233" t="s">
        <v>331</v>
      </c>
      <c r="AI5233" t="s">
        <v>115</v>
      </c>
      <c r="AJ5233" t="s">
        <v>114</v>
      </c>
      <c r="AK5233" t="s">
        <v>132</v>
      </c>
      <c r="AL5233" t="s">
        <v>115</v>
      </c>
      <c r="AM5233" t="s">
        <v>198</v>
      </c>
      <c r="AN5233" t="s">
        <v>108</v>
      </c>
      <c r="AO5233" t="s">
        <v>104</v>
      </c>
      <c r="AP5233" t="s">
        <v>104</v>
      </c>
      <c r="AQ5233">
        <v>6102</v>
      </c>
      <c r="AR5233" t="s">
        <v>250</v>
      </c>
      <c r="AS5233" t="s">
        <v>126</v>
      </c>
      <c r="AT5233" t="s">
        <v>292</v>
      </c>
      <c r="AU5233" t="s">
        <v>126</v>
      </c>
      <c r="AV5233" t="s">
        <v>253</v>
      </c>
      <c r="AW5233" t="s">
        <v>108</v>
      </c>
      <c r="AX5233" t="s">
        <v>147</v>
      </c>
      <c r="AY5233" t="s">
        <v>207</v>
      </c>
      <c r="AZ5233" t="s">
        <v>198</v>
      </c>
    </row>
    <row r="5235" spans="1:52" x14ac:dyDescent="0.3">
      <c r="A5235" t="s">
        <v>1710</v>
      </c>
    </row>
    <row r="5236" spans="1:52" x14ac:dyDescent="0.3">
      <c r="A5236" t="s">
        <v>44</v>
      </c>
      <c r="B5236" t="s">
        <v>879</v>
      </c>
      <c r="C5236" t="s">
        <v>1653</v>
      </c>
      <c r="D5236" t="s">
        <v>1654</v>
      </c>
      <c r="E5236" t="s">
        <v>1655</v>
      </c>
      <c r="F5236" t="s">
        <v>1656</v>
      </c>
      <c r="G5236" t="s">
        <v>1657</v>
      </c>
      <c r="H5236" t="s">
        <v>1658</v>
      </c>
      <c r="I5236" t="s">
        <v>1659</v>
      </c>
      <c r="J5236" t="s">
        <v>1660</v>
      </c>
      <c r="K5236" t="s">
        <v>1661</v>
      </c>
      <c r="L5236" t="s">
        <v>1662</v>
      </c>
      <c r="M5236" t="s">
        <v>1663</v>
      </c>
      <c r="N5236" t="s">
        <v>1664</v>
      </c>
      <c r="O5236" t="s">
        <v>1665</v>
      </c>
      <c r="P5236" t="s">
        <v>1666</v>
      </c>
      <c r="Q5236" t="s">
        <v>1671</v>
      </c>
      <c r="R5236" t="s">
        <v>1667</v>
      </c>
      <c r="S5236" t="s">
        <v>1668</v>
      </c>
      <c r="T5236" t="s">
        <v>1669</v>
      </c>
      <c r="U5236" t="s">
        <v>1670</v>
      </c>
      <c r="V5236" t="s">
        <v>1672</v>
      </c>
      <c r="W5236" t="s">
        <v>1673</v>
      </c>
      <c r="X5236" t="s">
        <v>1674</v>
      </c>
      <c r="Y5236" t="s">
        <v>1675</v>
      </c>
      <c r="Z5236" t="s">
        <v>1676</v>
      </c>
      <c r="AA5236" t="s">
        <v>1677</v>
      </c>
      <c r="AB5236" t="s">
        <v>1678</v>
      </c>
      <c r="AC5236" t="s">
        <v>1680</v>
      </c>
      <c r="AD5236" t="s">
        <v>1679</v>
      </c>
      <c r="AE5236" t="s">
        <v>1681</v>
      </c>
      <c r="AF5236" t="s">
        <v>1682</v>
      </c>
      <c r="AG5236" t="s">
        <v>1683</v>
      </c>
      <c r="AH5236" t="s">
        <v>1684</v>
      </c>
      <c r="AI5236" t="s">
        <v>1685</v>
      </c>
      <c r="AJ5236" t="s">
        <v>1686</v>
      </c>
      <c r="AK5236" t="s">
        <v>1687</v>
      </c>
      <c r="AL5236" t="s">
        <v>1688</v>
      </c>
      <c r="AM5236" t="s">
        <v>1689</v>
      </c>
      <c r="AN5236" t="s">
        <v>1691</v>
      </c>
      <c r="AO5236" t="s">
        <v>1690</v>
      </c>
      <c r="AP5236" t="s">
        <v>1692</v>
      </c>
      <c r="AQ5236" t="s">
        <v>1693</v>
      </c>
      <c r="AR5236" t="s">
        <v>1694</v>
      </c>
      <c r="AS5236" t="s">
        <v>1695</v>
      </c>
      <c r="AT5236" t="s">
        <v>1696</v>
      </c>
      <c r="AU5236" t="s">
        <v>1697</v>
      </c>
      <c r="AV5236" t="s">
        <v>1698</v>
      </c>
      <c r="AW5236" t="s">
        <v>1699</v>
      </c>
      <c r="AX5236" t="s">
        <v>1700</v>
      </c>
      <c r="AY5236" t="s">
        <v>1701</v>
      </c>
      <c r="AZ5236" t="s">
        <v>1702</v>
      </c>
    </row>
    <row r="5237" spans="1:52" x14ac:dyDescent="0.3">
      <c r="A5237" t="s">
        <v>35</v>
      </c>
      <c r="B5237" t="s">
        <v>880</v>
      </c>
      <c r="C5237">
        <v>596</v>
      </c>
      <c r="D5237" t="s">
        <v>800</v>
      </c>
      <c r="E5237" t="s">
        <v>124</v>
      </c>
      <c r="F5237" t="s">
        <v>145</v>
      </c>
      <c r="G5237" t="s">
        <v>150</v>
      </c>
      <c r="H5237" t="s">
        <v>118</v>
      </c>
      <c r="I5237" t="s">
        <v>126</v>
      </c>
      <c r="J5237" t="s">
        <v>117</v>
      </c>
      <c r="K5237" t="s">
        <v>731</v>
      </c>
      <c r="L5237" t="s">
        <v>121</v>
      </c>
      <c r="M5237">
        <v>596</v>
      </c>
      <c r="N5237" t="s">
        <v>326</v>
      </c>
      <c r="O5237" t="s">
        <v>316</v>
      </c>
      <c r="P5237" t="s">
        <v>132</v>
      </c>
      <c r="Q5237" t="s">
        <v>132</v>
      </c>
      <c r="R5237" t="s">
        <v>141</v>
      </c>
      <c r="S5237" t="s">
        <v>382</v>
      </c>
      <c r="T5237" t="s">
        <v>207</v>
      </c>
      <c r="U5237" t="s">
        <v>99</v>
      </c>
      <c r="V5237" t="s">
        <v>104</v>
      </c>
      <c r="W5237">
        <v>596</v>
      </c>
      <c r="X5237" t="s">
        <v>854</v>
      </c>
      <c r="Y5237" t="s">
        <v>105</v>
      </c>
      <c r="Z5237" t="s">
        <v>108</v>
      </c>
      <c r="AA5237" t="s">
        <v>103</v>
      </c>
      <c r="AB5237" t="s">
        <v>319</v>
      </c>
      <c r="AC5237" t="s">
        <v>129</v>
      </c>
      <c r="AD5237" t="s">
        <v>99</v>
      </c>
      <c r="AE5237" t="s">
        <v>207</v>
      </c>
      <c r="AF5237" t="s">
        <v>99</v>
      </c>
      <c r="AG5237">
        <v>596</v>
      </c>
      <c r="AH5237" t="s">
        <v>211</v>
      </c>
      <c r="AI5237" t="s">
        <v>99</v>
      </c>
      <c r="AJ5237" t="s">
        <v>99</v>
      </c>
      <c r="AK5237" t="s">
        <v>99</v>
      </c>
      <c r="AL5237" t="s">
        <v>99</v>
      </c>
      <c r="AM5237" t="s">
        <v>99</v>
      </c>
      <c r="AN5237" t="s">
        <v>99</v>
      </c>
      <c r="AO5237" t="s">
        <v>99</v>
      </c>
      <c r="AP5237" t="s">
        <v>99</v>
      </c>
      <c r="AQ5237">
        <v>596</v>
      </c>
      <c r="AR5237" t="s">
        <v>169</v>
      </c>
      <c r="AS5237" t="s">
        <v>100</v>
      </c>
      <c r="AT5237" t="s">
        <v>126</v>
      </c>
      <c r="AU5237" t="s">
        <v>115</v>
      </c>
      <c r="AV5237" t="s">
        <v>127</v>
      </c>
      <c r="AW5237" t="s">
        <v>99</v>
      </c>
      <c r="AX5237" t="s">
        <v>157</v>
      </c>
      <c r="AY5237" t="s">
        <v>132</v>
      </c>
      <c r="AZ5237" t="s">
        <v>207</v>
      </c>
    </row>
    <row r="5238" spans="1:52" x14ac:dyDescent="0.3">
      <c r="A5238" t="s">
        <v>35</v>
      </c>
      <c r="B5238" t="s">
        <v>881</v>
      </c>
      <c r="C5238">
        <v>1162</v>
      </c>
      <c r="D5238" t="s">
        <v>1156</v>
      </c>
      <c r="E5238" t="s">
        <v>118</v>
      </c>
      <c r="F5238" t="s">
        <v>160</v>
      </c>
      <c r="G5238" t="s">
        <v>675</v>
      </c>
      <c r="H5238" t="s">
        <v>461</v>
      </c>
      <c r="I5238" t="s">
        <v>675</v>
      </c>
      <c r="J5238" t="s">
        <v>121</v>
      </c>
      <c r="K5238" t="s">
        <v>446</v>
      </c>
      <c r="L5238" t="s">
        <v>126</v>
      </c>
      <c r="M5238">
        <v>1162</v>
      </c>
      <c r="N5238" t="s">
        <v>500</v>
      </c>
      <c r="O5238" t="s">
        <v>328</v>
      </c>
      <c r="P5238" t="s">
        <v>118</v>
      </c>
      <c r="Q5238" t="s">
        <v>110</v>
      </c>
      <c r="R5238" t="s">
        <v>129</v>
      </c>
      <c r="S5238" t="s">
        <v>105</v>
      </c>
      <c r="T5238" t="s">
        <v>141</v>
      </c>
      <c r="U5238" t="s">
        <v>99</v>
      </c>
      <c r="V5238" t="s">
        <v>198</v>
      </c>
      <c r="W5238">
        <v>1162</v>
      </c>
      <c r="X5238" t="s">
        <v>874</v>
      </c>
      <c r="Y5238" t="s">
        <v>434</v>
      </c>
      <c r="Z5238" t="s">
        <v>130</v>
      </c>
      <c r="AA5238" t="s">
        <v>111</v>
      </c>
      <c r="AB5238" t="s">
        <v>215</v>
      </c>
      <c r="AC5238" t="s">
        <v>470</v>
      </c>
      <c r="AD5238" t="s">
        <v>268</v>
      </c>
      <c r="AE5238" t="s">
        <v>136</v>
      </c>
      <c r="AF5238" t="s">
        <v>207</v>
      </c>
      <c r="AG5238">
        <v>1162</v>
      </c>
      <c r="AH5238" t="s">
        <v>336</v>
      </c>
      <c r="AI5238" t="s">
        <v>141</v>
      </c>
      <c r="AJ5238" t="s">
        <v>141</v>
      </c>
      <c r="AK5238" t="s">
        <v>115</v>
      </c>
      <c r="AL5238" t="s">
        <v>198</v>
      </c>
      <c r="AM5238" t="s">
        <v>198</v>
      </c>
      <c r="AN5238" t="s">
        <v>121</v>
      </c>
      <c r="AO5238" t="s">
        <v>99</v>
      </c>
      <c r="AP5238" t="s">
        <v>104</v>
      </c>
      <c r="AQ5238">
        <v>1162</v>
      </c>
      <c r="AR5238" t="s">
        <v>492</v>
      </c>
      <c r="AS5238" t="s">
        <v>103</v>
      </c>
      <c r="AT5238" t="s">
        <v>138</v>
      </c>
      <c r="AU5238" t="s">
        <v>151</v>
      </c>
      <c r="AV5238" t="s">
        <v>114</v>
      </c>
      <c r="AW5238" t="s">
        <v>121</v>
      </c>
      <c r="AX5238" t="s">
        <v>401</v>
      </c>
      <c r="AY5238" t="s">
        <v>132</v>
      </c>
      <c r="AZ5238" t="s">
        <v>253</v>
      </c>
    </row>
    <row r="5239" spans="1:52" x14ac:dyDescent="0.3">
      <c r="A5239" t="s">
        <v>35</v>
      </c>
      <c r="B5239" t="s">
        <v>882</v>
      </c>
      <c r="C5239">
        <v>1387</v>
      </c>
      <c r="D5239" t="s">
        <v>496</v>
      </c>
      <c r="E5239" t="s">
        <v>420</v>
      </c>
      <c r="F5239" t="s">
        <v>313</v>
      </c>
      <c r="G5239" t="s">
        <v>171</v>
      </c>
      <c r="H5239" t="s">
        <v>70</v>
      </c>
      <c r="I5239" t="s">
        <v>332</v>
      </c>
      <c r="J5239" t="s">
        <v>101</v>
      </c>
      <c r="K5239" t="s">
        <v>186</v>
      </c>
      <c r="L5239" t="s">
        <v>198</v>
      </c>
      <c r="M5239">
        <v>1387</v>
      </c>
      <c r="N5239" t="s">
        <v>421</v>
      </c>
      <c r="O5239" t="s">
        <v>134</v>
      </c>
      <c r="P5239" t="s">
        <v>292</v>
      </c>
      <c r="Q5239" t="s">
        <v>136</v>
      </c>
      <c r="R5239" t="s">
        <v>319</v>
      </c>
      <c r="S5239" t="s">
        <v>141</v>
      </c>
      <c r="T5239" t="s">
        <v>115</v>
      </c>
      <c r="U5239" t="s">
        <v>104</v>
      </c>
      <c r="V5239" t="s">
        <v>104</v>
      </c>
      <c r="W5239">
        <v>1387</v>
      </c>
      <c r="X5239" t="s">
        <v>392</v>
      </c>
      <c r="Y5239" t="s">
        <v>151</v>
      </c>
      <c r="Z5239" t="s">
        <v>382</v>
      </c>
      <c r="AA5239" t="s">
        <v>292</v>
      </c>
      <c r="AB5239" t="s">
        <v>114</v>
      </c>
      <c r="AC5239" t="s">
        <v>105</v>
      </c>
      <c r="AD5239" t="s">
        <v>198</v>
      </c>
      <c r="AE5239" t="s">
        <v>99</v>
      </c>
      <c r="AF5239" t="s">
        <v>99</v>
      </c>
      <c r="AG5239">
        <v>1387</v>
      </c>
      <c r="AH5239" t="s">
        <v>203</v>
      </c>
      <c r="AI5239" t="s">
        <v>108</v>
      </c>
      <c r="AJ5239" t="s">
        <v>100</v>
      </c>
      <c r="AK5239" t="s">
        <v>127</v>
      </c>
      <c r="AL5239" t="s">
        <v>127</v>
      </c>
      <c r="AM5239" t="s">
        <v>136</v>
      </c>
      <c r="AN5239" t="s">
        <v>111</v>
      </c>
      <c r="AO5239" t="s">
        <v>104</v>
      </c>
      <c r="AP5239" t="s">
        <v>198</v>
      </c>
      <c r="AQ5239">
        <v>1387</v>
      </c>
      <c r="AR5239" t="s">
        <v>422</v>
      </c>
      <c r="AS5239" t="s">
        <v>292</v>
      </c>
      <c r="AT5239" t="s">
        <v>215</v>
      </c>
      <c r="AU5239" t="s">
        <v>319</v>
      </c>
      <c r="AV5239" t="s">
        <v>126</v>
      </c>
      <c r="AW5239" t="s">
        <v>198</v>
      </c>
      <c r="AX5239" t="s">
        <v>147</v>
      </c>
      <c r="AY5239" t="s">
        <v>104</v>
      </c>
      <c r="AZ5239" t="s">
        <v>99</v>
      </c>
    </row>
    <row r="5240" spans="1:52" x14ac:dyDescent="0.3">
      <c r="A5240" t="s">
        <v>37</v>
      </c>
      <c r="B5240" t="s">
        <v>880</v>
      </c>
      <c r="C5240">
        <v>671</v>
      </c>
      <c r="D5240" t="s">
        <v>958</v>
      </c>
      <c r="E5240" t="s">
        <v>124</v>
      </c>
      <c r="F5240" t="s">
        <v>125</v>
      </c>
      <c r="G5240" t="s">
        <v>125</v>
      </c>
      <c r="H5240" t="s">
        <v>144</v>
      </c>
      <c r="I5240" t="s">
        <v>98</v>
      </c>
      <c r="J5240" t="s">
        <v>111</v>
      </c>
      <c r="K5240" t="s">
        <v>468</v>
      </c>
      <c r="L5240" t="s">
        <v>99</v>
      </c>
      <c r="M5240">
        <v>671</v>
      </c>
      <c r="N5240" t="s">
        <v>391</v>
      </c>
      <c r="O5240" t="s">
        <v>121</v>
      </c>
      <c r="P5240" t="s">
        <v>111</v>
      </c>
      <c r="Q5240" t="s">
        <v>198</v>
      </c>
      <c r="R5240" t="s">
        <v>101</v>
      </c>
      <c r="S5240" t="s">
        <v>100</v>
      </c>
      <c r="T5240" t="s">
        <v>104</v>
      </c>
      <c r="U5240" t="s">
        <v>198</v>
      </c>
      <c r="V5240" t="s">
        <v>207</v>
      </c>
      <c r="W5240">
        <v>671</v>
      </c>
      <c r="X5240" t="s">
        <v>71</v>
      </c>
      <c r="Y5240" t="s">
        <v>126</v>
      </c>
      <c r="Z5240" t="s">
        <v>128</v>
      </c>
      <c r="AA5240" t="s">
        <v>101</v>
      </c>
      <c r="AB5240" t="s">
        <v>114</v>
      </c>
      <c r="AC5240" t="s">
        <v>141</v>
      </c>
      <c r="AD5240" t="s">
        <v>207</v>
      </c>
      <c r="AE5240" t="s">
        <v>99</v>
      </c>
      <c r="AF5240" t="s">
        <v>198</v>
      </c>
      <c r="AG5240">
        <v>671</v>
      </c>
      <c r="AH5240" t="s">
        <v>211</v>
      </c>
      <c r="AI5240" t="s">
        <v>99</v>
      </c>
      <c r="AJ5240" t="s">
        <v>99</v>
      </c>
      <c r="AK5240" t="s">
        <v>99</v>
      </c>
      <c r="AL5240" t="s">
        <v>99</v>
      </c>
      <c r="AM5240" t="s">
        <v>99</v>
      </c>
      <c r="AN5240" t="s">
        <v>99</v>
      </c>
      <c r="AO5240" t="s">
        <v>99</v>
      </c>
      <c r="AP5240" t="s">
        <v>99</v>
      </c>
      <c r="AQ5240">
        <v>671</v>
      </c>
      <c r="AR5240" t="s">
        <v>1438</v>
      </c>
      <c r="AS5240" t="s">
        <v>151</v>
      </c>
      <c r="AT5240" t="s">
        <v>108</v>
      </c>
      <c r="AU5240" t="s">
        <v>108</v>
      </c>
      <c r="AV5240" t="s">
        <v>207</v>
      </c>
      <c r="AW5240" t="s">
        <v>132</v>
      </c>
      <c r="AX5240" t="s">
        <v>104</v>
      </c>
      <c r="AY5240" t="s">
        <v>99</v>
      </c>
      <c r="AZ5240" t="s">
        <v>198</v>
      </c>
    </row>
    <row r="5241" spans="1:52" x14ac:dyDescent="0.3">
      <c r="A5241" t="s">
        <v>37</v>
      </c>
      <c r="B5241" t="s">
        <v>881</v>
      </c>
      <c r="C5241">
        <v>1371</v>
      </c>
      <c r="D5241" t="s">
        <v>224</v>
      </c>
      <c r="E5241" t="s">
        <v>109</v>
      </c>
      <c r="F5241" t="s">
        <v>125</v>
      </c>
      <c r="G5241" t="s">
        <v>171</v>
      </c>
      <c r="H5241" t="s">
        <v>287</v>
      </c>
      <c r="I5241" t="s">
        <v>158</v>
      </c>
      <c r="J5241" t="s">
        <v>277</v>
      </c>
      <c r="K5241" t="s">
        <v>1008</v>
      </c>
      <c r="L5241" t="s">
        <v>136</v>
      </c>
      <c r="M5241">
        <v>1371</v>
      </c>
      <c r="N5241" t="s">
        <v>469</v>
      </c>
      <c r="O5241" t="s">
        <v>474</v>
      </c>
      <c r="P5241" t="s">
        <v>434</v>
      </c>
      <c r="Q5241" t="s">
        <v>132</v>
      </c>
      <c r="R5241" t="s">
        <v>138</v>
      </c>
      <c r="S5241" t="s">
        <v>123</v>
      </c>
      <c r="T5241" t="s">
        <v>114</v>
      </c>
      <c r="U5241" t="s">
        <v>136</v>
      </c>
      <c r="V5241" t="s">
        <v>207</v>
      </c>
      <c r="W5241">
        <v>1371</v>
      </c>
      <c r="X5241" t="s">
        <v>462</v>
      </c>
      <c r="Y5241" t="s">
        <v>68</v>
      </c>
      <c r="Z5241" t="s">
        <v>149</v>
      </c>
      <c r="AA5241" t="s">
        <v>149</v>
      </c>
      <c r="AB5241" t="s">
        <v>292</v>
      </c>
      <c r="AC5241" t="s">
        <v>101</v>
      </c>
      <c r="AD5241" t="s">
        <v>100</v>
      </c>
      <c r="AE5241" t="s">
        <v>198</v>
      </c>
      <c r="AF5241" t="s">
        <v>198</v>
      </c>
      <c r="AG5241">
        <v>1371</v>
      </c>
      <c r="AH5241" t="s">
        <v>483</v>
      </c>
      <c r="AI5241" t="s">
        <v>207</v>
      </c>
      <c r="AJ5241" t="s">
        <v>207</v>
      </c>
      <c r="AK5241" t="s">
        <v>198</v>
      </c>
      <c r="AL5241" t="s">
        <v>207</v>
      </c>
      <c r="AM5241" t="s">
        <v>99</v>
      </c>
      <c r="AN5241" t="s">
        <v>198</v>
      </c>
      <c r="AO5241" t="s">
        <v>99</v>
      </c>
      <c r="AP5241" t="s">
        <v>99</v>
      </c>
      <c r="AQ5241">
        <v>1371</v>
      </c>
      <c r="AR5241" t="s">
        <v>250</v>
      </c>
      <c r="AS5241" t="s">
        <v>268</v>
      </c>
      <c r="AT5241" t="s">
        <v>103</v>
      </c>
      <c r="AU5241" t="s">
        <v>123</v>
      </c>
      <c r="AV5241" t="s">
        <v>100</v>
      </c>
      <c r="AW5241" t="s">
        <v>132</v>
      </c>
      <c r="AX5241" t="s">
        <v>100</v>
      </c>
      <c r="AY5241" t="s">
        <v>99</v>
      </c>
      <c r="AZ5241" t="s">
        <v>207</v>
      </c>
    </row>
    <row r="5242" spans="1:52" x14ac:dyDescent="0.3">
      <c r="A5242" t="s">
        <v>37</v>
      </c>
      <c r="B5242" t="s">
        <v>882</v>
      </c>
      <c r="C5242">
        <v>1813</v>
      </c>
      <c r="D5242" t="s">
        <v>228</v>
      </c>
      <c r="E5242" t="s">
        <v>78</v>
      </c>
      <c r="F5242" t="s">
        <v>72</v>
      </c>
      <c r="G5242" t="s">
        <v>182</v>
      </c>
      <c r="H5242" t="s">
        <v>664</v>
      </c>
      <c r="I5242" t="s">
        <v>684</v>
      </c>
      <c r="J5242" t="s">
        <v>215</v>
      </c>
      <c r="K5242" t="s">
        <v>145</v>
      </c>
      <c r="L5242" t="s">
        <v>104</v>
      </c>
      <c r="M5242">
        <v>1813</v>
      </c>
      <c r="N5242" t="s">
        <v>337</v>
      </c>
      <c r="O5242" t="s">
        <v>114</v>
      </c>
      <c r="P5242" t="s">
        <v>101</v>
      </c>
      <c r="Q5242" t="s">
        <v>207</v>
      </c>
      <c r="R5242" t="s">
        <v>253</v>
      </c>
      <c r="S5242" t="s">
        <v>132</v>
      </c>
      <c r="T5242" t="s">
        <v>136</v>
      </c>
      <c r="U5242" t="s">
        <v>99</v>
      </c>
      <c r="V5242" t="s">
        <v>99</v>
      </c>
      <c r="W5242">
        <v>1813</v>
      </c>
      <c r="X5242" t="s">
        <v>376</v>
      </c>
      <c r="Y5242" t="s">
        <v>100</v>
      </c>
      <c r="Z5242" t="s">
        <v>268</v>
      </c>
      <c r="AA5242" t="s">
        <v>126</v>
      </c>
      <c r="AB5242" t="s">
        <v>207</v>
      </c>
      <c r="AC5242" t="s">
        <v>136</v>
      </c>
      <c r="AD5242" t="s">
        <v>136</v>
      </c>
      <c r="AE5242" t="s">
        <v>99</v>
      </c>
      <c r="AF5242" t="s">
        <v>99</v>
      </c>
      <c r="AG5242">
        <v>1813</v>
      </c>
      <c r="AH5242" t="s">
        <v>249</v>
      </c>
      <c r="AI5242" t="s">
        <v>253</v>
      </c>
      <c r="AJ5242" t="s">
        <v>115</v>
      </c>
      <c r="AK5242" t="s">
        <v>207</v>
      </c>
      <c r="AL5242" t="s">
        <v>253</v>
      </c>
      <c r="AM5242" t="s">
        <v>198</v>
      </c>
      <c r="AN5242" t="s">
        <v>198</v>
      </c>
      <c r="AO5242" t="s">
        <v>99</v>
      </c>
      <c r="AP5242" t="s">
        <v>99</v>
      </c>
      <c r="AQ5242">
        <v>1813</v>
      </c>
      <c r="AR5242" t="s">
        <v>404</v>
      </c>
      <c r="AS5242" t="s">
        <v>100</v>
      </c>
      <c r="AT5242" t="s">
        <v>132</v>
      </c>
      <c r="AU5242" t="s">
        <v>136</v>
      </c>
      <c r="AV5242" t="s">
        <v>198</v>
      </c>
      <c r="AW5242" t="s">
        <v>198</v>
      </c>
      <c r="AX5242" t="s">
        <v>198</v>
      </c>
      <c r="AY5242" t="s">
        <v>104</v>
      </c>
      <c r="AZ5242" t="s">
        <v>104</v>
      </c>
    </row>
    <row r="5243" spans="1:52" x14ac:dyDescent="0.3">
      <c r="A5243" t="s">
        <v>36</v>
      </c>
      <c r="B5243" t="s">
        <v>880</v>
      </c>
      <c r="C5243">
        <v>382</v>
      </c>
      <c r="D5243" t="s">
        <v>616</v>
      </c>
      <c r="E5243" t="s">
        <v>107</v>
      </c>
      <c r="F5243" t="s">
        <v>420</v>
      </c>
      <c r="G5243" t="s">
        <v>277</v>
      </c>
      <c r="H5243" t="s">
        <v>70</v>
      </c>
      <c r="I5243" t="s">
        <v>369</v>
      </c>
      <c r="J5243" t="s">
        <v>101</v>
      </c>
      <c r="K5243" t="s">
        <v>408</v>
      </c>
      <c r="L5243" t="s">
        <v>99</v>
      </c>
      <c r="M5243">
        <v>382</v>
      </c>
      <c r="N5243" t="s">
        <v>858</v>
      </c>
      <c r="O5243" t="s">
        <v>105</v>
      </c>
      <c r="P5243" t="s">
        <v>105</v>
      </c>
      <c r="Q5243" t="s">
        <v>316</v>
      </c>
      <c r="R5243" t="s">
        <v>157</v>
      </c>
      <c r="S5243" t="s">
        <v>136</v>
      </c>
      <c r="T5243" t="s">
        <v>115</v>
      </c>
      <c r="U5243" t="s">
        <v>104</v>
      </c>
      <c r="V5243" t="s">
        <v>99</v>
      </c>
      <c r="W5243">
        <v>382</v>
      </c>
      <c r="X5243" t="s">
        <v>1640</v>
      </c>
      <c r="Y5243" t="s">
        <v>128</v>
      </c>
      <c r="Z5243" t="s">
        <v>144</v>
      </c>
      <c r="AA5243" t="s">
        <v>112</v>
      </c>
      <c r="AB5243" t="s">
        <v>104</v>
      </c>
      <c r="AC5243" t="s">
        <v>111</v>
      </c>
      <c r="AD5243" t="s">
        <v>127</v>
      </c>
      <c r="AE5243" t="s">
        <v>99</v>
      </c>
      <c r="AF5243" t="s">
        <v>198</v>
      </c>
      <c r="AG5243">
        <v>382</v>
      </c>
      <c r="AH5243" t="s">
        <v>211</v>
      </c>
      <c r="AI5243" t="s">
        <v>99</v>
      </c>
      <c r="AJ5243" t="s">
        <v>99</v>
      </c>
      <c r="AK5243" t="s">
        <v>99</v>
      </c>
      <c r="AL5243" t="s">
        <v>99</v>
      </c>
      <c r="AM5243" t="s">
        <v>99</v>
      </c>
      <c r="AN5243" t="s">
        <v>99</v>
      </c>
      <c r="AO5243" t="s">
        <v>99</v>
      </c>
      <c r="AP5243" t="s">
        <v>99</v>
      </c>
      <c r="AQ5243">
        <v>382</v>
      </c>
      <c r="AR5243" t="s">
        <v>205</v>
      </c>
      <c r="AS5243" t="s">
        <v>101</v>
      </c>
      <c r="AT5243" t="s">
        <v>110</v>
      </c>
      <c r="AU5243" t="s">
        <v>157</v>
      </c>
      <c r="AV5243" t="s">
        <v>111</v>
      </c>
      <c r="AW5243" t="s">
        <v>141</v>
      </c>
      <c r="AX5243" t="s">
        <v>103</v>
      </c>
      <c r="AY5243" t="s">
        <v>104</v>
      </c>
      <c r="AZ5243" t="s">
        <v>99</v>
      </c>
    </row>
    <row r="5244" spans="1:52" x14ac:dyDescent="0.3">
      <c r="A5244" t="s">
        <v>36</v>
      </c>
      <c r="B5244" t="s">
        <v>881</v>
      </c>
      <c r="C5244">
        <v>866</v>
      </c>
      <c r="D5244" t="s">
        <v>459</v>
      </c>
      <c r="E5244" t="s">
        <v>130</v>
      </c>
      <c r="F5244" t="s">
        <v>68</v>
      </c>
      <c r="G5244" t="s">
        <v>671</v>
      </c>
      <c r="H5244" t="s">
        <v>254</v>
      </c>
      <c r="I5244" t="s">
        <v>70</v>
      </c>
      <c r="J5244" t="s">
        <v>474</v>
      </c>
      <c r="K5244" t="s">
        <v>529</v>
      </c>
      <c r="L5244" t="s">
        <v>253</v>
      </c>
      <c r="M5244">
        <v>866</v>
      </c>
      <c r="N5244" t="s">
        <v>394</v>
      </c>
      <c r="O5244" t="s">
        <v>98</v>
      </c>
      <c r="P5244" t="s">
        <v>155</v>
      </c>
      <c r="Q5244" t="s">
        <v>127</v>
      </c>
      <c r="R5244" t="s">
        <v>157</v>
      </c>
      <c r="S5244" t="s">
        <v>114</v>
      </c>
      <c r="T5244" t="s">
        <v>114</v>
      </c>
      <c r="U5244" t="s">
        <v>207</v>
      </c>
      <c r="V5244" t="s">
        <v>99</v>
      </c>
      <c r="W5244">
        <v>866</v>
      </c>
      <c r="X5244" t="s">
        <v>441</v>
      </c>
      <c r="Y5244" t="s">
        <v>121</v>
      </c>
      <c r="Z5244" t="s">
        <v>134</v>
      </c>
      <c r="AA5244" t="s">
        <v>147</v>
      </c>
      <c r="AB5244" t="s">
        <v>124</v>
      </c>
      <c r="AC5244" t="s">
        <v>103</v>
      </c>
      <c r="AD5244" t="s">
        <v>134</v>
      </c>
      <c r="AE5244" t="s">
        <v>99</v>
      </c>
      <c r="AF5244" t="s">
        <v>101</v>
      </c>
      <c r="AG5244">
        <v>866</v>
      </c>
      <c r="AH5244" t="s">
        <v>334</v>
      </c>
      <c r="AI5244" t="s">
        <v>100</v>
      </c>
      <c r="AJ5244" t="s">
        <v>319</v>
      </c>
      <c r="AK5244" t="s">
        <v>253</v>
      </c>
      <c r="AL5244" t="s">
        <v>101</v>
      </c>
      <c r="AM5244" t="s">
        <v>99</v>
      </c>
      <c r="AN5244" t="s">
        <v>115</v>
      </c>
      <c r="AO5244" t="s">
        <v>108</v>
      </c>
      <c r="AP5244" t="s">
        <v>207</v>
      </c>
      <c r="AQ5244">
        <v>866</v>
      </c>
      <c r="AR5244" t="s">
        <v>612</v>
      </c>
      <c r="AS5244" t="s">
        <v>128</v>
      </c>
      <c r="AT5244" t="s">
        <v>151</v>
      </c>
      <c r="AU5244" t="s">
        <v>120</v>
      </c>
      <c r="AV5244" t="s">
        <v>103</v>
      </c>
      <c r="AW5244" t="s">
        <v>107</v>
      </c>
      <c r="AX5244" t="s">
        <v>215</v>
      </c>
      <c r="AY5244" t="s">
        <v>253</v>
      </c>
      <c r="AZ5244" t="s">
        <v>99</v>
      </c>
    </row>
    <row r="5245" spans="1:52" x14ac:dyDescent="0.3">
      <c r="A5245" t="s">
        <v>36</v>
      </c>
      <c r="B5245" t="s">
        <v>882</v>
      </c>
      <c r="C5245">
        <v>1057</v>
      </c>
      <c r="D5245" t="s">
        <v>937</v>
      </c>
      <c r="E5245" t="s">
        <v>130</v>
      </c>
      <c r="F5245" t="s">
        <v>218</v>
      </c>
      <c r="G5245" t="s">
        <v>122</v>
      </c>
      <c r="H5245" t="s">
        <v>158</v>
      </c>
      <c r="I5245" t="s">
        <v>139</v>
      </c>
      <c r="J5245" t="s">
        <v>123</v>
      </c>
      <c r="K5245" t="s">
        <v>231</v>
      </c>
      <c r="L5245" t="s">
        <v>99</v>
      </c>
      <c r="M5245">
        <v>1057</v>
      </c>
      <c r="N5245" t="s">
        <v>409</v>
      </c>
      <c r="O5245" t="s">
        <v>138</v>
      </c>
      <c r="P5245" t="s">
        <v>130</v>
      </c>
      <c r="Q5245" t="s">
        <v>141</v>
      </c>
      <c r="R5245" t="s">
        <v>117</v>
      </c>
      <c r="S5245" t="s">
        <v>253</v>
      </c>
      <c r="T5245" t="s">
        <v>136</v>
      </c>
      <c r="U5245" t="s">
        <v>104</v>
      </c>
      <c r="V5245" t="s">
        <v>99</v>
      </c>
      <c r="W5245">
        <v>1057</v>
      </c>
      <c r="X5245" t="s">
        <v>314</v>
      </c>
      <c r="Y5245" t="s">
        <v>126</v>
      </c>
      <c r="Z5245" t="s">
        <v>124</v>
      </c>
      <c r="AA5245" t="s">
        <v>268</v>
      </c>
      <c r="AB5245" t="s">
        <v>101</v>
      </c>
      <c r="AC5245" t="s">
        <v>126</v>
      </c>
      <c r="AD5245" t="s">
        <v>108</v>
      </c>
      <c r="AE5245" t="s">
        <v>99</v>
      </c>
      <c r="AF5245" t="s">
        <v>115</v>
      </c>
      <c r="AG5245">
        <v>1057</v>
      </c>
      <c r="AH5245" t="s">
        <v>250</v>
      </c>
      <c r="AI5245" t="s">
        <v>108</v>
      </c>
      <c r="AJ5245" t="s">
        <v>134</v>
      </c>
      <c r="AK5245" t="s">
        <v>382</v>
      </c>
      <c r="AL5245" t="s">
        <v>123</v>
      </c>
      <c r="AM5245" t="s">
        <v>115</v>
      </c>
      <c r="AN5245" t="s">
        <v>104</v>
      </c>
      <c r="AO5245" t="s">
        <v>253</v>
      </c>
      <c r="AP5245" t="s">
        <v>141</v>
      </c>
      <c r="AQ5245">
        <v>1057</v>
      </c>
      <c r="AR5245" t="s">
        <v>409</v>
      </c>
      <c r="AS5245" t="s">
        <v>127</v>
      </c>
      <c r="AT5245" t="s">
        <v>149</v>
      </c>
      <c r="AU5245" t="s">
        <v>292</v>
      </c>
      <c r="AV5245" t="s">
        <v>136</v>
      </c>
      <c r="AW5245" t="s">
        <v>319</v>
      </c>
      <c r="AX5245" t="s">
        <v>108</v>
      </c>
      <c r="AY5245" t="s">
        <v>104</v>
      </c>
      <c r="AZ5245" t="s">
        <v>198</v>
      </c>
    </row>
    <row r="5246" spans="1:52" x14ac:dyDescent="0.3">
      <c r="A5246" t="s">
        <v>34</v>
      </c>
      <c r="B5246" t="s">
        <v>880</v>
      </c>
      <c r="C5246">
        <v>351</v>
      </c>
      <c r="D5246" t="s">
        <v>1187</v>
      </c>
      <c r="E5246" t="s">
        <v>138</v>
      </c>
      <c r="F5246" t="s">
        <v>41</v>
      </c>
      <c r="G5246" t="s">
        <v>151</v>
      </c>
      <c r="H5246" t="s">
        <v>100</v>
      </c>
      <c r="I5246" t="s">
        <v>115</v>
      </c>
      <c r="J5246" t="s">
        <v>99</v>
      </c>
      <c r="K5246" t="s">
        <v>710</v>
      </c>
      <c r="L5246" t="s">
        <v>126</v>
      </c>
      <c r="M5246">
        <v>351</v>
      </c>
      <c r="N5246" t="s">
        <v>161</v>
      </c>
      <c r="O5246" t="s">
        <v>268</v>
      </c>
      <c r="P5246" t="s">
        <v>319</v>
      </c>
      <c r="Q5246" t="s">
        <v>151</v>
      </c>
      <c r="R5246" t="s">
        <v>108</v>
      </c>
      <c r="S5246" t="s">
        <v>99</v>
      </c>
      <c r="T5246" t="s">
        <v>99</v>
      </c>
      <c r="U5246" t="s">
        <v>99</v>
      </c>
      <c r="V5246" t="s">
        <v>141</v>
      </c>
      <c r="W5246">
        <v>351</v>
      </c>
      <c r="X5246" t="s">
        <v>161</v>
      </c>
      <c r="Y5246" t="s">
        <v>136</v>
      </c>
      <c r="Z5246" t="s">
        <v>268</v>
      </c>
      <c r="AA5246" t="s">
        <v>101</v>
      </c>
      <c r="AB5246" t="s">
        <v>99</v>
      </c>
      <c r="AC5246" t="s">
        <v>127</v>
      </c>
      <c r="AD5246" t="s">
        <v>253</v>
      </c>
      <c r="AE5246" t="s">
        <v>115</v>
      </c>
      <c r="AF5246" t="s">
        <v>99</v>
      </c>
      <c r="AG5246">
        <v>351</v>
      </c>
      <c r="AH5246" t="s">
        <v>211</v>
      </c>
      <c r="AI5246" t="s">
        <v>99</v>
      </c>
      <c r="AJ5246" t="s">
        <v>99</v>
      </c>
      <c r="AK5246" t="s">
        <v>99</v>
      </c>
      <c r="AL5246" t="s">
        <v>99</v>
      </c>
      <c r="AM5246" t="s">
        <v>99</v>
      </c>
      <c r="AN5246" t="s">
        <v>99</v>
      </c>
      <c r="AO5246" t="s">
        <v>99</v>
      </c>
      <c r="AP5246" t="s">
        <v>99</v>
      </c>
      <c r="AQ5246">
        <v>351</v>
      </c>
      <c r="AR5246" t="s">
        <v>786</v>
      </c>
      <c r="AS5246" t="s">
        <v>207</v>
      </c>
      <c r="AT5246" t="s">
        <v>121</v>
      </c>
      <c r="AU5246" t="s">
        <v>136</v>
      </c>
      <c r="AV5246" t="s">
        <v>99</v>
      </c>
      <c r="AW5246" t="s">
        <v>104</v>
      </c>
      <c r="AX5246" t="s">
        <v>127</v>
      </c>
      <c r="AY5246" t="s">
        <v>104</v>
      </c>
      <c r="AZ5246" t="s">
        <v>115</v>
      </c>
    </row>
    <row r="5247" spans="1:52" x14ac:dyDescent="0.3">
      <c r="A5247" t="s">
        <v>34</v>
      </c>
      <c r="B5247" t="s">
        <v>881</v>
      </c>
      <c r="C5247">
        <v>861</v>
      </c>
      <c r="D5247" t="s">
        <v>621</v>
      </c>
      <c r="E5247" t="s">
        <v>103</v>
      </c>
      <c r="F5247" t="s">
        <v>220</v>
      </c>
      <c r="G5247" t="s">
        <v>420</v>
      </c>
      <c r="H5247" t="s">
        <v>158</v>
      </c>
      <c r="I5247" t="s">
        <v>138</v>
      </c>
      <c r="J5247" t="s">
        <v>108</v>
      </c>
      <c r="K5247" t="s">
        <v>686</v>
      </c>
      <c r="L5247" t="s">
        <v>126</v>
      </c>
      <c r="M5247">
        <v>861</v>
      </c>
      <c r="N5247" t="s">
        <v>1253</v>
      </c>
      <c r="O5247" t="s">
        <v>305</v>
      </c>
      <c r="P5247" t="s">
        <v>107</v>
      </c>
      <c r="Q5247" t="s">
        <v>123</v>
      </c>
      <c r="R5247" t="s">
        <v>138</v>
      </c>
      <c r="S5247" t="s">
        <v>319</v>
      </c>
      <c r="T5247" t="s">
        <v>115</v>
      </c>
      <c r="U5247" t="s">
        <v>104</v>
      </c>
      <c r="V5247" t="s">
        <v>104</v>
      </c>
      <c r="W5247">
        <v>861</v>
      </c>
      <c r="X5247" t="s">
        <v>168</v>
      </c>
      <c r="Y5247" t="s">
        <v>292</v>
      </c>
      <c r="Z5247" t="s">
        <v>110</v>
      </c>
      <c r="AA5247" t="s">
        <v>712</v>
      </c>
      <c r="AB5247" t="s">
        <v>115</v>
      </c>
      <c r="AC5247" t="s">
        <v>130</v>
      </c>
      <c r="AD5247" t="s">
        <v>99</v>
      </c>
      <c r="AE5247" t="s">
        <v>121</v>
      </c>
      <c r="AF5247" t="s">
        <v>104</v>
      </c>
      <c r="AG5247">
        <v>861</v>
      </c>
      <c r="AH5247" t="s">
        <v>367</v>
      </c>
      <c r="AI5247" t="s">
        <v>141</v>
      </c>
      <c r="AJ5247" t="s">
        <v>114</v>
      </c>
      <c r="AK5247" t="s">
        <v>151</v>
      </c>
      <c r="AL5247" t="s">
        <v>141</v>
      </c>
      <c r="AM5247" t="s">
        <v>104</v>
      </c>
      <c r="AN5247" t="s">
        <v>141</v>
      </c>
      <c r="AO5247" t="s">
        <v>99</v>
      </c>
      <c r="AP5247" t="s">
        <v>104</v>
      </c>
      <c r="AQ5247">
        <v>861</v>
      </c>
      <c r="AR5247" t="s">
        <v>764</v>
      </c>
      <c r="AS5247" t="s">
        <v>101</v>
      </c>
      <c r="AT5247" t="s">
        <v>134</v>
      </c>
      <c r="AU5247" t="s">
        <v>316</v>
      </c>
      <c r="AV5247" t="s">
        <v>136</v>
      </c>
      <c r="AW5247" t="s">
        <v>121</v>
      </c>
      <c r="AX5247" t="s">
        <v>316</v>
      </c>
      <c r="AY5247" t="s">
        <v>99</v>
      </c>
      <c r="AZ5247" t="s">
        <v>207</v>
      </c>
    </row>
    <row r="5248" spans="1:52" x14ac:dyDescent="0.3">
      <c r="A5248" t="s">
        <v>34</v>
      </c>
      <c r="B5248" t="s">
        <v>882</v>
      </c>
      <c r="C5248">
        <v>868</v>
      </c>
      <c r="D5248" t="s">
        <v>1106</v>
      </c>
      <c r="E5248" t="s">
        <v>684</v>
      </c>
      <c r="F5248" t="s">
        <v>251</v>
      </c>
      <c r="G5248" t="s">
        <v>70</v>
      </c>
      <c r="H5248" t="s">
        <v>242</v>
      </c>
      <c r="I5248" t="s">
        <v>120</v>
      </c>
      <c r="J5248" t="s">
        <v>108</v>
      </c>
      <c r="K5248" t="s">
        <v>294</v>
      </c>
      <c r="L5248" t="s">
        <v>115</v>
      </c>
      <c r="M5248">
        <v>868</v>
      </c>
      <c r="N5248" t="s">
        <v>966</v>
      </c>
      <c r="O5248" t="s">
        <v>149</v>
      </c>
      <c r="P5248" t="s">
        <v>155</v>
      </c>
      <c r="Q5248" t="s">
        <v>101</v>
      </c>
      <c r="R5248" t="s">
        <v>101</v>
      </c>
      <c r="S5248" t="s">
        <v>253</v>
      </c>
      <c r="T5248" t="s">
        <v>99</v>
      </c>
      <c r="U5248" t="s">
        <v>99</v>
      </c>
      <c r="V5248" t="s">
        <v>99</v>
      </c>
      <c r="W5248">
        <v>868</v>
      </c>
      <c r="X5248" t="s">
        <v>320</v>
      </c>
      <c r="Y5248" t="s">
        <v>111</v>
      </c>
      <c r="Z5248" t="s">
        <v>412</v>
      </c>
      <c r="AA5248" t="s">
        <v>215</v>
      </c>
      <c r="AB5248" t="s">
        <v>101</v>
      </c>
      <c r="AC5248" t="s">
        <v>110</v>
      </c>
      <c r="AD5248" t="s">
        <v>207</v>
      </c>
      <c r="AE5248" t="s">
        <v>207</v>
      </c>
      <c r="AF5248" t="s">
        <v>141</v>
      </c>
      <c r="AG5248">
        <v>868</v>
      </c>
      <c r="AH5248" t="s">
        <v>378</v>
      </c>
      <c r="AI5248" t="s">
        <v>101</v>
      </c>
      <c r="AJ5248" t="s">
        <v>155</v>
      </c>
      <c r="AK5248" t="s">
        <v>132</v>
      </c>
      <c r="AL5248" t="s">
        <v>207</v>
      </c>
      <c r="AM5248" t="s">
        <v>141</v>
      </c>
      <c r="AN5248" t="s">
        <v>127</v>
      </c>
      <c r="AO5248" t="s">
        <v>207</v>
      </c>
      <c r="AP5248" t="s">
        <v>141</v>
      </c>
      <c r="AQ5248">
        <v>868</v>
      </c>
      <c r="AR5248" t="s">
        <v>166</v>
      </c>
      <c r="AS5248" t="s">
        <v>108</v>
      </c>
      <c r="AT5248" t="s">
        <v>147</v>
      </c>
      <c r="AU5248" t="s">
        <v>103</v>
      </c>
      <c r="AV5248" t="s">
        <v>115</v>
      </c>
      <c r="AW5248" t="s">
        <v>136</v>
      </c>
      <c r="AX5248" t="s">
        <v>316</v>
      </c>
      <c r="AY5248" t="s">
        <v>207</v>
      </c>
      <c r="AZ5248" t="s">
        <v>141</v>
      </c>
    </row>
    <row r="5249" spans="1:52" x14ac:dyDescent="0.3">
      <c r="A5249" t="s">
        <v>33</v>
      </c>
      <c r="B5249" t="s">
        <v>880</v>
      </c>
      <c r="C5249">
        <v>426</v>
      </c>
      <c r="D5249" t="s">
        <v>1457</v>
      </c>
      <c r="E5249" t="s">
        <v>157</v>
      </c>
      <c r="F5249" t="s">
        <v>68</v>
      </c>
      <c r="G5249" t="s">
        <v>434</v>
      </c>
      <c r="H5249" t="s">
        <v>316</v>
      </c>
      <c r="I5249" t="s">
        <v>126</v>
      </c>
      <c r="J5249" t="s">
        <v>198</v>
      </c>
      <c r="K5249" t="s">
        <v>671</v>
      </c>
      <c r="L5249" t="s">
        <v>207</v>
      </c>
      <c r="M5249">
        <v>426</v>
      </c>
      <c r="N5249" t="s">
        <v>202</v>
      </c>
      <c r="O5249" t="s">
        <v>114</v>
      </c>
      <c r="P5249" t="s">
        <v>115</v>
      </c>
      <c r="Q5249" t="s">
        <v>141</v>
      </c>
      <c r="R5249" t="s">
        <v>99</v>
      </c>
      <c r="S5249" t="s">
        <v>99</v>
      </c>
      <c r="T5249" t="s">
        <v>99</v>
      </c>
      <c r="U5249" t="s">
        <v>99</v>
      </c>
      <c r="V5249" t="s">
        <v>99</v>
      </c>
      <c r="W5249">
        <v>426</v>
      </c>
      <c r="X5249" t="s">
        <v>202</v>
      </c>
      <c r="Y5249" t="s">
        <v>207</v>
      </c>
      <c r="Z5249" t="s">
        <v>114</v>
      </c>
      <c r="AA5249" t="s">
        <v>136</v>
      </c>
      <c r="AB5249" t="s">
        <v>207</v>
      </c>
      <c r="AC5249" t="s">
        <v>198</v>
      </c>
      <c r="AD5249" t="s">
        <v>99</v>
      </c>
      <c r="AE5249" t="s">
        <v>99</v>
      </c>
      <c r="AF5249" t="s">
        <v>99</v>
      </c>
      <c r="AG5249">
        <v>426</v>
      </c>
      <c r="AH5249" t="s">
        <v>211</v>
      </c>
      <c r="AI5249" t="s">
        <v>99</v>
      </c>
      <c r="AJ5249" t="s">
        <v>99</v>
      </c>
      <c r="AK5249" t="s">
        <v>99</v>
      </c>
      <c r="AL5249" t="s">
        <v>99</v>
      </c>
      <c r="AM5249" t="s">
        <v>99</v>
      </c>
      <c r="AN5249" t="s">
        <v>99</v>
      </c>
      <c r="AO5249" t="s">
        <v>99</v>
      </c>
      <c r="AP5249" t="s">
        <v>99</v>
      </c>
      <c r="AQ5249">
        <v>426</v>
      </c>
      <c r="AR5249" t="s">
        <v>999</v>
      </c>
      <c r="AS5249" t="s">
        <v>207</v>
      </c>
      <c r="AT5249" t="s">
        <v>207</v>
      </c>
      <c r="AU5249" t="s">
        <v>136</v>
      </c>
      <c r="AV5249" t="s">
        <v>207</v>
      </c>
      <c r="AW5249" t="s">
        <v>99</v>
      </c>
      <c r="AX5249" t="s">
        <v>99</v>
      </c>
      <c r="AY5249" t="s">
        <v>99</v>
      </c>
      <c r="AZ5249" t="s">
        <v>99</v>
      </c>
    </row>
    <row r="5250" spans="1:52" x14ac:dyDescent="0.3">
      <c r="A5250" t="s">
        <v>33</v>
      </c>
      <c r="B5250" t="s">
        <v>881</v>
      </c>
      <c r="C5250">
        <v>682</v>
      </c>
      <c r="D5250" t="s">
        <v>925</v>
      </c>
      <c r="E5250" t="s">
        <v>316</v>
      </c>
      <c r="F5250" t="s">
        <v>160</v>
      </c>
      <c r="G5250" t="s">
        <v>277</v>
      </c>
      <c r="H5250" t="s">
        <v>143</v>
      </c>
      <c r="I5250" t="s">
        <v>254</v>
      </c>
      <c r="J5250" t="s">
        <v>101</v>
      </c>
      <c r="K5250" t="s">
        <v>298</v>
      </c>
      <c r="L5250" t="s">
        <v>141</v>
      </c>
      <c r="M5250">
        <v>682</v>
      </c>
      <c r="N5250" t="s">
        <v>247</v>
      </c>
      <c r="O5250" t="s">
        <v>147</v>
      </c>
      <c r="P5250" t="s">
        <v>127</v>
      </c>
      <c r="Q5250" t="s">
        <v>207</v>
      </c>
      <c r="R5250" t="s">
        <v>127</v>
      </c>
      <c r="S5250" t="s">
        <v>207</v>
      </c>
      <c r="T5250" t="s">
        <v>141</v>
      </c>
      <c r="U5250" t="s">
        <v>198</v>
      </c>
      <c r="V5250" t="s">
        <v>99</v>
      </c>
      <c r="W5250">
        <v>682</v>
      </c>
      <c r="X5250" t="s">
        <v>771</v>
      </c>
      <c r="Y5250" t="s">
        <v>123</v>
      </c>
      <c r="Z5250" t="s">
        <v>123</v>
      </c>
      <c r="AA5250" t="s">
        <v>108</v>
      </c>
      <c r="AB5250" t="s">
        <v>132</v>
      </c>
      <c r="AC5250" t="s">
        <v>207</v>
      </c>
      <c r="AD5250" t="s">
        <v>115</v>
      </c>
      <c r="AE5250" t="s">
        <v>99</v>
      </c>
      <c r="AF5250" t="s">
        <v>99</v>
      </c>
      <c r="AG5250">
        <v>682</v>
      </c>
      <c r="AH5250" t="s">
        <v>383</v>
      </c>
      <c r="AI5250" t="s">
        <v>207</v>
      </c>
      <c r="AJ5250" t="s">
        <v>136</v>
      </c>
      <c r="AK5250" t="s">
        <v>104</v>
      </c>
      <c r="AL5250" t="s">
        <v>198</v>
      </c>
      <c r="AM5250" t="s">
        <v>104</v>
      </c>
      <c r="AN5250" t="s">
        <v>141</v>
      </c>
      <c r="AO5250" t="s">
        <v>99</v>
      </c>
      <c r="AP5250" t="s">
        <v>99</v>
      </c>
      <c r="AQ5250">
        <v>682</v>
      </c>
      <c r="AR5250" t="s">
        <v>758</v>
      </c>
      <c r="AS5250" t="s">
        <v>101</v>
      </c>
      <c r="AT5250" t="s">
        <v>215</v>
      </c>
      <c r="AU5250" t="s">
        <v>126</v>
      </c>
      <c r="AV5250" t="s">
        <v>207</v>
      </c>
      <c r="AW5250" t="s">
        <v>115</v>
      </c>
      <c r="AX5250" t="s">
        <v>99</v>
      </c>
      <c r="AY5250" t="s">
        <v>99</v>
      </c>
      <c r="AZ5250" t="s">
        <v>99</v>
      </c>
    </row>
    <row r="5251" spans="1:52" x14ac:dyDescent="0.3">
      <c r="A5251" t="s">
        <v>33</v>
      </c>
      <c r="B5251" t="s">
        <v>882</v>
      </c>
      <c r="C5251">
        <v>829</v>
      </c>
      <c r="D5251" t="s">
        <v>1153</v>
      </c>
      <c r="E5251" t="s">
        <v>332</v>
      </c>
      <c r="F5251" t="s">
        <v>663</v>
      </c>
      <c r="G5251" t="s">
        <v>98</v>
      </c>
      <c r="H5251" t="s">
        <v>134</v>
      </c>
      <c r="I5251" t="s">
        <v>154</v>
      </c>
      <c r="J5251" t="s">
        <v>382</v>
      </c>
      <c r="K5251" t="s">
        <v>251</v>
      </c>
      <c r="L5251" t="s">
        <v>99</v>
      </c>
      <c r="M5251">
        <v>829</v>
      </c>
      <c r="N5251" t="s">
        <v>331</v>
      </c>
      <c r="O5251" t="s">
        <v>292</v>
      </c>
      <c r="P5251" t="s">
        <v>108</v>
      </c>
      <c r="Q5251" t="s">
        <v>207</v>
      </c>
      <c r="R5251" t="s">
        <v>115</v>
      </c>
      <c r="S5251" t="s">
        <v>207</v>
      </c>
      <c r="T5251" t="s">
        <v>207</v>
      </c>
      <c r="U5251" t="s">
        <v>99</v>
      </c>
      <c r="V5251" t="s">
        <v>99</v>
      </c>
      <c r="W5251">
        <v>829</v>
      </c>
      <c r="X5251" t="s">
        <v>333</v>
      </c>
      <c r="Y5251" t="s">
        <v>108</v>
      </c>
      <c r="Z5251" t="s">
        <v>101</v>
      </c>
      <c r="AA5251" t="s">
        <v>136</v>
      </c>
      <c r="AB5251" t="s">
        <v>104</v>
      </c>
      <c r="AC5251" t="s">
        <v>253</v>
      </c>
      <c r="AD5251" t="s">
        <v>207</v>
      </c>
      <c r="AE5251" t="s">
        <v>104</v>
      </c>
      <c r="AF5251" t="s">
        <v>99</v>
      </c>
      <c r="AG5251">
        <v>829</v>
      </c>
      <c r="AH5251" t="s">
        <v>336</v>
      </c>
      <c r="AI5251" t="s">
        <v>141</v>
      </c>
      <c r="AJ5251" t="s">
        <v>126</v>
      </c>
      <c r="AK5251" t="s">
        <v>253</v>
      </c>
      <c r="AL5251" t="s">
        <v>207</v>
      </c>
      <c r="AM5251" t="s">
        <v>99</v>
      </c>
      <c r="AN5251" t="s">
        <v>198</v>
      </c>
      <c r="AO5251" t="s">
        <v>104</v>
      </c>
      <c r="AP5251" t="s">
        <v>99</v>
      </c>
      <c r="AQ5251">
        <v>829</v>
      </c>
      <c r="AR5251" t="s">
        <v>998</v>
      </c>
      <c r="AS5251" t="s">
        <v>101</v>
      </c>
      <c r="AT5251" t="s">
        <v>253</v>
      </c>
      <c r="AU5251" t="s">
        <v>136</v>
      </c>
      <c r="AV5251" t="s">
        <v>198</v>
      </c>
      <c r="AW5251" t="s">
        <v>104</v>
      </c>
      <c r="AX5251" t="s">
        <v>141</v>
      </c>
      <c r="AY5251" t="s">
        <v>99</v>
      </c>
      <c r="AZ5251" t="s">
        <v>99</v>
      </c>
    </row>
    <row r="5252" spans="1:52" x14ac:dyDescent="0.3">
      <c r="A5252" t="s">
        <v>49</v>
      </c>
      <c r="B5252" t="s">
        <v>880</v>
      </c>
      <c r="C5252">
        <v>2426</v>
      </c>
      <c r="D5252" t="s">
        <v>1227</v>
      </c>
      <c r="E5252" t="s">
        <v>112</v>
      </c>
      <c r="F5252" t="s">
        <v>122</v>
      </c>
      <c r="G5252" t="s">
        <v>144</v>
      </c>
      <c r="H5252" t="s">
        <v>129</v>
      </c>
      <c r="I5252" t="s">
        <v>157</v>
      </c>
      <c r="J5252" t="s">
        <v>126</v>
      </c>
      <c r="K5252" t="s">
        <v>171</v>
      </c>
      <c r="L5252" t="s">
        <v>115</v>
      </c>
      <c r="M5252">
        <v>2426</v>
      </c>
      <c r="N5252" t="s">
        <v>241</v>
      </c>
      <c r="O5252" t="s">
        <v>151</v>
      </c>
      <c r="P5252" t="s">
        <v>126</v>
      </c>
      <c r="Q5252" t="s">
        <v>114</v>
      </c>
      <c r="R5252" t="s">
        <v>108</v>
      </c>
      <c r="S5252" t="s">
        <v>132</v>
      </c>
      <c r="T5252" t="s">
        <v>198</v>
      </c>
      <c r="U5252" t="s">
        <v>104</v>
      </c>
      <c r="V5252" t="s">
        <v>198</v>
      </c>
      <c r="W5252">
        <v>2426</v>
      </c>
      <c r="X5252" t="s">
        <v>359</v>
      </c>
      <c r="Y5252" t="s">
        <v>127</v>
      </c>
      <c r="Z5252" t="s">
        <v>292</v>
      </c>
      <c r="AA5252" t="s">
        <v>123</v>
      </c>
      <c r="AB5252" t="s">
        <v>115</v>
      </c>
      <c r="AC5252" t="s">
        <v>151</v>
      </c>
      <c r="AD5252" t="s">
        <v>136</v>
      </c>
      <c r="AE5252" t="s">
        <v>198</v>
      </c>
      <c r="AF5252" t="s">
        <v>104</v>
      </c>
      <c r="AG5252">
        <v>2426</v>
      </c>
      <c r="AH5252" t="s">
        <v>211</v>
      </c>
      <c r="AI5252" t="s">
        <v>99</v>
      </c>
      <c r="AJ5252" t="s">
        <v>99</v>
      </c>
      <c r="AK5252" t="s">
        <v>99</v>
      </c>
      <c r="AL5252" t="s">
        <v>99</v>
      </c>
      <c r="AM5252" t="s">
        <v>99</v>
      </c>
      <c r="AN5252" t="s">
        <v>99</v>
      </c>
      <c r="AO5252" t="s">
        <v>99</v>
      </c>
      <c r="AP5252" t="s">
        <v>99</v>
      </c>
      <c r="AQ5252">
        <v>2426</v>
      </c>
      <c r="AR5252" t="s">
        <v>241</v>
      </c>
      <c r="AS5252" t="s">
        <v>100</v>
      </c>
      <c r="AT5252" t="s">
        <v>319</v>
      </c>
      <c r="AU5252" t="s">
        <v>108</v>
      </c>
      <c r="AV5252" t="s">
        <v>108</v>
      </c>
      <c r="AW5252" t="s">
        <v>207</v>
      </c>
      <c r="AX5252" t="s">
        <v>382</v>
      </c>
      <c r="AY5252" t="s">
        <v>207</v>
      </c>
      <c r="AZ5252" t="s">
        <v>207</v>
      </c>
    </row>
    <row r="5253" spans="1:52" x14ac:dyDescent="0.3">
      <c r="A5253" t="s">
        <v>49</v>
      </c>
      <c r="B5253" t="s">
        <v>881</v>
      </c>
      <c r="C5253">
        <v>4942</v>
      </c>
      <c r="D5253" t="s">
        <v>1154</v>
      </c>
      <c r="E5253" t="s">
        <v>712</v>
      </c>
      <c r="F5253" t="s">
        <v>401</v>
      </c>
      <c r="G5253" t="s">
        <v>299</v>
      </c>
      <c r="H5253" t="s">
        <v>401</v>
      </c>
      <c r="I5253" t="s">
        <v>124</v>
      </c>
      <c r="J5253" t="s">
        <v>103</v>
      </c>
      <c r="K5253" t="s">
        <v>473</v>
      </c>
      <c r="L5253" t="s">
        <v>108</v>
      </c>
      <c r="M5253">
        <v>4942</v>
      </c>
      <c r="N5253" t="s">
        <v>1292</v>
      </c>
      <c r="O5253" t="s">
        <v>98</v>
      </c>
      <c r="P5253" t="s">
        <v>155</v>
      </c>
      <c r="Q5253" t="s">
        <v>123</v>
      </c>
      <c r="R5253" t="s">
        <v>105</v>
      </c>
      <c r="S5253" t="s">
        <v>127</v>
      </c>
      <c r="T5253" t="s">
        <v>115</v>
      </c>
      <c r="U5253" t="s">
        <v>198</v>
      </c>
      <c r="V5253" t="s">
        <v>198</v>
      </c>
      <c r="W5253">
        <v>4942</v>
      </c>
      <c r="X5253" t="s">
        <v>761</v>
      </c>
      <c r="Y5253" t="s">
        <v>138</v>
      </c>
      <c r="Z5253" t="s">
        <v>118</v>
      </c>
      <c r="AA5253" t="s">
        <v>105</v>
      </c>
      <c r="AB5253" t="s">
        <v>127</v>
      </c>
      <c r="AC5253" t="s">
        <v>130</v>
      </c>
      <c r="AD5253" t="s">
        <v>101</v>
      </c>
      <c r="AE5253" t="s">
        <v>136</v>
      </c>
      <c r="AF5253" t="s">
        <v>198</v>
      </c>
      <c r="AG5253">
        <v>4942</v>
      </c>
      <c r="AH5253" t="s">
        <v>998</v>
      </c>
      <c r="AI5253" t="s">
        <v>141</v>
      </c>
      <c r="AJ5253" t="s">
        <v>253</v>
      </c>
      <c r="AK5253" t="s">
        <v>115</v>
      </c>
      <c r="AL5253" t="s">
        <v>136</v>
      </c>
      <c r="AM5253" t="s">
        <v>104</v>
      </c>
      <c r="AN5253" t="s">
        <v>253</v>
      </c>
      <c r="AO5253" t="s">
        <v>104</v>
      </c>
      <c r="AP5253" t="s">
        <v>104</v>
      </c>
      <c r="AQ5253">
        <v>4942</v>
      </c>
      <c r="AR5253" t="s">
        <v>1007</v>
      </c>
      <c r="AS5253" t="s">
        <v>151</v>
      </c>
      <c r="AT5253" t="s">
        <v>128</v>
      </c>
      <c r="AU5253" t="s">
        <v>292</v>
      </c>
      <c r="AV5253" t="s">
        <v>108</v>
      </c>
      <c r="AW5253" t="s">
        <v>100</v>
      </c>
      <c r="AX5253" t="s">
        <v>157</v>
      </c>
      <c r="AY5253" t="s">
        <v>207</v>
      </c>
      <c r="AZ5253" t="s">
        <v>207</v>
      </c>
    </row>
    <row r="5254" spans="1:52" x14ac:dyDescent="0.3">
      <c r="A5254" t="s">
        <v>49</v>
      </c>
      <c r="B5254" t="s">
        <v>882</v>
      </c>
      <c r="C5254">
        <v>5954</v>
      </c>
      <c r="D5254" t="s">
        <v>576</v>
      </c>
      <c r="E5254" t="s">
        <v>675</v>
      </c>
      <c r="F5254" t="s">
        <v>220</v>
      </c>
      <c r="G5254" t="s">
        <v>420</v>
      </c>
      <c r="H5254" t="s">
        <v>74</v>
      </c>
      <c r="I5254" t="s">
        <v>129</v>
      </c>
      <c r="J5254" t="s">
        <v>319</v>
      </c>
      <c r="K5254" t="s">
        <v>416</v>
      </c>
      <c r="L5254" t="s">
        <v>198</v>
      </c>
      <c r="M5254">
        <v>5954</v>
      </c>
      <c r="N5254" t="s">
        <v>71</v>
      </c>
      <c r="O5254" t="s">
        <v>120</v>
      </c>
      <c r="P5254" t="s">
        <v>292</v>
      </c>
      <c r="Q5254" t="s">
        <v>141</v>
      </c>
      <c r="R5254" t="s">
        <v>100</v>
      </c>
      <c r="S5254" t="s">
        <v>253</v>
      </c>
      <c r="T5254" t="s">
        <v>136</v>
      </c>
      <c r="U5254" t="s">
        <v>99</v>
      </c>
      <c r="V5254" t="s">
        <v>99</v>
      </c>
      <c r="W5254">
        <v>5954</v>
      </c>
      <c r="X5254" t="s">
        <v>169</v>
      </c>
      <c r="Y5254" t="s">
        <v>126</v>
      </c>
      <c r="Z5254" t="s">
        <v>128</v>
      </c>
      <c r="AA5254" t="s">
        <v>382</v>
      </c>
      <c r="AB5254" t="s">
        <v>132</v>
      </c>
      <c r="AC5254" t="s">
        <v>151</v>
      </c>
      <c r="AD5254" t="s">
        <v>207</v>
      </c>
      <c r="AE5254" t="s">
        <v>104</v>
      </c>
      <c r="AF5254" t="s">
        <v>198</v>
      </c>
      <c r="AG5254">
        <v>5954</v>
      </c>
      <c r="AH5254" t="s">
        <v>75</v>
      </c>
      <c r="AI5254" t="s">
        <v>132</v>
      </c>
      <c r="AJ5254" t="s">
        <v>215</v>
      </c>
      <c r="AK5254" t="s">
        <v>114</v>
      </c>
      <c r="AL5254" t="s">
        <v>114</v>
      </c>
      <c r="AM5254" t="s">
        <v>207</v>
      </c>
      <c r="AN5254" t="s">
        <v>114</v>
      </c>
      <c r="AO5254" t="s">
        <v>198</v>
      </c>
      <c r="AP5254" t="s">
        <v>198</v>
      </c>
      <c r="AQ5254">
        <v>5954</v>
      </c>
      <c r="AR5254" t="s">
        <v>362</v>
      </c>
      <c r="AS5254" t="s">
        <v>319</v>
      </c>
      <c r="AT5254" t="s">
        <v>127</v>
      </c>
      <c r="AU5254" t="s">
        <v>121</v>
      </c>
      <c r="AV5254" t="s">
        <v>115</v>
      </c>
      <c r="AW5254" t="s">
        <v>207</v>
      </c>
      <c r="AX5254" t="s">
        <v>126</v>
      </c>
      <c r="AY5254" t="s">
        <v>104</v>
      </c>
      <c r="AZ5254" t="s">
        <v>104</v>
      </c>
    </row>
    <row r="5256" spans="1:52" x14ac:dyDescent="0.3">
      <c r="A5256" t="s">
        <v>1711</v>
      </c>
    </row>
    <row r="5257" spans="1:52" x14ac:dyDescent="0.3">
      <c r="A5257" t="s">
        <v>44</v>
      </c>
      <c r="B5257" t="s">
        <v>32</v>
      </c>
      <c r="C5257" t="s">
        <v>1712</v>
      </c>
      <c r="D5257" t="s">
        <v>1713</v>
      </c>
      <c r="E5257" t="s">
        <v>1714</v>
      </c>
    </row>
    <row r="5258" spans="1:52" x14ac:dyDescent="0.3">
      <c r="A5258" t="s">
        <v>35</v>
      </c>
      <c r="B5258">
        <v>3103</v>
      </c>
      <c r="C5258" t="s">
        <v>290</v>
      </c>
      <c r="D5258" t="s">
        <v>287</v>
      </c>
      <c r="E5258" t="s">
        <v>316</v>
      </c>
    </row>
    <row r="5259" spans="1:52" x14ac:dyDescent="0.3">
      <c r="A5259" t="s">
        <v>37</v>
      </c>
      <c r="B5259">
        <v>3793</v>
      </c>
      <c r="C5259" t="s">
        <v>324</v>
      </c>
      <c r="D5259" t="s">
        <v>277</v>
      </c>
      <c r="E5259" t="s">
        <v>117</v>
      </c>
    </row>
    <row r="5260" spans="1:52" x14ac:dyDescent="0.3">
      <c r="A5260" t="s">
        <v>36</v>
      </c>
      <c r="B5260">
        <v>2287</v>
      </c>
      <c r="C5260" t="s">
        <v>448</v>
      </c>
      <c r="D5260" t="s">
        <v>248</v>
      </c>
      <c r="E5260" t="s">
        <v>110</v>
      </c>
    </row>
    <row r="5261" spans="1:52" x14ac:dyDescent="0.3">
      <c r="A5261" t="s">
        <v>34</v>
      </c>
      <c r="B5261">
        <v>2045</v>
      </c>
      <c r="C5261" t="s">
        <v>394</v>
      </c>
      <c r="D5261" t="s">
        <v>708</v>
      </c>
      <c r="E5261" t="s">
        <v>154</v>
      </c>
    </row>
    <row r="5262" spans="1:52" x14ac:dyDescent="0.3">
      <c r="A5262" t="s">
        <v>33</v>
      </c>
      <c r="B5262">
        <v>1933</v>
      </c>
      <c r="C5262" t="s">
        <v>333</v>
      </c>
      <c r="D5262" t="s">
        <v>107</v>
      </c>
      <c r="E5262" t="s">
        <v>115</v>
      </c>
    </row>
    <row r="5263" spans="1:52" x14ac:dyDescent="0.3">
      <c r="A5263" t="s">
        <v>49</v>
      </c>
      <c r="B5263">
        <v>13161</v>
      </c>
      <c r="C5263" t="s">
        <v>232</v>
      </c>
      <c r="D5263" t="s">
        <v>401</v>
      </c>
      <c r="E5263" t="s">
        <v>103</v>
      </c>
    </row>
    <row r="5265" spans="1:6" x14ac:dyDescent="0.3">
      <c r="A5265" t="s">
        <v>1715</v>
      </c>
    </row>
    <row r="5266" spans="1:6" x14ac:dyDescent="0.3">
      <c r="A5266" t="s">
        <v>44</v>
      </c>
      <c r="B5266" t="s">
        <v>361</v>
      </c>
      <c r="C5266" t="s">
        <v>32</v>
      </c>
      <c r="D5266" t="s">
        <v>1712</v>
      </c>
      <c r="E5266" t="s">
        <v>1713</v>
      </c>
      <c r="F5266" t="s">
        <v>1714</v>
      </c>
    </row>
    <row r="5267" spans="1:6" x14ac:dyDescent="0.3">
      <c r="A5267" t="s">
        <v>35</v>
      </c>
      <c r="B5267" t="s">
        <v>339</v>
      </c>
      <c r="C5267">
        <v>869</v>
      </c>
      <c r="D5267" t="s">
        <v>1640</v>
      </c>
      <c r="E5267" t="s">
        <v>677</v>
      </c>
      <c r="F5267" t="s">
        <v>149</v>
      </c>
    </row>
    <row r="5268" spans="1:6" x14ac:dyDescent="0.3">
      <c r="A5268" t="s">
        <v>35</v>
      </c>
      <c r="B5268" t="s">
        <v>340</v>
      </c>
      <c r="C5268">
        <v>2194</v>
      </c>
      <c r="D5268" t="s">
        <v>180</v>
      </c>
      <c r="E5268" t="s">
        <v>251</v>
      </c>
      <c r="F5268" t="s">
        <v>127</v>
      </c>
    </row>
    <row r="5269" spans="1:6" x14ac:dyDescent="0.3">
      <c r="A5269" t="s">
        <v>35</v>
      </c>
      <c r="B5269" t="s">
        <v>365</v>
      </c>
      <c r="C5269">
        <v>40</v>
      </c>
      <c r="D5269" t="s">
        <v>211</v>
      </c>
      <c r="E5269" t="s">
        <v>99</v>
      </c>
      <c r="F5269" t="s">
        <v>99</v>
      </c>
    </row>
    <row r="5270" spans="1:6" x14ac:dyDescent="0.3">
      <c r="A5270" t="s">
        <v>37</v>
      </c>
      <c r="B5270" t="s">
        <v>339</v>
      </c>
      <c r="C5270">
        <v>1071</v>
      </c>
      <c r="D5270" t="s">
        <v>762</v>
      </c>
      <c r="E5270" t="s">
        <v>152</v>
      </c>
      <c r="F5270" t="s">
        <v>98</v>
      </c>
    </row>
    <row r="5271" spans="1:6" x14ac:dyDescent="0.3">
      <c r="A5271" t="s">
        <v>37</v>
      </c>
      <c r="B5271" t="s">
        <v>340</v>
      </c>
      <c r="C5271">
        <v>2682</v>
      </c>
      <c r="D5271" t="s">
        <v>467</v>
      </c>
      <c r="E5271" t="s">
        <v>712</v>
      </c>
      <c r="F5271" t="s">
        <v>101</v>
      </c>
    </row>
    <row r="5272" spans="1:6" x14ac:dyDescent="0.3">
      <c r="A5272" t="s">
        <v>37</v>
      </c>
      <c r="B5272" t="s">
        <v>365</v>
      </c>
      <c r="C5272">
        <v>40</v>
      </c>
      <c r="D5272" t="s">
        <v>161</v>
      </c>
      <c r="E5272" t="s">
        <v>160</v>
      </c>
      <c r="F5272" t="s">
        <v>99</v>
      </c>
    </row>
    <row r="5273" spans="1:6" x14ac:dyDescent="0.3">
      <c r="A5273" t="s">
        <v>36</v>
      </c>
      <c r="B5273" t="s">
        <v>339</v>
      </c>
      <c r="C5273">
        <v>761</v>
      </c>
      <c r="D5273" t="s">
        <v>314</v>
      </c>
      <c r="E5273" t="s">
        <v>133</v>
      </c>
      <c r="F5273" t="s">
        <v>139</v>
      </c>
    </row>
    <row r="5274" spans="1:6" x14ac:dyDescent="0.3">
      <c r="A5274" t="s">
        <v>36</v>
      </c>
      <c r="B5274" t="s">
        <v>340</v>
      </c>
      <c r="C5274">
        <v>1465</v>
      </c>
      <c r="D5274" t="s">
        <v>873</v>
      </c>
      <c r="E5274" t="s">
        <v>664</v>
      </c>
      <c r="F5274" t="s">
        <v>155</v>
      </c>
    </row>
    <row r="5275" spans="1:6" x14ac:dyDescent="0.3">
      <c r="A5275" t="s">
        <v>36</v>
      </c>
      <c r="B5275" t="s">
        <v>365</v>
      </c>
      <c r="C5275">
        <v>61</v>
      </c>
      <c r="D5275" t="s">
        <v>314</v>
      </c>
      <c r="E5275" t="s">
        <v>155</v>
      </c>
      <c r="F5275" t="s">
        <v>171</v>
      </c>
    </row>
    <row r="5276" spans="1:6" x14ac:dyDescent="0.3">
      <c r="A5276" t="s">
        <v>34</v>
      </c>
      <c r="B5276" t="s">
        <v>339</v>
      </c>
      <c r="C5276">
        <v>540</v>
      </c>
      <c r="D5276" t="s">
        <v>772</v>
      </c>
      <c r="E5276" t="s">
        <v>700</v>
      </c>
      <c r="F5276" t="s">
        <v>474</v>
      </c>
    </row>
    <row r="5277" spans="1:6" x14ac:dyDescent="0.3">
      <c r="A5277" t="s">
        <v>34</v>
      </c>
      <c r="B5277" t="s">
        <v>340</v>
      </c>
      <c r="C5277">
        <v>1479</v>
      </c>
      <c r="D5277" t="s">
        <v>845</v>
      </c>
      <c r="E5277" t="s">
        <v>470</v>
      </c>
      <c r="F5277" t="s">
        <v>157</v>
      </c>
    </row>
    <row r="5278" spans="1:6" x14ac:dyDescent="0.3">
      <c r="A5278" t="s">
        <v>34</v>
      </c>
      <c r="B5278" t="s">
        <v>365</v>
      </c>
      <c r="C5278">
        <v>26</v>
      </c>
      <c r="D5278" t="s">
        <v>601</v>
      </c>
      <c r="E5278" t="s">
        <v>809</v>
      </c>
      <c r="F5278" t="s">
        <v>277</v>
      </c>
    </row>
    <row r="5279" spans="1:6" x14ac:dyDescent="0.3">
      <c r="A5279" t="s">
        <v>33</v>
      </c>
      <c r="B5279" t="s">
        <v>339</v>
      </c>
      <c r="C5279">
        <v>503</v>
      </c>
      <c r="D5279" t="s">
        <v>75</v>
      </c>
      <c r="E5279" t="s">
        <v>412</v>
      </c>
      <c r="F5279" t="s">
        <v>121</v>
      </c>
    </row>
    <row r="5280" spans="1:6" x14ac:dyDescent="0.3">
      <c r="A5280" t="s">
        <v>33</v>
      </c>
      <c r="B5280" t="s">
        <v>340</v>
      </c>
      <c r="C5280">
        <v>1411</v>
      </c>
      <c r="D5280" t="s">
        <v>466</v>
      </c>
      <c r="E5280" t="s">
        <v>111</v>
      </c>
      <c r="F5280" t="s">
        <v>141</v>
      </c>
    </row>
    <row r="5281" spans="1:6" x14ac:dyDescent="0.3">
      <c r="A5281" t="s">
        <v>33</v>
      </c>
      <c r="B5281" t="s">
        <v>365</v>
      </c>
      <c r="C5281">
        <v>19</v>
      </c>
      <c r="D5281" t="s">
        <v>211</v>
      </c>
      <c r="E5281" t="s">
        <v>99</v>
      </c>
      <c r="F5281" t="s">
        <v>99</v>
      </c>
    </row>
    <row r="5282" spans="1:6" x14ac:dyDescent="0.3">
      <c r="A5282" t="s">
        <v>49</v>
      </c>
      <c r="B5282" t="s">
        <v>339</v>
      </c>
      <c r="C5282">
        <v>3744</v>
      </c>
      <c r="D5282" t="s">
        <v>769</v>
      </c>
      <c r="E5282" t="s">
        <v>716</v>
      </c>
      <c r="F5282" t="s">
        <v>712</v>
      </c>
    </row>
    <row r="5283" spans="1:6" x14ac:dyDescent="0.3">
      <c r="A5283" t="s">
        <v>49</v>
      </c>
      <c r="B5283" t="s">
        <v>340</v>
      </c>
      <c r="C5283">
        <v>9231</v>
      </c>
      <c r="D5283" t="s">
        <v>403</v>
      </c>
      <c r="E5283" t="s">
        <v>152</v>
      </c>
      <c r="F5283" t="s">
        <v>127</v>
      </c>
    </row>
    <row r="5284" spans="1:6" x14ac:dyDescent="0.3">
      <c r="A5284" t="s">
        <v>49</v>
      </c>
      <c r="B5284" t="s">
        <v>365</v>
      </c>
      <c r="C5284">
        <v>186</v>
      </c>
      <c r="D5284" t="s">
        <v>164</v>
      </c>
      <c r="E5284" t="s">
        <v>113</v>
      </c>
      <c r="F5284" t="s">
        <v>120</v>
      </c>
    </row>
    <row r="5286" spans="1:6" x14ac:dyDescent="0.3">
      <c r="A5286" t="s">
        <v>1716</v>
      </c>
    </row>
    <row r="5287" spans="1:6" x14ac:dyDescent="0.3">
      <c r="A5287" t="s">
        <v>44</v>
      </c>
      <c r="B5287" t="s">
        <v>209</v>
      </c>
      <c r="C5287" t="s">
        <v>32</v>
      </c>
      <c r="D5287" t="s">
        <v>1712</v>
      </c>
      <c r="E5287" t="s">
        <v>1713</v>
      </c>
      <c r="F5287" t="s">
        <v>1714</v>
      </c>
    </row>
    <row r="5288" spans="1:6" x14ac:dyDescent="0.3">
      <c r="A5288" t="s">
        <v>35</v>
      </c>
      <c r="B5288" t="s">
        <v>210</v>
      </c>
      <c r="C5288">
        <v>133</v>
      </c>
      <c r="D5288" t="s">
        <v>377</v>
      </c>
      <c r="E5288" t="s">
        <v>41</v>
      </c>
      <c r="F5288" t="s">
        <v>132</v>
      </c>
    </row>
    <row r="5289" spans="1:6" x14ac:dyDescent="0.3">
      <c r="A5289" t="s">
        <v>35</v>
      </c>
      <c r="B5289" t="s">
        <v>212</v>
      </c>
      <c r="C5289">
        <v>2406</v>
      </c>
      <c r="D5289" t="s">
        <v>450</v>
      </c>
      <c r="E5289" t="s">
        <v>179</v>
      </c>
      <c r="F5289" t="s">
        <v>105</v>
      </c>
    </row>
    <row r="5290" spans="1:6" x14ac:dyDescent="0.3">
      <c r="A5290" t="s">
        <v>35</v>
      </c>
      <c r="B5290" t="s">
        <v>216</v>
      </c>
      <c r="C5290">
        <v>564</v>
      </c>
      <c r="D5290" t="s">
        <v>377</v>
      </c>
      <c r="E5290" t="s">
        <v>363</v>
      </c>
      <c r="F5290" t="s">
        <v>319</v>
      </c>
    </row>
    <row r="5291" spans="1:6" x14ac:dyDescent="0.3">
      <c r="A5291" t="s">
        <v>37</v>
      </c>
      <c r="B5291" t="s">
        <v>210</v>
      </c>
      <c r="C5291">
        <v>138</v>
      </c>
      <c r="D5291" t="s">
        <v>161</v>
      </c>
      <c r="E5291" t="s">
        <v>325</v>
      </c>
      <c r="F5291" t="s">
        <v>319</v>
      </c>
    </row>
    <row r="5292" spans="1:6" x14ac:dyDescent="0.3">
      <c r="A5292" t="s">
        <v>37</v>
      </c>
      <c r="B5292" t="s">
        <v>212</v>
      </c>
      <c r="C5292">
        <v>3549</v>
      </c>
      <c r="D5292" t="s">
        <v>79</v>
      </c>
      <c r="E5292" t="s">
        <v>684</v>
      </c>
      <c r="F5292" t="s">
        <v>103</v>
      </c>
    </row>
    <row r="5293" spans="1:6" x14ac:dyDescent="0.3">
      <c r="A5293" t="s">
        <v>37</v>
      </c>
      <c r="B5293" t="s">
        <v>216</v>
      </c>
      <c r="C5293">
        <v>106</v>
      </c>
      <c r="D5293" t="s">
        <v>383</v>
      </c>
      <c r="E5293" t="s">
        <v>100</v>
      </c>
      <c r="F5293" t="s">
        <v>253</v>
      </c>
    </row>
    <row r="5294" spans="1:6" x14ac:dyDescent="0.3">
      <c r="A5294" t="s">
        <v>36</v>
      </c>
      <c r="B5294" t="s">
        <v>210</v>
      </c>
      <c r="C5294">
        <v>163</v>
      </c>
      <c r="D5294" t="s">
        <v>464</v>
      </c>
      <c r="E5294" t="s">
        <v>461</v>
      </c>
      <c r="F5294" t="s">
        <v>152</v>
      </c>
    </row>
    <row r="5295" spans="1:6" x14ac:dyDescent="0.3">
      <c r="A5295" t="s">
        <v>36</v>
      </c>
      <c r="B5295" t="s">
        <v>212</v>
      </c>
      <c r="C5295">
        <v>1865</v>
      </c>
      <c r="D5295" t="s">
        <v>312</v>
      </c>
      <c r="E5295" t="s">
        <v>113</v>
      </c>
      <c r="F5295" t="s">
        <v>129</v>
      </c>
    </row>
    <row r="5296" spans="1:6" x14ac:dyDescent="0.3">
      <c r="A5296" t="s">
        <v>36</v>
      </c>
      <c r="B5296" t="s">
        <v>216</v>
      </c>
      <c r="C5296">
        <v>259</v>
      </c>
      <c r="D5296" t="s">
        <v>337</v>
      </c>
      <c r="E5296" t="s">
        <v>332</v>
      </c>
      <c r="F5296" t="s">
        <v>108</v>
      </c>
    </row>
    <row r="5297" spans="1:6" x14ac:dyDescent="0.3">
      <c r="A5297" t="s">
        <v>34</v>
      </c>
      <c r="B5297" t="s">
        <v>210</v>
      </c>
      <c r="C5297">
        <v>250</v>
      </c>
      <c r="D5297" t="s">
        <v>436</v>
      </c>
      <c r="E5297" t="s">
        <v>718</v>
      </c>
      <c r="F5297" t="s">
        <v>68</v>
      </c>
    </row>
    <row r="5298" spans="1:6" x14ac:dyDescent="0.3">
      <c r="A5298" t="s">
        <v>34</v>
      </c>
      <c r="B5298" t="s">
        <v>212</v>
      </c>
      <c r="C5298">
        <v>1560</v>
      </c>
      <c r="D5298" t="s">
        <v>845</v>
      </c>
      <c r="E5298" t="s">
        <v>262</v>
      </c>
      <c r="F5298" t="s">
        <v>128</v>
      </c>
    </row>
    <row r="5299" spans="1:6" x14ac:dyDescent="0.3">
      <c r="A5299" t="s">
        <v>34</v>
      </c>
      <c r="B5299" t="s">
        <v>216</v>
      </c>
      <c r="C5299">
        <v>235</v>
      </c>
      <c r="D5299" t="s">
        <v>530</v>
      </c>
      <c r="E5299" t="s">
        <v>990</v>
      </c>
      <c r="F5299" t="s">
        <v>74</v>
      </c>
    </row>
    <row r="5300" spans="1:6" x14ac:dyDescent="0.3">
      <c r="A5300" t="s">
        <v>33</v>
      </c>
      <c r="B5300" t="s">
        <v>210</v>
      </c>
      <c r="C5300">
        <v>68</v>
      </c>
      <c r="D5300" t="s">
        <v>378</v>
      </c>
      <c r="E5300" t="s">
        <v>150</v>
      </c>
      <c r="F5300" t="s">
        <v>151</v>
      </c>
    </row>
    <row r="5301" spans="1:6" x14ac:dyDescent="0.3">
      <c r="A5301" t="s">
        <v>33</v>
      </c>
      <c r="B5301" t="s">
        <v>212</v>
      </c>
      <c r="C5301">
        <v>1796</v>
      </c>
      <c r="D5301" t="s">
        <v>776</v>
      </c>
      <c r="E5301" t="s">
        <v>120</v>
      </c>
      <c r="F5301" t="s">
        <v>115</v>
      </c>
    </row>
    <row r="5302" spans="1:6" x14ac:dyDescent="0.3">
      <c r="A5302" t="s">
        <v>33</v>
      </c>
      <c r="B5302" t="s">
        <v>216</v>
      </c>
      <c r="C5302">
        <v>69</v>
      </c>
      <c r="D5302" t="s">
        <v>1017</v>
      </c>
      <c r="E5302" t="s">
        <v>712</v>
      </c>
      <c r="F5302" t="s">
        <v>99</v>
      </c>
    </row>
    <row r="5303" spans="1:6" x14ac:dyDescent="0.3">
      <c r="A5303" t="s">
        <v>49</v>
      </c>
      <c r="B5303" t="s">
        <v>210</v>
      </c>
      <c r="C5303">
        <v>752</v>
      </c>
      <c r="D5303" t="s">
        <v>769</v>
      </c>
      <c r="E5303" t="s">
        <v>408</v>
      </c>
      <c r="F5303" t="s">
        <v>155</v>
      </c>
    </row>
    <row r="5304" spans="1:6" x14ac:dyDescent="0.3">
      <c r="A5304" t="s">
        <v>49</v>
      </c>
      <c r="B5304" t="s">
        <v>212</v>
      </c>
      <c r="C5304">
        <v>11176</v>
      </c>
      <c r="D5304" t="s">
        <v>293</v>
      </c>
      <c r="E5304" t="s">
        <v>184</v>
      </c>
      <c r="F5304" t="s">
        <v>103</v>
      </c>
    </row>
    <row r="5305" spans="1:6" x14ac:dyDescent="0.3">
      <c r="A5305" t="s">
        <v>49</v>
      </c>
      <c r="B5305" t="s">
        <v>216</v>
      </c>
      <c r="C5305">
        <v>1233</v>
      </c>
      <c r="D5305" t="s">
        <v>219</v>
      </c>
      <c r="E5305" t="s">
        <v>133</v>
      </c>
      <c r="F5305" t="s">
        <v>268</v>
      </c>
    </row>
    <row r="5307" spans="1:6" x14ac:dyDescent="0.3">
      <c r="A5307" t="s">
        <v>1717</v>
      </c>
    </row>
    <row r="5308" spans="1:6" x14ac:dyDescent="0.3">
      <c r="A5308" t="s">
        <v>44</v>
      </c>
      <c r="B5308" t="s">
        <v>388</v>
      </c>
      <c r="C5308" t="s">
        <v>32</v>
      </c>
      <c r="D5308" t="s">
        <v>1712</v>
      </c>
      <c r="E5308" t="s">
        <v>1713</v>
      </c>
      <c r="F5308" t="s">
        <v>1714</v>
      </c>
    </row>
    <row r="5309" spans="1:6" x14ac:dyDescent="0.3">
      <c r="A5309" t="s">
        <v>35</v>
      </c>
      <c r="B5309" t="s">
        <v>389</v>
      </c>
      <c r="C5309">
        <v>2118</v>
      </c>
      <c r="D5309" t="s">
        <v>762</v>
      </c>
      <c r="E5309" t="s">
        <v>379</v>
      </c>
      <c r="F5309" t="s">
        <v>111</v>
      </c>
    </row>
    <row r="5310" spans="1:6" x14ac:dyDescent="0.3">
      <c r="A5310" t="s">
        <v>35</v>
      </c>
      <c r="B5310" t="s">
        <v>390</v>
      </c>
      <c r="C5310">
        <v>856</v>
      </c>
      <c r="D5310" t="s">
        <v>396</v>
      </c>
      <c r="E5310" t="s">
        <v>731</v>
      </c>
      <c r="F5310" t="s">
        <v>129</v>
      </c>
    </row>
    <row r="5311" spans="1:6" x14ac:dyDescent="0.3">
      <c r="A5311" t="s">
        <v>35</v>
      </c>
      <c r="B5311" t="s">
        <v>365</v>
      </c>
      <c r="C5311">
        <v>129</v>
      </c>
      <c r="D5311" t="s">
        <v>466</v>
      </c>
      <c r="E5311" t="s">
        <v>120</v>
      </c>
      <c r="F5311" t="s">
        <v>99</v>
      </c>
    </row>
    <row r="5312" spans="1:6" x14ac:dyDescent="0.3">
      <c r="A5312" t="s">
        <v>37</v>
      </c>
      <c r="B5312" t="s">
        <v>389</v>
      </c>
      <c r="C5312">
        <v>2265</v>
      </c>
      <c r="D5312" t="s">
        <v>161</v>
      </c>
      <c r="E5312" t="s">
        <v>474</v>
      </c>
      <c r="F5312" t="s">
        <v>128</v>
      </c>
    </row>
    <row r="5313" spans="1:6" x14ac:dyDescent="0.3">
      <c r="A5313" t="s">
        <v>37</v>
      </c>
      <c r="B5313" t="s">
        <v>390</v>
      </c>
      <c r="C5313">
        <v>1287</v>
      </c>
      <c r="D5313" t="s">
        <v>421</v>
      </c>
      <c r="E5313" t="s">
        <v>675</v>
      </c>
      <c r="F5313" t="s">
        <v>117</v>
      </c>
    </row>
    <row r="5314" spans="1:6" x14ac:dyDescent="0.3">
      <c r="A5314" t="s">
        <v>37</v>
      </c>
      <c r="B5314" t="s">
        <v>365</v>
      </c>
      <c r="C5314">
        <v>241</v>
      </c>
      <c r="D5314" t="s">
        <v>265</v>
      </c>
      <c r="E5314" t="s">
        <v>332</v>
      </c>
      <c r="F5314" t="s">
        <v>99</v>
      </c>
    </row>
    <row r="5315" spans="1:6" x14ac:dyDescent="0.3">
      <c r="A5315" t="s">
        <v>36</v>
      </c>
      <c r="B5315" t="s">
        <v>389</v>
      </c>
      <c r="C5315">
        <v>1569</v>
      </c>
      <c r="D5315" t="s">
        <v>1010</v>
      </c>
      <c r="E5315" t="s">
        <v>671</v>
      </c>
      <c r="F5315" t="s">
        <v>712</v>
      </c>
    </row>
    <row r="5316" spans="1:6" x14ac:dyDescent="0.3">
      <c r="A5316" t="s">
        <v>36</v>
      </c>
      <c r="B5316" t="s">
        <v>390</v>
      </c>
      <c r="C5316">
        <v>620</v>
      </c>
      <c r="D5316" t="s">
        <v>364</v>
      </c>
      <c r="E5316" t="s">
        <v>684</v>
      </c>
      <c r="F5316" t="s">
        <v>107</v>
      </c>
    </row>
    <row r="5317" spans="1:6" x14ac:dyDescent="0.3">
      <c r="A5317" t="s">
        <v>36</v>
      </c>
      <c r="B5317" t="s">
        <v>365</v>
      </c>
      <c r="C5317">
        <v>98</v>
      </c>
      <c r="D5317" t="s">
        <v>252</v>
      </c>
      <c r="E5317" t="s">
        <v>434</v>
      </c>
      <c r="F5317" t="s">
        <v>110</v>
      </c>
    </row>
    <row r="5318" spans="1:6" x14ac:dyDescent="0.3">
      <c r="A5318" t="s">
        <v>34</v>
      </c>
      <c r="B5318" t="s">
        <v>389</v>
      </c>
      <c r="C5318">
        <v>1369</v>
      </c>
      <c r="D5318" t="s">
        <v>230</v>
      </c>
      <c r="E5318" t="s">
        <v>677</v>
      </c>
      <c r="F5318" t="s">
        <v>434</v>
      </c>
    </row>
    <row r="5319" spans="1:6" x14ac:dyDescent="0.3">
      <c r="A5319" t="s">
        <v>34</v>
      </c>
      <c r="B5319" t="s">
        <v>390</v>
      </c>
      <c r="C5319">
        <v>597</v>
      </c>
      <c r="D5319" t="s">
        <v>885</v>
      </c>
      <c r="E5319" t="s">
        <v>294</v>
      </c>
      <c r="F5319" t="s">
        <v>268</v>
      </c>
    </row>
    <row r="5320" spans="1:6" x14ac:dyDescent="0.3">
      <c r="A5320" t="s">
        <v>34</v>
      </c>
      <c r="B5320" t="s">
        <v>365</v>
      </c>
      <c r="C5320">
        <v>79</v>
      </c>
      <c r="D5320" t="s">
        <v>421</v>
      </c>
      <c r="E5320" t="s">
        <v>109</v>
      </c>
      <c r="F5320" t="s">
        <v>151</v>
      </c>
    </row>
    <row r="5321" spans="1:6" x14ac:dyDescent="0.3">
      <c r="A5321" t="s">
        <v>33</v>
      </c>
      <c r="B5321" t="s">
        <v>389</v>
      </c>
      <c r="C5321">
        <v>1088</v>
      </c>
      <c r="D5321" t="s">
        <v>336</v>
      </c>
      <c r="E5321" t="s">
        <v>128</v>
      </c>
      <c r="F5321" t="s">
        <v>253</v>
      </c>
    </row>
    <row r="5322" spans="1:6" x14ac:dyDescent="0.3">
      <c r="A5322" t="s">
        <v>33</v>
      </c>
      <c r="B5322" t="s">
        <v>390</v>
      </c>
      <c r="C5322">
        <v>707</v>
      </c>
      <c r="D5322" t="s">
        <v>237</v>
      </c>
      <c r="E5322" t="s">
        <v>154</v>
      </c>
      <c r="F5322" t="s">
        <v>141</v>
      </c>
    </row>
    <row r="5323" spans="1:6" x14ac:dyDescent="0.3">
      <c r="A5323" t="s">
        <v>33</v>
      </c>
      <c r="B5323" t="s">
        <v>365</v>
      </c>
      <c r="C5323">
        <v>138</v>
      </c>
      <c r="D5323" t="s">
        <v>782</v>
      </c>
      <c r="E5323" t="s">
        <v>127</v>
      </c>
      <c r="F5323" t="s">
        <v>111</v>
      </c>
    </row>
    <row r="5324" spans="1:6" x14ac:dyDescent="0.3">
      <c r="A5324" t="s">
        <v>49</v>
      </c>
      <c r="B5324" t="s">
        <v>389</v>
      </c>
      <c r="C5324">
        <v>8409</v>
      </c>
      <c r="D5324" t="s">
        <v>1282</v>
      </c>
      <c r="E5324" t="s">
        <v>299</v>
      </c>
      <c r="F5324" t="s">
        <v>128</v>
      </c>
    </row>
    <row r="5325" spans="1:6" x14ac:dyDescent="0.3">
      <c r="A5325" t="s">
        <v>49</v>
      </c>
      <c r="B5325" t="s">
        <v>390</v>
      </c>
      <c r="C5325">
        <v>4067</v>
      </c>
      <c r="D5325" t="s">
        <v>166</v>
      </c>
      <c r="E5325" t="s">
        <v>305</v>
      </c>
      <c r="F5325" t="s">
        <v>103</v>
      </c>
    </row>
    <row r="5326" spans="1:6" x14ac:dyDescent="0.3">
      <c r="A5326" t="s">
        <v>49</v>
      </c>
      <c r="B5326" t="s">
        <v>365</v>
      </c>
      <c r="C5326">
        <v>685</v>
      </c>
      <c r="D5326" t="s">
        <v>786</v>
      </c>
      <c r="E5326" t="s">
        <v>154</v>
      </c>
      <c r="F5326" t="s">
        <v>100</v>
      </c>
    </row>
    <row r="5328" spans="1:6" x14ac:dyDescent="0.3">
      <c r="A5328" t="s">
        <v>1718</v>
      </c>
    </row>
    <row r="5329" spans="1:6" x14ac:dyDescent="0.3">
      <c r="A5329" t="s">
        <v>44</v>
      </c>
      <c r="B5329" t="s">
        <v>235</v>
      </c>
      <c r="C5329" t="s">
        <v>32</v>
      </c>
      <c r="D5329" t="s">
        <v>1712</v>
      </c>
      <c r="E5329" t="s">
        <v>1713</v>
      </c>
      <c r="F5329" t="s">
        <v>1714</v>
      </c>
    </row>
    <row r="5330" spans="1:6" x14ac:dyDescent="0.3">
      <c r="A5330" t="s">
        <v>35</v>
      </c>
      <c r="B5330" t="s">
        <v>236</v>
      </c>
      <c r="C5330">
        <v>1592</v>
      </c>
      <c r="D5330" t="s">
        <v>71</v>
      </c>
      <c r="E5330" t="s">
        <v>74</v>
      </c>
      <c r="F5330" t="s">
        <v>101</v>
      </c>
    </row>
    <row r="5331" spans="1:6" x14ac:dyDescent="0.3">
      <c r="A5331" t="s">
        <v>35</v>
      </c>
      <c r="B5331" t="s">
        <v>238</v>
      </c>
      <c r="C5331">
        <v>1511</v>
      </c>
      <c r="D5331" t="s">
        <v>460</v>
      </c>
      <c r="E5331" t="s">
        <v>222</v>
      </c>
      <c r="F5331" t="s">
        <v>157</v>
      </c>
    </row>
    <row r="5332" spans="1:6" x14ac:dyDescent="0.3">
      <c r="A5332" t="s">
        <v>37</v>
      </c>
      <c r="B5332" t="s">
        <v>236</v>
      </c>
      <c r="C5332">
        <v>2172</v>
      </c>
      <c r="D5332" t="s">
        <v>326</v>
      </c>
      <c r="E5332" t="s">
        <v>139</v>
      </c>
      <c r="F5332" t="s">
        <v>111</v>
      </c>
    </row>
    <row r="5333" spans="1:6" x14ac:dyDescent="0.3">
      <c r="A5333" t="s">
        <v>37</v>
      </c>
      <c r="B5333" t="s">
        <v>238</v>
      </c>
      <c r="C5333">
        <v>1621</v>
      </c>
      <c r="D5333" t="s">
        <v>203</v>
      </c>
      <c r="E5333" t="s">
        <v>328</v>
      </c>
      <c r="F5333" t="s">
        <v>128</v>
      </c>
    </row>
    <row r="5334" spans="1:6" x14ac:dyDescent="0.3">
      <c r="A5334" t="s">
        <v>36</v>
      </c>
      <c r="B5334" t="s">
        <v>236</v>
      </c>
      <c r="C5334">
        <v>1554</v>
      </c>
      <c r="D5334" t="s">
        <v>889</v>
      </c>
      <c r="E5334" t="s">
        <v>122</v>
      </c>
      <c r="F5334" t="s">
        <v>107</v>
      </c>
    </row>
    <row r="5335" spans="1:6" x14ac:dyDescent="0.3">
      <c r="A5335" t="s">
        <v>36</v>
      </c>
      <c r="B5335" t="s">
        <v>238</v>
      </c>
      <c r="C5335">
        <v>733</v>
      </c>
      <c r="D5335" t="s">
        <v>217</v>
      </c>
      <c r="E5335" t="s">
        <v>299</v>
      </c>
      <c r="F5335" t="s">
        <v>139</v>
      </c>
    </row>
    <row r="5336" spans="1:6" x14ac:dyDescent="0.3">
      <c r="A5336" t="s">
        <v>34</v>
      </c>
      <c r="B5336" t="s">
        <v>236</v>
      </c>
      <c r="C5336">
        <v>713</v>
      </c>
      <c r="D5336" t="s">
        <v>230</v>
      </c>
      <c r="E5336" t="s">
        <v>76</v>
      </c>
      <c r="F5336" t="s">
        <v>107</v>
      </c>
    </row>
    <row r="5337" spans="1:6" x14ac:dyDescent="0.3">
      <c r="A5337" t="s">
        <v>34</v>
      </c>
      <c r="B5337" t="s">
        <v>238</v>
      </c>
      <c r="C5337">
        <v>1332</v>
      </c>
      <c r="D5337" t="s">
        <v>464</v>
      </c>
      <c r="E5337" t="s">
        <v>179</v>
      </c>
      <c r="F5337" t="s">
        <v>118</v>
      </c>
    </row>
    <row r="5338" spans="1:6" x14ac:dyDescent="0.3">
      <c r="A5338" t="s">
        <v>33</v>
      </c>
      <c r="B5338" t="s">
        <v>236</v>
      </c>
      <c r="C5338">
        <v>1114</v>
      </c>
      <c r="D5338" t="s">
        <v>404</v>
      </c>
      <c r="E5338" t="s">
        <v>120</v>
      </c>
      <c r="F5338" t="s">
        <v>207</v>
      </c>
    </row>
    <row r="5339" spans="1:6" x14ac:dyDescent="0.3">
      <c r="A5339" t="s">
        <v>33</v>
      </c>
      <c r="B5339" t="s">
        <v>238</v>
      </c>
      <c r="C5339">
        <v>819</v>
      </c>
      <c r="D5339" t="s">
        <v>433</v>
      </c>
      <c r="E5339" t="s">
        <v>157</v>
      </c>
      <c r="F5339" t="s">
        <v>100</v>
      </c>
    </row>
    <row r="5340" spans="1:6" x14ac:dyDescent="0.3">
      <c r="A5340" t="s">
        <v>49</v>
      </c>
      <c r="B5340" t="s">
        <v>236</v>
      </c>
      <c r="C5340">
        <v>7145</v>
      </c>
      <c r="D5340" t="s">
        <v>354</v>
      </c>
      <c r="E5340" t="s">
        <v>143</v>
      </c>
      <c r="F5340" t="s">
        <v>127</v>
      </c>
    </row>
    <row r="5341" spans="1:6" x14ac:dyDescent="0.3">
      <c r="A5341" t="s">
        <v>49</v>
      </c>
      <c r="B5341" t="s">
        <v>238</v>
      </c>
      <c r="C5341">
        <v>6016</v>
      </c>
      <c r="D5341" t="s">
        <v>762</v>
      </c>
      <c r="E5341" t="s">
        <v>133</v>
      </c>
      <c r="F5341" t="s">
        <v>107</v>
      </c>
    </row>
    <row r="5343" spans="1:6" x14ac:dyDescent="0.3">
      <c r="A5343" t="s">
        <v>1719</v>
      </c>
    </row>
    <row r="5344" spans="1:6" x14ac:dyDescent="0.3">
      <c r="A5344" t="s">
        <v>44</v>
      </c>
      <c r="B5344" t="s">
        <v>1720</v>
      </c>
      <c r="C5344" t="s">
        <v>32</v>
      </c>
      <c r="D5344" t="s">
        <v>1712</v>
      </c>
      <c r="E5344" t="s">
        <v>1713</v>
      </c>
      <c r="F5344" t="s">
        <v>1714</v>
      </c>
    </row>
    <row r="5345" spans="1:6" x14ac:dyDescent="0.3">
      <c r="A5345" t="s">
        <v>35</v>
      </c>
      <c r="B5345" t="s">
        <v>1721</v>
      </c>
      <c r="C5345">
        <v>987</v>
      </c>
      <c r="D5345" t="s">
        <v>415</v>
      </c>
      <c r="E5345" t="s">
        <v>112</v>
      </c>
      <c r="F5345" t="s">
        <v>126</v>
      </c>
    </row>
    <row r="5346" spans="1:6" x14ac:dyDescent="0.3">
      <c r="A5346" t="s">
        <v>35</v>
      </c>
      <c r="B5346" t="s">
        <v>1722</v>
      </c>
      <c r="C5346">
        <v>2116</v>
      </c>
      <c r="D5346" t="s">
        <v>785</v>
      </c>
      <c r="E5346" t="s">
        <v>321</v>
      </c>
      <c r="F5346" t="s">
        <v>157</v>
      </c>
    </row>
    <row r="5347" spans="1:6" x14ac:dyDescent="0.3">
      <c r="A5347" t="s">
        <v>37</v>
      </c>
      <c r="B5347" t="s">
        <v>1721</v>
      </c>
      <c r="C5347">
        <v>1228</v>
      </c>
      <c r="D5347" t="s">
        <v>331</v>
      </c>
      <c r="E5347" t="s">
        <v>130</v>
      </c>
      <c r="F5347" t="s">
        <v>136</v>
      </c>
    </row>
    <row r="5348" spans="1:6" x14ac:dyDescent="0.3">
      <c r="A5348" t="s">
        <v>37</v>
      </c>
      <c r="B5348" t="s">
        <v>1722</v>
      </c>
      <c r="C5348">
        <v>2565</v>
      </c>
      <c r="D5348" t="s">
        <v>421</v>
      </c>
      <c r="E5348" t="s">
        <v>124</v>
      </c>
      <c r="F5348" t="s">
        <v>155</v>
      </c>
    </row>
    <row r="5349" spans="1:6" x14ac:dyDescent="0.3">
      <c r="A5349" t="s">
        <v>36</v>
      </c>
      <c r="B5349" t="s">
        <v>1721</v>
      </c>
      <c r="C5349">
        <v>804</v>
      </c>
      <c r="D5349" t="s">
        <v>252</v>
      </c>
      <c r="E5349" t="s">
        <v>158</v>
      </c>
      <c r="F5349" t="s">
        <v>120</v>
      </c>
    </row>
    <row r="5350" spans="1:6" x14ac:dyDescent="0.3">
      <c r="A5350" t="s">
        <v>36</v>
      </c>
      <c r="B5350" t="s">
        <v>1722</v>
      </c>
      <c r="C5350">
        <v>1483</v>
      </c>
      <c r="D5350" t="s">
        <v>430</v>
      </c>
      <c r="E5350" t="s">
        <v>671</v>
      </c>
      <c r="F5350" t="s">
        <v>139</v>
      </c>
    </row>
    <row r="5351" spans="1:6" x14ac:dyDescent="0.3">
      <c r="A5351" t="s">
        <v>34</v>
      </c>
      <c r="B5351" t="s">
        <v>1721</v>
      </c>
      <c r="C5351">
        <v>612</v>
      </c>
      <c r="D5351" t="s">
        <v>290</v>
      </c>
      <c r="E5351" t="s">
        <v>287</v>
      </c>
      <c r="F5351" t="s">
        <v>128</v>
      </c>
    </row>
    <row r="5352" spans="1:6" x14ac:dyDescent="0.3">
      <c r="A5352" t="s">
        <v>34</v>
      </c>
      <c r="B5352" t="s">
        <v>1722</v>
      </c>
      <c r="C5352">
        <v>1433</v>
      </c>
      <c r="D5352" t="s">
        <v>374</v>
      </c>
      <c r="E5352" t="s">
        <v>355</v>
      </c>
      <c r="F5352" t="s">
        <v>129</v>
      </c>
    </row>
    <row r="5353" spans="1:6" x14ac:dyDescent="0.3">
      <c r="A5353" t="s">
        <v>33</v>
      </c>
      <c r="B5353" t="s">
        <v>1721</v>
      </c>
      <c r="C5353">
        <v>557</v>
      </c>
      <c r="D5353" t="s">
        <v>999</v>
      </c>
      <c r="E5353" t="s">
        <v>101</v>
      </c>
      <c r="F5353" t="s">
        <v>99</v>
      </c>
    </row>
    <row r="5354" spans="1:6" x14ac:dyDescent="0.3">
      <c r="A5354" t="s">
        <v>33</v>
      </c>
      <c r="B5354" t="s">
        <v>1722</v>
      </c>
      <c r="C5354">
        <v>1376</v>
      </c>
      <c r="D5354" t="s">
        <v>367</v>
      </c>
      <c r="E5354" t="s">
        <v>134</v>
      </c>
      <c r="F5354" t="s">
        <v>114</v>
      </c>
    </row>
    <row r="5355" spans="1:6" x14ac:dyDescent="0.3">
      <c r="A5355" t="s">
        <v>49</v>
      </c>
      <c r="B5355" t="s">
        <v>1721</v>
      </c>
      <c r="C5355">
        <v>4188</v>
      </c>
      <c r="D5355" t="s">
        <v>391</v>
      </c>
      <c r="E5355" t="s">
        <v>277</v>
      </c>
      <c r="F5355" t="s">
        <v>101</v>
      </c>
    </row>
    <row r="5356" spans="1:6" x14ac:dyDescent="0.3">
      <c r="A5356" t="s">
        <v>49</v>
      </c>
      <c r="B5356" t="s">
        <v>1722</v>
      </c>
      <c r="C5356">
        <v>8973</v>
      </c>
      <c r="D5356" t="s">
        <v>1007</v>
      </c>
      <c r="E5356" t="s">
        <v>133</v>
      </c>
      <c r="F5356" t="s">
        <v>157</v>
      </c>
    </row>
    <row r="5358" spans="1:6" x14ac:dyDescent="0.3">
      <c r="A5358" t="s">
        <v>1723</v>
      </c>
    </row>
    <row r="5359" spans="1:6" x14ac:dyDescent="0.3">
      <c r="A5359" t="s">
        <v>44</v>
      </c>
      <c r="B5359" t="s">
        <v>32</v>
      </c>
      <c r="C5359" t="s">
        <v>1724</v>
      </c>
      <c r="D5359" t="s">
        <v>1725</v>
      </c>
      <c r="E5359" t="s">
        <v>1726</v>
      </c>
    </row>
    <row r="5360" spans="1:6" x14ac:dyDescent="0.3">
      <c r="A5360" t="s">
        <v>35</v>
      </c>
      <c r="B5360">
        <v>3133</v>
      </c>
      <c r="C5360" t="s">
        <v>332</v>
      </c>
      <c r="D5360" t="s">
        <v>782</v>
      </c>
      <c r="E5360" t="s">
        <v>141</v>
      </c>
    </row>
    <row r="5361" spans="1:6" x14ac:dyDescent="0.3">
      <c r="A5361" t="s">
        <v>37</v>
      </c>
      <c r="B5361">
        <v>3835</v>
      </c>
      <c r="C5361" t="s">
        <v>382</v>
      </c>
      <c r="D5361" t="s">
        <v>383</v>
      </c>
      <c r="E5361" t="s">
        <v>104</v>
      </c>
    </row>
    <row r="5362" spans="1:6" x14ac:dyDescent="0.3">
      <c r="A5362" t="s">
        <v>36</v>
      </c>
      <c r="B5362">
        <v>2296</v>
      </c>
      <c r="C5362" t="s">
        <v>277</v>
      </c>
      <c r="D5362" t="s">
        <v>358</v>
      </c>
      <c r="E5362" t="s">
        <v>253</v>
      </c>
    </row>
    <row r="5363" spans="1:6" x14ac:dyDescent="0.3">
      <c r="A5363" t="s">
        <v>34</v>
      </c>
      <c r="B5363">
        <v>2066</v>
      </c>
      <c r="C5363" t="s">
        <v>128</v>
      </c>
      <c r="D5363" t="s">
        <v>998</v>
      </c>
      <c r="E5363" t="s">
        <v>207</v>
      </c>
    </row>
    <row r="5364" spans="1:6" x14ac:dyDescent="0.3">
      <c r="A5364" t="s">
        <v>33</v>
      </c>
      <c r="B5364">
        <v>1936</v>
      </c>
      <c r="C5364" t="s">
        <v>121</v>
      </c>
      <c r="D5364" t="s">
        <v>385</v>
      </c>
      <c r="E5364" t="s">
        <v>99</v>
      </c>
    </row>
    <row r="5365" spans="1:6" x14ac:dyDescent="0.3">
      <c r="A5365" t="s">
        <v>49</v>
      </c>
      <c r="B5365">
        <v>13266</v>
      </c>
      <c r="C5365" t="s">
        <v>316</v>
      </c>
      <c r="D5365" t="s">
        <v>398</v>
      </c>
      <c r="E5365" t="s">
        <v>207</v>
      </c>
    </row>
    <row r="5367" spans="1:6" x14ac:dyDescent="0.3">
      <c r="A5367" t="s">
        <v>1727</v>
      </c>
    </row>
    <row r="5368" spans="1:6" x14ac:dyDescent="0.3">
      <c r="A5368" t="s">
        <v>44</v>
      </c>
      <c r="B5368" t="s">
        <v>361</v>
      </c>
      <c r="C5368" t="s">
        <v>32</v>
      </c>
      <c r="D5368" t="s">
        <v>1724</v>
      </c>
      <c r="E5368" t="s">
        <v>1725</v>
      </c>
      <c r="F5368" t="s">
        <v>1726</v>
      </c>
    </row>
    <row r="5369" spans="1:6" x14ac:dyDescent="0.3">
      <c r="A5369" t="s">
        <v>35</v>
      </c>
      <c r="B5369" t="s">
        <v>339</v>
      </c>
      <c r="C5369">
        <v>883</v>
      </c>
      <c r="D5369" t="s">
        <v>679</v>
      </c>
      <c r="E5369" t="s">
        <v>378</v>
      </c>
      <c r="F5369" t="s">
        <v>126</v>
      </c>
    </row>
    <row r="5370" spans="1:6" x14ac:dyDescent="0.3">
      <c r="A5370" t="s">
        <v>35</v>
      </c>
      <c r="B5370" t="s">
        <v>340</v>
      </c>
      <c r="C5370">
        <v>2210</v>
      </c>
      <c r="D5370" t="s">
        <v>123</v>
      </c>
      <c r="E5370" t="s">
        <v>766</v>
      </c>
      <c r="F5370" t="s">
        <v>104</v>
      </c>
    </row>
    <row r="5371" spans="1:6" x14ac:dyDescent="0.3">
      <c r="A5371" t="s">
        <v>35</v>
      </c>
      <c r="B5371" t="s">
        <v>365</v>
      </c>
      <c r="C5371">
        <v>40</v>
      </c>
      <c r="D5371" t="s">
        <v>332</v>
      </c>
      <c r="E5371" t="s">
        <v>265</v>
      </c>
      <c r="F5371" t="s">
        <v>99</v>
      </c>
    </row>
    <row r="5372" spans="1:6" x14ac:dyDescent="0.3">
      <c r="A5372" t="s">
        <v>37</v>
      </c>
      <c r="B5372" t="s">
        <v>339</v>
      </c>
      <c r="C5372">
        <v>1080</v>
      </c>
      <c r="D5372" t="s">
        <v>128</v>
      </c>
      <c r="E5372" t="s">
        <v>998</v>
      </c>
      <c r="F5372" t="s">
        <v>207</v>
      </c>
    </row>
    <row r="5373" spans="1:6" x14ac:dyDescent="0.3">
      <c r="A5373" t="s">
        <v>37</v>
      </c>
      <c r="B5373" t="s">
        <v>340</v>
      </c>
      <c r="C5373">
        <v>2714</v>
      </c>
      <c r="D5373" t="s">
        <v>121</v>
      </c>
      <c r="E5373" t="s">
        <v>999</v>
      </c>
      <c r="F5373" t="s">
        <v>104</v>
      </c>
    </row>
    <row r="5374" spans="1:6" x14ac:dyDescent="0.3">
      <c r="A5374" t="s">
        <v>37</v>
      </c>
      <c r="B5374" t="s">
        <v>365</v>
      </c>
      <c r="C5374">
        <v>41</v>
      </c>
      <c r="D5374" t="s">
        <v>99</v>
      </c>
      <c r="E5374" t="s">
        <v>211</v>
      </c>
      <c r="F5374" t="s">
        <v>99</v>
      </c>
    </row>
    <row r="5375" spans="1:6" x14ac:dyDescent="0.3">
      <c r="A5375" t="s">
        <v>36</v>
      </c>
      <c r="B5375" t="s">
        <v>339</v>
      </c>
      <c r="C5375">
        <v>766</v>
      </c>
      <c r="D5375" t="s">
        <v>663</v>
      </c>
      <c r="E5375" t="s">
        <v>241</v>
      </c>
      <c r="F5375" t="s">
        <v>104</v>
      </c>
    </row>
    <row r="5376" spans="1:6" x14ac:dyDescent="0.3">
      <c r="A5376" t="s">
        <v>36</v>
      </c>
      <c r="B5376" t="s">
        <v>340</v>
      </c>
      <c r="C5376">
        <v>1467</v>
      </c>
      <c r="D5376" t="s">
        <v>139</v>
      </c>
      <c r="E5376" t="s">
        <v>505</v>
      </c>
      <c r="F5376" t="s">
        <v>108</v>
      </c>
    </row>
    <row r="5377" spans="1:6" x14ac:dyDescent="0.3">
      <c r="A5377" t="s">
        <v>36</v>
      </c>
      <c r="B5377" t="s">
        <v>365</v>
      </c>
      <c r="C5377">
        <v>63</v>
      </c>
      <c r="D5377" t="s">
        <v>99</v>
      </c>
      <c r="E5377" t="s">
        <v>211</v>
      </c>
      <c r="F5377" t="s">
        <v>99</v>
      </c>
    </row>
    <row r="5378" spans="1:6" x14ac:dyDescent="0.3">
      <c r="A5378" t="s">
        <v>34</v>
      </c>
      <c r="B5378" t="s">
        <v>339</v>
      </c>
      <c r="C5378">
        <v>551</v>
      </c>
      <c r="D5378" t="s">
        <v>144</v>
      </c>
      <c r="E5378" t="s">
        <v>241</v>
      </c>
      <c r="F5378" t="s">
        <v>115</v>
      </c>
    </row>
    <row r="5379" spans="1:6" x14ac:dyDescent="0.3">
      <c r="A5379" t="s">
        <v>34</v>
      </c>
      <c r="B5379" t="s">
        <v>340</v>
      </c>
      <c r="C5379">
        <v>1487</v>
      </c>
      <c r="D5379" t="s">
        <v>108</v>
      </c>
      <c r="E5379" t="s">
        <v>225</v>
      </c>
      <c r="F5379" t="s">
        <v>104</v>
      </c>
    </row>
    <row r="5380" spans="1:6" x14ac:dyDescent="0.3">
      <c r="A5380" t="s">
        <v>34</v>
      </c>
      <c r="B5380" t="s">
        <v>365</v>
      </c>
      <c r="C5380">
        <v>28</v>
      </c>
      <c r="D5380" t="s">
        <v>150</v>
      </c>
      <c r="E5380" t="s">
        <v>226</v>
      </c>
      <c r="F5380" t="s">
        <v>99</v>
      </c>
    </row>
    <row r="5381" spans="1:6" x14ac:dyDescent="0.3">
      <c r="A5381" t="s">
        <v>33</v>
      </c>
      <c r="B5381" t="s">
        <v>339</v>
      </c>
      <c r="C5381">
        <v>502</v>
      </c>
      <c r="D5381" t="s">
        <v>151</v>
      </c>
      <c r="E5381" t="s">
        <v>766</v>
      </c>
      <c r="F5381" t="s">
        <v>99</v>
      </c>
    </row>
    <row r="5382" spans="1:6" x14ac:dyDescent="0.3">
      <c r="A5382" t="s">
        <v>33</v>
      </c>
      <c r="B5382" t="s">
        <v>340</v>
      </c>
      <c r="C5382">
        <v>1415</v>
      </c>
      <c r="D5382" t="s">
        <v>132</v>
      </c>
      <c r="E5382" t="s">
        <v>989</v>
      </c>
      <c r="F5382" t="s">
        <v>99</v>
      </c>
    </row>
    <row r="5383" spans="1:6" x14ac:dyDescent="0.3">
      <c r="A5383" t="s">
        <v>33</v>
      </c>
      <c r="B5383" t="s">
        <v>365</v>
      </c>
      <c r="C5383">
        <v>19</v>
      </c>
      <c r="D5383" t="s">
        <v>99</v>
      </c>
      <c r="E5383" t="s">
        <v>211</v>
      </c>
      <c r="F5383" t="s">
        <v>99</v>
      </c>
    </row>
    <row r="5384" spans="1:6" x14ac:dyDescent="0.3">
      <c r="A5384" t="s">
        <v>49</v>
      </c>
      <c r="B5384" t="s">
        <v>339</v>
      </c>
      <c r="C5384">
        <v>3782</v>
      </c>
      <c r="D5384" t="s">
        <v>412</v>
      </c>
      <c r="E5384" t="s">
        <v>358</v>
      </c>
      <c r="F5384" t="s">
        <v>115</v>
      </c>
    </row>
    <row r="5385" spans="1:6" x14ac:dyDescent="0.3">
      <c r="A5385" t="s">
        <v>49</v>
      </c>
      <c r="B5385" t="s">
        <v>340</v>
      </c>
      <c r="C5385">
        <v>9293</v>
      </c>
      <c r="D5385" t="s">
        <v>382</v>
      </c>
      <c r="E5385" t="s">
        <v>383</v>
      </c>
      <c r="F5385" t="s">
        <v>104</v>
      </c>
    </row>
    <row r="5386" spans="1:6" x14ac:dyDescent="0.3">
      <c r="A5386" t="s">
        <v>49</v>
      </c>
      <c r="B5386" t="s">
        <v>365</v>
      </c>
      <c r="C5386">
        <v>191</v>
      </c>
      <c r="D5386" t="s">
        <v>117</v>
      </c>
      <c r="E5386" t="s">
        <v>476</v>
      </c>
      <c r="F5386" t="s">
        <v>99</v>
      </c>
    </row>
    <row r="5388" spans="1:6" x14ac:dyDescent="0.3">
      <c r="A5388" t="s">
        <v>1728</v>
      </c>
    </row>
    <row r="5389" spans="1:6" x14ac:dyDescent="0.3">
      <c r="A5389" t="s">
        <v>44</v>
      </c>
      <c r="B5389" t="s">
        <v>209</v>
      </c>
      <c r="C5389" t="s">
        <v>32</v>
      </c>
      <c r="D5389" t="s">
        <v>1724</v>
      </c>
      <c r="E5389" t="s">
        <v>1725</v>
      </c>
      <c r="F5389" t="s">
        <v>1726</v>
      </c>
    </row>
    <row r="5390" spans="1:6" x14ac:dyDescent="0.3">
      <c r="A5390" t="s">
        <v>35</v>
      </c>
      <c r="B5390" t="s">
        <v>210</v>
      </c>
      <c r="C5390">
        <v>134</v>
      </c>
      <c r="D5390" t="s">
        <v>369</v>
      </c>
      <c r="E5390" t="s">
        <v>392</v>
      </c>
      <c r="F5390" t="s">
        <v>99</v>
      </c>
    </row>
    <row r="5391" spans="1:6" x14ac:dyDescent="0.3">
      <c r="A5391" t="s">
        <v>35</v>
      </c>
      <c r="B5391" t="s">
        <v>212</v>
      </c>
      <c r="C5391">
        <v>2433</v>
      </c>
      <c r="D5391" t="s">
        <v>110</v>
      </c>
      <c r="E5391" t="s">
        <v>367</v>
      </c>
      <c r="F5391" t="s">
        <v>115</v>
      </c>
    </row>
    <row r="5392" spans="1:6" x14ac:dyDescent="0.3">
      <c r="A5392" t="s">
        <v>35</v>
      </c>
      <c r="B5392" t="s">
        <v>216</v>
      </c>
      <c r="C5392">
        <v>566</v>
      </c>
      <c r="D5392" t="s">
        <v>121</v>
      </c>
      <c r="E5392" t="s">
        <v>385</v>
      </c>
      <c r="F5392" t="s">
        <v>99</v>
      </c>
    </row>
    <row r="5393" spans="1:6" x14ac:dyDescent="0.3">
      <c r="A5393" t="s">
        <v>37</v>
      </c>
      <c r="B5393" t="s">
        <v>210</v>
      </c>
      <c r="C5393">
        <v>138</v>
      </c>
      <c r="D5393" t="s">
        <v>126</v>
      </c>
      <c r="E5393" t="s">
        <v>229</v>
      </c>
      <c r="F5393" t="s">
        <v>99</v>
      </c>
    </row>
    <row r="5394" spans="1:6" x14ac:dyDescent="0.3">
      <c r="A5394" t="s">
        <v>37</v>
      </c>
      <c r="B5394" t="s">
        <v>212</v>
      </c>
      <c r="C5394">
        <v>3587</v>
      </c>
      <c r="D5394" t="s">
        <v>382</v>
      </c>
      <c r="E5394" t="s">
        <v>383</v>
      </c>
      <c r="F5394" t="s">
        <v>104</v>
      </c>
    </row>
    <row r="5395" spans="1:6" x14ac:dyDescent="0.3">
      <c r="A5395" t="s">
        <v>37</v>
      </c>
      <c r="B5395" t="s">
        <v>216</v>
      </c>
      <c r="C5395">
        <v>110</v>
      </c>
      <c r="D5395" t="s">
        <v>111</v>
      </c>
      <c r="E5395" t="s">
        <v>202</v>
      </c>
      <c r="F5395" t="s">
        <v>99</v>
      </c>
    </row>
    <row r="5396" spans="1:6" x14ac:dyDescent="0.3">
      <c r="A5396" t="s">
        <v>36</v>
      </c>
      <c r="B5396" t="s">
        <v>210</v>
      </c>
      <c r="C5396">
        <v>163</v>
      </c>
      <c r="D5396" t="s">
        <v>157</v>
      </c>
      <c r="E5396" t="s">
        <v>384</v>
      </c>
      <c r="F5396" t="s">
        <v>104</v>
      </c>
    </row>
    <row r="5397" spans="1:6" x14ac:dyDescent="0.3">
      <c r="A5397" t="s">
        <v>36</v>
      </c>
      <c r="B5397" t="s">
        <v>212</v>
      </c>
      <c r="C5397">
        <v>1870</v>
      </c>
      <c r="D5397" t="s">
        <v>328</v>
      </c>
      <c r="E5397" t="s">
        <v>391</v>
      </c>
      <c r="F5397" t="s">
        <v>132</v>
      </c>
    </row>
    <row r="5398" spans="1:6" x14ac:dyDescent="0.3">
      <c r="A5398" t="s">
        <v>36</v>
      </c>
      <c r="B5398" t="s">
        <v>216</v>
      </c>
      <c r="C5398">
        <v>263</v>
      </c>
      <c r="D5398" t="s">
        <v>138</v>
      </c>
      <c r="E5398" t="s">
        <v>336</v>
      </c>
      <c r="F5398" t="s">
        <v>99</v>
      </c>
    </row>
    <row r="5399" spans="1:6" x14ac:dyDescent="0.3">
      <c r="A5399" t="s">
        <v>34</v>
      </c>
      <c r="B5399" t="s">
        <v>210</v>
      </c>
      <c r="C5399">
        <v>255</v>
      </c>
      <c r="D5399" t="s">
        <v>147</v>
      </c>
      <c r="E5399" t="s">
        <v>398</v>
      </c>
      <c r="F5399" t="s">
        <v>99</v>
      </c>
    </row>
    <row r="5400" spans="1:6" x14ac:dyDescent="0.3">
      <c r="A5400" t="s">
        <v>34</v>
      </c>
      <c r="B5400" t="s">
        <v>212</v>
      </c>
      <c r="C5400">
        <v>1571</v>
      </c>
      <c r="D5400" t="s">
        <v>292</v>
      </c>
      <c r="E5400" t="s">
        <v>202</v>
      </c>
      <c r="F5400" t="s">
        <v>104</v>
      </c>
    </row>
    <row r="5401" spans="1:6" x14ac:dyDescent="0.3">
      <c r="A5401" t="s">
        <v>34</v>
      </c>
      <c r="B5401" t="s">
        <v>216</v>
      </c>
      <c r="C5401">
        <v>240</v>
      </c>
      <c r="D5401" t="s">
        <v>124</v>
      </c>
      <c r="E5401" t="s">
        <v>226</v>
      </c>
      <c r="F5401" t="s">
        <v>126</v>
      </c>
    </row>
    <row r="5402" spans="1:6" x14ac:dyDescent="0.3">
      <c r="A5402" t="s">
        <v>33</v>
      </c>
      <c r="B5402" t="s">
        <v>210</v>
      </c>
      <c r="C5402">
        <v>68</v>
      </c>
      <c r="D5402" t="s">
        <v>101</v>
      </c>
      <c r="E5402" t="s">
        <v>999</v>
      </c>
      <c r="F5402" t="s">
        <v>99</v>
      </c>
    </row>
    <row r="5403" spans="1:6" x14ac:dyDescent="0.3">
      <c r="A5403" t="s">
        <v>33</v>
      </c>
      <c r="B5403" t="s">
        <v>212</v>
      </c>
      <c r="C5403">
        <v>1799</v>
      </c>
      <c r="D5403" t="s">
        <v>121</v>
      </c>
      <c r="E5403" t="s">
        <v>385</v>
      </c>
      <c r="F5403" t="s">
        <v>99</v>
      </c>
    </row>
    <row r="5404" spans="1:6" x14ac:dyDescent="0.3">
      <c r="A5404" t="s">
        <v>33</v>
      </c>
      <c r="B5404" t="s">
        <v>216</v>
      </c>
      <c r="C5404">
        <v>69</v>
      </c>
      <c r="D5404" t="s">
        <v>99</v>
      </c>
      <c r="E5404" t="s">
        <v>211</v>
      </c>
      <c r="F5404" t="s">
        <v>99</v>
      </c>
    </row>
    <row r="5405" spans="1:6" x14ac:dyDescent="0.3">
      <c r="A5405" t="s">
        <v>49</v>
      </c>
      <c r="B5405" t="s">
        <v>210</v>
      </c>
      <c r="C5405">
        <v>758</v>
      </c>
      <c r="D5405" t="s">
        <v>130</v>
      </c>
      <c r="E5405" t="s">
        <v>237</v>
      </c>
      <c r="F5405" t="s">
        <v>99</v>
      </c>
    </row>
    <row r="5406" spans="1:6" x14ac:dyDescent="0.3">
      <c r="A5406" t="s">
        <v>49</v>
      </c>
      <c r="B5406" t="s">
        <v>212</v>
      </c>
      <c r="C5406">
        <v>11260</v>
      </c>
      <c r="D5406" t="s">
        <v>103</v>
      </c>
      <c r="E5406" t="s">
        <v>466</v>
      </c>
      <c r="F5406" t="s">
        <v>207</v>
      </c>
    </row>
    <row r="5407" spans="1:6" x14ac:dyDescent="0.3">
      <c r="A5407" t="s">
        <v>49</v>
      </c>
      <c r="B5407" t="s">
        <v>216</v>
      </c>
      <c r="C5407">
        <v>1248</v>
      </c>
      <c r="D5407" t="s">
        <v>268</v>
      </c>
      <c r="E5407" t="s">
        <v>249</v>
      </c>
      <c r="F5407" t="s">
        <v>207</v>
      </c>
    </row>
    <row r="5409" spans="1:6" x14ac:dyDescent="0.3">
      <c r="A5409" t="s">
        <v>1729</v>
      </c>
    </row>
    <row r="5410" spans="1:6" x14ac:dyDescent="0.3">
      <c r="A5410" t="s">
        <v>44</v>
      </c>
      <c r="B5410" t="s">
        <v>388</v>
      </c>
      <c r="C5410" t="s">
        <v>32</v>
      </c>
      <c r="D5410" t="s">
        <v>1724</v>
      </c>
      <c r="E5410" t="s">
        <v>1725</v>
      </c>
      <c r="F5410" t="s">
        <v>1726</v>
      </c>
    </row>
    <row r="5411" spans="1:6" x14ac:dyDescent="0.3">
      <c r="A5411" t="s">
        <v>35</v>
      </c>
      <c r="B5411" t="s">
        <v>389</v>
      </c>
      <c r="C5411">
        <v>2131</v>
      </c>
      <c r="D5411" t="s">
        <v>155</v>
      </c>
      <c r="E5411" t="s">
        <v>333</v>
      </c>
      <c r="F5411" t="s">
        <v>136</v>
      </c>
    </row>
    <row r="5412" spans="1:6" x14ac:dyDescent="0.3">
      <c r="A5412" t="s">
        <v>35</v>
      </c>
      <c r="B5412" t="s">
        <v>390</v>
      </c>
      <c r="C5412">
        <v>873</v>
      </c>
      <c r="D5412" t="s">
        <v>474</v>
      </c>
      <c r="E5412" t="s">
        <v>335</v>
      </c>
      <c r="F5412" t="s">
        <v>108</v>
      </c>
    </row>
    <row r="5413" spans="1:6" x14ac:dyDescent="0.3">
      <c r="A5413" t="s">
        <v>35</v>
      </c>
      <c r="B5413" t="s">
        <v>365</v>
      </c>
      <c r="C5413">
        <v>129</v>
      </c>
      <c r="D5413" t="s">
        <v>99</v>
      </c>
      <c r="E5413" t="s">
        <v>211</v>
      </c>
      <c r="F5413" t="s">
        <v>99</v>
      </c>
    </row>
    <row r="5414" spans="1:6" x14ac:dyDescent="0.3">
      <c r="A5414" t="s">
        <v>37</v>
      </c>
      <c r="B5414" t="s">
        <v>389</v>
      </c>
      <c r="C5414">
        <v>2294</v>
      </c>
      <c r="D5414" t="s">
        <v>126</v>
      </c>
      <c r="E5414" t="s">
        <v>993</v>
      </c>
      <c r="F5414" t="s">
        <v>198</v>
      </c>
    </row>
    <row r="5415" spans="1:6" x14ac:dyDescent="0.3">
      <c r="A5415" t="s">
        <v>37</v>
      </c>
      <c r="B5415" t="s">
        <v>390</v>
      </c>
      <c r="C5415">
        <v>1303</v>
      </c>
      <c r="D5415" t="s">
        <v>123</v>
      </c>
      <c r="E5415" t="s">
        <v>766</v>
      </c>
      <c r="F5415" t="s">
        <v>104</v>
      </c>
    </row>
    <row r="5416" spans="1:6" x14ac:dyDescent="0.3">
      <c r="A5416" t="s">
        <v>37</v>
      </c>
      <c r="B5416" t="s">
        <v>365</v>
      </c>
      <c r="C5416">
        <v>238</v>
      </c>
      <c r="D5416" t="s">
        <v>100</v>
      </c>
      <c r="E5416" t="s">
        <v>982</v>
      </c>
      <c r="F5416" t="s">
        <v>99</v>
      </c>
    </row>
    <row r="5417" spans="1:6" x14ac:dyDescent="0.3">
      <c r="A5417" t="s">
        <v>36</v>
      </c>
      <c r="B5417" t="s">
        <v>389</v>
      </c>
      <c r="C5417">
        <v>1570</v>
      </c>
      <c r="D5417" t="s">
        <v>112</v>
      </c>
      <c r="E5417" t="s">
        <v>375</v>
      </c>
      <c r="F5417" t="s">
        <v>136</v>
      </c>
    </row>
    <row r="5418" spans="1:6" x14ac:dyDescent="0.3">
      <c r="A5418" t="s">
        <v>36</v>
      </c>
      <c r="B5418" t="s">
        <v>390</v>
      </c>
      <c r="C5418">
        <v>626</v>
      </c>
      <c r="D5418" t="s">
        <v>70</v>
      </c>
      <c r="E5418" t="s">
        <v>403</v>
      </c>
      <c r="F5418" t="s">
        <v>100</v>
      </c>
    </row>
    <row r="5419" spans="1:6" x14ac:dyDescent="0.3">
      <c r="A5419" t="s">
        <v>36</v>
      </c>
      <c r="B5419" t="s">
        <v>365</v>
      </c>
      <c r="C5419">
        <v>100</v>
      </c>
      <c r="D5419" t="s">
        <v>382</v>
      </c>
      <c r="E5419" t="s">
        <v>993</v>
      </c>
      <c r="F5419" t="s">
        <v>99</v>
      </c>
    </row>
    <row r="5420" spans="1:6" x14ac:dyDescent="0.3">
      <c r="A5420" t="s">
        <v>34</v>
      </c>
      <c r="B5420" t="s">
        <v>389</v>
      </c>
      <c r="C5420">
        <v>1375</v>
      </c>
      <c r="D5420" t="s">
        <v>134</v>
      </c>
      <c r="E5420" t="s">
        <v>237</v>
      </c>
      <c r="F5420" t="s">
        <v>136</v>
      </c>
    </row>
    <row r="5421" spans="1:6" x14ac:dyDescent="0.3">
      <c r="A5421" t="s">
        <v>34</v>
      </c>
      <c r="B5421" t="s">
        <v>390</v>
      </c>
      <c r="C5421">
        <v>611</v>
      </c>
      <c r="D5421" t="s">
        <v>115</v>
      </c>
      <c r="E5421" t="s">
        <v>989</v>
      </c>
      <c r="F5421" t="s">
        <v>104</v>
      </c>
    </row>
    <row r="5422" spans="1:6" x14ac:dyDescent="0.3">
      <c r="A5422" t="s">
        <v>34</v>
      </c>
      <c r="B5422" t="s">
        <v>365</v>
      </c>
      <c r="C5422">
        <v>80</v>
      </c>
      <c r="D5422" t="s">
        <v>215</v>
      </c>
      <c r="E5422" t="s">
        <v>383</v>
      </c>
      <c r="F5422" t="s">
        <v>99</v>
      </c>
    </row>
    <row r="5423" spans="1:6" x14ac:dyDescent="0.3">
      <c r="A5423" t="s">
        <v>33</v>
      </c>
      <c r="B5423" t="s">
        <v>389</v>
      </c>
      <c r="C5423">
        <v>1090</v>
      </c>
      <c r="D5423" t="s">
        <v>108</v>
      </c>
      <c r="E5423" t="s">
        <v>1022</v>
      </c>
      <c r="F5423" t="s">
        <v>99</v>
      </c>
    </row>
    <row r="5424" spans="1:6" x14ac:dyDescent="0.3">
      <c r="A5424" t="s">
        <v>33</v>
      </c>
      <c r="B5424" t="s">
        <v>390</v>
      </c>
      <c r="C5424">
        <v>707</v>
      </c>
      <c r="D5424" t="s">
        <v>126</v>
      </c>
      <c r="E5424" t="s">
        <v>229</v>
      </c>
      <c r="F5424" t="s">
        <v>99</v>
      </c>
    </row>
    <row r="5425" spans="1:6" x14ac:dyDescent="0.3">
      <c r="A5425" t="s">
        <v>33</v>
      </c>
      <c r="B5425" t="s">
        <v>365</v>
      </c>
      <c r="C5425">
        <v>139</v>
      </c>
      <c r="D5425" t="s">
        <v>100</v>
      </c>
      <c r="E5425" t="s">
        <v>982</v>
      </c>
      <c r="F5425" t="s">
        <v>99</v>
      </c>
    </row>
    <row r="5426" spans="1:6" x14ac:dyDescent="0.3">
      <c r="A5426" t="s">
        <v>49</v>
      </c>
      <c r="B5426" t="s">
        <v>389</v>
      </c>
      <c r="C5426">
        <v>8460</v>
      </c>
      <c r="D5426" t="s">
        <v>128</v>
      </c>
      <c r="E5426" t="s">
        <v>998</v>
      </c>
      <c r="F5426" t="s">
        <v>207</v>
      </c>
    </row>
    <row r="5427" spans="1:6" x14ac:dyDescent="0.3">
      <c r="A5427" t="s">
        <v>49</v>
      </c>
      <c r="B5427" t="s">
        <v>390</v>
      </c>
      <c r="C5427">
        <v>4120</v>
      </c>
      <c r="D5427" t="s">
        <v>128</v>
      </c>
      <c r="E5427" t="s">
        <v>998</v>
      </c>
      <c r="F5427" t="s">
        <v>136</v>
      </c>
    </row>
    <row r="5428" spans="1:6" x14ac:dyDescent="0.3">
      <c r="A5428" t="s">
        <v>49</v>
      </c>
      <c r="B5428" t="s">
        <v>365</v>
      </c>
      <c r="C5428">
        <v>686</v>
      </c>
      <c r="D5428" t="s">
        <v>114</v>
      </c>
      <c r="E5428" t="s">
        <v>225</v>
      </c>
      <c r="F5428" t="s">
        <v>99</v>
      </c>
    </row>
    <row r="5430" spans="1:6" x14ac:dyDescent="0.3">
      <c r="A5430" t="s">
        <v>1730</v>
      </c>
    </row>
    <row r="5431" spans="1:6" x14ac:dyDescent="0.3">
      <c r="A5431" t="s">
        <v>44</v>
      </c>
      <c r="B5431" t="s">
        <v>235</v>
      </c>
      <c r="C5431" t="s">
        <v>32</v>
      </c>
      <c r="D5431" t="s">
        <v>1724</v>
      </c>
      <c r="E5431" t="s">
        <v>1725</v>
      </c>
      <c r="F5431" t="s">
        <v>1726</v>
      </c>
    </row>
    <row r="5432" spans="1:6" x14ac:dyDescent="0.3">
      <c r="A5432" t="s">
        <v>35</v>
      </c>
      <c r="B5432" t="s">
        <v>236</v>
      </c>
      <c r="C5432">
        <v>1606</v>
      </c>
      <c r="D5432" t="s">
        <v>382</v>
      </c>
      <c r="E5432" t="s">
        <v>993</v>
      </c>
      <c r="F5432" t="s">
        <v>99</v>
      </c>
    </row>
    <row r="5433" spans="1:6" x14ac:dyDescent="0.3">
      <c r="A5433" t="s">
        <v>35</v>
      </c>
      <c r="B5433" t="s">
        <v>238</v>
      </c>
      <c r="C5433">
        <v>1527</v>
      </c>
      <c r="D5433" t="s">
        <v>712</v>
      </c>
      <c r="E5433" t="s">
        <v>413</v>
      </c>
      <c r="F5433" t="s">
        <v>115</v>
      </c>
    </row>
    <row r="5434" spans="1:6" x14ac:dyDescent="0.3">
      <c r="A5434" t="s">
        <v>37</v>
      </c>
      <c r="B5434" t="s">
        <v>236</v>
      </c>
      <c r="C5434">
        <v>2197</v>
      </c>
      <c r="D5434" t="s">
        <v>382</v>
      </c>
      <c r="E5434" t="s">
        <v>1026</v>
      </c>
      <c r="F5434" t="s">
        <v>198</v>
      </c>
    </row>
    <row r="5435" spans="1:6" x14ac:dyDescent="0.3">
      <c r="A5435" t="s">
        <v>37</v>
      </c>
      <c r="B5435" t="s">
        <v>238</v>
      </c>
      <c r="C5435">
        <v>1638</v>
      </c>
      <c r="D5435" t="s">
        <v>382</v>
      </c>
      <c r="E5435" t="s">
        <v>993</v>
      </c>
      <c r="F5435" t="s">
        <v>99</v>
      </c>
    </row>
    <row r="5436" spans="1:6" x14ac:dyDescent="0.3">
      <c r="A5436" t="s">
        <v>36</v>
      </c>
      <c r="B5436" t="s">
        <v>236</v>
      </c>
      <c r="C5436">
        <v>1559</v>
      </c>
      <c r="D5436" t="s">
        <v>107</v>
      </c>
      <c r="E5436" t="s">
        <v>333</v>
      </c>
      <c r="F5436" t="s">
        <v>115</v>
      </c>
    </row>
    <row r="5437" spans="1:6" x14ac:dyDescent="0.3">
      <c r="A5437" t="s">
        <v>36</v>
      </c>
      <c r="B5437" t="s">
        <v>238</v>
      </c>
      <c r="C5437">
        <v>737</v>
      </c>
      <c r="D5437" t="s">
        <v>135</v>
      </c>
      <c r="E5437" t="s">
        <v>362</v>
      </c>
      <c r="F5437" t="s">
        <v>141</v>
      </c>
    </row>
    <row r="5438" spans="1:6" x14ac:dyDescent="0.3">
      <c r="A5438" t="s">
        <v>34</v>
      </c>
      <c r="B5438" t="s">
        <v>236</v>
      </c>
      <c r="C5438">
        <v>713</v>
      </c>
      <c r="D5438" t="s">
        <v>157</v>
      </c>
      <c r="E5438" t="s">
        <v>265</v>
      </c>
      <c r="F5438" t="s">
        <v>136</v>
      </c>
    </row>
    <row r="5439" spans="1:6" x14ac:dyDescent="0.3">
      <c r="A5439" t="s">
        <v>34</v>
      </c>
      <c r="B5439" t="s">
        <v>238</v>
      </c>
      <c r="C5439">
        <v>1353</v>
      </c>
      <c r="D5439" t="s">
        <v>316</v>
      </c>
      <c r="E5439" t="s">
        <v>466</v>
      </c>
      <c r="F5439" t="s">
        <v>198</v>
      </c>
    </row>
    <row r="5440" spans="1:6" x14ac:dyDescent="0.3">
      <c r="A5440" t="s">
        <v>33</v>
      </c>
      <c r="B5440" t="s">
        <v>236</v>
      </c>
      <c r="C5440">
        <v>1116</v>
      </c>
      <c r="D5440" t="s">
        <v>108</v>
      </c>
      <c r="E5440" t="s">
        <v>1022</v>
      </c>
      <c r="F5440" t="s">
        <v>99</v>
      </c>
    </row>
    <row r="5441" spans="1:6" x14ac:dyDescent="0.3">
      <c r="A5441" t="s">
        <v>33</v>
      </c>
      <c r="B5441" t="s">
        <v>238</v>
      </c>
      <c r="C5441">
        <v>820</v>
      </c>
      <c r="D5441" t="s">
        <v>319</v>
      </c>
      <c r="E5441" t="s">
        <v>483</v>
      </c>
      <c r="F5441" t="s">
        <v>99</v>
      </c>
    </row>
    <row r="5442" spans="1:6" x14ac:dyDescent="0.3">
      <c r="A5442" t="s">
        <v>49</v>
      </c>
      <c r="B5442" t="s">
        <v>236</v>
      </c>
      <c r="C5442">
        <v>7191</v>
      </c>
      <c r="D5442" t="s">
        <v>127</v>
      </c>
      <c r="E5442" t="s">
        <v>766</v>
      </c>
      <c r="F5442" t="s">
        <v>198</v>
      </c>
    </row>
    <row r="5443" spans="1:6" x14ac:dyDescent="0.3">
      <c r="A5443" t="s">
        <v>49</v>
      </c>
      <c r="B5443" t="s">
        <v>238</v>
      </c>
      <c r="C5443">
        <v>6075</v>
      </c>
      <c r="D5443" t="s">
        <v>105</v>
      </c>
      <c r="E5443" t="s">
        <v>265</v>
      </c>
      <c r="F5443" t="s">
        <v>207</v>
      </c>
    </row>
    <row r="5445" spans="1:6" x14ac:dyDescent="0.3">
      <c r="A5445" t="s">
        <v>1731</v>
      </c>
    </row>
    <row r="5446" spans="1:6" x14ac:dyDescent="0.3">
      <c r="A5446" t="s">
        <v>44</v>
      </c>
      <c r="B5446" t="s">
        <v>1720</v>
      </c>
      <c r="C5446" t="s">
        <v>32</v>
      </c>
      <c r="D5446" t="s">
        <v>1724</v>
      </c>
      <c r="E5446" t="s">
        <v>1725</v>
      </c>
      <c r="F5446" t="s">
        <v>1726</v>
      </c>
    </row>
    <row r="5447" spans="1:6" x14ac:dyDescent="0.3">
      <c r="A5447" t="s">
        <v>35</v>
      </c>
      <c r="B5447" t="s">
        <v>1721</v>
      </c>
      <c r="C5447">
        <v>992</v>
      </c>
      <c r="D5447" t="s">
        <v>123</v>
      </c>
      <c r="E5447" t="s">
        <v>249</v>
      </c>
      <c r="F5447" t="s">
        <v>115</v>
      </c>
    </row>
    <row r="5448" spans="1:6" x14ac:dyDescent="0.3">
      <c r="A5448" t="s">
        <v>35</v>
      </c>
      <c r="B5448" t="s">
        <v>1722</v>
      </c>
      <c r="C5448">
        <v>2141</v>
      </c>
      <c r="D5448" t="s">
        <v>712</v>
      </c>
      <c r="E5448" t="s">
        <v>786</v>
      </c>
      <c r="F5448" t="s">
        <v>136</v>
      </c>
    </row>
    <row r="5449" spans="1:6" x14ac:dyDescent="0.3">
      <c r="A5449" t="s">
        <v>37</v>
      </c>
      <c r="B5449" t="s">
        <v>1721</v>
      </c>
      <c r="C5449">
        <v>1246</v>
      </c>
      <c r="D5449" t="s">
        <v>114</v>
      </c>
      <c r="E5449" t="s">
        <v>225</v>
      </c>
      <c r="F5449" t="s">
        <v>99</v>
      </c>
    </row>
    <row r="5450" spans="1:6" x14ac:dyDescent="0.3">
      <c r="A5450" t="s">
        <v>37</v>
      </c>
      <c r="B5450" t="s">
        <v>1722</v>
      </c>
      <c r="C5450">
        <v>2589</v>
      </c>
      <c r="D5450" t="s">
        <v>123</v>
      </c>
      <c r="E5450" t="s">
        <v>986</v>
      </c>
      <c r="F5450" t="s">
        <v>198</v>
      </c>
    </row>
    <row r="5451" spans="1:6" x14ac:dyDescent="0.3">
      <c r="A5451" t="s">
        <v>36</v>
      </c>
      <c r="B5451" t="s">
        <v>1721</v>
      </c>
      <c r="C5451">
        <v>811</v>
      </c>
      <c r="D5451" t="s">
        <v>316</v>
      </c>
      <c r="E5451" t="s">
        <v>780</v>
      </c>
      <c r="F5451" t="s">
        <v>99</v>
      </c>
    </row>
    <row r="5452" spans="1:6" x14ac:dyDescent="0.3">
      <c r="A5452" t="s">
        <v>36</v>
      </c>
      <c r="B5452" t="s">
        <v>1722</v>
      </c>
      <c r="C5452">
        <v>1485</v>
      </c>
      <c r="D5452" t="s">
        <v>663</v>
      </c>
      <c r="E5452" t="s">
        <v>324</v>
      </c>
      <c r="F5452" t="s">
        <v>108</v>
      </c>
    </row>
    <row r="5453" spans="1:6" x14ac:dyDescent="0.3">
      <c r="A5453" t="s">
        <v>34</v>
      </c>
      <c r="B5453" t="s">
        <v>1721</v>
      </c>
      <c r="C5453">
        <v>615</v>
      </c>
      <c r="D5453" t="s">
        <v>316</v>
      </c>
      <c r="E5453" t="s">
        <v>249</v>
      </c>
      <c r="F5453" t="s">
        <v>99</v>
      </c>
    </row>
    <row r="5454" spans="1:6" x14ac:dyDescent="0.3">
      <c r="A5454" t="s">
        <v>34</v>
      </c>
      <c r="B5454" t="s">
        <v>1722</v>
      </c>
      <c r="C5454">
        <v>1451</v>
      </c>
      <c r="D5454" t="s">
        <v>120</v>
      </c>
      <c r="E5454" t="s">
        <v>384</v>
      </c>
      <c r="F5454" t="s">
        <v>136</v>
      </c>
    </row>
    <row r="5455" spans="1:6" x14ac:dyDescent="0.3">
      <c r="A5455" t="s">
        <v>33</v>
      </c>
      <c r="B5455" t="s">
        <v>1721</v>
      </c>
      <c r="C5455">
        <v>557</v>
      </c>
      <c r="D5455" t="s">
        <v>108</v>
      </c>
      <c r="E5455" t="s">
        <v>1022</v>
      </c>
      <c r="F5455" t="s">
        <v>99</v>
      </c>
    </row>
    <row r="5456" spans="1:6" x14ac:dyDescent="0.3">
      <c r="A5456" t="s">
        <v>33</v>
      </c>
      <c r="B5456" t="s">
        <v>1722</v>
      </c>
      <c r="C5456">
        <v>1379</v>
      </c>
      <c r="D5456" t="s">
        <v>101</v>
      </c>
      <c r="E5456" t="s">
        <v>999</v>
      </c>
      <c r="F5456" t="s">
        <v>99</v>
      </c>
    </row>
    <row r="5457" spans="1:6" x14ac:dyDescent="0.3">
      <c r="A5457" t="s">
        <v>49</v>
      </c>
      <c r="B5457" t="s">
        <v>1721</v>
      </c>
      <c r="C5457">
        <v>4221</v>
      </c>
      <c r="D5457" t="s">
        <v>215</v>
      </c>
      <c r="E5457" t="s">
        <v>438</v>
      </c>
      <c r="F5457" t="s">
        <v>198</v>
      </c>
    </row>
    <row r="5458" spans="1:6" x14ac:dyDescent="0.3">
      <c r="A5458" t="s">
        <v>49</v>
      </c>
      <c r="B5458" t="s">
        <v>1722</v>
      </c>
      <c r="C5458">
        <v>9045</v>
      </c>
      <c r="D5458" t="s">
        <v>107</v>
      </c>
      <c r="E5458" t="s">
        <v>776</v>
      </c>
      <c r="F5458" t="s">
        <v>207</v>
      </c>
    </row>
    <row r="5460" spans="1:6" x14ac:dyDescent="0.3">
      <c r="A5460" t="s">
        <v>1732</v>
      </c>
    </row>
    <row r="5461" spans="1:6" x14ac:dyDescent="0.3">
      <c r="A5461" t="s">
        <v>44</v>
      </c>
      <c r="B5461" t="s">
        <v>32</v>
      </c>
      <c r="C5461" t="s">
        <v>66</v>
      </c>
      <c r="D5461" t="s">
        <v>67</v>
      </c>
      <c r="E5461" t="s">
        <v>352</v>
      </c>
      <c r="F5461" t="s">
        <v>193</v>
      </c>
    </row>
    <row r="5462" spans="1:6" x14ac:dyDescent="0.3">
      <c r="A5462" t="s">
        <v>35</v>
      </c>
      <c r="B5462">
        <v>81</v>
      </c>
      <c r="C5462" t="s">
        <v>405</v>
      </c>
      <c r="D5462" t="s">
        <v>877</v>
      </c>
      <c r="E5462" t="s">
        <v>99</v>
      </c>
      <c r="F5462" t="s">
        <v>126</v>
      </c>
    </row>
    <row r="5463" spans="1:6" x14ac:dyDescent="0.3">
      <c r="A5463" t="s">
        <v>37</v>
      </c>
      <c r="B5463">
        <v>138</v>
      </c>
      <c r="C5463" t="s">
        <v>706</v>
      </c>
      <c r="D5463" t="s">
        <v>1407</v>
      </c>
      <c r="E5463" t="s">
        <v>99</v>
      </c>
      <c r="F5463" t="s">
        <v>141</v>
      </c>
    </row>
    <row r="5464" spans="1:6" x14ac:dyDescent="0.3">
      <c r="A5464" t="s">
        <v>36</v>
      </c>
      <c r="B5464">
        <v>63</v>
      </c>
      <c r="C5464" t="s">
        <v>698</v>
      </c>
      <c r="D5464" t="s">
        <v>983</v>
      </c>
      <c r="E5464" t="s">
        <v>99</v>
      </c>
      <c r="F5464" t="s">
        <v>99</v>
      </c>
    </row>
    <row r="5465" spans="1:6" x14ac:dyDescent="0.3">
      <c r="A5465" t="s">
        <v>34</v>
      </c>
      <c r="B5465">
        <v>51</v>
      </c>
      <c r="C5465" t="s">
        <v>742</v>
      </c>
      <c r="D5465" t="s">
        <v>308</v>
      </c>
      <c r="E5465" t="s">
        <v>124</v>
      </c>
      <c r="F5465" t="s">
        <v>99</v>
      </c>
    </row>
    <row r="5466" spans="1:6" s="5" customFormat="1" x14ac:dyDescent="0.3">
      <c r="A5466" s="5" t="s">
        <v>33</v>
      </c>
      <c r="B5466" s="5">
        <v>28</v>
      </c>
      <c r="C5466" s="5" t="s">
        <v>301</v>
      </c>
      <c r="D5466" s="5" t="s">
        <v>397</v>
      </c>
      <c r="E5466" s="5" t="s">
        <v>99</v>
      </c>
      <c r="F5466" s="5" t="s">
        <v>99</v>
      </c>
    </row>
    <row r="5467" spans="1:6" x14ac:dyDescent="0.3">
      <c r="A5467" t="s">
        <v>49</v>
      </c>
      <c r="B5467">
        <v>361</v>
      </c>
      <c r="C5467" t="s">
        <v>442</v>
      </c>
      <c r="D5467" t="s">
        <v>865</v>
      </c>
      <c r="E5467" t="s">
        <v>108</v>
      </c>
      <c r="F5467" t="s">
        <v>253</v>
      </c>
    </row>
    <row r="5469" spans="1:6" x14ac:dyDescent="0.3">
      <c r="A5469" t="s">
        <v>1733</v>
      </c>
    </row>
    <row r="5470" spans="1:6" x14ac:dyDescent="0.3">
      <c r="A5470" t="s">
        <v>44</v>
      </c>
      <c r="B5470" t="s">
        <v>32</v>
      </c>
      <c r="C5470" t="s">
        <v>66</v>
      </c>
      <c r="D5470" t="s">
        <v>67</v>
      </c>
      <c r="E5470" t="s">
        <v>193</v>
      </c>
      <c r="F5470" t="s">
        <v>352</v>
      </c>
    </row>
    <row r="5471" spans="1:6" x14ac:dyDescent="0.3">
      <c r="A5471" t="s">
        <v>35</v>
      </c>
      <c r="B5471">
        <v>64</v>
      </c>
      <c r="C5471" t="s">
        <v>747</v>
      </c>
      <c r="D5471" t="s">
        <v>1405</v>
      </c>
      <c r="E5471" t="s">
        <v>215</v>
      </c>
      <c r="F5471" t="s">
        <v>99</v>
      </c>
    </row>
    <row r="5472" spans="1:6" x14ac:dyDescent="0.3">
      <c r="A5472" t="s">
        <v>37</v>
      </c>
      <c r="B5472">
        <v>108</v>
      </c>
      <c r="C5472" t="s">
        <v>40</v>
      </c>
      <c r="D5472" t="s">
        <v>1187</v>
      </c>
      <c r="E5472" t="s">
        <v>99</v>
      </c>
      <c r="F5472" t="s">
        <v>115</v>
      </c>
    </row>
    <row r="5473" spans="1:17" x14ac:dyDescent="0.3">
      <c r="A5473" t="s">
        <v>36</v>
      </c>
      <c r="B5473">
        <v>43</v>
      </c>
      <c r="C5473" t="s">
        <v>372</v>
      </c>
      <c r="D5473" t="s">
        <v>612</v>
      </c>
      <c r="E5473" t="s">
        <v>99</v>
      </c>
      <c r="F5473" t="s">
        <v>99</v>
      </c>
    </row>
    <row r="5474" spans="1:17" x14ac:dyDescent="0.3">
      <c r="A5474" t="s">
        <v>34</v>
      </c>
      <c r="B5474">
        <v>37</v>
      </c>
      <c r="C5474" t="s">
        <v>1052</v>
      </c>
      <c r="D5474" t="s">
        <v>645</v>
      </c>
      <c r="E5474" t="s">
        <v>99</v>
      </c>
      <c r="F5474" t="s">
        <v>99</v>
      </c>
    </row>
    <row r="5475" spans="1:17" s="5" customFormat="1" x14ac:dyDescent="0.3">
      <c r="A5475" s="5" t="s">
        <v>33</v>
      </c>
      <c r="B5475" s="5">
        <v>23</v>
      </c>
      <c r="C5475" s="5" t="s">
        <v>282</v>
      </c>
      <c r="D5475" s="5" t="s">
        <v>1285</v>
      </c>
      <c r="E5475" s="5" t="s">
        <v>99</v>
      </c>
      <c r="F5475" s="5" t="s">
        <v>99</v>
      </c>
    </row>
    <row r="5476" spans="1:17" x14ac:dyDescent="0.3">
      <c r="A5476" t="s">
        <v>49</v>
      </c>
      <c r="B5476">
        <v>275</v>
      </c>
      <c r="C5476" t="s">
        <v>1102</v>
      </c>
      <c r="D5476" t="s">
        <v>1257</v>
      </c>
      <c r="E5476" t="s">
        <v>141</v>
      </c>
      <c r="F5476" t="s">
        <v>207</v>
      </c>
    </row>
    <row r="5478" spans="1:17" x14ac:dyDescent="0.3">
      <c r="A5478" t="s">
        <v>1734</v>
      </c>
    </row>
    <row r="5479" spans="1:17" x14ac:dyDescent="0.3">
      <c r="A5479" t="s">
        <v>44</v>
      </c>
      <c r="B5479" t="s">
        <v>32</v>
      </c>
      <c r="C5479" t="s">
        <v>1735</v>
      </c>
      <c r="D5479" t="s">
        <v>1736</v>
      </c>
      <c r="E5479" t="s">
        <v>1737</v>
      </c>
      <c r="F5479" t="s">
        <v>1738</v>
      </c>
      <c r="G5479" t="s">
        <v>1739</v>
      </c>
      <c r="H5479" t="s">
        <v>1740</v>
      </c>
      <c r="I5479" t="s">
        <v>1741</v>
      </c>
      <c r="J5479" t="s">
        <v>1742</v>
      </c>
      <c r="K5479" t="s">
        <v>1743</v>
      </c>
      <c r="L5479" t="s">
        <v>1744</v>
      </c>
      <c r="M5479" t="s">
        <v>1745</v>
      </c>
      <c r="N5479" t="s">
        <v>1746</v>
      </c>
      <c r="O5479" t="s">
        <v>1275</v>
      </c>
      <c r="P5479" t="s">
        <v>193</v>
      </c>
    </row>
    <row r="5480" spans="1:17" x14ac:dyDescent="0.3">
      <c r="A5480" t="s">
        <v>35</v>
      </c>
      <c r="B5480">
        <v>3145</v>
      </c>
      <c r="C5480" t="s">
        <v>1095</v>
      </c>
      <c r="D5480" t="s">
        <v>70</v>
      </c>
      <c r="E5480" t="s">
        <v>401</v>
      </c>
      <c r="F5480" t="s">
        <v>468</v>
      </c>
      <c r="G5480" t="s">
        <v>268</v>
      </c>
      <c r="H5480" t="s">
        <v>129</v>
      </c>
      <c r="I5480" t="s">
        <v>1113</v>
      </c>
      <c r="J5480" t="s">
        <v>115</v>
      </c>
      <c r="K5480" t="s">
        <v>155</v>
      </c>
      <c r="L5480" t="s">
        <v>215</v>
      </c>
      <c r="M5480" t="s">
        <v>393</v>
      </c>
      <c r="N5480" t="s">
        <v>115</v>
      </c>
      <c r="O5480" t="s">
        <v>253</v>
      </c>
      <c r="P5480" t="s">
        <v>141</v>
      </c>
    </row>
    <row r="5481" spans="1:17" x14ac:dyDescent="0.3">
      <c r="A5481" t="s">
        <v>37</v>
      </c>
      <c r="B5481">
        <v>3855</v>
      </c>
      <c r="C5481" t="s">
        <v>948</v>
      </c>
      <c r="D5481" t="s">
        <v>78</v>
      </c>
      <c r="E5481" t="s">
        <v>677</v>
      </c>
      <c r="F5481" t="s">
        <v>78</v>
      </c>
      <c r="G5481" t="s">
        <v>675</v>
      </c>
      <c r="H5481" t="s">
        <v>379</v>
      </c>
      <c r="I5481" t="s">
        <v>576</v>
      </c>
      <c r="J5481" t="s">
        <v>104</v>
      </c>
      <c r="K5481" t="s">
        <v>128</v>
      </c>
      <c r="L5481" t="s">
        <v>141</v>
      </c>
      <c r="M5481" t="s">
        <v>463</v>
      </c>
      <c r="N5481" t="s">
        <v>104</v>
      </c>
      <c r="O5481" t="s">
        <v>136</v>
      </c>
      <c r="P5481" t="s">
        <v>198</v>
      </c>
    </row>
    <row r="5482" spans="1:17" x14ac:dyDescent="0.3">
      <c r="A5482" t="s">
        <v>36</v>
      </c>
      <c r="B5482">
        <v>2304</v>
      </c>
      <c r="C5482" t="s">
        <v>515</v>
      </c>
      <c r="D5482" t="s">
        <v>142</v>
      </c>
      <c r="E5482" t="s">
        <v>309</v>
      </c>
      <c r="F5482" t="s">
        <v>722</v>
      </c>
      <c r="G5482" t="s">
        <v>105</v>
      </c>
      <c r="H5482" t="s">
        <v>379</v>
      </c>
      <c r="I5482" t="s">
        <v>831</v>
      </c>
      <c r="J5482" t="s">
        <v>99</v>
      </c>
      <c r="K5482" t="s">
        <v>103</v>
      </c>
      <c r="L5482" t="s">
        <v>157</v>
      </c>
      <c r="M5482" t="s">
        <v>451</v>
      </c>
      <c r="N5482" t="s">
        <v>136</v>
      </c>
      <c r="O5482" t="s">
        <v>253</v>
      </c>
      <c r="P5482" t="s">
        <v>114</v>
      </c>
    </row>
    <row r="5483" spans="1:17" x14ac:dyDescent="0.3">
      <c r="A5483" t="s">
        <v>34</v>
      </c>
      <c r="B5483">
        <v>2079</v>
      </c>
      <c r="C5483" t="s">
        <v>831</v>
      </c>
      <c r="D5483" t="s">
        <v>133</v>
      </c>
      <c r="E5483" t="s">
        <v>289</v>
      </c>
      <c r="F5483" t="s">
        <v>109</v>
      </c>
      <c r="G5483" t="s">
        <v>151</v>
      </c>
      <c r="H5483" t="s">
        <v>135</v>
      </c>
      <c r="I5483" t="s">
        <v>599</v>
      </c>
      <c r="J5483" t="s">
        <v>198</v>
      </c>
      <c r="K5483" t="s">
        <v>139</v>
      </c>
      <c r="L5483" t="s">
        <v>105</v>
      </c>
      <c r="M5483" t="s">
        <v>116</v>
      </c>
      <c r="N5483" t="s">
        <v>99</v>
      </c>
      <c r="O5483" t="s">
        <v>115</v>
      </c>
      <c r="P5483" t="s">
        <v>100</v>
      </c>
    </row>
    <row r="5484" spans="1:17" x14ac:dyDescent="0.3">
      <c r="A5484" t="s">
        <v>33</v>
      </c>
      <c r="B5484">
        <v>1937</v>
      </c>
      <c r="C5484" t="s">
        <v>1383</v>
      </c>
      <c r="D5484" t="s">
        <v>112</v>
      </c>
      <c r="E5484" t="s">
        <v>363</v>
      </c>
      <c r="F5484" t="s">
        <v>671</v>
      </c>
      <c r="G5484" t="s">
        <v>206</v>
      </c>
      <c r="H5484" t="s">
        <v>679</v>
      </c>
      <c r="I5484" t="s">
        <v>1055</v>
      </c>
      <c r="J5484" t="s">
        <v>99</v>
      </c>
      <c r="K5484" t="s">
        <v>316</v>
      </c>
      <c r="L5484" t="s">
        <v>207</v>
      </c>
      <c r="M5484" t="s">
        <v>368</v>
      </c>
      <c r="N5484" t="s">
        <v>104</v>
      </c>
      <c r="O5484" t="s">
        <v>104</v>
      </c>
      <c r="P5484" t="s">
        <v>207</v>
      </c>
    </row>
    <row r="5485" spans="1:17" x14ac:dyDescent="0.3">
      <c r="A5485" t="s">
        <v>49</v>
      </c>
      <c r="B5485">
        <v>13320</v>
      </c>
      <c r="C5485" t="s">
        <v>1108</v>
      </c>
      <c r="D5485" t="s">
        <v>70</v>
      </c>
      <c r="E5485" t="s">
        <v>291</v>
      </c>
      <c r="F5485" t="s">
        <v>122</v>
      </c>
      <c r="G5485" t="s">
        <v>412</v>
      </c>
      <c r="H5485" t="s">
        <v>122</v>
      </c>
      <c r="I5485" t="s">
        <v>595</v>
      </c>
      <c r="J5485" t="s">
        <v>207</v>
      </c>
      <c r="K5485" t="s">
        <v>105</v>
      </c>
      <c r="L5485" t="s">
        <v>126</v>
      </c>
      <c r="M5485" t="s">
        <v>425</v>
      </c>
      <c r="N5485" t="s">
        <v>207</v>
      </c>
      <c r="O5485" t="s">
        <v>141</v>
      </c>
      <c r="P5485" t="s">
        <v>141</v>
      </c>
    </row>
    <row r="5487" spans="1:17" x14ac:dyDescent="0.3">
      <c r="A5487" t="s">
        <v>1747</v>
      </c>
    </row>
    <row r="5488" spans="1:17" x14ac:dyDescent="0.3">
      <c r="A5488" t="s">
        <v>44</v>
      </c>
      <c r="B5488" t="s">
        <v>361</v>
      </c>
      <c r="C5488" t="s">
        <v>32</v>
      </c>
      <c r="D5488" t="s">
        <v>1735</v>
      </c>
      <c r="E5488" t="s">
        <v>1736</v>
      </c>
      <c r="F5488" t="s">
        <v>1737</v>
      </c>
      <c r="G5488" t="s">
        <v>1738</v>
      </c>
      <c r="H5488" t="s">
        <v>1739</v>
      </c>
      <c r="I5488" t="s">
        <v>1740</v>
      </c>
      <c r="J5488" t="s">
        <v>1741</v>
      </c>
      <c r="K5488" t="s">
        <v>1742</v>
      </c>
      <c r="L5488" t="s">
        <v>1743</v>
      </c>
      <c r="M5488" t="s">
        <v>1744</v>
      </c>
      <c r="N5488" t="s">
        <v>1745</v>
      </c>
      <c r="O5488" t="s">
        <v>1746</v>
      </c>
      <c r="P5488" t="s">
        <v>1275</v>
      </c>
      <c r="Q5488" t="s">
        <v>193</v>
      </c>
    </row>
    <row r="5489" spans="1:17" x14ac:dyDescent="0.3">
      <c r="A5489" t="s">
        <v>35</v>
      </c>
      <c r="B5489" t="s">
        <v>339</v>
      </c>
      <c r="C5489">
        <v>890</v>
      </c>
      <c r="D5489" t="s">
        <v>662</v>
      </c>
      <c r="E5489" t="s">
        <v>135</v>
      </c>
      <c r="F5489" t="s">
        <v>74</v>
      </c>
      <c r="G5489" t="s">
        <v>474</v>
      </c>
      <c r="H5489" t="s">
        <v>128</v>
      </c>
      <c r="I5489" t="s">
        <v>129</v>
      </c>
      <c r="J5489" t="s">
        <v>1047</v>
      </c>
      <c r="K5489" t="s">
        <v>382</v>
      </c>
      <c r="L5489" t="s">
        <v>149</v>
      </c>
      <c r="M5489" t="s">
        <v>292</v>
      </c>
      <c r="N5489" t="s">
        <v>240</v>
      </c>
      <c r="O5489" t="s">
        <v>198</v>
      </c>
      <c r="P5489" t="s">
        <v>132</v>
      </c>
      <c r="Q5489" t="s">
        <v>253</v>
      </c>
    </row>
    <row r="5490" spans="1:17" x14ac:dyDescent="0.3">
      <c r="A5490" t="s">
        <v>35</v>
      </c>
      <c r="B5490" t="s">
        <v>340</v>
      </c>
      <c r="C5490">
        <v>2215</v>
      </c>
      <c r="D5490" t="s">
        <v>1122</v>
      </c>
      <c r="E5490" t="s">
        <v>299</v>
      </c>
      <c r="F5490" t="s">
        <v>305</v>
      </c>
      <c r="G5490" t="s">
        <v>74</v>
      </c>
      <c r="H5490" t="s">
        <v>292</v>
      </c>
      <c r="I5490" t="s">
        <v>130</v>
      </c>
      <c r="J5490" t="s">
        <v>695</v>
      </c>
      <c r="K5490" t="s">
        <v>207</v>
      </c>
      <c r="L5490" t="s">
        <v>147</v>
      </c>
      <c r="M5490" t="s">
        <v>126</v>
      </c>
      <c r="N5490" t="s">
        <v>677</v>
      </c>
      <c r="O5490" t="s">
        <v>108</v>
      </c>
      <c r="P5490" t="s">
        <v>136</v>
      </c>
      <c r="Q5490" t="s">
        <v>141</v>
      </c>
    </row>
    <row r="5491" spans="1:17" x14ac:dyDescent="0.3">
      <c r="A5491" t="s">
        <v>35</v>
      </c>
      <c r="B5491" t="s">
        <v>365</v>
      </c>
      <c r="C5491">
        <v>40</v>
      </c>
      <c r="D5491" t="s">
        <v>541</v>
      </c>
      <c r="E5491" t="s">
        <v>110</v>
      </c>
      <c r="F5491" t="s">
        <v>488</v>
      </c>
      <c r="G5491" t="s">
        <v>215</v>
      </c>
      <c r="H5491" t="s">
        <v>108</v>
      </c>
      <c r="I5491" t="s">
        <v>136</v>
      </c>
      <c r="J5491" t="s">
        <v>746</v>
      </c>
      <c r="K5491" t="s">
        <v>99</v>
      </c>
      <c r="L5491" t="s">
        <v>103</v>
      </c>
      <c r="M5491" t="s">
        <v>136</v>
      </c>
      <c r="N5491" t="s">
        <v>113</v>
      </c>
      <c r="O5491" t="s">
        <v>99</v>
      </c>
      <c r="P5491" t="s">
        <v>99</v>
      </c>
      <c r="Q5491" t="s">
        <v>132</v>
      </c>
    </row>
    <row r="5492" spans="1:17" x14ac:dyDescent="0.3">
      <c r="A5492" t="s">
        <v>37</v>
      </c>
      <c r="B5492" t="s">
        <v>339</v>
      </c>
      <c r="C5492">
        <v>1093</v>
      </c>
      <c r="D5492" t="s">
        <v>713</v>
      </c>
      <c r="E5492" t="s">
        <v>124</v>
      </c>
      <c r="F5492" t="s">
        <v>804</v>
      </c>
      <c r="G5492" t="s">
        <v>139</v>
      </c>
      <c r="H5492" t="s">
        <v>248</v>
      </c>
      <c r="I5492" t="s">
        <v>72</v>
      </c>
      <c r="J5492" t="s">
        <v>1246</v>
      </c>
      <c r="K5492" t="s">
        <v>99</v>
      </c>
      <c r="L5492" t="s">
        <v>107</v>
      </c>
      <c r="M5492" t="s">
        <v>136</v>
      </c>
      <c r="N5492" t="s">
        <v>1414</v>
      </c>
      <c r="O5492" t="s">
        <v>104</v>
      </c>
      <c r="P5492" t="s">
        <v>141</v>
      </c>
      <c r="Q5492" t="s">
        <v>99</v>
      </c>
    </row>
    <row r="5493" spans="1:17" x14ac:dyDescent="0.3">
      <c r="A5493" t="s">
        <v>37</v>
      </c>
      <c r="B5493" t="s">
        <v>340</v>
      </c>
      <c r="C5493">
        <v>2721</v>
      </c>
      <c r="D5493" t="s">
        <v>1049</v>
      </c>
      <c r="E5493" t="s">
        <v>305</v>
      </c>
      <c r="F5493" t="s">
        <v>672</v>
      </c>
      <c r="G5493" t="s">
        <v>296</v>
      </c>
      <c r="H5493" t="s">
        <v>204</v>
      </c>
      <c r="I5493" t="s">
        <v>313</v>
      </c>
      <c r="J5493" t="s">
        <v>619</v>
      </c>
      <c r="K5493" t="s">
        <v>198</v>
      </c>
      <c r="L5493" t="s">
        <v>316</v>
      </c>
      <c r="M5493" t="s">
        <v>141</v>
      </c>
      <c r="N5493" t="s">
        <v>38</v>
      </c>
      <c r="O5493" t="s">
        <v>104</v>
      </c>
      <c r="P5493" t="s">
        <v>136</v>
      </c>
      <c r="Q5493" t="s">
        <v>198</v>
      </c>
    </row>
    <row r="5494" spans="1:17" x14ac:dyDescent="0.3">
      <c r="A5494" t="s">
        <v>37</v>
      </c>
      <c r="B5494" t="s">
        <v>365</v>
      </c>
      <c r="C5494">
        <v>41</v>
      </c>
      <c r="D5494" t="s">
        <v>825</v>
      </c>
      <c r="E5494" t="s">
        <v>233</v>
      </c>
      <c r="F5494" t="s">
        <v>868</v>
      </c>
      <c r="G5494" t="s">
        <v>353</v>
      </c>
      <c r="H5494" t="s">
        <v>299</v>
      </c>
      <c r="I5494" t="s">
        <v>218</v>
      </c>
      <c r="J5494" t="s">
        <v>508</v>
      </c>
      <c r="K5494" t="s">
        <v>99</v>
      </c>
      <c r="L5494" t="s">
        <v>99</v>
      </c>
      <c r="M5494" t="s">
        <v>99</v>
      </c>
      <c r="N5494" t="s">
        <v>805</v>
      </c>
      <c r="O5494" t="s">
        <v>103</v>
      </c>
      <c r="P5494" t="s">
        <v>99</v>
      </c>
      <c r="Q5494" t="s">
        <v>99</v>
      </c>
    </row>
    <row r="5495" spans="1:17" x14ac:dyDescent="0.3">
      <c r="A5495" t="s">
        <v>36</v>
      </c>
      <c r="B5495" t="s">
        <v>339</v>
      </c>
      <c r="C5495">
        <v>769</v>
      </c>
      <c r="D5495" t="s">
        <v>736</v>
      </c>
      <c r="E5495" t="s">
        <v>722</v>
      </c>
      <c r="F5495" t="s">
        <v>173</v>
      </c>
      <c r="G5495" t="s">
        <v>70</v>
      </c>
      <c r="H5495" t="s">
        <v>110</v>
      </c>
      <c r="I5495" t="s">
        <v>313</v>
      </c>
      <c r="J5495" t="s">
        <v>346</v>
      </c>
      <c r="K5495" t="s">
        <v>99</v>
      </c>
      <c r="L5495" t="s">
        <v>139</v>
      </c>
      <c r="M5495" t="s">
        <v>434</v>
      </c>
      <c r="N5495" t="s">
        <v>838</v>
      </c>
      <c r="O5495" t="s">
        <v>104</v>
      </c>
      <c r="P5495" t="s">
        <v>132</v>
      </c>
      <c r="Q5495" t="s">
        <v>104</v>
      </c>
    </row>
    <row r="5496" spans="1:17" x14ac:dyDescent="0.3">
      <c r="A5496" t="s">
        <v>36</v>
      </c>
      <c r="B5496" t="s">
        <v>340</v>
      </c>
      <c r="C5496">
        <v>1472</v>
      </c>
      <c r="D5496" t="s">
        <v>1498</v>
      </c>
      <c r="E5496" t="s">
        <v>220</v>
      </c>
      <c r="F5496" t="s">
        <v>686</v>
      </c>
      <c r="G5496" t="s">
        <v>287</v>
      </c>
      <c r="H5496" t="s">
        <v>147</v>
      </c>
      <c r="I5496" t="s">
        <v>405</v>
      </c>
      <c r="J5496" t="s">
        <v>821</v>
      </c>
      <c r="K5496" t="s">
        <v>99</v>
      </c>
      <c r="L5496" t="s">
        <v>319</v>
      </c>
      <c r="M5496" t="s">
        <v>316</v>
      </c>
      <c r="N5496" t="s">
        <v>686</v>
      </c>
      <c r="O5496" t="s">
        <v>253</v>
      </c>
      <c r="P5496" t="s">
        <v>253</v>
      </c>
      <c r="Q5496" t="s">
        <v>126</v>
      </c>
    </row>
    <row r="5497" spans="1:17" x14ac:dyDescent="0.3">
      <c r="A5497" t="s">
        <v>36</v>
      </c>
      <c r="B5497" t="s">
        <v>365</v>
      </c>
      <c r="C5497">
        <v>63</v>
      </c>
      <c r="D5497" t="s">
        <v>939</v>
      </c>
      <c r="E5497" t="s">
        <v>128</v>
      </c>
      <c r="F5497" t="s">
        <v>1105</v>
      </c>
      <c r="G5497" t="s">
        <v>139</v>
      </c>
      <c r="H5497" t="s">
        <v>126</v>
      </c>
      <c r="I5497" t="s">
        <v>688</v>
      </c>
      <c r="J5497" t="s">
        <v>749</v>
      </c>
      <c r="K5497" t="s">
        <v>99</v>
      </c>
      <c r="L5497" t="s">
        <v>105</v>
      </c>
      <c r="M5497" t="s">
        <v>100</v>
      </c>
      <c r="N5497" t="s">
        <v>662</v>
      </c>
      <c r="O5497" t="s">
        <v>99</v>
      </c>
      <c r="P5497" t="s">
        <v>99</v>
      </c>
      <c r="Q5497" t="s">
        <v>99</v>
      </c>
    </row>
    <row r="5498" spans="1:17" x14ac:dyDescent="0.3">
      <c r="A5498" t="s">
        <v>34</v>
      </c>
      <c r="B5498" t="s">
        <v>339</v>
      </c>
      <c r="C5498">
        <v>555</v>
      </c>
      <c r="D5498" t="s">
        <v>1048</v>
      </c>
      <c r="E5498" t="s">
        <v>671</v>
      </c>
      <c r="F5498" t="s">
        <v>142</v>
      </c>
      <c r="G5498" t="s">
        <v>663</v>
      </c>
      <c r="H5498" t="s">
        <v>107</v>
      </c>
      <c r="I5498" t="s">
        <v>675</v>
      </c>
      <c r="J5498" t="s">
        <v>575</v>
      </c>
      <c r="K5498" t="s">
        <v>141</v>
      </c>
      <c r="L5498" t="s">
        <v>98</v>
      </c>
      <c r="M5498" t="s">
        <v>139</v>
      </c>
      <c r="N5498" t="s">
        <v>459</v>
      </c>
      <c r="O5498" t="s">
        <v>99</v>
      </c>
      <c r="P5498" t="s">
        <v>136</v>
      </c>
      <c r="Q5498" t="s">
        <v>121</v>
      </c>
    </row>
    <row r="5499" spans="1:17" x14ac:dyDescent="0.3">
      <c r="A5499" t="s">
        <v>34</v>
      </c>
      <c r="B5499" t="s">
        <v>340</v>
      </c>
      <c r="C5499">
        <v>1496</v>
      </c>
      <c r="D5499" t="s">
        <v>918</v>
      </c>
      <c r="E5499" t="s">
        <v>220</v>
      </c>
      <c r="F5499" t="s">
        <v>222</v>
      </c>
      <c r="G5499" t="s">
        <v>109</v>
      </c>
      <c r="H5499" t="s">
        <v>126</v>
      </c>
      <c r="I5499" t="s">
        <v>152</v>
      </c>
      <c r="J5499" t="s">
        <v>919</v>
      </c>
      <c r="K5499" t="s">
        <v>104</v>
      </c>
      <c r="L5499" t="s">
        <v>434</v>
      </c>
      <c r="M5499" t="s">
        <v>316</v>
      </c>
      <c r="N5499" t="s">
        <v>1059</v>
      </c>
      <c r="O5499" t="s">
        <v>104</v>
      </c>
      <c r="P5499" t="s">
        <v>108</v>
      </c>
      <c r="Q5499" t="s">
        <v>114</v>
      </c>
    </row>
    <row r="5500" spans="1:17" x14ac:dyDescent="0.3">
      <c r="A5500" t="s">
        <v>34</v>
      </c>
      <c r="B5500" t="s">
        <v>365</v>
      </c>
      <c r="C5500">
        <v>28</v>
      </c>
      <c r="D5500" t="s">
        <v>640</v>
      </c>
      <c r="E5500" t="s">
        <v>319</v>
      </c>
      <c r="F5500" t="s">
        <v>738</v>
      </c>
      <c r="G5500" t="s">
        <v>220</v>
      </c>
      <c r="H5500" t="s">
        <v>99</v>
      </c>
      <c r="I5500" t="s">
        <v>111</v>
      </c>
      <c r="J5500" t="s">
        <v>437</v>
      </c>
      <c r="K5500" t="s">
        <v>99</v>
      </c>
      <c r="L5500" t="s">
        <v>99</v>
      </c>
      <c r="M5500" t="s">
        <v>99</v>
      </c>
      <c r="N5500" t="s">
        <v>459</v>
      </c>
      <c r="O5500" t="s">
        <v>99</v>
      </c>
      <c r="P5500" t="s">
        <v>99</v>
      </c>
      <c r="Q5500" t="s">
        <v>468</v>
      </c>
    </row>
    <row r="5501" spans="1:17" x14ac:dyDescent="0.3">
      <c r="A5501" t="s">
        <v>33</v>
      </c>
      <c r="B5501" t="s">
        <v>339</v>
      </c>
      <c r="C5501">
        <v>503</v>
      </c>
      <c r="D5501" t="s">
        <v>650</v>
      </c>
      <c r="E5501" t="s">
        <v>147</v>
      </c>
      <c r="F5501" t="s">
        <v>139</v>
      </c>
      <c r="G5501" t="s">
        <v>112</v>
      </c>
      <c r="H5501" t="s">
        <v>355</v>
      </c>
      <c r="I5501" t="s">
        <v>122</v>
      </c>
      <c r="J5501" t="s">
        <v>462</v>
      </c>
      <c r="K5501" t="s">
        <v>99</v>
      </c>
      <c r="L5501" t="s">
        <v>712</v>
      </c>
      <c r="M5501" t="s">
        <v>141</v>
      </c>
      <c r="N5501" t="s">
        <v>738</v>
      </c>
      <c r="O5501" t="s">
        <v>198</v>
      </c>
      <c r="P5501" t="s">
        <v>198</v>
      </c>
      <c r="Q5501" t="s">
        <v>99</v>
      </c>
    </row>
    <row r="5502" spans="1:17" x14ac:dyDescent="0.3">
      <c r="A5502" t="s">
        <v>33</v>
      </c>
      <c r="B5502" t="s">
        <v>340</v>
      </c>
      <c r="C5502">
        <v>1415</v>
      </c>
      <c r="D5502" t="s">
        <v>554</v>
      </c>
      <c r="E5502" t="s">
        <v>277</v>
      </c>
      <c r="F5502" t="s">
        <v>220</v>
      </c>
      <c r="G5502" t="s">
        <v>313</v>
      </c>
      <c r="H5502" t="s">
        <v>289</v>
      </c>
      <c r="I5502" t="s">
        <v>184</v>
      </c>
      <c r="J5502" t="s">
        <v>1156</v>
      </c>
      <c r="K5502" t="s">
        <v>99</v>
      </c>
      <c r="L5502" t="s">
        <v>151</v>
      </c>
      <c r="M5502" t="s">
        <v>198</v>
      </c>
      <c r="N5502" t="s">
        <v>291</v>
      </c>
      <c r="O5502" t="s">
        <v>104</v>
      </c>
      <c r="P5502" t="s">
        <v>99</v>
      </c>
      <c r="Q5502" t="s">
        <v>136</v>
      </c>
    </row>
    <row r="5503" spans="1:17" x14ac:dyDescent="0.3">
      <c r="A5503" t="s">
        <v>33</v>
      </c>
      <c r="B5503" t="s">
        <v>365</v>
      </c>
      <c r="C5503">
        <v>19</v>
      </c>
      <c r="D5503" t="s">
        <v>1748</v>
      </c>
      <c r="E5503" t="s">
        <v>328</v>
      </c>
      <c r="F5503" t="s">
        <v>74</v>
      </c>
      <c r="G5503" t="s">
        <v>933</v>
      </c>
      <c r="H5503" t="s">
        <v>233</v>
      </c>
      <c r="I5503" t="s">
        <v>177</v>
      </c>
      <c r="J5503" t="s">
        <v>177</v>
      </c>
      <c r="K5503" t="s">
        <v>99</v>
      </c>
      <c r="L5503" t="s">
        <v>99</v>
      </c>
      <c r="M5503" t="s">
        <v>99</v>
      </c>
      <c r="N5503" t="s">
        <v>680</v>
      </c>
      <c r="O5503" t="s">
        <v>99</v>
      </c>
      <c r="P5503" t="s">
        <v>99</v>
      </c>
      <c r="Q5503" t="s">
        <v>74</v>
      </c>
    </row>
    <row r="5504" spans="1:17" x14ac:dyDescent="0.3">
      <c r="A5504" t="s">
        <v>49</v>
      </c>
      <c r="B5504" t="s">
        <v>339</v>
      </c>
      <c r="C5504">
        <v>3810</v>
      </c>
      <c r="D5504" t="s">
        <v>929</v>
      </c>
      <c r="E5504" t="s">
        <v>135</v>
      </c>
      <c r="F5504" t="s">
        <v>420</v>
      </c>
      <c r="G5504" t="s">
        <v>684</v>
      </c>
      <c r="H5504" t="s">
        <v>325</v>
      </c>
      <c r="I5504" t="s">
        <v>152</v>
      </c>
      <c r="J5504" t="s">
        <v>1480</v>
      </c>
      <c r="K5504" t="s">
        <v>141</v>
      </c>
      <c r="L5504" t="s">
        <v>712</v>
      </c>
      <c r="M5504" t="s">
        <v>111</v>
      </c>
      <c r="N5504" t="s">
        <v>58</v>
      </c>
      <c r="O5504" t="s">
        <v>104</v>
      </c>
      <c r="P5504" t="s">
        <v>253</v>
      </c>
      <c r="Q5504" t="s">
        <v>136</v>
      </c>
    </row>
    <row r="5505" spans="1:17" x14ac:dyDescent="0.3">
      <c r="A5505" t="s">
        <v>49</v>
      </c>
      <c r="B5505" t="s">
        <v>340</v>
      </c>
      <c r="C5505">
        <v>9319</v>
      </c>
      <c r="D5505" t="s">
        <v>583</v>
      </c>
      <c r="E5505" t="s">
        <v>299</v>
      </c>
      <c r="F5505" t="s">
        <v>206</v>
      </c>
      <c r="G5505" t="s">
        <v>363</v>
      </c>
      <c r="H5505" t="s">
        <v>149</v>
      </c>
      <c r="I5505" t="s">
        <v>679</v>
      </c>
      <c r="J5505" t="s">
        <v>1148</v>
      </c>
      <c r="K5505" t="s">
        <v>198</v>
      </c>
      <c r="L5505" t="s">
        <v>120</v>
      </c>
      <c r="M5505" t="s">
        <v>101</v>
      </c>
      <c r="N5505" t="s">
        <v>393</v>
      </c>
      <c r="O5505" t="s">
        <v>136</v>
      </c>
      <c r="P5505" t="s">
        <v>141</v>
      </c>
      <c r="Q5505" t="s">
        <v>253</v>
      </c>
    </row>
    <row r="5506" spans="1:17" x14ac:dyDescent="0.3">
      <c r="A5506" t="s">
        <v>49</v>
      </c>
      <c r="B5506" t="s">
        <v>365</v>
      </c>
      <c r="C5506">
        <v>191</v>
      </c>
      <c r="D5506" t="s">
        <v>1193</v>
      </c>
      <c r="E5506" t="s">
        <v>242</v>
      </c>
      <c r="F5506" t="s">
        <v>741</v>
      </c>
      <c r="G5506" t="s">
        <v>248</v>
      </c>
      <c r="H5506" t="s">
        <v>154</v>
      </c>
      <c r="I5506" t="s">
        <v>248</v>
      </c>
      <c r="J5506" t="s">
        <v>501</v>
      </c>
      <c r="K5506" t="s">
        <v>99</v>
      </c>
      <c r="L5506" t="s">
        <v>121</v>
      </c>
      <c r="M5506" t="s">
        <v>207</v>
      </c>
      <c r="N5506" t="s">
        <v>1059</v>
      </c>
      <c r="O5506" t="s">
        <v>253</v>
      </c>
      <c r="P5506" t="s">
        <v>99</v>
      </c>
      <c r="Q5506" t="s">
        <v>111</v>
      </c>
    </row>
    <row r="5508" spans="1:17" x14ac:dyDescent="0.3">
      <c r="A5508" t="s">
        <v>1749</v>
      </c>
    </row>
    <row r="5509" spans="1:17" x14ac:dyDescent="0.3">
      <c r="A5509" t="s">
        <v>44</v>
      </c>
      <c r="B5509" t="s">
        <v>209</v>
      </c>
      <c r="C5509" t="s">
        <v>32</v>
      </c>
      <c r="D5509" t="s">
        <v>1735</v>
      </c>
      <c r="E5509" t="s">
        <v>1736</v>
      </c>
      <c r="F5509" t="s">
        <v>1737</v>
      </c>
      <c r="G5509" t="s">
        <v>1738</v>
      </c>
      <c r="H5509" t="s">
        <v>1739</v>
      </c>
      <c r="I5509" t="s">
        <v>1740</v>
      </c>
      <c r="J5509" t="s">
        <v>1741</v>
      </c>
      <c r="K5509" t="s">
        <v>1742</v>
      </c>
      <c r="L5509" t="s">
        <v>1743</v>
      </c>
      <c r="M5509" t="s">
        <v>1744</v>
      </c>
      <c r="N5509" t="s">
        <v>1745</v>
      </c>
      <c r="O5509" t="s">
        <v>1746</v>
      </c>
      <c r="P5509" t="s">
        <v>1275</v>
      </c>
      <c r="Q5509" t="s">
        <v>193</v>
      </c>
    </row>
    <row r="5510" spans="1:17" x14ac:dyDescent="0.3">
      <c r="A5510" t="s">
        <v>35</v>
      </c>
      <c r="B5510" t="s">
        <v>210</v>
      </c>
      <c r="C5510">
        <v>136</v>
      </c>
      <c r="D5510" t="s">
        <v>228</v>
      </c>
      <c r="E5510" t="s">
        <v>160</v>
      </c>
      <c r="F5510" t="s">
        <v>109</v>
      </c>
      <c r="G5510" t="s">
        <v>126</v>
      </c>
      <c r="H5510" t="s">
        <v>207</v>
      </c>
      <c r="I5510" t="s">
        <v>150</v>
      </c>
      <c r="J5510" t="s">
        <v>1222</v>
      </c>
      <c r="K5510" t="s">
        <v>99</v>
      </c>
      <c r="L5510" t="s">
        <v>124</v>
      </c>
      <c r="M5510" t="s">
        <v>113</v>
      </c>
      <c r="N5510" t="s">
        <v>863</v>
      </c>
      <c r="O5510" t="s">
        <v>99</v>
      </c>
      <c r="P5510" t="s">
        <v>115</v>
      </c>
      <c r="Q5510" t="s">
        <v>100</v>
      </c>
    </row>
    <row r="5511" spans="1:17" x14ac:dyDescent="0.3">
      <c r="A5511" t="s">
        <v>35</v>
      </c>
      <c r="B5511" t="s">
        <v>212</v>
      </c>
      <c r="C5511">
        <v>2442</v>
      </c>
      <c r="D5511" t="s">
        <v>918</v>
      </c>
      <c r="E5511" t="s">
        <v>122</v>
      </c>
      <c r="F5511" t="s">
        <v>78</v>
      </c>
      <c r="G5511" t="s">
        <v>684</v>
      </c>
      <c r="H5511" t="s">
        <v>105</v>
      </c>
      <c r="I5511" t="s">
        <v>118</v>
      </c>
      <c r="J5511" t="s">
        <v>1231</v>
      </c>
      <c r="K5511" t="s">
        <v>108</v>
      </c>
      <c r="L5511" t="s">
        <v>155</v>
      </c>
      <c r="M5511" t="s">
        <v>115</v>
      </c>
      <c r="N5511" t="s">
        <v>721</v>
      </c>
      <c r="O5511" t="s">
        <v>114</v>
      </c>
      <c r="P5511" t="s">
        <v>115</v>
      </c>
      <c r="Q5511" t="s">
        <v>141</v>
      </c>
    </row>
    <row r="5512" spans="1:17" x14ac:dyDescent="0.3">
      <c r="A5512" t="s">
        <v>35</v>
      </c>
      <c r="B5512" t="s">
        <v>216</v>
      </c>
      <c r="C5512">
        <v>567</v>
      </c>
      <c r="D5512" t="s">
        <v>494</v>
      </c>
      <c r="E5512" t="s">
        <v>72</v>
      </c>
      <c r="F5512" t="s">
        <v>182</v>
      </c>
      <c r="G5512" t="s">
        <v>184</v>
      </c>
      <c r="H5512" t="s">
        <v>207</v>
      </c>
      <c r="I5512" t="s">
        <v>129</v>
      </c>
      <c r="J5512" t="s">
        <v>451</v>
      </c>
      <c r="K5512" t="s">
        <v>104</v>
      </c>
      <c r="L5512" t="s">
        <v>147</v>
      </c>
      <c r="M5512" t="s">
        <v>120</v>
      </c>
      <c r="N5512" t="s">
        <v>201</v>
      </c>
      <c r="O5512" t="s">
        <v>99</v>
      </c>
      <c r="P5512" t="s">
        <v>207</v>
      </c>
      <c r="Q5512" t="s">
        <v>136</v>
      </c>
    </row>
    <row r="5513" spans="1:17" x14ac:dyDescent="0.3">
      <c r="A5513" t="s">
        <v>37</v>
      </c>
      <c r="B5513" t="s">
        <v>210</v>
      </c>
      <c r="C5513">
        <v>138</v>
      </c>
      <c r="D5513" t="s">
        <v>496</v>
      </c>
      <c r="E5513" t="s">
        <v>182</v>
      </c>
      <c r="F5513" t="s">
        <v>726</v>
      </c>
      <c r="G5513" t="s">
        <v>542</v>
      </c>
      <c r="H5513" t="s">
        <v>99</v>
      </c>
      <c r="I5513" t="s">
        <v>689</v>
      </c>
      <c r="J5513" t="s">
        <v>834</v>
      </c>
      <c r="K5513" t="s">
        <v>99</v>
      </c>
      <c r="L5513" t="s">
        <v>99</v>
      </c>
      <c r="M5513" t="s">
        <v>144</v>
      </c>
      <c r="N5513" t="s">
        <v>887</v>
      </c>
      <c r="O5513" t="s">
        <v>99</v>
      </c>
      <c r="P5513" t="s">
        <v>100</v>
      </c>
      <c r="Q5513" t="s">
        <v>99</v>
      </c>
    </row>
    <row r="5514" spans="1:17" x14ac:dyDescent="0.3">
      <c r="A5514" t="s">
        <v>37</v>
      </c>
      <c r="B5514" t="s">
        <v>212</v>
      </c>
      <c r="C5514">
        <v>3606</v>
      </c>
      <c r="D5514" t="s">
        <v>571</v>
      </c>
      <c r="E5514" t="s">
        <v>70</v>
      </c>
      <c r="F5514" t="s">
        <v>218</v>
      </c>
      <c r="G5514" t="s">
        <v>664</v>
      </c>
      <c r="H5514" t="s">
        <v>109</v>
      </c>
      <c r="I5514" t="s">
        <v>804</v>
      </c>
      <c r="J5514" t="s">
        <v>1215</v>
      </c>
      <c r="K5514" t="s">
        <v>104</v>
      </c>
      <c r="L5514" t="s">
        <v>120</v>
      </c>
      <c r="M5514" t="s">
        <v>198</v>
      </c>
      <c r="N5514" t="s">
        <v>676</v>
      </c>
      <c r="O5514" t="s">
        <v>104</v>
      </c>
      <c r="P5514" t="s">
        <v>136</v>
      </c>
      <c r="Q5514" t="s">
        <v>198</v>
      </c>
    </row>
    <row r="5515" spans="1:17" x14ac:dyDescent="0.3">
      <c r="A5515" t="s">
        <v>37</v>
      </c>
      <c r="B5515" t="s">
        <v>216</v>
      </c>
      <c r="C5515">
        <v>111</v>
      </c>
      <c r="D5515" t="s">
        <v>593</v>
      </c>
      <c r="E5515" t="s">
        <v>328</v>
      </c>
      <c r="F5515" t="s">
        <v>704</v>
      </c>
      <c r="G5515" t="s">
        <v>804</v>
      </c>
      <c r="H5515" t="s">
        <v>98</v>
      </c>
      <c r="I5515" t="s">
        <v>267</v>
      </c>
      <c r="J5515" t="s">
        <v>119</v>
      </c>
      <c r="K5515" t="s">
        <v>99</v>
      </c>
      <c r="L5515" t="s">
        <v>319</v>
      </c>
      <c r="M5515" t="s">
        <v>253</v>
      </c>
      <c r="N5515" t="s">
        <v>860</v>
      </c>
      <c r="O5515" t="s">
        <v>99</v>
      </c>
      <c r="P5515" t="s">
        <v>115</v>
      </c>
      <c r="Q5515" t="s">
        <v>99</v>
      </c>
    </row>
    <row r="5516" spans="1:17" x14ac:dyDescent="0.3">
      <c r="A5516" t="s">
        <v>36</v>
      </c>
      <c r="B5516" t="s">
        <v>210</v>
      </c>
      <c r="C5516">
        <v>165</v>
      </c>
      <c r="D5516" t="s">
        <v>944</v>
      </c>
      <c r="E5516" t="s">
        <v>233</v>
      </c>
      <c r="F5516" t="s">
        <v>318</v>
      </c>
      <c r="G5516" t="s">
        <v>112</v>
      </c>
      <c r="H5516" t="s">
        <v>108</v>
      </c>
      <c r="I5516" t="s">
        <v>206</v>
      </c>
      <c r="J5516" t="s">
        <v>565</v>
      </c>
      <c r="K5516" t="s">
        <v>99</v>
      </c>
      <c r="L5516" t="s">
        <v>113</v>
      </c>
      <c r="M5516" t="s">
        <v>160</v>
      </c>
      <c r="N5516" t="s">
        <v>196</v>
      </c>
      <c r="O5516" t="s">
        <v>99</v>
      </c>
      <c r="P5516" t="s">
        <v>319</v>
      </c>
      <c r="Q5516" t="s">
        <v>100</v>
      </c>
    </row>
    <row r="5517" spans="1:17" x14ac:dyDescent="0.3">
      <c r="A5517" t="s">
        <v>36</v>
      </c>
      <c r="B5517" t="s">
        <v>212</v>
      </c>
      <c r="C5517">
        <v>1874</v>
      </c>
      <c r="D5517" t="s">
        <v>582</v>
      </c>
      <c r="E5517" t="s">
        <v>671</v>
      </c>
      <c r="F5517" t="s">
        <v>751</v>
      </c>
      <c r="G5517" t="s">
        <v>315</v>
      </c>
      <c r="H5517" t="s">
        <v>118</v>
      </c>
      <c r="I5517" t="s">
        <v>182</v>
      </c>
      <c r="J5517" t="s">
        <v>808</v>
      </c>
      <c r="K5517" t="s">
        <v>99</v>
      </c>
      <c r="L5517" t="s">
        <v>215</v>
      </c>
      <c r="M5517" t="s">
        <v>319</v>
      </c>
      <c r="N5517" t="s">
        <v>990</v>
      </c>
      <c r="O5517" t="s">
        <v>253</v>
      </c>
      <c r="P5517" t="s">
        <v>253</v>
      </c>
      <c r="Q5517" t="s">
        <v>114</v>
      </c>
    </row>
    <row r="5518" spans="1:17" x14ac:dyDescent="0.3">
      <c r="A5518" t="s">
        <v>36</v>
      </c>
      <c r="B5518" t="s">
        <v>216</v>
      </c>
      <c r="C5518">
        <v>265</v>
      </c>
      <c r="D5518" t="s">
        <v>590</v>
      </c>
      <c r="E5518" t="s">
        <v>220</v>
      </c>
      <c r="F5518" t="s">
        <v>720</v>
      </c>
      <c r="G5518" t="s">
        <v>120</v>
      </c>
      <c r="H5518" t="s">
        <v>126</v>
      </c>
      <c r="I5518" t="s">
        <v>694</v>
      </c>
      <c r="J5518" t="s">
        <v>106</v>
      </c>
      <c r="K5518" t="s">
        <v>99</v>
      </c>
      <c r="L5518" t="s">
        <v>268</v>
      </c>
      <c r="M5518" t="s">
        <v>233</v>
      </c>
      <c r="N5518" t="s">
        <v>894</v>
      </c>
      <c r="O5518" t="s">
        <v>99</v>
      </c>
      <c r="P5518" t="s">
        <v>198</v>
      </c>
      <c r="Q5518" t="s">
        <v>115</v>
      </c>
    </row>
    <row r="5519" spans="1:17" x14ac:dyDescent="0.3">
      <c r="A5519" t="s">
        <v>34</v>
      </c>
      <c r="B5519" t="s">
        <v>210</v>
      </c>
      <c r="C5519">
        <v>256</v>
      </c>
      <c r="D5519" t="s">
        <v>843</v>
      </c>
      <c r="E5519" t="s">
        <v>313</v>
      </c>
      <c r="F5519" t="s">
        <v>267</v>
      </c>
      <c r="G5519" t="s">
        <v>134</v>
      </c>
      <c r="H5519" t="s">
        <v>99</v>
      </c>
      <c r="I5519" t="s">
        <v>311</v>
      </c>
      <c r="J5519" t="s">
        <v>943</v>
      </c>
      <c r="K5519" t="s">
        <v>141</v>
      </c>
      <c r="L5519" t="s">
        <v>112</v>
      </c>
      <c r="M5519" t="s">
        <v>144</v>
      </c>
      <c r="N5519" t="s">
        <v>1235</v>
      </c>
      <c r="O5519" t="s">
        <v>99</v>
      </c>
      <c r="P5519" t="s">
        <v>207</v>
      </c>
      <c r="Q5519" t="s">
        <v>292</v>
      </c>
    </row>
    <row r="5520" spans="1:17" x14ac:dyDescent="0.3">
      <c r="A5520" t="s">
        <v>34</v>
      </c>
      <c r="B5520" t="s">
        <v>212</v>
      </c>
      <c r="C5520">
        <v>1581</v>
      </c>
      <c r="D5520" t="s">
        <v>826</v>
      </c>
      <c r="E5520" t="s">
        <v>401</v>
      </c>
      <c r="F5520" t="s">
        <v>313</v>
      </c>
      <c r="G5520" t="s">
        <v>70</v>
      </c>
      <c r="H5520" t="s">
        <v>117</v>
      </c>
      <c r="I5520" t="s">
        <v>328</v>
      </c>
      <c r="J5520" t="s">
        <v>590</v>
      </c>
      <c r="K5520" t="s">
        <v>104</v>
      </c>
      <c r="L5520" t="s">
        <v>155</v>
      </c>
      <c r="M5520" t="s">
        <v>268</v>
      </c>
      <c r="N5520" t="s">
        <v>38</v>
      </c>
      <c r="O5520" t="s">
        <v>104</v>
      </c>
      <c r="P5520" t="s">
        <v>253</v>
      </c>
      <c r="Q5520" t="s">
        <v>132</v>
      </c>
    </row>
    <row r="5521" spans="1:17" x14ac:dyDescent="0.3">
      <c r="A5521" t="s">
        <v>34</v>
      </c>
      <c r="B5521" t="s">
        <v>216</v>
      </c>
      <c r="C5521">
        <v>242</v>
      </c>
      <c r="D5521" t="s">
        <v>227</v>
      </c>
      <c r="E5521" t="s">
        <v>672</v>
      </c>
      <c r="F5521" t="s">
        <v>267</v>
      </c>
      <c r="G5521" t="s">
        <v>254</v>
      </c>
      <c r="H5521" t="s">
        <v>292</v>
      </c>
      <c r="I5521" t="s">
        <v>135</v>
      </c>
      <c r="J5521" t="s">
        <v>1046</v>
      </c>
      <c r="K5521" t="s">
        <v>253</v>
      </c>
      <c r="L5521" t="s">
        <v>369</v>
      </c>
      <c r="M5521" t="s">
        <v>68</v>
      </c>
      <c r="N5521" t="s">
        <v>725</v>
      </c>
      <c r="O5521" t="s">
        <v>99</v>
      </c>
      <c r="P5521" t="s">
        <v>127</v>
      </c>
      <c r="Q5521" t="s">
        <v>319</v>
      </c>
    </row>
    <row r="5522" spans="1:17" x14ac:dyDescent="0.3">
      <c r="A5522" t="s">
        <v>33</v>
      </c>
      <c r="B5522" t="s">
        <v>210</v>
      </c>
      <c r="C5522">
        <v>68</v>
      </c>
      <c r="D5522" t="s">
        <v>1043</v>
      </c>
      <c r="E5522" t="s">
        <v>113</v>
      </c>
      <c r="F5522" t="s">
        <v>684</v>
      </c>
      <c r="G5522" t="s">
        <v>722</v>
      </c>
      <c r="H5522" t="s">
        <v>316</v>
      </c>
      <c r="I5522" t="s">
        <v>262</v>
      </c>
      <c r="J5522" t="s">
        <v>944</v>
      </c>
      <c r="K5522" t="s">
        <v>99</v>
      </c>
      <c r="L5522" t="s">
        <v>99</v>
      </c>
      <c r="M5522" t="s">
        <v>684</v>
      </c>
      <c r="N5522" t="s">
        <v>297</v>
      </c>
      <c r="O5522" t="s">
        <v>99</v>
      </c>
      <c r="P5522" t="s">
        <v>99</v>
      </c>
      <c r="Q5522" t="s">
        <v>99</v>
      </c>
    </row>
    <row r="5523" spans="1:17" x14ac:dyDescent="0.3">
      <c r="A5523" t="s">
        <v>33</v>
      </c>
      <c r="B5523" t="s">
        <v>212</v>
      </c>
      <c r="C5523">
        <v>1800</v>
      </c>
      <c r="D5523" t="s">
        <v>594</v>
      </c>
      <c r="E5523" t="s">
        <v>474</v>
      </c>
      <c r="F5523" t="s">
        <v>299</v>
      </c>
      <c r="G5523" t="s">
        <v>41</v>
      </c>
      <c r="H5523" t="s">
        <v>218</v>
      </c>
      <c r="I5523" t="s">
        <v>160</v>
      </c>
      <c r="J5523" t="s">
        <v>1188</v>
      </c>
      <c r="K5523" t="s">
        <v>99</v>
      </c>
      <c r="L5523" t="s">
        <v>120</v>
      </c>
      <c r="M5523" t="s">
        <v>104</v>
      </c>
      <c r="N5523" t="s">
        <v>313</v>
      </c>
      <c r="O5523" t="s">
        <v>104</v>
      </c>
      <c r="P5523" t="s">
        <v>104</v>
      </c>
      <c r="Q5523" t="s">
        <v>207</v>
      </c>
    </row>
    <row r="5524" spans="1:17" x14ac:dyDescent="0.3">
      <c r="A5524" t="s">
        <v>33</v>
      </c>
      <c r="B5524" t="s">
        <v>216</v>
      </c>
      <c r="C5524">
        <v>69</v>
      </c>
      <c r="D5524" t="s">
        <v>1052</v>
      </c>
      <c r="E5524" t="s">
        <v>129</v>
      </c>
      <c r="F5524" t="s">
        <v>672</v>
      </c>
      <c r="G5524" t="s">
        <v>542</v>
      </c>
      <c r="H5524" t="s">
        <v>112</v>
      </c>
      <c r="I5524" t="s">
        <v>76</v>
      </c>
      <c r="J5524" t="s">
        <v>689</v>
      </c>
      <c r="K5524" t="s">
        <v>99</v>
      </c>
      <c r="L5524" t="s">
        <v>292</v>
      </c>
      <c r="M5524" t="s">
        <v>99</v>
      </c>
      <c r="N5524" t="s">
        <v>177</v>
      </c>
      <c r="O5524" t="s">
        <v>382</v>
      </c>
      <c r="P5524" t="s">
        <v>99</v>
      </c>
      <c r="Q5524" t="s">
        <v>319</v>
      </c>
    </row>
    <row r="5525" spans="1:17" x14ac:dyDescent="0.3">
      <c r="A5525" t="s">
        <v>49</v>
      </c>
      <c r="B5525" t="s">
        <v>210</v>
      </c>
      <c r="C5525">
        <v>763</v>
      </c>
      <c r="D5525" t="s">
        <v>1285</v>
      </c>
      <c r="E5525" t="s">
        <v>722</v>
      </c>
      <c r="F5525" t="s">
        <v>449</v>
      </c>
      <c r="G5525" t="s">
        <v>325</v>
      </c>
      <c r="H5525" t="s">
        <v>136</v>
      </c>
      <c r="I5525" t="s">
        <v>315</v>
      </c>
      <c r="J5525" t="s">
        <v>1179</v>
      </c>
      <c r="K5525" t="s">
        <v>198</v>
      </c>
      <c r="L5525" t="s">
        <v>434</v>
      </c>
      <c r="M5525" t="s">
        <v>663</v>
      </c>
      <c r="N5525" t="s">
        <v>1082</v>
      </c>
      <c r="O5525" t="s">
        <v>99</v>
      </c>
      <c r="P5525" t="s">
        <v>115</v>
      </c>
      <c r="Q5525" t="s">
        <v>101</v>
      </c>
    </row>
    <row r="5526" spans="1:17" x14ac:dyDescent="0.3">
      <c r="A5526" t="s">
        <v>49</v>
      </c>
      <c r="B5526" t="s">
        <v>212</v>
      </c>
      <c r="C5526">
        <v>11303</v>
      </c>
      <c r="D5526" t="s">
        <v>887</v>
      </c>
      <c r="E5526" t="s">
        <v>664</v>
      </c>
      <c r="F5526" t="s">
        <v>163</v>
      </c>
      <c r="G5526" t="s">
        <v>184</v>
      </c>
      <c r="H5526" t="s">
        <v>144</v>
      </c>
      <c r="I5526" t="s">
        <v>160</v>
      </c>
      <c r="J5526" t="s">
        <v>603</v>
      </c>
      <c r="K5526" t="s">
        <v>207</v>
      </c>
      <c r="L5526" t="s">
        <v>107</v>
      </c>
      <c r="M5526" t="s">
        <v>132</v>
      </c>
      <c r="N5526" t="s">
        <v>255</v>
      </c>
      <c r="O5526" t="s">
        <v>136</v>
      </c>
      <c r="P5526" t="s">
        <v>141</v>
      </c>
      <c r="Q5526" t="s">
        <v>141</v>
      </c>
    </row>
    <row r="5527" spans="1:17" x14ac:dyDescent="0.3">
      <c r="A5527" t="s">
        <v>49</v>
      </c>
      <c r="B5527" t="s">
        <v>216</v>
      </c>
      <c r="C5527">
        <v>1254</v>
      </c>
      <c r="D5527" t="s">
        <v>213</v>
      </c>
      <c r="E5527" t="s">
        <v>722</v>
      </c>
      <c r="F5527" t="s">
        <v>416</v>
      </c>
      <c r="G5527" t="s">
        <v>184</v>
      </c>
      <c r="H5527" t="s">
        <v>101</v>
      </c>
      <c r="I5527" t="s">
        <v>675</v>
      </c>
      <c r="J5527" t="s">
        <v>140</v>
      </c>
      <c r="K5527" t="s">
        <v>198</v>
      </c>
      <c r="L5527" t="s">
        <v>434</v>
      </c>
      <c r="M5527" t="s">
        <v>154</v>
      </c>
      <c r="N5527" t="s">
        <v>820</v>
      </c>
      <c r="O5527" t="s">
        <v>104</v>
      </c>
      <c r="P5527" t="s">
        <v>253</v>
      </c>
      <c r="Q5527" t="s">
        <v>253</v>
      </c>
    </row>
    <row r="5529" spans="1:17" x14ac:dyDescent="0.3">
      <c r="A5529" t="s">
        <v>1750</v>
      </c>
    </row>
    <row r="5530" spans="1:17" x14ac:dyDescent="0.3">
      <c r="A5530" t="s">
        <v>44</v>
      </c>
      <c r="B5530" t="s">
        <v>388</v>
      </c>
      <c r="C5530" t="s">
        <v>32</v>
      </c>
      <c r="D5530" t="s">
        <v>1735</v>
      </c>
      <c r="E5530" t="s">
        <v>1736</v>
      </c>
      <c r="F5530" t="s">
        <v>1737</v>
      </c>
      <c r="G5530" t="s">
        <v>1738</v>
      </c>
      <c r="H5530" t="s">
        <v>1739</v>
      </c>
      <c r="I5530" t="s">
        <v>1740</v>
      </c>
      <c r="J5530" t="s">
        <v>1741</v>
      </c>
      <c r="K5530" t="s">
        <v>1742</v>
      </c>
      <c r="L5530" t="s">
        <v>1743</v>
      </c>
      <c r="M5530" t="s">
        <v>1744</v>
      </c>
      <c r="N5530" t="s">
        <v>1745</v>
      </c>
      <c r="O5530" t="s">
        <v>1746</v>
      </c>
      <c r="P5530" t="s">
        <v>1275</v>
      </c>
      <c r="Q5530" t="s">
        <v>193</v>
      </c>
    </row>
    <row r="5531" spans="1:17" x14ac:dyDescent="0.3">
      <c r="A5531" t="s">
        <v>35</v>
      </c>
      <c r="B5531" t="s">
        <v>389</v>
      </c>
      <c r="C5531">
        <v>2141</v>
      </c>
      <c r="D5531" t="s">
        <v>1006</v>
      </c>
      <c r="E5531" t="s">
        <v>150</v>
      </c>
      <c r="F5531" t="s">
        <v>254</v>
      </c>
      <c r="G5531" t="s">
        <v>712</v>
      </c>
      <c r="H5531" t="s">
        <v>268</v>
      </c>
      <c r="I5531" t="s">
        <v>412</v>
      </c>
      <c r="J5531" t="s">
        <v>1570</v>
      </c>
      <c r="K5531" t="s">
        <v>136</v>
      </c>
      <c r="L5531" t="s">
        <v>332</v>
      </c>
      <c r="M5531" t="s">
        <v>215</v>
      </c>
      <c r="N5531" t="s">
        <v>357</v>
      </c>
      <c r="O5531" t="s">
        <v>104</v>
      </c>
      <c r="P5531" t="s">
        <v>141</v>
      </c>
      <c r="Q5531" t="s">
        <v>141</v>
      </c>
    </row>
    <row r="5532" spans="1:17" x14ac:dyDescent="0.3">
      <c r="A5532" t="s">
        <v>35</v>
      </c>
      <c r="B5532" t="s">
        <v>390</v>
      </c>
      <c r="C5532">
        <v>875</v>
      </c>
      <c r="D5532" t="s">
        <v>918</v>
      </c>
      <c r="E5532" t="s">
        <v>220</v>
      </c>
      <c r="F5532" t="s">
        <v>289</v>
      </c>
      <c r="G5532" t="s">
        <v>296</v>
      </c>
      <c r="H5532" t="s">
        <v>292</v>
      </c>
      <c r="I5532" t="s">
        <v>382</v>
      </c>
      <c r="J5532" t="s">
        <v>963</v>
      </c>
      <c r="K5532" t="s">
        <v>126</v>
      </c>
      <c r="L5532" t="s">
        <v>155</v>
      </c>
      <c r="M5532" t="s">
        <v>215</v>
      </c>
      <c r="N5532" t="s">
        <v>731</v>
      </c>
      <c r="O5532" t="s">
        <v>316</v>
      </c>
      <c r="P5532" t="s">
        <v>115</v>
      </c>
      <c r="Q5532" t="s">
        <v>115</v>
      </c>
    </row>
    <row r="5533" spans="1:17" x14ac:dyDescent="0.3">
      <c r="A5533" t="s">
        <v>35</v>
      </c>
      <c r="B5533" t="s">
        <v>365</v>
      </c>
      <c r="C5533">
        <v>129</v>
      </c>
      <c r="D5533" t="s">
        <v>541</v>
      </c>
      <c r="E5533" t="s">
        <v>468</v>
      </c>
      <c r="F5533" t="s">
        <v>355</v>
      </c>
      <c r="G5533" t="s">
        <v>248</v>
      </c>
      <c r="H5533" t="s">
        <v>134</v>
      </c>
      <c r="I5533" t="s">
        <v>132</v>
      </c>
      <c r="J5533" t="s">
        <v>719</v>
      </c>
      <c r="K5533" t="s">
        <v>99</v>
      </c>
      <c r="L5533" t="s">
        <v>215</v>
      </c>
      <c r="M5533" t="s">
        <v>253</v>
      </c>
      <c r="N5533" t="s">
        <v>678</v>
      </c>
      <c r="O5533" t="s">
        <v>99</v>
      </c>
      <c r="P5533" t="s">
        <v>132</v>
      </c>
      <c r="Q5533" t="s">
        <v>99</v>
      </c>
    </row>
    <row r="5534" spans="1:17" x14ac:dyDescent="0.3">
      <c r="A5534" t="s">
        <v>37</v>
      </c>
      <c r="B5534" t="s">
        <v>389</v>
      </c>
      <c r="C5534">
        <v>2305</v>
      </c>
      <c r="D5534" t="s">
        <v>793</v>
      </c>
      <c r="E5534" t="s">
        <v>145</v>
      </c>
      <c r="F5534" t="s">
        <v>289</v>
      </c>
      <c r="G5534" t="s">
        <v>254</v>
      </c>
      <c r="H5534" t="s">
        <v>675</v>
      </c>
      <c r="I5534" t="s">
        <v>677</v>
      </c>
      <c r="J5534" t="s">
        <v>1006</v>
      </c>
      <c r="K5534" t="s">
        <v>104</v>
      </c>
      <c r="L5534" t="s">
        <v>120</v>
      </c>
      <c r="M5534" t="s">
        <v>207</v>
      </c>
      <c r="N5534" t="s">
        <v>298</v>
      </c>
      <c r="O5534" t="s">
        <v>104</v>
      </c>
      <c r="P5534" t="s">
        <v>207</v>
      </c>
      <c r="Q5534" t="s">
        <v>207</v>
      </c>
    </row>
    <row r="5535" spans="1:17" x14ac:dyDescent="0.3">
      <c r="A5535" t="s">
        <v>37</v>
      </c>
      <c r="B5535" t="s">
        <v>390</v>
      </c>
      <c r="C5535">
        <v>1309</v>
      </c>
      <c r="D5535" t="s">
        <v>1326</v>
      </c>
      <c r="E5535" t="s">
        <v>133</v>
      </c>
      <c r="F5535" t="s">
        <v>798</v>
      </c>
      <c r="G5535" t="s">
        <v>41</v>
      </c>
      <c r="H5535" t="s">
        <v>143</v>
      </c>
      <c r="I5535" t="s">
        <v>150</v>
      </c>
      <c r="J5535" t="s">
        <v>943</v>
      </c>
      <c r="K5535" t="s">
        <v>198</v>
      </c>
      <c r="L5535" t="s">
        <v>103</v>
      </c>
      <c r="M5535" t="s">
        <v>253</v>
      </c>
      <c r="N5535" t="s">
        <v>188</v>
      </c>
      <c r="O5535" t="s">
        <v>198</v>
      </c>
      <c r="P5535" t="s">
        <v>253</v>
      </c>
      <c r="Q5535" t="s">
        <v>99</v>
      </c>
    </row>
    <row r="5536" spans="1:17" x14ac:dyDescent="0.3">
      <c r="A5536" t="s">
        <v>37</v>
      </c>
      <c r="B5536" t="s">
        <v>365</v>
      </c>
      <c r="C5536">
        <v>241</v>
      </c>
      <c r="D5536" t="s">
        <v>1122</v>
      </c>
      <c r="E5536" t="s">
        <v>716</v>
      </c>
      <c r="F5536" t="s">
        <v>465</v>
      </c>
      <c r="G5536" t="s">
        <v>449</v>
      </c>
      <c r="H5536" t="s">
        <v>113</v>
      </c>
      <c r="I5536" t="s">
        <v>120</v>
      </c>
      <c r="J5536" t="s">
        <v>725</v>
      </c>
      <c r="K5536" t="s">
        <v>99</v>
      </c>
      <c r="L5536" t="s">
        <v>111</v>
      </c>
      <c r="M5536" t="s">
        <v>100</v>
      </c>
      <c r="N5536" t="s">
        <v>177</v>
      </c>
      <c r="O5536" t="s">
        <v>99</v>
      </c>
      <c r="P5536" t="s">
        <v>207</v>
      </c>
      <c r="Q5536" t="s">
        <v>207</v>
      </c>
    </row>
    <row r="5537" spans="1:17" x14ac:dyDescent="0.3">
      <c r="A5537" t="s">
        <v>36</v>
      </c>
      <c r="B5537" t="s">
        <v>389</v>
      </c>
      <c r="C5537">
        <v>1577</v>
      </c>
      <c r="D5537" t="s">
        <v>607</v>
      </c>
      <c r="E5537" t="s">
        <v>41</v>
      </c>
      <c r="F5537" t="s">
        <v>673</v>
      </c>
      <c r="G5537" t="s">
        <v>251</v>
      </c>
      <c r="H5537" t="s">
        <v>155</v>
      </c>
      <c r="I5537" t="s">
        <v>368</v>
      </c>
      <c r="J5537" t="s">
        <v>620</v>
      </c>
      <c r="K5537" t="s">
        <v>99</v>
      </c>
      <c r="L5537" t="s">
        <v>117</v>
      </c>
      <c r="M5537" t="s">
        <v>134</v>
      </c>
      <c r="N5537" t="s">
        <v>717</v>
      </c>
      <c r="O5537" t="s">
        <v>104</v>
      </c>
      <c r="P5537" t="s">
        <v>141</v>
      </c>
      <c r="Q5537" t="s">
        <v>114</v>
      </c>
    </row>
    <row r="5538" spans="1:17" x14ac:dyDescent="0.3">
      <c r="A5538" t="s">
        <v>36</v>
      </c>
      <c r="B5538" t="s">
        <v>390</v>
      </c>
      <c r="C5538">
        <v>627</v>
      </c>
      <c r="D5538" t="s">
        <v>932</v>
      </c>
      <c r="E5538" t="s">
        <v>722</v>
      </c>
      <c r="F5538" t="s">
        <v>743</v>
      </c>
      <c r="G5538" t="s">
        <v>125</v>
      </c>
      <c r="H5538" t="s">
        <v>128</v>
      </c>
      <c r="I5538" t="s">
        <v>434</v>
      </c>
      <c r="J5538" t="s">
        <v>591</v>
      </c>
      <c r="K5538" t="s">
        <v>99</v>
      </c>
      <c r="L5538" t="s">
        <v>105</v>
      </c>
      <c r="M5538" t="s">
        <v>111</v>
      </c>
      <c r="N5538" t="s">
        <v>298</v>
      </c>
      <c r="O5538" t="s">
        <v>319</v>
      </c>
      <c r="P5538" t="s">
        <v>114</v>
      </c>
      <c r="Q5538" t="s">
        <v>121</v>
      </c>
    </row>
    <row r="5539" spans="1:17" x14ac:dyDescent="0.3">
      <c r="A5539" t="s">
        <v>36</v>
      </c>
      <c r="B5539" t="s">
        <v>365</v>
      </c>
      <c r="C5539">
        <v>100</v>
      </c>
      <c r="D5539" t="s">
        <v>533</v>
      </c>
      <c r="E5539" t="s">
        <v>368</v>
      </c>
      <c r="F5539" t="s">
        <v>745</v>
      </c>
      <c r="G5539" t="s">
        <v>109</v>
      </c>
      <c r="H5539" t="s">
        <v>120</v>
      </c>
      <c r="I5539" t="s">
        <v>147</v>
      </c>
      <c r="J5539" t="s">
        <v>1494</v>
      </c>
      <c r="K5539" t="s">
        <v>99</v>
      </c>
      <c r="L5539" t="s">
        <v>121</v>
      </c>
      <c r="M5539" t="s">
        <v>382</v>
      </c>
      <c r="N5539" t="s">
        <v>636</v>
      </c>
      <c r="O5539" t="s">
        <v>99</v>
      </c>
      <c r="P5539" t="s">
        <v>136</v>
      </c>
      <c r="Q5539" t="s">
        <v>136</v>
      </c>
    </row>
    <row r="5540" spans="1:17" x14ac:dyDescent="0.3">
      <c r="A5540" t="s">
        <v>34</v>
      </c>
      <c r="B5540" t="s">
        <v>389</v>
      </c>
      <c r="C5540">
        <v>1384</v>
      </c>
      <c r="D5540" t="s">
        <v>527</v>
      </c>
      <c r="E5540" t="s">
        <v>171</v>
      </c>
      <c r="F5540" t="s">
        <v>251</v>
      </c>
      <c r="G5540" t="s">
        <v>124</v>
      </c>
      <c r="H5540" t="s">
        <v>123</v>
      </c>
      <c r="I5540" t="s">
        <v>305</v>
      </c>
      <c r="J5540" t="s">
        <v>1178</v>
      </c>
      <c r="K5540" t="s">
        <v>99</v>
      </c>
      <c r="L5540" t="s">
        <v>158</v>
      </c>
      <c r="M5540" t="s">
        <v>129</v>
      </c>
      <c r="N5540" t="s">
        <v>736</v>
      </c>
      <c r="O5540" t="s">
        <v>99</v>
      </c>
      <c r="P5540" t="s">
        <v>132</v>
      </c>
      <c r="Q5540" t="s">
        <v>100</v>
      </c>
    </row>
    <row r="5541" spans="1:17" x14ac:dyDescent="0.3">
      <c r="A5541" t="s">
        <v>34</v>
      </c>
      <c r="B5541" t="s">
        <v>390</v>
      </c>
      <c r="C5541">
        <v>615</v>
      </c>
      <c r="D5541" t="s">
        <v>595</v>
      </c>
      <c r="E5541" t="s">
        <v>150</v>
      </c>
      <c r="F5541" t="s">
        <v>175</v>
      </c>
      <c r="G5541" t="s">
        <v>470</v>
      </c>
      <c r="H5541" t="s">
        <v>123</v>
      </c>
      <c r="I5541" t="s">
        <v>155</v>
      </c>
      <c r="J5541" t="s">
        <v>1055</v>
      </c>
      <c r="K5541" t="s">
        <v>132</v>
      </c>
      <c r="L5541" t="s">
        <v>105</v>
      </c>
      <c r="M5541" t="s">
        <v>123</v>
      </c>
      <c r="N5541" t="s">
        <v>805</v>
      </c>
      <c r="O5541" t="s">
        <v>198</v>
      </c>
      <c r="P5541" t="s">
        <v>253</v>
      </c>
      <c r="Q5541" t="s">
        <v>319</v>
      </c>
    </row>
    <row r="5542" spans="1:17" x14ac:dyDescent="0.3">
      <c r="A5542" t="s">
        <v>34</v>
      </c>
      <c r="B5542" t="s">
        <v>365</v>
      </c>
      <c r="C5542">
        <v>80</v>
      </c>
      <c r="D5542" t="s">
        <v>554</v>
      </c>
      <c r="E5542" t="s">
        <v>72</v>
      </c>
      <c r="F5542" t="s">
        <v>298</v>
      </c>
      <c r="G5542" t="s">
        <v>98</v>
      </c>
      <c r="H5542" t="s">
        <v>155</v>
      </c>
      <c r="I5542" t="s">
        <v>128</v>
      </c>
      <c r="J5542" t="s">
        <v>522</v>
      </c>
      <c r="K5542" t="s">
        <v>99</v>
      </c>
      <c r="L5542" t="s">
        <v>151</v>
      </c>
      <c r="M5542" t="s">
        <v>99</v>
      </c>
      <c r="N5542" t="s">
        <v>592</v>
      </c>
      <c r="O5542" t="s">
        <v>99</v>
      </c>
      <c r="P5542" t="s">
        <v>99</v>
      </c>
      <c r="Q5542" t="s">
        <v>99</v>
      </c>
    </row>
    <row r="5543" spans="1:17" x14ac:dyDescent="0.3">
      <c r="A5543" t="s">
        <v>33</v>
      </c>
      <c r="B5543" t="s">
        <v>389</v>
      </c>
      <c r="C5543">
        <v>1090</v>
      </c>
      <c r="D5543" t="s">
        <v>918</v>
      </c>
      <c r="E5543" t="s">
        <v>712</v>
      </c>
      <c r="F5543" t="s">
        <v>299</v>
      </c>
      <c r="G5543" t="s">
        <v>248</v>
      </c>
      <c r="H5543" t="s">
        <v>315</v>
      </c>
      <c r="I5543" t="s">
        <v>165</v>
      </c>
      <c r="J5543" t="s">
        <v>818</v>
      </c>
      <c r="K5543" t="s">
        <v>99</v>
      </c>
      <c r="L5543" t="s">
        <v>151</v>
      </c>
      <c r="M5543" t="s">
        <v>141</v>
      </c>
      <c r="N5543" t="s">
        <v>201</v>
      </c>
      <c r="O5543" t="s">
        <v>104</v>
      </c>
      <c r="P5543" t="s">
        <v>99</v>
      </c>
      <c r="Q5543" t="s">
        <v>207</v>
      </c>
    </row>
    <row r="5544" spans="1:17" x14ac:dyDescent="0.3">
      <c r="A5544" t="s">
        <v>33</v>
      </c>
      <c r="B5544" t="s">
        <v>390</v>
      </c>
      <c r="C5544">
        <v>708</v>
      </c>
      <c r="D5544" t="s">
        <v>583</v>
      </c>
      <c r="E5544" t="s">
        <v>242</v>
      </c>
      <c r="F5544" t="s">
        <v>113</v>
      </c>
      <c r="G5544" t="s">
        <v>408</v>
      </c>
      <c r="H5544" t="s">
        <v>449</v>
      </c>
      <c r="I5544" t="s">
        <v>105</v>
      </c>
      <c r="J5544" t="s">
        <v>607</v>
      </c>
      <c r="K5544" t="s">
        <v>99</v>
      </c>
      <c r="L5544" t="s">
        <v>157</v>
      </c>
      <c r="M5544" t="s">
        <v>99</v>
      </c>
      <c r="N5544" t="s">
        <v>408</v>
      </c>
      <c r="O5544" t="s">
        <v>198</v>
      </c>
      <c r="P5544" t="s">
        <v>198</v>
      </c>
      <c r="Q5544" t="s">
        <v>141</v>
      </c>
    </row>
    <row r="5545" spans="1:17" x14ac:dyDescent="0.3">
      <c r="A5545" t="s">
        <v>33</v>
      </c>
      <c r="B5545" t="s">
        <v>365</v>
      </c>
      <c r="C5545">
        <v>139</v>
      </c>
      <c r="D5545" t="s">
        <v>480</v>
      </c>
      <c r="E5545" t="s">
        <v>112</v>
      </c>
      <c r="F5545" t="s">
        <v>305</v>
      </c>
      <c r="G5545" t="s">
        <v>125</v>
      </c>
      <c r="H5545" t="s">
        <v>683</v>
      </c>
      <c r="I5545" t="s">
        <v>103</v>
      </c>
      <c r="J5545" t="s">
        <v>624</v>
      </c>
      <c r="K5545" t="s">
        <v>99</v>
      </c>
      <c r="L5545" t="s">
        <v>158</v>
      </c>
      <c r="M5545" t="s">
        <v>99</v>
      </c>
      <c r="N5545" t="s">
        <v>731</v>
      </c>
      <c r="O5545" t="s">
        <v>99</v>
      </c>
      <c r="P5545" t="s">
        <v>99</v>
      </c>
      <c r="Q5545" t="s">
        <v>99</v>
      </c>
    </row>
    <row r="5546" spans="1:17" x14ac:dyDescent="0.3">
      <c r="A5546" t="s">
        <v>49</v>
      </c>
      <c r="B5546" t="s">
        <v>389</v>
      </c>
      <c r="C5546">
        <v>8497</v>
      </c>
      <c r="D5546" t="s">
        <v>839</v>
      </c>
      <c r="E5546" t="s">
        <v>122</v>
      </c>
      <c r="F5546" t="s">
        <v>405</v>
      </c>
      <c r="G5546" t="s">
        <v>143</v>
      </c>
      <c r="H5546" t="s">
        <v>139</v>
      </c>
      <c r="I5546" t="s">
        <v>133</v>
      </c>
      <c r="J5546" t="s">
        <v>1108</v>
      </c>
      <c r="K5546" t="s">
        <v>104</v>
      </c>
      <c r="L5546" t="s">
        <v>155</v>
      </c>
      <c r="M5546" t="s">
        <v>127</v>
      </c>
      <c r="N5546" t="s">
        <v>706</v>
      </c>
      <c r="O5546" t="s">
        <v>104</v>
      </c>
      <c r="P5546" t="s">
        <v>141</v>
      </c>
      <c r="Q5546" t="s">
        <v>253</v>
      </c>
    </row>
    <row r="5547" spans="1:17" x14ac:dyDescent="0.3">
      <c r="A5547" t="s">
        <v>49</v>
      </c>
      <c r="B5547" t="s">
        <v>390</v>
      </c>
      <c r="C5547">
        <v>4134</v>
      </c>
      <c r="D5547" t="s">
        <v>918</v>
      </c>
      <c r="E5547" t="s">
        <v>363</v>
      </c>
      <c r="F5547" t="s">
        <v>746</v>
      </c>
      <c r="G5547" t="s">
        <v>722</v>
      </c>
      <c r="H5547" t="s">
        <v>684</v>
      </c>
      <c r="I5547" t="s">
        <v>130</v>
      </c>
      <c r="J5547" t="s">
        <v>565</v>
      </c>
      <c r="K5547" t="s">
        <v>253</v>
      </c>
      <c r="L5547" t="s">
        <v>107</v>
      </c>
      <c r="M5547" t="s">
        <v>100</v>
      </c>
      <c r="N5547" t="s">
        <v>718</v>
      </c>
      <c r="O5547" t="s">
        <v>132</v>
      </c>
      <c r="P5547" t="s">
        <v>253</v>
      </c>
      <c r="Q5547" t="s">
        <v>253</v>
      </c>
    </row>
    <row r="5548" spans="1:17" x14ac:dyDescent="0.3">
      <c r="A5548" t="s">
        <v>49</v>
      </c>
      <c r="B5548" t="s">
        <v>365</v>
      </c>
      <c r="C5548">
        <v>689</v>
      </c>
      <c r="D5548" t="s">
        <v>1194</v>
      </c>
      <c r="E5548" t="s">
        <v>305</v>
      </c>
      <c r="F5548" t="s">
        <v>186</v>
      </c>
      <c r="G5548" t="s">
        <v>41</v>
      </c>
      <c r="H5548" t="s">
        <v>305</v>
      </c>
      <c r="I5548" t="s">
        <v>268</v>
      </c>
      <c r="J5548" t="s">
        <v>527</v>
      </c>
      <c r="K5548" t="s">
        <v>99</v>
      </c>
      <c r="L5548" t="s">
        <v>316</v>
      </c>
      <c r="M5548" t="s">
        <v>115</v>
      </c>
      <c r="N5548" t="s">
        <v>802</v>
      </c>
      <c r="O5548" t="s">
        <v>99</v>
      </c>
      <c r="P5548" t="s">
        <v>207</v>
      </c>
      <c r="Q5548" t="s">
        <v>198</v>
      </c>
    </row>
    <row r="5550" spans="1:17" x14ac:dyDescent="0.3">
      <c r="A5550" t="s">
        <v>1751</v>
      </c>
    </row>
    <row r="5551" spans="1:17" x14ac:dyDescent="0.3">
      <c r="A5551" t="s">
        <v>44</v>
      </c>
      <c r="B5551" t="s">
        <v>235</v>
      </c>
      <c r="C5551" t="s">
        <v>32</v>
      </c>
      <c r="D5551" t="s">
        <v>1735</v>
      </c>
      <c r="E5551" t="s">
        <v>1736</v>
      </c>
      <c r="F5551" t="s">
        <v>1737</v>
      </c>
      <c r="G5551" t="s">
        <v>1738</v>
      </c>
      <c r="H5551" t="s">
        <v>1739</v>
      </c>
      <c r="I5551" t="s">
        <v>1740</v>
      </c>
      <c r="J5551" t="s">
        <v>1741</v>
      </c>
      <c r="K5551" t="s">
        <v>1742</v>
      </c>
      <c r="L5551" t="s">
        <v>1743</v>
      </c>
      <c r="M5551" t="s">
        <v>1744</v>
      </c>
      <c r="N5551" t="s">
        <v>1745</v>
      </c>
      <c r="O5551" t="s">
        <v>1746</v>
      </c>
      <c r="P5551" t="s">
        <v>1275</v>
      </c>
      <c r="Q5551" t="s">
        <v>193</v>
      </c>
    </row>
    <row r="5552" spans="1:17" x14ac:dyDescent="0.3">
      <c r="A5552" t="s">
        <v>35</v>
      </c>
      <c r="B5552" t="s">
        <v>236</v>
      </c>
      <c r="C5552">
        <v>1610</v>
      </c>
      <c r="D5552" t="s">
        <v>610</v>
      </c>
      <c r="E5552" t="s">
        <v>160</v>
      </c>
      <c r="F5552" t="s">
        <v>313</v>
      </c>
      <c r="G5552" t="s">
        <v>353</v>
      </c>
      <c r="H5552" t="s">
        <v>158</v>
      </c>
      <c r="I5552" t="s">
        <v>684</v>
      </c>
      <c r="J5552" t="s">
        <v>599</v>
      </c>
      <c r="K5552" t="s">
        <v>198</v>
      </c>
      <c r="L5552" t="s">
        <v>117</v>
      </c>
      <c r="M5552" t="s">
        <v>141</v>
      </c>
      <c r="N5552" t="s">
        <v>373</v>
      </c>
      <c r="O5552" t="s">
        <v>104</v>
      </c>
      <c r="P5552" t="s">
        <v>253</v>
      </c>
      <c r="Q5552" t="s">
        <v>141</v>
      </c>
    </row>
    <row r="5553" spans="1:17" x14ac:dyDescent="0.3">
      <c r="A5553" t="s">
        <v>35</v>
      </c>
      <c r="B5553" t="s">
        <v>238</v>
      </c>
      <c r="C5553">
        <v>1535</v>
      </c>
      <c r="D5553" t="s">
        <v>958</v>
      </c>
      <c r="E5553" t="s">
        <v>353</v>
      </c>
      <c r="F5553" t="s">
        <v>109</v>
      </c>
      <c r="G5553" t="s">
        <v>139</v>
      </c>
      <c r="H5553" t="s">
        <v>114</v>
      </c>
      <c r="I5553" t="s">
        <v>332</v>
      </c>
      <c r="J5553" t="s">
        <v>824</v>
      </c>
      <c r="K5553" t="s">
        <v>108</v>
      </c>
      <c r="L5553" t="s">
        <v>118</v>
      </c>
      <c r="M5553" t="s">
        <v>111</v>
      </c>
      <c r="N5553" t="s">
        <v>173</v>
      </c>
      <c r="O5553" t="s">
        <v>114</v>
      </c>
      <c r="P5553" t="s">
        <v>141</v>
      </c>
      <c r="Q5553" t="s">
        <v>141</v>
      </c>
    </row>
    <row r="5554" spans="1:17" x14ac:dyDescent="0.3">
      <c r="A5554" t="s">
        <v>37</v>
      </c>
      <c r="B5554" t="s">
        <v>236</v>
      </c>
      <c r="C5554">
        <v>2211</v>
      </c>
      <c r="D5554" t="s">
        <v>824</v>
      </c>
      <c r="E5554" t="s">
        <v>363</v>
      </c>
      <c r="F5554" t="s">
        <v>814</v>
      </c>
      <c r="G5554" t="s">
        <v>248</v>
      </c>
      <c r="H5554" t="s">
        <v>671</v>
      </c>
      <c r="I5554" t="s">
        <v>142</v>
      </c>
      <c r="J5554" t="s">
        <v>625</v>
      </c>
      <c r="K5554" t="s">
        <v>99</v>
      </c>
      <c r="L5554" t="s">
        <v>268</v>
      </c>
      <c r="M5554" t="s">
        <v>198</v>
      </c>
      <c r="N5554" t="s">
        <v>298</v>
      </c>
      <c r="O5554" t="s">
        <v>104</v>
      </c>
      <c r="P5554" t="s">
        <v>141</v>
      </c>
      <c r="Q5554" t="s">
        <v>198</v>
      </c>
    </row>
    <row r="5555" spans="1:17" x14ac:dyDescent="0.3">
      <c r="A5555" t="s">
        <v>37</v>
      </c>
      <c r="B5555" t="s">
        <v>238</v>
      </c>
      <c r="C5555">
        <v>1644</v>
      </c>
      <c r="D5555" t="s">
        <v>559</v>
      </c>
      <c r="E5555" t="s">
        <v>150</v>
      </c>
      <c r="F5555" t="s">
        <v>710</v>
      </c>
      <c r="G5555" t="s">
        <v>679</v>
      </c>
      <c r="H5555" t="s">
        <v>147</v>
      </c>
      <c r="I5555" t="s">
        <v>291</v>
      </c>
      <c r="J5555" t="s">
        <v>1183</v>
      </c>
      <c r="K5555" t="s">
        <v>198</v>
      </c>
      <c r="L5555" t="s">
        <v>105</v>
      </c>
      <c r="M5555" t="s">
        <v>132</v>
      </c>
      <c r="N5555" t="s">
        <v>990</v>
      </c>
      <c r="O5555" t="s">
        <v>104</v>
      </c>
      <c r="P5555" t="s">
        <v>207</v>
      </c>
      <c r="Q5555" t="s">
        <v>104</v>
      </c>
    </row>
    <row r="5556" spans="1:17" x14ac:dyDescent="0.3">
      <c r="A5556" t="s">
        <v>36</v>
      </c>
      <c r="B5556" t="s">
        <v>236</v>
      </c>
      <c r="C5556">
        <v>1566</v>
      </c>
      <c r="D5556" t="s">
        <v>620</v>
      </c>
      <c r="E5556" t="s">
        <v>125</v>
      </c>
      <c r="F5556" t="s">
        <v>911</v>
      </c>
      <c r="G5556" t="s">
        <v>722</v>
      </c>
      <c r="H5556" t="s">
        <v>149</v>
      </c>
      <c r="I5556" t="s">
        <v>315</v>
      </c>
      <c r="J5556" t="s">
        <v>631</v>
      </c>
      <c r="K5556" t="s">
        <v>99</v>
      </c>
      <c r="L5556" t="s">
        <v>382</v>
      </c>
      <c r="M5556" t="s">
        <v>147</v>
      </c>
      <c r="N5556" t="s">
        <v>442</v>
      </c>
      <c r="O5556" t="s">
        <v>207</v>
      </c>
      <c r="P5556" t="s">
        <v>104</v>
      </c>
      <c r="Q5556" t="s">
        <v>114</v>
      </c>
    </row>
    <row r="5557" spans="1:17" x14ac:dyDescent="0.3">
      <c r="A5557" t="s">
        <v>36</v>
      </c>
      <c r="B5557" t="s">
        <v>238</v>
      </c>
      <c r="C5557">
        <v>738</v>
      </c>
      <c r="D5557" t="s">
        <v>1113</v>
      </c>
      <c r="E5557" t="s">
        <v>804</v>
      </c>
      <c r="F5557" t="s">
        <v>301</v>
      </c>
      <c r="G5557" t="s">
        <v>722</v>
      </c>
      <c r="H5557" t="s">
        <v>151</v>
      </c>
      <c r="I5557" t="s">
        <v>133</v>
      </c>
      <c r="J5557" t="s">
        <v>1183</v>
      </c>
      <c r="K5557" t="s">
        <v>99</v>
      </c>
      <c r="L5557" t="s">
        <v>105</v>
      </c>
      <c r="M5557" t="s">
        <v>138</v>
      </c>
      <c r="N5557" t="s">
        <v>723</v>
      </c>
      <c r="O5557" t="s">
        <v>141</v>
      </c>
      <c r="P5557" t="s">
        <v>114</v>
      </c>
      <c r="Q5557" t="s">
        <v>114</v>
      </c>
    </row>
    <row r="5558" spans="1:17" x14ac:dyDescent="0.3">
      <c r="A5558" t="s">
        <v>34</v>
      </c>
      <c r="B5558" t="s">
        <v>236</v>
      </c>
      <c r="C5558">
        <v>716</v>
      </c>
      <c r="D5558" t="s">
        <v>489</v>
      </c>
      <c r="E5558" t="s">
        <v>408</v>
      </c>
      <c r="F5558" t="s">
        <v>313</v>
      </c>
      <c r="G5558" t="s">
        <v>296</v>
      </c>
      <c r="H5558" t="s">
        <v>139</v>
      </c>
      <c r="I5558" t="s">
        <v>353</v>
      </c>
      <c r="J5558" t="s">
        <v>1184</v>
      </c>
      <c r="K5558" t="s">
        <v>99</v>
      </c>
      <c r="L5558" t="s">
        <v>412</v>
      </c>
      <c r="M5558" t="s">
        <v>474</v>
      </c>
      <c r="N5558" t="s">
        <v>513</v>
      </c>
      <c r="O5558" t="s">
        <v>99</v>
      </c>
      <c r="P5558" t="s">
        <v>108</v>
      </c>
      <c r="Q5558" t="s">
        <v>141</v>
      </c>
    </row>
    <row r="5559" spans="1:17" x14ac:dyDescent="0.3">
      <c r="A5559" t="s">
        <v>34</v>
      </c>
      <c r="B5559" t="s">
        <v>238</v>
      </c>
      <c r="C5559">
        <v>1363</v>
      </c>
      <c r="D5559" t="s">
        <v>887</v>
      </c>
      <c r="E5559" t="s">
        <v>420</v>
      </c>
      <c r="F5559" t="s">
        <v>710</v>
      </c>
      <c r="G5559" t="s">
        <v>204</v>
      </c>
      <c r="H5559" t="s">
        <v>132</v>
      </c>
      <c r="I5559" t="s">
        <v>74</v>
      </c>
      <c r="J5559" t="s">
        <v>887</v>
      </c>
      <c r="K5559" t="s">
        <v>136</v>
      </c>
      <c r="L5559" t="s">
        <v>474</v>
      </c>
      <c r="M5559" t="s">
        <v>128</v>
      </c>
      <c r="N5559" t="s">
        <v>429</v>
      </c>
      <c r="O5559" t="s">
        <v>99</v>
      </c>
      <c r="P5559" t="s">
        <v>115</v>
      </c>
      <c r="Q5559" t="s">
        <v>319</v>
      </c>
    </row>
    <row r="5560" spans="1:17" x14ac:dyDescent="0.3">
      <c r="A5560" t="s">
        <v>33</v>
      </c>
      <c r="B5560" t="s">
        <v>236</v>
      </c>
      <c r="C5560">
        <v>1116</v>
      </c>
      <c r="D5560" t="s">
        <v>1570</v>
      </c>
      <c r="E5560" t="s">
        <v>158</v>
      </c>
      <c r="F5560" t="s">
        <v>353</v>
      </c>
      <c r="G5560" t="s">
        <v>305</v>
      </c>
      <c r="H5560" t="s">
        <v>370</v>
      </c>
      <c r="I5560" t="s">
        <v>675</v>
      </c>
      <c r="J5560" t="s">
        <v>583</v>
      </c>
      <c r="K5560" t="s">
        <v>99</v>
      </c>
      <c r="L5560" t="s">
        <v>120</v>
      </c>
      <c r="M5560" t="s">
        <v>104</v>
      </c>
      <c r="N5560" t="s">
        <v>218</v>
      </c>
      <c r="O5560" t="s">
        <v>104</v>
      </c>
      <c r="P5560" t="s">
        <v>99</v>
      </c>
      <c r="Q5560" t="s">
        <v>141</v>
      </c>
    </row>
    <row r="5561" spans="1:17" x14ac:dyDescent="0.3">
      <c r="A5561" t="s">
        <v>33</v>
      </c>
      <c r="B5561" t="s">
        <v>238</v>
      </c>
      <c r="C5561">
        <v>821</v>
      </c>
      <c r="D5561" t="s">
        <v>522</v>
      </c>
      <c r="E5561" t="s">
        <v>118</v>
      </c>
      <c r="F5561" t="s">
        <v>72</v>
      </c>
      <c r="G5561" t="s">
        <v>251</v>
      </c>
      <c r="H5561" t="s">
        <v>434</v>
      </c>
      <c r="I5561" t="s">
        <v>305</v>
      </c>
      <c r="J5561" t="s">
        <v>817</v>
      </c>
      <c r="K5561" t="s">
        <v>99</v>
      </c>
      <c r="L5561" t="s">
        <v>103</v>
      </c>
      <c r="M5561" t="s">
        <v>136</v>
      </c>
      <c r="N5561" t="s">
        <v>321</v>
      </c>
      <c r="O5561" t="s">
        <v>104</v>
      </c>
      <c r="P5561" t="s">
        <v>104</v>
      </c>
      <c r="Q5561" t="s">
        <v>104</v>
      </c>
    </row>
    <row r="5562" spans="1:17" x14ac:dyDescent="0.3">
      <c r="A5562" t="s">
        <v>49</v>
      </c>
      <c r="B5562" t="s">
        <v>236</v>
      </c>
      <c r="C5562">
        <v>7219</v>
      </c>
      <c r="D5562" t="s">
        <v>584</v>
      </c>
      <c r="E5562" t="s">
        <v>353</v>
      </c>
      <c r="F5562" t="s">
        <v>294</v>
      </c>
      <c r="G5562" t="s">
        <v>363</v>
      </c>
      <c r="H5562" t="s">
        <v>142</v>
      </c>
      <c r="I5562" t="s">
        <v>401</v>
      </c>
      <c r="J5562" t="s">
        <v>1255</v>
      </c>
      <c r="K5562" t="s">
        <v>104</v>
      </c>
      <c r="L5562" t="s">
        <v>128</v>
      </c>
      <c r="M5562" t="s">
        <v>100</v>
      </c>
      <c r="N5562" t="s">
        <v>1044</v>
      </c>
      <c r="O5562" t="s">
        <v>104</v>
      </c>
      <c r="P5562" t="s">
        <v>141</v>
      </c>
      <c r="Q5562" t="s">
        <v>136</v>
      </c>
    </row>
    <row r="5563" spans="1:17" x14ac:dyDescent="0.3">
      <c r="A5563" t="s">
        <v>49</v>
      </c>
      <c r="B5563" t="s">
        <v>238</v>
      </c>
      <c r="C5563">
        <v>6101</v>
      </c>
      <c r="D5563" t="s">
        <v>1165</v>
      </c>
      <c r="E5563" t="s">
        <v>184</v>
      </c>
      <c r="F5563" t="s">
        <v>171</v>
      </c>
      <c r="G5563" t="s">
        <v>135</v>
      </c>
      <c r="H5563" t="s">
        <v>123</v>
      </c>
      <c r="I5563" t="s">
        <v>152</v>
      </c>
      <c r="J5563" t="s">
        <v>614</v>
      </c>
      <c r="K5563" t="s">
        <v>136</v>
      </c>
      <c r="L5563" t="s">
        <v>154</v>
      </c>
      <c r="M5563" t="s">
        <v>123</v>
      </c>
      <c r="N5563" t="s">
        <v>197</v>
      </c>
      <c r="O5563" t="s">
        <v>136</v>
      </c>
      <c r="P5563" t="s">
        <v>141</v>
      </c>
      <c r="Q5563" t="s">
        <v>253</v>
      </c>
    </row>
    <row r="5565" spans="1:17" x14ac:dyDescent="0.3">
      <c r="A5565" t="s">
        <v>1752</v>
      </c>
    </row>
    <row r="5566" spans="1:17" x14ac:dyDescent="0.3">
      <c r="A5566" t="s">
        <v>44</v>
      </c>
      <c r="B5566" t="s">
        <v>1335</v>
      </c>
      <c r="C5566" t="s">
        <v>32</v>
      </c>
      <c r="D5566" t="s">
        <v>1735</v>
      </c>
      <c r="E5566" t="s">
        <v>1736</v>
      </c>
      <c r="F5566" t="s">
        <v>1737</v>
      </c>
      <c r="G5566" t="s">
        <v>1738</v>
      </c>
      <c r="H5566" t="s">
        <v>1739</v>
      </c>
      <c r="I5566" t="s">
        <v>1740</v>
      </c>
      <c r="J5566" t="s">
        <v>1741</v>
      </c>
      <c r="K5566" t="s">
        <v>1742</v>
      </c>
      <c r="L5566" t="s">
        <v>1743</v>
      </c>
      <c r="M5566" t="s">
        <v>1744</v>
      </c>
      <c r="N5566" t="s">
        <v>1745</v>
      </c>
      <c r="O5566" t="s">
        <v>1746</v>
      </c>
      <c r="P5566" t="s">
        <v>1275</v>
      </c>
      <c r="Q5566" t="s">
        <v>193</v>
      </c>
    </row>
    <row r="5567" spans="1:17" x14ac:dyDescent="0.3">
      <c r="A5567" t="s">
        <v>35</v>
      </c>
      <c r="B5567" t="s">
        <v>1336</v>
      </c>
      <c r="C5567">
        <v>2094</v>
      </c>
      <c r="D5567" t="s">
        <v>61</v>
      </c>
      <c r="E5567" t="s">
        <v>122</v>
      </c>
      <c r="F5567" t="s">
        <v>113</v>
      </c>
      <c r="G5567" t="s">
        <v>109</v>
      </c>
      <c r="H5567" t="s">
        <v>151</v>
      </c>
      <c r="I5567" t="s">
        <v>154</v>
      </c>
      <c r="J5567" t="s">
        <v>817</v>
      </c>
      <c r="K5567" t="s">
        <v>253</v>
      </c>
      <c r="L5567" t="s">
        <v>105</v>
      </c>
      <c r="M5567" t="s">
        <v>123</v>
      </c>
      <c r="N5567" t="s">
        <v>811</v>
      </c>
      <c r="O5567" t="s">
        <v>198</v>
      </c>
      <c r="P5567" t="s">
        <v>253</v>
      </c>
      <c r="Q5567" t="s">
        <v>141</v>
      </c>
    </row>
    <row r="5568" spans="1:17" x14ac:dyDescent="0.3">
      <c r="A5568" t="s">
        <v>35</v>
      </c>
      <c r="B5568" t="s">
        <v>1338</v>
      </c>
      <c r="C5568">
        <v>246</v>
      </c>
      <c r="D5568" t="s">
        <v>1457</v>
      </c>
      <c r="E5568" t="s">
        <v>206</v>
      </c>
      <c r="F5568" t="s">
        <v>38</v>
      </c>
      <c r="G5568" t="s">
        <v>122</v>
      </c>
      <c r="H5568" t="s">
        <v>155</v>
      </c>
      <c r="I5568" t="s">
        <v>103</v>
      </c>
      <c r="J5568" t="s">
        <v>577</v>
      </c>
      <c r="K5568" t="s">
        <v>104</v>
      </c>
      <c r="L5568" t="s">
        <v>115</v>
      </c>
      <c r="M5568" t="s">
        <v>128</v>
      </c>
      <c r="N5568" t="s">
        <v>690</v>
      </c>
      <c r="O5568" t="s">
        <v>99</v>
      </c>
      <c r="P5568" t="s">
        <v>253</v>
      </c>
      <c r="Q5568" t="s">
        <v>100</v>
      </c>
    </row>
    <row r="5569" spans="1:17" x14ac:dyDescent="0.3">
      <c r="A5569" t="s">
        <v>35</v>
      </c>
      <c r="B5569" t="s">
        <v>1339</v>
      </c>
      <c r="C5569">
        <v>805</v>
      </c>
      <c r="D5569" t="s">
        <v>834</v>
      </c>
      <c r="E5569" t="s">
        <v>184</v>
      </c>
      <c r="F5569" t="s">
        <v>468</v>
      </c>
      <c r="G5569" t="s">
        <v>268</v>
      </c>
      <c r="H5569" t="s">
        <v>128</v>
      </c>
      <c r="I5569" t="s">
        <v>98</v>
      </c>
      <c r="J5569" t="s">
        <v>1383</v>
      </c>
      <c r="K5569" t="s">
        <v>132</v>
      </c>
      <c r="L5569" t="s">
        <v>112</v>
      </c>
      <c r="M5569" t="s">
        <v>100</v>
      </c>
      <c r="N5569" t="s">
        <v>313</v>
      </c>
      <c r="O5569" t="s">
        <v>111</v>
      </c>
      <c r="P5569" t="s">
        <v>136</v>
      </c>
      <c r="Q5569" t="s">
        <v>141</v>
      </c>
    </row>
    <row r="5570" spans="1:17" x14ac:dyDescent="0.3">
      <c r="A5570" t="s">
        <v>37</v>
      </c>
      <c r="B5570" t="s">
        <v>1336</v>
      </c>
      <c r="C5570">
        <v>2494</v>
      </c>
      <c r="D5570" t="s">
        <v>1106</v>
      </c>
      <c r="E5570" t="s">
        <v>113</v>
      </c>
      <c r="F5570" t="s">
        <v>746</v>
      </c>
      <c r="G5570" t="s">
        <v>113</v>
      </c>
      <c r="H5570" t="s">
        <v>328</v>
      </c>
      <c r="I5570" t="s">
        <v>125</v>
      </c>
      <c r="J5570" t="s">
        <v>793</v>
      </c>
      <c r="K5570" t="s">
        <v>104</v>
      </c>
      <c r="L5570" t="s">
        <v>151</v>
      </c>
      <c r="M5570" t="s">
        <v>141</v>
      </c>
      <c r="N5570" t="s">
        <v>501</v>
      </c>
      <c r="O5570" t="s">
        <v>104</v>
      </c>
      <c r="P5570" t="s">
        <v>207</v>
      </c>
      <c r="Q5570" t="s">
        <v>198</v>
      </c>
    </row>
    <row r="5571" spans="1:17" x14ac:dyDescent="0.3">
      <c r="A5571" t="s">
        <v>37</v>
      </c>
      <c r="B5571" t="s">
        <v>1338</v>
      </c>
      <c r="C5571">
        <v>433</v>
      </c>
      <c r="D5571" t="s">
        <v>1047</v>
      </c>
      <c r="E5571" t="s">
        <v>369</v>
      </c>
      <c r="F5571" t="s">
        <v>529</v>
      </c>
      <c r="G5571" t="s">
        <v>287</v>
      </c>
      <c r="H5571" t="s">
        <v>204</v>
      </c>
      <c r="I5571" t="s">
        <v>663</v>
      </c>
      <c r="J5571" t="s">
        <v>558</v>
      </c>
      <c r="K5571" t="s">
        <v>99</v>
      </c>
      <c r="L5571" t="s">
        <v>114</v>
      </c>
      <c r="M5571" t="s">
        <v>198</v>
      </c>
      <c r="N5571" t="s">
        <v>843</v>
      </c>
      <c r="O5571" t="s">
        <v>198</v>
      </c>
      <c r="P5571" t="s">
        <v>253</v>
      </c>
      <c r="Q5571" t="s">
        <v>198</v>
      </c>
    </row>
    <row r="5572" spans="1:17" x14ac:dyDescent="0.3">
      <c r="A5572" t="s">
        <v>37</v>
      </c>
      <c r="B5572" t="s">
        <v>1339</v>
      </c>
      <c r="C5572">
        <v>928</v>
      </c>
      <c r="D5572" t="s">
        <v>676</v>
      </c>
      <c r="E5572" t="s">
        <v>149</v>
      </c>
      <c r="F5572" t="s">
        <v>664</v>
      </c>
      <c r="G5572" t="s">
        <v>474</v>
      </c>
      <c r="H5572" t="s">
        <v>296</v>
      </c>
      <c r="I5572" t="s">
        <v>704</v>
      </c>
      <c r="J5572" t="s">
        <v>1350</v>
      </c>
      <c r="K5572" t="s">
        <v>207</v>
      </c>
      <c r="L5572" t="s">
        <v>684</v>
      </c>
      <c r="M5572" t="s">
        <v>253</v>
      </c>
      <c r="N5572" t="s">
        <v>449</v>
      </c>
      <c r="O5572" t="s">
        <v>198</v>
      </c>
      <c r="P5572" t="s">
        <v>132</v>
      </c>
      <c r="Q5572" t="s">
        <v>198</v>
      </c>
    </row>
    <row r="5573" spans="1:17" x14ac:dyDescent="0.3">
      <c r="A5573" t="s">
        <v>36</v>
      </c>
      <c r="B5573" t="s">
        <v>1336</v>
      </c>
      <c r="C5573">
        <v>1514</v>
      </c>
      <c r="D5573" t="s">
        <v>1051</v>
      </c>
      <c r="E5573" t="s">
        <v>182</v>
      </c>
      <c r="F5573" t="s">
        <v>131</v>
      </c>
      <c r="G5573" t="s">
        <v>449</v>
      </c>
      <c r="H5573" t="s">
        <v>105</v>
      </c>
      <c r="I5573" t="s">
        <v>315</v>
      </c>
      <c r="J5573" t="s">
        <v>899</v>
      </c>
      <c r="K5573" t="s">
        <v>99</v>
      </c>
      <c r="L5573" t="s">
        <v>126</v>
      </c>
      <c r="M5573" t="s">
        <v>332</v>
      </c>
      <c r="N5573" t="s">
        <v>959</v>
      </c>
      <c r="O5573" t="s">
        <v>253</v>
      </c>
      <c r="P5573" t="s">
        <v>207</v>
      </c>
      <c r="Q5573" t="s">
        <v>108</v>
      </c>
    </row>
    <row r="5574" spans="1:17" x14ac:dyDescent="0.3">
      <c r="A5574" t="s">
        <v>36</v>
      </c>
      <c r="B5574" t="s">
        <v>1338</v>
      </c>
      <c r="C5574">
        <v>235</v>
      </c>
      <c r="D5574" t="s">
        <v>1327</v>
      </c>
      <c r="E5574" t="s">
        <v>233</v>
      </c>
      <c r="F5574" t="s">
        <v>499</v>
      </c>
      <c r="G5574" t="s">
        <v>353</v>
      </c>
      <c r="H5574" t="s">
        <v>316</v>
      </c>
      <c r="I5574" t="s">
        <v>151</v>
      </c>
      <c r="J5574" t="s">
        <v>632</v>
      </c>
      <c r="K5574" t="s">
        <v>99</v>
      </c>
      <c r="L5574" t="s">
        <v>108</v>
      </c>
      <c r="M5574" t="s">
        <v>154</v>
      </c>
      <c r="N5574" t="s">
        <v>228</v>
      </c>
      <c r="O5574" t="s">
        <v>99</v>
      </c>
      <c r="P5574" t="s">
        <v>104</v>
      </c>
      <c r="Q5574" t="s">
        <v>115</v>
      </c>
    </row>
    <row r="5575" spans="1:17" x14ac:dyDescent="0.3">
      <c r="A5575" t="s">
        <v>36</v>
      </c>
      <c r="B5575" t="s">
        <v>1339</v>
      </c>
      <c r="C5575">
        <v>555</v>
      </c>
      <c r="D5575" t="s">
        <v>473</v>
      </c>
      <c r="E5575" t="s">
        <v>220</v>
      </c>
      <c r="F5575" t="s">
        <v>444</v>
      </c>
      <c r="G5575" t="s">
        <v>139</v>
      </c>
      <c r="H5575" t="s">
        <v>155</v>
      </c>
      <c r="I5575" t="s">
        <v>233</v>
      </c>
      <c r="J5575" t="s">
        <v>907</v>
      </c>
      <c r="K5575" t="s">
        <v>99</v>
      </c>
      <c r="L5575" t="s">
        <v>325</v>
      </c>
      <c r="M5575" t="s">
        <v>127</v>
      </c>
      <c r="N5575" t="s">
        <v>318</v>
      </c>
      <c r="O5575" t="s">
        <v>207</v>
      </c>
      <c r="P5575" t="s">
        <v>382</v>
      </c>
      <c r="Q5575" t="s">
        <v>101</v>
      </c>
    </row>
    <row r="5576" spans="1:17" x14ac:dyDescent="0.3">
      <c r="A5576" t="s">
        <v>34</v>
      </c>
      <c r="B5576" t="s">
        <v>1336</v>
      </c>
      <c r="C5576">
        <v>1345</v>
      </c>
      <c r="D5576" t="s">
        <v>886</v>
      </c>
      <c r="E5576" t="s">
        <v>804</v>
      </c>
      <c r="F5576" t="s">
        <v>677</v>
      </c>
      <c r="G5576" t="s">
        <v>248</v>
      </c>
      <c r="H5576" t="s">
        <v>121</v>
      </c>
      <c r="I5576" t="s">
        <v>328</v>
      </c>
      <c r="J5576" t="s">
        <v>936</v>
      </c>
      <c r="K5576" t="s">
        <v>207</v>
      </c>
      <c r="L5576" t="s">
        <v>242</v>
      </c>
      <c r="M5576" t="s">
        <v>118</v>
      </c>
      <c r="N5576" t="s">
        <v>481</v>
      </c>
      <c r="O5576" t="s">
        <v>99</v>
      </c>
      <c r="P5576" t="s">
        <v>108</v>
      </c>
      <c r="Q5576" t="s">
        <v>101</v>
      </c>
    </row>
    <row r="5577" spans="1:17" x14ac:dyDescent="0.3">
      <c r="A5577" t="s">
        <v>34</v>
      </c>
      <c r="B5577" t="s">
        <v>1338</v>
      </c>
      <c r="C5577">
        <v>134</v>
      </c>
      <c r="D5577" t="s">
        <v>1215</v>
      </c>
      <c r="E5577" t="s">
        <v>727</v>
      </c>
      <c r="F5577" t="s">
        <v>501</v>
      </c>
      <c r="G5577" t="s">
        <v>133</v>
      </c>
      <c r="H5577" t="s">
        <v>712</v>
      </c>
      <c r="I5577" t="s">
        <v>145</v>
      </c>
      <c r="J5577" t="s">
        <v>590</v>
      </c>
      <c r="K5577" t="s">
        <v>99</v>
      </c>
      <c r="L5577" t="s">
        <v>253</v>
      </c>
      <c r="M5577" t="s">
        <v>434</v>
      </c>
      <c r="N5577" t="s">
        <v>1223</v>
      </c>
      <c r="O5577" t="s">
        <v>99</v>
      </c>
      <c r="P5577" t="s">
        <v>99</v>
      </c>
      <c r="Q5577" t="s">
        <v>99</v>
      </c>
    </row>
    <row r="5578" spans="1:17" x14ac:dyDescent="0.3">
      <c r="A5578" t="s">
        <v>34</v>
      </c>
      <c r="B5578" t="s">
        <v>1339</v>
      </c>
      <c r="C5578">
        <v>600</v>
      </c>
      <c r="D5578" t="s">
        <v>529</v>
      </c>
      <c r="E5578" t="s">
        <v>158</v>
      </c>
      <c r="F5578" t="s">
        <v>254</v>
      </c>
      <c r="G5578" t="s">
        <v>154</v>
      </c>
      <c r="H5578" t="s">
        <v>105</v>
      </c>
      <c r="I5578" t="s">
        <v>133</v>
      </c>
      <c r="J5578" t="s">
        <v>573</v>
      </c>
      <c r="K5578" t="s">
        <v>198</v>
      </c>
      <c r="L5578" t="s">
        <v>149</v>
      </c>
      <c r="M5578" t="s">
        <v>215</v>
      </c>
      <c r="N5578" t="s">
        <v>444</v>
      </c>
      <c r="O5578" t="s">
        <v>198</v>
      </c>
      <c r="P5578" t="s">
        <v>253</v>
      </c>
      <c r="Q5578" t="s">
        <v>100</v>
      </c>
    </row>
    <row r="5579" spans="1:17" x14ac:dyDescent="0.3">
      <c r="A5579" t="s">
        <v>33</v>
      </c>
      <c r="B5579" t="s">
        <v>1336</v>
      </c>
      <c r="C5579">
        <v>1392</v>
      </c>
      <c r="D5579" t="s">
        <v>1291</v>
      </c>
      <c r="E5579" t="s">
        <v>412</v>
      </c>
      <c r="F5579" t="s">
        <v>671</v>
      </c>
      <c r="G5579" t="s">
        <v>233</v>
      </c>
      <c r="H5579" t="s">
        <v>685</v>
      </c>
      <c r="I5579" t="s">
        <v>135</v>
      </c>
      <c r="J5579" t="s">
        <v>1043</v>
      </c>
      <c r="K5579" t="s">
        <v>99</v>
      </c>
      <c r="L5579" t="s">
        <v>316</v>
      </c>
      <c r="M5579" t="s">
        <v>198</v>
      </c>
      <c r="N5579" t="s">
        <v>465</v>
      </c>
      <c r="O5579" t="s">
        <v>104</v>
      </c>
      <c r="P5579" t="s">
        <v>99</v>
      </c>
      <c r="Q5579" t="s">
        <v>198</v>
      </c>
    </row>
    <row r="5580" spans="1:17" x14ac:dyDescent="0.3">
      <c r="A5580" t="s">
        <v>33</v>
      </c>
      <c r="B5580" t="s">
        <v>1338</v>
      </c>
      <c r="C5580">
        <v>88</v>
      </c>
      <c r="D5580" t="s">
        <v>819</v>
      </c>
      <c r="E5580" t="s">
        <v>688</v>
      </c>
      <c r="F5580" t="s">
        <v>680</v>
      </c>
      <c r="G5580" t="s">
        <v>379</v>
      </c>
      <c r="H5580" t="s">
        <v>158</v>
      </c>
      <c r="I5580" t="s">
        <v>184</v>
      </c>
      <c r="J5580" t="s">
        <v>1255</v>
      </c>
      <c r="K5580" t="s">
        <v>99</v>
      </c>
      <c r="L5580" t="s">
        <v>99</v>
      </c>
      <c r="M5580" t="s">
        <v>115</v>
      </c>
      <c r="N5580" t="s">
        <v>1048</v>
      </c>
      <c r="O5580" t="s">
        <v>99</v>
      </c>
      <c r="P5580" t="s">
        <v>99</v>
      </c>
      <c r="Q5580" t="s">
        <v>103</v>
      </c>
    </row>
    <row r="5581" spans="1:17" x14ac:dyDescent="0.3">
      <c r="A5581" t="s">
        <v>33</v>
      </c>
      <c r="B5581" t="s">
        <v>1339</v>
      </c>
      <c r="C5581">
        <v>457</v>
      </c>
      <c r="D5581" t="s">
        <v>749</v>
      </c>
      <c r="E5581" t="s">
        <v>127</v>
      </c>
      <c r="F5581" t="s">
        <v>149</v>
      </c>
      <c r="G5581" t="s">
        <v>684</v>
      </c>
      <c r="H5581" t="s">
        <v>363</v>
      </c>
      <c r="I5581" t="s">
        <v>804</v>
      </c>
      <c r="J5581" t="s">
        <v>526</v>
      </c>
      <c r="K5581" t="s">
        <v>99</v>
      </c>
      <c r="L5581" t="s">
        <v>138</v>
      </c>
      <c r="M5581" t="s">
        <v>136</v>
      </c>
      <c r="N5581" t="s">
        <v>468</v>
      </c>
      <c r="O5581" t="s">
        <v>198</v>
      </c>
      <c r="P5581" t="s">
        <v>207</v>
      </c>
      <c r="Q5581" t="s">
        <v>198</v>
      </c>
    </row>
    <row r="5582" spans="1:17" x14ac:dyDescent="0.3">
      <c r="A5582" t="s">
        <v>49</v>
      </c>
      <c r="B5582" t="s">
        <v>1336</v>
      </c>
      <c r="C5582">
        <v>8839</v>
      </c>
      <c r="D5582" t="s">
        <v>1236</v>
      </c>
      <c r="E5582" t="s">
        <v>248</v>
      </c>
      <c r="F5582" t="s">
        <v>179</v>
      </c>
      <c r="G5582" t="s">
        <v>305</v>
      </c>
      <c r="H5582" t="s">
        <v>412</v>
      </c>
      <c r="I5582" t="s">
        <v>663</v>
      </c>
      <c r="J5582" t="s">
        <v>642</v>
      </c>
      <c r="K5582" t="s">
        <v>207</v>
      </c>
      <c r="L5582" t="s">
        <v>147</v>
      </c>
      <c r="M5582" t="s">
        <v>215</v>
      </c>
      <c r="N5582" t="s">
        <v>442</v>
      </c>
      <c r="O5582" t="s">
        <v>104</v>
      </c>
      <c r="P5582" t="s">
        <v>136</v>
      </c>
      <c r="Q5582" t="s">
        <v>141</v>
      </c>
    </row>
    <row r="5583" spans="1:17" x14ac:dyDescent="0.3">
      <c r="A5583" t="s">
        <v>49</v>
      </c>
      <c r="B5583" t="s">
        <v>1338</v>
      </c>
      <c r="C5583">
        <v>1136</v>
      </c>
      <c r="D5583" t="s">
        <v>593</v>
      </c>
      <c r="E5583" t="s">
        <v>688</v>
      </c>
      <c r="F5583" t="s">
        <v>370</v>
      </c>
      <c r="G5583" t="s">
        <v>133</v>
      </c>
      <c r="H5583" t="s">
        <v>139</v>
      </c>
      <c r="I5583" t="s">
        <v>684</v>
      </c>
      <c r="J5583" t="s">
        <v>1002</v>
      </c>
      <c r="K5583" t="s">
        <v>99</v>
      </c>
      <c r="L5583" t="s">
        <v>132</v>
      </c>
      <c r="M5583" t="s">
        <v>123</v>
      </c>
      <c r="N5583" t="s">
        <v>532</v>
      </c>
      <c r="O5583" t="s">
        <v>104</v>
      </c>
      <c r="P5583" t="s">
        <v>136</v>
      </c>
      <c r="Q5583" t="s">
        <v>253</v>
      </c>
    </row>
    <row r="5584" spans="1:17" x14ac:dyDescent="0.3">
      <c r="A5584" t="s">
        <v>49</v>
      </c>
      <c r="B5584" t="s">
        <v>1339</v>
      </c>
      <c r="C5584">
        <v>3345</v>
      </c>
      <c r="D5584" t="s">
        <v>833</v>
      </c>
      <c r="E5584" t="s">
        <v>328</v>
      </c>
      <c r="F5584" t="s">
        <v>150</v>
      </c>
      <c r="G5584" t="s">
        <v>134</v>
      </c>
      <c r="H5584" t="s">
        <v>158</v>
      </c>
      <c r="I5584" t="s">
        <v>405</v>
      </c>
      <c r="J5584" t="s">
        <v>1472</v>
      </c>
      <c r="K5584" t="s">
        <v>136</v>
      </c>
      <c r="L5584" t="s">
        <v>149</v>
      </c>
      <c r="M5584" t="s">
        <v>114</v>
      </c>
      <c r="N5584" t="s">
        <v>289</v>
      </c>
      <c r="O5584" t="s">
        <v>132</v>
      </c>
      <c r="P5584" t="s">
        <v>253</v>
      </c>
      <c r="Q5584" t="s">
        <v>141</v>
      </c>
    </row>
    <row r="5586" spans="1:17" x14ac:dyDescent="0.3">
      <c r="A5586" t="s">
        <v>1753</v>
      </c>
    </row>
    <row r="5587" spans="1:17" x14ac:dyDescent="0.3">
      <c r="A5587" t="s">
        <v>44</v>
      </c>
      <c r="B5587" t="s">
        <v>879</v>
      </c>
      <c r="C5587" t="s">
        <v>32</v>
      </c>
      <c r="D5587" t="s">
        <v>1735</v>
      </c>
      <c r="E5587" t="s">
        <v>1736</v>
      </c>
      <c r="F5587" t="s">
        <v>1737</v>
      </c>
      <c r="G5587" t="s">
        <v>1738</v>
      </c>
      <c r="H5587" t="s">
        <v>1739</v>
      </c>
      <c r="I5587" t="s">
        <v>1740</v>
      </c>
      <c r="J5587" t="s">
        <v>1741</v>
      </c>
      <c r="K5587" t="s">
        <v>1742</v>
      </c>
      <c r="L5587" t="s">
        <v>1743</v>
      </c>
      <c r="M5587" t="s">
        <v>1744</v>
      </c>
      <c r="N5587" t="s">
        <v>1745</v>
      </c>
      <c r="O5587" t="s">
        <v>1746</v>
      </c>
      <c r="P5587" t="s">
        <v>1275</v>
      </c>
      <c r="Q5587" t="s">
        <v>193</v>
      </c>
    </row>
    <row r="5588" spans="1:17" x14ac:dyDescent="0.3">
      <c r="A5588" t="s">
        <v>35</v>
      </c>
      <c r="B5588" t="s">
        <v>880</v>
      </c>
      <c r="C5588">
        <v>596</v>
      </c>
      <c r="D5588" t="s">
        <v>761</v>
      </c>
      <c r="E5588" t="s">
        <v>746</v>
      </c>
      <c r="F5588" t="s">
        <v>287</v>
      </c>
      <c r="G5588" t="s">
        <v>160</v>
      </c>
      <c r="H5588" t="s">
        <v>108</v>
      </c>
      <c r="I5588" t="s">
        <v>215</v>
      </c>
      <c r="J5588" t="s">
        <v>721</v>
      </c>
      <c r="K5588" t="s">
        <v>132</v>
      </c>
      <c r="L5588" t="s">
        <v>151</v>
      </c>
      <c r="M5588" t="s">
        <v>253</v>
      </c>
      <c r="N5588" t="s">
        <v>139</v>
      </c>
      <c r="O5588" t="s">
        <v>99</v>
      </c>
      <c r="P5588" t="s">
        <v>207</v>
      </c>
      <c r="Q5588" t="s">
        <v>136</v>
      </c>
    </row>
    <row r="5589" spans="1:17" x14ac:dyDescent="0.3">
      <c r="A5589" t="s">
        <v>35</v>
      </c>
      <c r="B5589" t="s">
        <v>881</v>
      </c>
      <c r="C5589">
        <v>1162</v>
      </c>
      <c r="D5589" t="s">
        <v>132</v>
      </c>
      <c r="E5589" t="s">
        <v>319</v>
      </c>
      <c r="F5589" t="s">
        <v>121</v>
      </c>
      <c r="G5589" t="s">
        <v>120</v>
      </c>
      <c r="H5589" t="s">
        <v>110</v>
      </c>
      <c r="I5589" t="s">
        <v>113</v>
      </c>
      <c r="J5589" t="s">
        <v>397</v>
      </c>
      <c r="K5589" t="s">
        <v>319</v>
      </c>
      <c r="L5589" t="s">
        <v>150</v>
      </c>
      <c r="M5589" t="s">
        <v>111</v>
      </c>
      <c r="N5589" t="s">
        <v>747</v>
      </c>
      <c r="O5589" t="s">
        <v>111</v>
      </c>
      <c r="P5589" t="s">
        <v>114</v>
      </c>
      <c r="Q5589" t="s">
        <v>115</v>
      </c>
    </row>
    <row r="5590" spans="1:17" x14ac:dyDescent="0.3">
      <c r="A5590" t="s">
        <v>35</v>
      </c>
      <c r="B5590" t="s">
        <v>882</v>
      </c>
      <c r="C5590">
        <v>1387</v>
      </c>
      <c r="D5590" t="s">
        <v>1619</v>
      </c>
      <c r="E5590" t="s">
        <v>125</v>
      </c>
      <c r="F5590" t="s">
        <v>291</v>
      </c>
      <c r="G5590" t="s">
        <v>135</v>
      </c>
      <c r="H5590" t="s">
        <v>151</v>
      </c>
      <c r="I5590" t="s">
        <v>268</v>
      </c>
      <c r="J5590" t="s">
        <v>1214</v>
      </c>
      <c r="K5590" t="s">
        <v>104</v>
      </c>
      <c r="L5590" t="s">
        <v>382</v>
      </c>
      <c r="M5590" t="s">
        <v>123</v>
      </c>
      <c r="N5590" t="s">
        <v>689</v>
      </c>
      <c r="O5590" t="s">
        <v>99</v>
      </c>
      <c r="P5590" t="s">
        <v>136</v>
      </c>
      <c r="Q5590" t="s">
        <v>141</v>
      </c>
    </row>
    <row r="5591" spans="1:17" x14ac:dyDescent="0.3">
      <c r="A5591" t="s">
        <v>37</v>
      </c>
      <c r="B5591" t="s">
        <v>880</v>
      </c>
      <c r="C5591">
        <v>671</v>
      </c>
      <c r="D5591" t="s">
        <v>1056</v>
      </c>
      <c r="E5591" t="s">
        <v>672</v>
      </c>
      <c r="F5591" t="s">
        <v>423</v>
      </c>
      <c r="G5591" t="s">
        <v>405</v>
      </c>
      <c r="H5591" t="s">
        <v>134</v>
      </c>
      <c r="I5591" t="s">
        <v>98</v>
      </c>
      <c r="J5591" t="s">
        <v>463</v>
      </c>
      <c r="K5591" t="s">
        <v>198</v>
      </c>
      <c r="L5591" t="s">
        <v>319</v>
      </c>
      <c r="M5591" t="s">
        <v>104</v>
      </c>
      <c r="N5591" t="s">
        <v>254</v>
      </c>
      <c r="O5591" t="s">
        <v>99</v>
      </c>
      <c r="P5591" t="s">
        <v>253</v>
      </c>
      <c r="Q5591" t="s">
        <v>104</v>
      </c>
    </row>
    <row r="5592" spans="1:17" x14ac:dyDescent="0.3">
      <c r="A5592" t="s">
        <v>37</v>
      </c>
      <c r="B5592" t="s">
        <v>881</v>
      </c>
      <c r="C5592">
        <v>1371</v>
      </c>
      <c r="D5592" t="s">
        <v>108</v>
      </c>
      <c r="E5592" t="s">
        <v>319</v>
      </c>
      <c r="F5592" t="s">
        <v>215</v>
      </c>
      <c r="G5592" t="s">
        <v>292</v>
      </c>
      <c r="H5592" t="s">
        <v>722</v>
      </c>
      <c r="I5592" t="s">
        <v>167</v>
      </c>
      <c r="J5592" t="s">
        <v>189</v>
      </c>
      <c r="K5592" t="s">
        <v>198</v>
      </c>
      <c r="L5592" t="s">
        <v>68</v>
      </c>
      <c r="M5592" t="s">
        <v>253</v>
      </c>
      <c r="N5592" t="s">
        <v>734</v>
      </c>
      <c r="O5592" t="s">
        <v>198</v>
      </c>
      <c r="P5592" t="s">
        <v>115</v>
      </c>
      <c r="Q5592" t="s">
        <v>198</v>
      </c>
    </row>
    <row r="5593" spans="1:17" x14ac:dyDescent="0.3">
      <c r="A5593" t="s">
        <v>37</v>
      </c>
      <c r="B5593" t="s">
        <v>882</v>
      </c>
      <c r="C5593">
        <v>1813</v>
      </c>
      <c r="D5593" t="s">
        <v>874</v>
      </c>
      <c r="E5593" t="s">
        <v>251</v>
      </c>
      <c r="F5593" t="s">
        <v>432</v>
      </c>
      <c r="G5593" t="s">
        <v>311</v>
      </c>
      <c r="H5593" t="s">
        <v>684</v>
      </c>
      <c r="I5593" t="s">
        <v>184</v>
      </c>
      <c r="J5593" t="s">
        <v>496</v>
      </c>
      <c r="K5593" t="s">
        <v>99</v>
      </c>
      <c r="L5593" t="s">
        <v>382</v>
      </c>
      <c r="M5593" t="s">
        <v>141</v>
      </c>
      <c r="N5593" t="s">
        <v>1008</v>
      </c>
      <c r="O5593" t="s">
        <v>104</v>
      </c>
      <c r="P5593" t="s">
        <v>198</v>
      </c>
      <c r="Q5593" t="s">
        <v>104</v>
      </c>
    </row>
    <row r="5594" spans="1:17" x14ac:dyDescent="0.3">
      <c r="A5594" t="s">
        <v>36</v>
      </c>
      <c r="B5594" t="s">
        <v>880</v>
      </c>
      <c r="C5594">
        <v>382</v>
      </c>
      <c r="D5594" t="s">
        <v>639</v>
      </c>
      <c r="E5594" t="s">
        <v>737</v>
      </c>
      <c r="F5594" t="s">
        <v>681</v>
      </c>
      <c r="G5594" t="s">
        <v>218</v>
      </c>
      <c r="H5594" t="s">
        <v>292</v>
      </c>
      <c r="I5594" t="s">
        <v>287</v>
      </c>
      <c r="J5594" t="s">
        <v>529</v>
      </c>
      <c r="K5594" t="s">
        <v>99</v>
      </c>
      <c r="L5594" t="s">
        <v>111</v>
      </c>
      <c r="M5594" t="s">
        <v>126</v>
      </c>
      <c r="N5594" t="s">
        <v>688</v>
      </c>
      <c r="O5594" t="s">
        <v>99</v>
      </c>
      <c r="P5594" t="s">
        <v>104</v>
      </c>
      <c r="Q5594" t="s">
        <v>198</v>
      </c>
    </row>
    <row r="5595" spans="1:17" x14ac:dyDescent="0.3">
      <c r="A5595" t="s">
        <v>36</v>
      </c>
      <c r="B5595" t="s">
        <v>881</v>
      </c>
      <c r="C5595">
        <v>865</v>
      </c>
      <c r="D5595" t="s">
        <v>111</v>
      </c>
      <c r="E5595" t="s">
        <v>118</v>
      </c>
      <c r="F5595" t="s">
        <v>316</v>
      </c>
      <c r="G5595" t="s">
        <v>332</v>
      </c>
      <c r="H5595" t="s">
        <v>139</v>
      </c>
      <c r="I5595" t="s">
        <v>201</v>
      </c>
      <c r="J5595" t="s">
        <v>304</v>
      </c>
      <c r="K5595" t="s">
        <v>99</v>
      </c>
      <c r="L5595" t="s">
        <v>149</v>
      </c>
      <c r="M5595" t="s">
        <v>68</v>
      </c>
      <c r="N5595" t="s">
        <v>224</v>
      </c>
      <c r="O5595" t="s">
        <v>126</v>
      </c>
      <c r="P5595" t="s">
        <v>126</v>
      </c>
      <c r="Q5595" t="s">
        <v>103</v>
      </c>
    </row>
    <row r="5596" spans="1:17" x14ac:dyDescent="0.3">
      <c r="A5596" t="s">
        <v>36</v>
      </c>
      <c r="B5596" t="s">
        <v>882</v>
      </c>
      <c r="C5596">
        <v>1057</v>
      </c>
      <c r="D5596" t="s">
        <v>55</v>
      </c>
      <c r="E5596" t="s">
        <v>408</v>
      </c>
      <c r="F5596" t="s">
        <v>803</v>
      </c>
      <c r="G5596" t="s">
        <v>449</v>
      </c>
      <c r="H5596" t="s">
        <v>120</v>
      </c>
      <c r="I5596" t="s">
        <v>664</v>
      </c>
      <c r="J5596" t="s">
        <v>645</v>
      </c>
      <c r="K5596" t="s">
        <v>99</v>
      </c>
      <c r="L5596" t="s">
        <v>101</v>
      </c>
      <c r="M5596" t="s">
        <v>147</v>
      </c>
      <c r="N5596" t="s">
        <v>40</v>
      </c>
      <c r="O5596" t="s">
        <v>99</v>
      </c>
      <c r="P5596" t="s">
        <v>207</v>
      </c>
      <c r="Q5596" t="s">
        <v>136</v>
      </c>
    </row>
    <row r="5597" spans="1:17" x14ac:dyDescent="0.3">
      <c r="A5597" t="s">
        <v>34</v>
      </c>
      <c r="B5597" t="s">
        <v>880</v>
      </c>
      <c r="C5597">
        <v>351</v>
      </c>
      <c r="D5597" t="s">
        <v>53</v>
      </c>
      <c r="E5597" t="s">
        <v>287</v>
      </c>
      <c r="F5597" t="s">
        <v>700</v>
      </c>
      <c r="G5597" t="s">
        <v>70</v>
      </c>
      <c r="H5597" t="s">
        <v>127</v>
      </c>
      <c r="I5597" t="s">
        <v>134</v>
      </c>
      <c r="J5597" t="s">
        <v>678</v>
      </c>
      <c r="K5597" t="s">
        <v>207</v>
      </c>
      <c r="L5597" t="s">
        <v>268</v>
      </c>
      <c r="M5597" t="s">
        <v>127</v>
      </c>
      <c r="N5597" t="s">
        <v>255</v>
      </c>
      <c r="O5597" t="s">
        <v>99</v>
      </c>
      <c r="P5597" t="s">
        <v>99</v>
      </c>
      <c r="Q5597" t="s">
        <v>115</v>
      </c>
    </row>
    <row r="5598" spans="1:17" x14ac:dyDescent="0.3">
      <c r="A5598" t="s">
        <v>34</v>
      </c>
      <c r="B5598" t="s">
        <v>881</v>
      </c>
      <c r="C5598">
        <v>860</v>
      </c>
      <c r="D5598" t="s">
        <v>253</v>
      </c>
      <c r="E5598" t="s">
        <v>105</v>
      </c>
      <c r="F5598" t="s">
        <v>268</v>
      </c>
      <c r="G5598" t="s">
        <v>712</v>
      </c>
      <c r="H5598" t="s">
        <v>117</v>
      </c>
      <c r="I5598" t="s">
        <v>287</v>
      </c>
      <c r="J5598" t="s">
        <v>1187</v>
      </c>
      <c r="K5598" t="s">
        <v>207</v>
      </c>
      <c r="L5598" t="s">
        <v>299</v>
      </c>
      <c r="M5598" t="s">
        <v>139</v>
      </c>
      <c r="N5598" t="s">
        <v>574</v>
      </c>
      <c r="O5598" t="s">
        <v>104</v>
      </c>
      <c r="P5598" t="s">
        <v>215</v>
      </c>
      <c r="Q5598" t="s">
        <v>151</v>
      </c>
    </row>
    <row r="5599" spans="1:17" x14ac:dyDescent="0.3">
      <c r="A5599" t="s">
        <v>34</v>
      </c>
      <c r="B5599" t="s">
        <v>882</v>
      </c>
      <c r="C5599">
        <v>868</v>
      </c>
      <c r="D5599" t="s">
        <v>480</v>
      </c>
      <c r="E5599" t="s">
        <v>672</v>
      </c>
      <c r="F5599" t="s">
        <v>373</v>
      </c>
      <c r="G5599" t="s">
        <v>72</v>
      </c>
      <c r="H5599" t="s">
        <v>215</v>
      </c>
      <c r="I5599" t="s">
        <v>112</v>
      </c>
      <c r="J5599" t="s">
        <v>497</v>
      </c>
      <c r="K5599" t="s">
        <v>198</v>
      </c>
      <c r="L5599" t="s">
        <v>117</v>
      </c>
      <c r="M5599" t="s">
        <v>316</v>
      </c>
      <c r="N5599" t="s">
        <v>592</v>
      </c>
      <c r="O5599" t="s">
        <v>99</v>
      </c>
      <c r="P5599" t="s">
        <v>198</v>
      </c>
      <c r="Q5599" t="s">
        <v>141</v>
      </c>
    </row>
    <row r="5600" spans="1:17" x14ac:dyDescent="0.3">
      <c r="A5600" t="s">
        <v>33</v>
      </c>
      <c r="B5600" t="s">
        <v>880</v>
      </c>
      <c r="C5600">
        <v>426</v>
      </c>
      <c r="D5600" t="s">
        <v>785</v>
      </c>
      <c r="E5600" t="s">
        <v>74</v>
      </c>
      <c r="F5600" t="s">
        <v>482</v>
      </c>
      <c r="G5600" t="s">
        <v>206</v>
      </c>
      <c r="H5600" t="s">
        <v>470</v>
      </c>
      <c r="I5600" t="s">
        <v>127</v>
      </c>
      <c r="J5600" t="s">
        <v>372</v>
      </c>
      <c r="K5600" t="s">
        <v>99</v>
      </c>
      <c r="L5600" t="s">
        <v>114</v>
      </c>
      <c r="M5600" t="s">
        <v>99</v>
      </c>
      <c r="N5600" t="s">
        <v>412</v>
      </c>
      <c r="O5600" t="s">
        <v>99</v>
      </c>
      <c r="P5600" t="s">
        <v>99</v>
      </c>
      <c r="Q5600" t="s">
        <v>99</v>
      </c>
    </row>
    <row r="5601" spans="1:17" x14ac:dyDescent="0.3">
      <c r="A5601" t="s">
        <v>33</v>
      </c>
      <c r="B5601" t="s">
        <v>881</v>
      </c>
      <c r="C5601">
        <v>682</v>
      </c>
      <c r="D5601" t="s">
        <v>207</v>
      </c>
      <c r="E5601" t="s">
        <v>115</v>
      </c>
      <c r="F5601" t="s">
        <v>382</v>
      </c>
      <c r="G5601" t="s">
        <v>120</v>
      </c>
      <c r="H5601" t="s">
        <v>76</v>
      </c>
      <c r="I5601" t="s">
        <v>710</v>
      </c>
      <c r="J5601" t="s">
        <v>417</v>
      </c>
      <c r="K5601" t="s">
        <v>99</v>
      </c>
      <c r="L5601" t="s">
        <v>98</v>
      </c>
      <c r="M5601" t="s">
        <v>141</v>
      </c>
      <c r="N5601" t="s">
        <v>746</v>
      </c>
      <c r="O5601" t="s">
        <v>207</v>
      </c>
      <c r="P5601" t="s">
        <v>198</v>
      </c>
      <c r="Q5601" t="s">
        <v>253</v>
      </c>
    </row>
    <row r="5602" spans="1:17" x14ac:dyDescent="0.3">
      <c r="A5602" t="s">
        <v>33</v>
      </c>
      <c r="B5602" t="s">
        <v>882</v>
      </c>
      <c r="C5602">
        <v>829</v>
      </c>
      <c r="D5602" t="s">
        <v>763</v>
      </c>
      <c r="E5602" t="s">
        <v>152</v>
      </c>
      <c r="F5602" t="s">
        <v>405</v>
      </c>
      <c r="G5602" t="s">
        <v>721</v>
      </c>
      <c r="H5602" t="s">
        <v>416</v>
      </c>
      <c r="I5602" t="s">
        <v>663</v>
      </c>
      <c r="J5602" t="s">
        <v>810</v>
      </c>
      <c r="K5602" t="s">
        <v>99</v>
      </c>
      <c r="L5602" t="s">
        <v>121</v>
      </c>
      <c r="M5602" t="s">
        <v>198</v>
      </c>
      <c r="N5602" t="s">
        <v>811</v>
      </c>
      <c r="O5602" t="s">
        <v>99</v>
      </c>
      <c r="P5602" t="s">
        <v>99</v>
      </c>
      <c r="Q5602" t="s">
        <v>207</v>
      </c>
    </row>
    <row r="5603" spans="1:17" x14ac:dyDescent="0.3">
      <c r="A5603" t="s">
        <v>49</v>
      </c>
      <c r="B5603" t="s">
        <v>880</v>
      </c>
      <c r="C5603">
        <v>2426</v>
      </c>
      <c r="D5603" t="s">
        <v>568</v>
      </c>
      <c r="E5603" t="s">
        <v>449</v>
      </c>
      <c r="F5603" t="s">
        <v>395</v>
      </c>
      <c r="G5603" t="s">
        <v>671</v>
      </c>
      <c r="H5603" t="s">
        <v>138</v>
      </c>
      <c r="I5603" t="s">
        <v>118</v>
      </c>
      <c r="J5603" t="s">
        <v>542</v>
      </c>
      <c r="K5603" t="s">
        <v>207</v>
      </c>
      <c r="L5603" t="s">
        <v>127</v>
      </c>
      <c r="M5603" t="s">
        <v>115</v>
      </c>
      <c r="N5603" t="s">
        <v>70</v>
      </c>
      <c r="O5603" t="s">
        <v>99</v>
      </c>
      <c r="P5603" t="s">
        <v>198</v>
      </c>
      <c r="Q5603" t="s">
        <v>207</v>
      </c>
    </row>
    <row r="5604" spans="1:17" x14ac:dyDescent="0.3">
      <c r="A5604" t="s">
        <v>49</v>
      </c>
      <c r="B5604" t="s">
        <v>881</v>
      </c>
      <c r="C5604">
        <v>4940</v>
      </c>
      <c r="D5604" t="s">
        <v>132</v>
      </c>
      <c r="E5604" t="s">
        <v>123</v>
      </c>
      <c r="F5604" t="s">
        <v>127</v>
      </c>
      <c r="G5604" t="s">
        <v>107</v>
      </c>
      <c r="H5604" t="s">
        <v>152</v>
      </c>
      <c r="I5604" t="s">
        <v>714</v>
      </c>
      <c r="J5604" t="s">
        <v>1453</v>
      </c>
      <c r="K5604" t="s">
        <v>141</v>
      </c>
      <c r="L5604" t="s">
        <v>74</v>
      </c>
      <c r="M5604" t="s">
        <v>111</v>
      </c>
      <c r="N5604" t="s">
        <v>281</v>
      </c>
      <c r="O5604" t="s">
        <v>132</v>
      </c>
      <c r="P5604" t="s">
        <v>114</v>
      </c>
      <c r="Q5604" t="s">
        <v>114</v>
      </c>
    </row>
    <row r="5605" spans="1:17" x14ac:dyDescent="0.3">
      <c r="A5605" t="s">
        <v>49</v>
      </c>
      <c r="B5605" t="s">
        <v>882</v>
      </c>
      <c r="C5605">
        <v>5954</v>
      </c>
      <c r="D5605" t="s">
        <v>1228</v>
      </c>
      <c r="E5605" t="s">
        <v>369</v>
      </c>
      <c r="F5605" t="s">
        <v>173</v>
      </c>
      <c r="G5605" t="s">
        <v>804</v>
      </c>
      <c r="H5605" t="s">
        <v>712</v>
      </c>
      <c r="I5605" t="s">
        <v>158</v>
      </c>
      <c r="J5605" t="s">
        <v>1154</v>
      </c>
      <c r="K5605" t="s">
        <v>104</v>
      </c>
      <c r="L5605" t="s">
        <v>215</v>
      </c>
      <c r="M5605" t="s">
        <v>126</v>
      </c>
      <c r="N5605" t="s">
        <v>423</v>
      </c>
      <c r="O5605" t="s">
        <v>99</v>
      </c>
      <c r="P5605" t="s">
        <v>198</v>
      </c>
      <c r="Q5605" t="s">
        <v>136</v>
      </c>
    </row>
    <row r="5607" spans="1:17" x14ac:dyDescent="0.3">
      <c r="A5607" t="s">
        <v>1754</v>
      </c>
    </row>
    <row r="5608" spans="1:17" x14ac:dyDescent="0.3">
      <c r="A5608" t="s">
        <v>44</v>
      </c>
      <c r="B5608" t="s">
        <v>257</v>
      </c>
      <c r="C5608" t="s">
        <v>32</v>
      </c>
      <c r="D5608" t="s">
        <v>1735</v>
      </c>
      <c r="E5608" t="s">
        <v>1736</v>
      </c>
      <c r="F5608" t="s">
        <v>1737</v>
      </c>
      <c r="G5608" t="s">
        <v>1738</v>
      </c>
      <c r="H5608" t="s">
        <v>1739</v>
      </c>
      <c r="I5608" t="s">
        <v>1740</v>
      </c>
      <c r="J5608" t="s">
        <v>1741</v>
      </c>
      <c r="K5608" t="s">
        <v>1742</v>
      </c>
      <c r="L5608" t="s">
        <v>1743</v>
      </c>
      <c r="M5608" t="s">
        <v>1744</v>
      </c>
      <c r="N5608" t="s">
        <v>1745</v>
      </c>
      <c r="O5608" t="s">
        <v>1746</v>
      </c>
      <c r="P5608" t="s">
        <v>1275</v>
      </c>
      <c r="Q5608" t="s">
        <v>193</v>
      </c>
    </row>
    <row r="5609" spans="1:17" x14ac:dyDescent="0.3">
      <c r="A5609" t="s">
        <v>35</v>
      </c>
      <c r="B5609" t="s">
        <v>258</v>
      </c>
      <c r="C5609">
        <v>2873</v>
      </c>
      <c r="D5609" t="s">
        <v>585</v>
      </c>
      <c r="E5609" t="s">
        <v>248</v>
      </c>
      <c r="F5609" t="s">
        <v>299</v>
      </c>
      <c r="G5609" t="s">
        <v>124</v>
      </c>
      <c r="H5609" t="s">
        <v>111</v>
      </c>
      <c r="I5609" t="s">
        <v>332</v>
      </c>
      <c r="J5609" t="s">
        <v>652</v>
      </c>
      <c r="K5609" t="s">
        <v>115</v>
      </c>
      <c r="L5609" t="s">
        <v>138</v>
      </c>
      <c r="M5609" t="s">
        <v>382</v>
      </c>
      <c r="N5609" t="s">
        <v>798</v>
      </c>
      <c r="O5609" t="s">
        <v>132</v>
      </c>
      <c r="P5609" t="s">
        <v>136</v>
      </c>
      <c r="Q5609" t="s">
        <v>207</v>
      </c>
    </row>
    <row r="5610" spans="1:17" x14ac:dyDescent="0.3">
      <c r="A5610" t="s">
        <v>35</v>
      </c>
      <c r="B5610" t="s">
        <v>260</v>
      </c>
      <c r="C5610">
        <v>272</v>
      </c>
      <c r="D5610" t="s">
        <v>1077</v>
      </c>
      <c r="E5610" t="s">
        <v>254</v>
      </c>
      <c r="F5610" t="s">
        <v>184</v>
      </c>
      <c r="G5610" t="s">
        <v>675</v>
      </c>
      <c r="H5610" t="s">
        <v>147</v>
      </c>
      <c r="I5610" t="s">
        <v>72</v>
      </c>
      <c r="J5610" t="s">
        <v>599</v>
      </c>
      <c r="K5610" t="s">
        <v>99</v>
      </c>
      <c r="L5610" t="s">
        <v>110</v>
      </c>
      <c r="M5610" t="s">
        <v>120</v>
      </c>
      <c r="N5610" t="s">
        <v>711</v>
      </c>
      <c r="O5610" t="s">
        <v>99</v>
      </c>
      <c r="P5610" t="s">
        <v>151</v>
      </c>
      <c r="Q5610" t="s">
        <v>268</v>
      </c>
    </row>
    <row r="5611" spans="1:17" x14ac:dyDescent="0.3">
      <c r="A5611" t="s">
        <v>37</v>
      </c>
      <c r="B5611" t="s">
        <v>258</v>
      </c>
      <c r="C5611">
        <v>3855</v>
      </c>
      <c r="D5611" t="s">
        <v>948</v>
      </c>
      <c r="E5611" t="s">
        <v>78</v>
      </c>
      <c r="F5611" t="s">
        <v>677</v>
      </c>
      <c r="G5611" t="s">
        <v>78</v>
      </c>
      <c r="H5611" t="s">
        <v>675</v>
      </c>
      <c r="I5611" t="s">
        <v>379</v>
      </c>
      <c r="J5611" t="s">
        <v>576</v>
      </c>
      <c r="K5611" t="s">
        <v>104</v>
      </c>
      <c r="L5611" t="s">
        <v>128</v>
      </c>
      <c r="M5611" t="s">
        <v>141</v>
      </c>
      <c r="N5611" t="s">
        <v>463</v>
      </c>
      <c r="O5611" t="s">
        <v>104</v>
      </c>
      <c r="P5611" t="s">
        <v>136</v>
      </c>
      <c r="Q5611" t="s">
        <v>198</v>
      </c>
    </row>
    <row r="5612" spans="1:17" x14ac:dyDescent="0.3">
      <c r="A5612" t="s">
        <v>36</v>
      </c>
      <c r="B5612" t="s">
        <v>258</v>
      </c>
      <c r="C5612">
        <v>2099</v>
      </c>
      <c r="D5612" t="s">
        <v>515</v>
      </c>
      <c r="E5612" t="s">
        <v>142</v>
      </c>
      <c r="F5612" t="s">
        <v>309</v>
      </c>
      <c r="G5612" t="s">
        <v>722</v>
      </c>
      <c r="H5612" t="s">
        <v>105</v>
      </c>
      <c r="I5612" t="s">
        <v>379</v>
      </c>
      <c r="J5612" t="s">
        <v>831</v>
      </c>
      <c r="K5612" t="s">
        <v>99</v>
      </c>
      <c r="L5612" t="s">
        <v>103</v>
      </c>
      <c r="M5612" t="s">
        <v>157</v>
      </c>
      <c r="N5612" t="s">
        <v>715</v>
      </c>
      <c r="O5612" t="s">
        <v>136</v>
      </c>
      <c r="P5612" t="s">
        <v>253</v>
      </c>
      <c r="Q5612" t="s">
        <v>114</v>
      </c>
    </row>
    <row r="5613" spans="1:17" x14ac:dyDescent="0.3">
      <c r="A5613" t="s">
        <v>36</v>
      </c>
      <c r="B5613" t="s">
        <v>260</v>
      </c>
      <c r="C5613">
        <v>205</v>
      </c>
      <c r="D5613" t="s">
        <v>600</v>
      </c>
      <c r="E5613" t="s">
        <v>122</v>
      </c>
      <c r="F5613" t="s">
        <v>287</v>
      </c>
      <c r="G5613" t="s">
        <v>379</v>
      </c>
      <c r="H5613" t="s">
        <v>155</v>
      </c>
      <c r="I5613" t="s">
        <v>133</v>
      </c>
      <c r="J5613" t="s">
        <v>653</v>
      </c>
      <c r="K5613" t="s">
        <v>99</v>
      </c>
      <c r="L5613" t="s">
        <v>155</v>
      </c>
      <c r="M5613" t="s">
        <v>291</v>
      </c>
      <c r="N5613" t="s">
        <v>645</v>
      </c>
      <c r="O5613" t="s">
        <v>99</v>
      </c>
      <c r="P5613" t="s">
        <v>151</v>
      </c>
      <c r="Q5613" t="s">
        <v>114</v>
      </c>
    </row>
    <row r="5614" spans="1:17" x14ac:dyDescent="0.3">
      <c r="A5614" t="s">
        <v>34</v>
      </c>
      <c r="B5614" t="s">
        <v>258</v>
      </c>
      <c r="C5614">
        <v>1221</v>
      </c>
      <c r="D5614" t="s">
        <v>595</v>
      </c>
      <c r="E5614" t="s">
        <v>68</v>
      </c>
      <c r="F5614" t="s">
        <v>264</v>
      </c>
      <c r="G5614" t="s">
        <v>204</v>
      </c>
      <c r="H5614" t="s">
        <v>120</v>
      </c>
      <c r="I5614" t="s">
        <v>124</v>
      </c>
      <c r="J5614" t="s">
        <v>637</v>
      </c>
      <c r="K5614" t="s">
        <v>99</v>
      </c>
      <c r="L5614" t="s">
        <v>117</v>
      </c>
      <c r="M5614" t="s">
        <v>99</v>
      </c>
      <c r="N5614" t="s">
        <v>746</v>
      </c>
      <c r="O5614" t="s">
        <v>104</v>
      </c>
      <c r="P5614" t="s">
        <v>99</v>
      </c>
      <c r="Q5614" t="s">
        <v>99</v>
      </c>
    </row>
    <row r="5615" spans="1:17" x14ac:dyDescent="0.3">
      <c r="A5615" t="s">
        <v>34</v>
      </c>
      <c r="B5615" t="s">
        <v>260</v>
      </c>
      <c r="C5615">
        <v>858</v>
      </c>
      <c r="D5615" t="s">
        <v>728</v>
      </c>
      <c r="E5615" t="s">
        <v>206</v>
      </c>
      <c r="F5615" t="s">
        <v>251</v>
      </c>
      <c r="G5615" t="s">
        <v>122</v>
      </c>
      <c r="H5615" t="s">
        <v>126</v>
      </c>
      <c r="I5615" t="s">
        <v>184</v>
      </c>
      <c r="J5615" t="s">
        <v>652</v>
      </c>
      <c r="K5615" t="s">
        <v>136</v>
      </c>
      <c r="L5615" t="s">
        <v>204</v>
      </c>
      <c r="M5615" t="s">
        <v>684</v>
      </c>
      <c r="N5615" t="s">
        <v>1415</v>
      </c>
      <c r="O5615" t="s">
        <v>99</v>
      </c>
      <c r="P5615" t="s">
        <v>121</v>
      </c>
      <c r="Q5615" t="s">
        <v>127</v>
      </c>
    </row>
    <row r="5616" spans="1:17" x14ac:dyDescent="0.3">
      <c r="A5616" t="s">
        <v>33</v>
      </c>
      <c r="B5616" t="s">
        <v>258</v>
      </c>
      <c r="C5616">
        <v>1937</v>
      </c>
      <c r="D5616" t="s">
        <v>1383</v>
      </c>
      <c r="E5616" t="s">
        <v>112</v>
      </c>
      <c r="F5616" t="s">
        <v>363</v>
      </c>
      <c r="G5616" t="s">
        <v>671</v>
      </c>
      <c r="H5616" t="s">
        <v>206</v>
      </c>
      <c r="I5616" t="s">
        <v>679</v>
      </c>
      <c r="J5616" t="s">
        <v>1055</v>
      </c>
      <c r="K5616" t="s">
        <v>99</v>
      </c>
      <c r="L5616" t="s">
        <v>316</v>
      </c>
      <c r="M5616" t="s">
        <v>207</v>
      </c>
      <c r="N5616" t="s">
        <v>368</v>
      </c>
      <c r="O5616" t="s">
        <v>104</v>
      </c>
      <c r="P5616" t="s">
        <v>104</v>
      </c>
      <c r="Q5616" t="s">
        <v>207</v>
      </c>
    </row>
    <row r="5617" spans="1:17" x14ac:dyDescent="0.3">
      <c r="A5617" t="s">
        <v>49</v>
      </c>
      <c r="B5617" t="s">
        <v>258</v>
      </c>
      <c r="C5617">
        <v>11985</v>
      </c>
      <c r="D5617" t="s">
        <v>818</v>
      </c>
      <c r="E5617" t="s">
        <v>160</v>
      </c>
      <c r="F5617" t="s">
        <v>416</v>
      </c>
      <c r="G5617" t="s">
        <v>122</v>
      </c>
      <c r="H5617" t="s">
        <v>468</v>
      </c>
      <c r="I5617" t="s">
        <v>122</v>
      </c>
      <c r="J5617" t="s">
        <v>987</v>
      </c>
      <c r="K5617" t="s">
        <v>207</v>
      </c>
      <c r="L5617" t="s">
        <v>120</v>
      </c>
      <c r="M5617" t="s">
        <v>114</v>
      </c>
      <c r="N5617" t="s">
        <v>440</v>
      </c>
      <c r="O5617" t="s">
        <v>136</v>
      </c>
      <c r="P5617" t="s">
        <v>207</v>
      </c>
      <c r="Q5617" t="s">
        <v>207</v>
      </c>
    </row>
    <row r="5618" spans="1:17" x14ac:dyDescent="0.3">
      <c r="A5618" t="s">
        <v>49</v>
      </c>
      <c r="B5618" t="s">
        <v>260</v>
      </c>
      <c r="C5618">
        <v>1335</v>
      </c>
      <c r="D5618" t="s">
        <v>557</v>
      </c>
      <c r="E5618" t="s">
        <v>165</v>
      </c>
      <c r="F5618" t="s">
        <v>722</v>
      </c>
      <c r="G5618" t="s">
        <v>664</v>
      </c>
      <c r="H5618" t="s">
        <v>127</v>
      </c>
      <c r="I5618" t="s">
        <v>78</v>
      </c>
      <c r="J5618" t="s">
        <v>823</v>
      </c>
      <c r="K5618" t="s">
        <v>207</v>
      </c>
      <c r="L5618" t="s">
        <v>124</v>
      </c>
      <c r="M5618" t="s">
        <v>149</v>
      </c>
      <c r="N5618" t="s">
        <v>843</v>
      </c>
      <c r="O5618" t="s">
        <v>99</v>
      </c>
      <c r="P5618" t="s">
        <v>101</v>
      </c>
      <c r="Q5618" t="s">
        <v>123</v>
      </c>
    </row>
    <row r="5620" spans="1:17" x14ac:dyDescent="0.3">
      <c r="A5620" t="s">
        <v>1755</v>
      </c>
    </row>
    <row r="5621" spans="1:17" x14ac:dyDescent="0.3">
      <c r="A5621" t="s">
        <v>44</v>
      </c>
      <c r="B5621" t="s">
        <v>1756</v>
      </c>
      <c r="C5621" t="s">
        <v>32</v>
      </c>
      <c r="D5621" t="s">
        <v>1735</v>
      </c>
      <c r="E5621" t="s">
        <v>1736</v>
      </c>
      <c r="F5621" t="s">
        <v>1737</v>
      </c>
      <c r="G5621" t="s">
        <v>1738</v>
      </c>
      <c r="H5621" t="s">
        <v>1739</v>
      </c>
      <c r="I5621" t="s">
        <v>1740</v>
      </c>
      <c r="J5621" t="s">
        <v>1741</v>
      </c>
      <c r="K5621" t="s">
        <v>1742</v>
      </c>
      <c r="L5621" t="s">
        <v>1743</v>
      </c>
      <c r="M5621" t="s">
        <v>1744</v>
      </c>
      <c r="N5621" t="s">
        <v>1745</v>
      </c>
      <c r="O5621" t="s">
        <v>1746</v>
      </c>
      <c r="P5621" t="s">
        <v>1275</v>
      </c>
      <c r="Q5621" t="s">
        <v>193</v>
      </c>
    </row>
    <row r="5622" spans="1:17" x14ac:dyDescent="0.3">
      <c r="A5622" t="s">
        <v>35</v>
      </c>
      <c r="B5622" t="s">
        <v>1757</v>
      </c>
      <c r="C5622">
        <v>2773</v>
      </c>
      <c r="D5622" t="s">
        <v>958</v>
      </c>
      <c r="E5622" t="s">
        <v>70</v>
      </c>
      <c r="F5622" t="s">
        <v>679</v>
      </c>
      <c r="G5622" t="s">
        <v>204</v>
      </c>
      <c r="H5622" t="s">
        <v>268</v>
      </c>
      <c r="I5622" t="s">
        <v>154</v>
      </c>
      <c r="J5622" t="s">
        <v>549</v>
      </c>
      <c r="K5622" t="s">
        <v>115</v>
      </c>
      <c r="L5622" t="s">
        <v>120</v>
      </c>
      <c r="M5622" t="s">
        <v>115</v>
      </c>
      <c r="N5622" t="s">
        <v>746</v>
      </c>
      <c r="O5622" t="s">
        <v>132</v>
      </c>
      <c r="P5622" t="s">
        <v>141</v>
      </c>
      <c r="Q5622" t="s">
        <v>136</v>
      </c>
    </row>
    <row r="5623" spans="1:17" x14ac:dyDescent="0.3">
      <c r="A5623" t="s">
        <v>35</v>
      </c>
      <c r="B5623" t="s">
        <v>1758</v>
      </c>
      <c r="C5623">
        <v>370</v>
      </c>
      <c r="D5623" t="s">
        <v>1098</v>
      </c>
      <c r="E5623" t="s">
        <v>70</v>
      </c>
      <c r="F5623" t="s">
        <v>165</v>
      </c>
      <c r="G5623" t="s">
        <v>332</v>
      </c>
      <c r="H5623" t="s">
        <v>268</v>
      </c>
      <c r="I5623" t="s">
        <v>135</v>
      </c>
      <c r="J5623" t="s">
        <v>1533</v>
      </c>
      <c r="K5623" t="s">
        <v>198</v>
      </c>
      <c r="L5623" t="s">
        <v>152</v>
      </c>
      <c r="M5623" t="s">
        <v>299</v>
      </c>
      <c r="N5623" t="s">
        <v>707</v>
      </c>
      <c r="O5623" t="s">
        <v>198</v>
      </c>
      <c r="P5623" t="s">
        <v>132</v>
      </c>
      <c r="Q5623" t="s">
        <v>121</v>
      </c>
    </row>
    <row r="5624" spans="1:17" x14ac:dyDescent="0.3">
      <c r="A5624" t="s">
        <v>35</v>
      </c>
      <c r="B5624" t="s">
        <v>365</v>
      </c>
      <c r="C5624">
        <v>2</v>
      </c>
      <c r="D5624" t="s">
        <v>959</v>
      </c>
      <c r="E5624" t="s">
        <v>99</v>
      </c>
      <c r="F5624" t="s">
        <v>959</v>
      </c>
      <c r="G5624" t="s">
        <v>99</v>
      </c>
      <c r="H5624" t="s">
        <v>99</v>
      </c>
      <c r="I5624" t="s">
        <v>99</v>
      </c>
      <c r="J5624" t="s">
        <v>211</v>
      </c>
      <c r="K5624" t="s">
        <v>99</v>
      </c>
      <c r="L5624" t="s">
        <v>959</v>
      </c>
      <c r="M5624" t="s">
        <v>99</v>
      </c>
      <c r="N5624" t="s">
        <v>99</v>
      </c>
      <c r="O5624" t="s">
        <v>99</v>
      </c>
      <c r="P5624" t="s">
        <v>99</v>
      </c>
      <c r="Q5624" t="s">
        <v>99</v>
      </c>
    </row>
    <row r="5625" spans="1:17" x14ac:dyDescent="0.3">
      <c r="A5625" t="s">
        <v>37</v>
      </c>
      <c r="B5625" t="s">
        <v>1757</v>
      </c>
      <c r="C5625">
        <v>3622</v>
      </c>
      <c r="D5625" t="s">
        <v>1051</v>
      </c>
      <c r="E5625" t="s">
        <v>122</v>
      </c>
      <c r="F5625" t="s">
        <v>746</v>
      </c>
      <c r="G5625" t="s">
        <v>78</v>
      </c>
      <c r="H5625" t="s">
        <v>663</v>
      </c>
      <c r="I5625" t="s">
        <v>369</v>
      </c>
      <c r="J5625" t="s">
        <v>904</v>
      </c>
      <c r="K5625" t="s">
        <v>104</v>
      </c>
      <c r="L5625" t="s">
        <v>316</v>
      </c>
      <c r="M5625" t="s">
        <v>198</v>
      </c>
      <c r="N5625" t="s">
        <v>705</v>
      </c>
      <c r="O5625" t="s">
        <v>104</v>
      </c>
      <c r="P5625" t="s">
        <v>136</v>
      </c>
      <c r="Q5625" t="s">
        <v>198</v>
      </c>
    </row>
    <row r="5626" spans="1:17" x14ac:dyDescent="0.3">
      <c r="A5626" t="s">
        <v>37</v>
      </c>
      <c r="B5626" t="s">
        <v>1758</v>
      </c>
      <c r="C5626">
        <v>227</v>
      </c>
      <c r="D5626" t="s">
        <v>555</v>
      </c>
      <c r="E5626" t="s">
        <v>685</v>
      </c>
      <c r="F5626" t="s">
        <v>233</v>
      </c>
      <c r="G5626" t="s">
        <v>135</v>
      </c>
      <c r="H5626" t="s">
        <v>712</v>
      </c>
      <c r="I5626" t="s">
        <v>315</v>
      </c>
      <c r="J5626" t="s">
        <v>652</v>
      </c>
      <c r="K5626" t="s">
        <v>99</v>
      </c>
      <c r="L5626" t="s">
        <v>103</v>
      </c>
      <c r="M5626" t="s">
        <v>98</v>
      </c>
      <c r="N5626" t="s">
        <v>918</v>
      </c>
      <c r="O5626" t="s">
        <v>198</v>
      </c>
      <c r="P5626" t="s">
        <v>115</v>
      </c>
      <c r="Q5626" t="s">
        <v>99</v>
      </c>
    </row>
    <row r="5627" spans="1:17" x14ac:dyDescent="0.3">
      <c r="A5627" t="s">
        <v>37</v>
      </c>
      <c r="B5627" t="s">
        <v>365</v>
      </c>
      <c r="C5627">
        <v>6</v>
      </c>
      <c r="D5627" t="s">
        <v>670</v>
      </c>
      <c r="E5627" t="s">
        <v>99</v>
      </c>
      <c r="F5627" t="s">
        <v>99</v>
      </c>
      <c r="G5627" t="s">
        <v>99</v>
      </c>
      <c r="H5627" t="s">
        <v>313</v>
      </c>
      <c r="I5627" t="s">
        <v>1154</v>
      </c>
      <c r="J5627" t="s">
        <v>732</v>
      </c>
      <c r="K5627" t="s">
        <v>99</v>
      </c>
      <c r="L5627" t="s">
        <v>437</v>
      </c>
      <c r="M5627" t="s">
        <v>99</v>
      </c>
      <c r="N5627" t="s">
        <v>1748</v>
      </c>
      <c r="O5627" t="s">
        <v>99</v>
      </c>
      <c r="P5627" t="s">
        <v>99</v>
      </c>
      <c r="Q5627" t="s">
        <v>99</v>
      </c>
    </row>
    <row r="5628" spans="1:17" x14ac:dyDescent="0.3">
      <c r="A5628" t="s">
        <v>36</v>
      </c>
      <c r="B5628" t="s">
        <v>1757</v>
      </c>
      <c r="C5628">
        <v>1421</v>
      </c>
      <c r="D5628" t="s">
        <v>905</v>
      </c>
      <c r="E5628" t="s">
        <v>133</v>
      </c>
      <c r="F5628" t="s">
        <v>820</v>
      </c>
      <c r="G5628" t="s">
        <v>165</v>
      </c>
      <c r="H5628" t="s">
        <v>128</v>
      </c>
      <c r="I5628" t="s">
        <v>369</v>
      </c>
      <c r="J5628" t="s">
        <v>1067</v>
      </c>
      <c r="K5628" t="s">
        <v>99</v>
      </c>
      <c r="L5628" t="s">
        <v>103</v>
      </c>
      <c r="M5628" t="s">
        <v>115</v>
      </c>
      <c r="N5628" t="s">
        <v>705</v>
      </c>
      <c r="O5628" t="s">
        <v>115</v>
      </c>
      <c r="P5628" t="s">
        <v>115</v>
      </c>
      <c r="Q5628" t="s">
        <v>121</v>
      </c>
    </row>
    <row r="5629" spans="1:17" x14ac:dyDescent="0.3">
      <c r="A5629" t="s">
        <v>36</v>
      </c>
      <c r="B5629" t="s">
        <v>1758</v>
      </c>
      <c r="C5629">
        <v>878</v>
      </c>
      <c r="D5629" t="s">
        <v>956</v>
      </c>
      <c r="E5629" t="s">
        <v>804</v>
      </c>
      <c r="F5629" t="s">
        <v>676</v>
      </c>
      <c r="G5629" t="s">
        <v>135</v>
      </c>
      <c r="H5629" t="s">
        <v>130</v>
      </c>
      <c r="I5629" t="s">
        <v>220</v>
      </c>
      <c r="J5629" t="s">
        <v>625</v>
      </c>
      <c r="K5629" t="s">
        <v>99</v>
      </c>
      <c r="L5629" t="s">
        <v>316</v>
      </c>
      <c r="M5629" t="s">
        <v>78</v>
      </c>
      <c r="N5629" t="s">
        <v>728</v>
      </c>
      <c r="O5629" t="s">
        <v>99</v>
      </c>
      <c r="P5629" t="s">
        <v>141</v>
      </c>
      <c r="Q5629" t="s">
        <v>253</v>
      </c>
    </row>
    <row r="5630" spans="1:17" x14ac:dyDescent="0.3">
      <c r="A5630" t="s">
        <v>36</v>
      </c>
      <c r="B5630" t="s">
        <v>365</v>
      </c>
      <c r="C5630">
        <v>5</v>
      </c>
      <c r="D5630" t="s">
        <v>738</v>
      </c>
      <c r="E5630" t="s">
        <v>99</v>
      </c>
      <c r="F5630" t="s">
        <v>635</v>
      </c>
      <c r="G5630" t="s">
        <v>738</v>
      </c>
      <c r="H5630" t="s">
        <v>99</v>
      </c>
      <c r="I5630" t="s">
        <v>1748</v>
      </c>
      <c r="J5630" t="s">
        <v>1475</v>
      </c>
      <c r="K5630" t="s">
        <v>99</v>
      </c>
      <c r="L5630" t="s">
        <v>99</v>
      </c>
      <c r="M5630" t="s">
        <v>738</v>
      </c>
      <c r="N5630" t="s">
        <v>108</v>
      </c>
      <c r="O5630" t="s">
        <v>99</v>
      </c>
      <c r="P5630" t="s">
        <v>99</v>
      </c>
      <c r="Q5630" t="s">
        <v>108</v>
      </c>
    </row>
    <row r="5631" spans="1:17" x14ac:dyDescent="0.3">
      <c r="A5631" t="s">
        <v>34</v>
      </c>
      <c r="B5631" t="s">
        <v>1757</v>
      </c>
      <c r="C5631">
        <v>1334</v>
      </c>
      <c r="D5631" t="s">
        <v>571</v>
      </c>
      <c r="E5631" t="s">
        <v>160</v>
      </c>
      <c r="F5631" t="s">
        <v>76</v>
      </c>
      <c r="G5631" t="s">
        <v>184</v>
      </c>
      <c r="H5631" t="s">
        <v>151</v>
      </c>
      <c r="I5631" t="s">
        <v>145</v>
      </c>
      <c r="J5631" t="s">
        <v>1188</v>
      </c>
      <c r="K5631" t="s">
        <v>104</v>
      </c>
      <c r="L5631" t="s">
        <v>325</v>
      </c>
      <c r="M5631" t="s">
        <v>141</v>
      </c>
      <c r="N5631" t="s">
        <v>432</v>
      </c>
      <c r="O5631" t="s">
        <v>104</v>
      </c>
      <c r="P5631" t="s">
        <v>104</v>
      </c>
      <c r="Q5631" t="s">
        <v>115</v>
      </c>
    </row>
    <row r="5632" spans="1:17" x14ac:dyDescent="0.3">
      <c r="A5632" t="s">
        <v>34</v>
      </c>
      <c r="B5632" t="s">
        <v>1758</v>
      </c>
      <c r="C5632">
        <v>742</v>
      </c>
      <c r="D5632" t="s">
        <v>645</v>
      </c>
      <c r="E5632" t="s">
        <v>714</v>
      </c>
      <c r="F5632" t="s">
        <v>420</v>
      </c>
      <c r="G5632" t="s">
        <v>144</v>
      </c>
      <c r="H5632" t="s">
        <v>123</v>
      </c>
      <c r="I5632" t="s">
        <v>664</v>
      </c>
      <c r="J5632" t="s">
        <v>1055</v>
      </c>
      <c r="K5632" t="s">
        <v>136</v>
      </c>
      <c r="L5632" t="s">
        <v>107</v>
      </c>
      <c r="M5632" t="s">
        <v>135</v>
      </c>
      <c r="N5632" t="s">
        <v>619</v>
      </c>
      <c r="O5632" t="s">
        <v>99</v>
      </c>
      <c r="P5632" t="s">
        <v>126</v>
      </c>
      <c r="Q5632" t="s">
        <v>382</v>
      </c>
    </row>
    <row r="5633" spans="1:17" x14ac:dyDescent="0.3">
      <c r="A5633" t="s">
        <v>34</v>
      </c>
      <c r="B5633" t="s">
        <v>365</v>
      </c>
      <c r="C5633">
        <v>3</v>
      </c>
      <c r="D5633" t="s">
        <v>705</v>
      </c>
      <c r="E5633" t="s">
        <v>99</v>
      </c>
      <c r="F5633" t="s">
        <v>99</v>
      </c>
      <c r="G5633" t="s">
        <v>99</v>
      </c>
      <c r="H5633" t="s">
        <v>99</v>
      </c>
      <c r="I5633" t="s">
        <v>99</v>
      </c>
      <c r="J5633" t="s">
        <v>230</v>
      </c>
      <c r="K5633" t="s">
        <v>99</v>
      </c>
      <c r="L5633" t="s">
        <v>99</v>
      </c>
      <c r="M5633" t="s">
        <v>99</v>
      </c>
      <c r="N5633" t="s">
        <v>99</v>
      </c>
      <c r="O5633" t="s">
        <v>99</v>
      </c>
      <c r="P5633" t="s">
        <v>99</v>
      </c>
      <c r="Q5633" t="s">
        <v>99</v>
      </c>
    </row>
    <row r="5634" spans="1:17" x14ac:dyDescent="0.3">
      <c r="A5634" t="s">
        <v>33</v>
      </c>
      <c r="B5634" t="s">
        <v>1757</v>
      </c>
      <c r="C5634">
        <v>1842</v>
      </c>
      <c r="D5634" t="s">
        <v>1061</v>
      </c>
      <c r="E5634" t="s">
        <v>112</v>
      </c>
      <c r="F5634" t="s">
        <v>363</v>
      </c>
      <c r="G5634" t="s">
        <v>133</v>
      </c>
      <c r="H5634" t="s">
        <v>688</v>
      </c>
      <c r="I5634" t="s">
        <v>160</v>
      </c>
      <c r="J5634" t="s">
        <v>595</v>
      </c>
      <c r="K5634" t="s">
        <v>99</v>
      </c>
      <c r="L5634" t="s">
        <v>316</v>
      </c>
      <c r="M5634" t="s">
        <v>104</v>
      </c>
      <c r="N5634" t="s">
        <v>408</v>
      </c>
      <c r="O5634" t="s">
        <v>104</v>
      </c>
      <c r="P5634" t="s">
        <v>104</v>
      </c>
      <c r="Q5634" t="s">
        <v>207</v>
      </c>
    </row>
    <row r="5635" spans="1:17" x14ac:dyDescent="0.3">
      <c r="A5635" t="s">
        <v>33</v>
      </c>
      <c r="B5635" t="s">
        <v>1758</v>
      </c>
      <c r="C5635">
        <v>92</v>
      </c>
      <c r="D5635" t="s">
        <v>824</v>
      </c>
      <c r="E5635" t="s">
        <v>468</v>
      </c>
      <c r="F5635" t="s">
        <v>675</v>
      </c>
      <c r="G5635" t="s">
        <v>184</v>
      </c>
      <c r="H5635" t="s">
        <v>115</v>
      </c>
      <c r="I5635" t="s">
        <v>267</v>
      </c>
      <c r="J5635" t="s">
        <v>616</v>
      </c>
      <c r="K5635" t="s">
        <v>99</v>
      </c>
      <c r="L5635" t="s">
        <v>215</v>
      </c>
      <c r="M5635" t="s">
        <v>138</v>
      </c>
      <c r="N5635" t="s">
        <v>887</v>
      </c>
      <c r="O5635" t="s">
        <v>99</v>
      </c>
      <c r="P5635" t="s">
        <v>99</v>
      </c>
      <c r="Q5635" t="s">
        <v>99</v>
      </c>
    </row>
    <row r="5636" spans="1:17" x14ac:dyDescent="0.3">
      <c r="A5636" t="s">
        <v>33</v>
      </c>
      <c r="B5636" t="s">
        <v>365</v>
      </c>
      <c r="C5636">
        <v>3</v>
      </c>
      <c r="D5636" t="s">
        <v>99</v>
      </c>
      <c r="E5636" t="s">
        <v>99</v>
      </c>
      <c r="F5636" t="s">
        <v>951</v>
      </c>
      <c r="G5636" t="s">
        <v>99</v>
      </c>
      <c r="H5636" t="s">
        <v>99</v>
      </c>
      <c r="I5636" t="s">
        <v>99</v>
      </c>
      <c r="J5636" t="s">
        <v>211</v>
      </c>
      <c r="K5636" t="s">
        <v>99</v>
      </c>
      <c r="L5636" t="s">
        <v>817</v>
      </c>
      <c r="M5636" t="s">
        <v>99</v>
      </c>
      <c r="N5636" t="s">
        <v>99</v>
      </c>
      <c r="O5636" t="s">
        <v>99</v>
      </c>
      <c r="P5636" t="s">
        <v>99</v>
      </c>
      <c r="Q5636" t="s">
        <v>99</v>
      </c>
    </row>
    <row r="5637" spans="1:17" x14ac:dyDescent="0.3">
      <c r="A5637" t="s">
        <v>49</v>
      </c>
      <c r="B5637" t="s">
        <v>1757</v>
      </c>
      <c r="C5637">
        <v>10992</v>
      </c>
      <c r="D5637" t="s">
        <v>572</v>
      </c>
      <c r="E5637" t="s">
        <v>150</v>
      </c>
      <c r="F5637" t="s">
        <v>291</v>
      </c>
      <c r="G5637" t="s">
        <v>70</v>
      </c>
      <c r="H5637" t="s">
        <v>124</v>
      </c>
      <c r="I5637" t="s">
        <v>160</v>
      </c>
      <c r="J5637" t="s">
        <v>1118</v>
      </c>
      <c r="K5637" t="s">
        <v>207</v>
      </c>
      <c r="L5637" t="s">
        <v>157</v>
      </c>
      <c r="M5637" t="s">
        <v>136</v>
      </c>
      <c r="N5637" t="s">
        <v>231</v>
      </c>
      <c r="O5637" t="s">
        <v>136</v>
      </c>
      <c r="P5637" t="s">
        <v>136</v>
      </c>
      <c r="Q5637" t="s">
        <v>136</v>
      </c>
    </row>
    <row r="5638" spans="1:17" x14ac:dyDescent="0.3">
      <c r="A5638" t="s">
        <v>49</v>
      </c>
      <c r="B5638" t="s">
        <v>1758</v>
      </c>
      <c r="C5638">
        <v>2309</v>
      </c>
      <c r="D5638" t="s">
        <v>817</v>
      </c>
      <c r="E5638" t="s">
        <v>716</v>
      </c>
      <c r="F5638" t="s">
        <v>287</v>
      </c>
      <c r="G5638" t="s">
        <v>328</v>
      </c>
      <c r="H5638" t="s">
        <v>103</v>
      </c>
      <c r="I5638" t="s">
        <v>363</v>
      </c>
      <c r="J5638" t="s">
        <v>1188</v>
      </c>
      <c r="K5638" t="s">
        <v>198</v>
      </c>
      <c r="L5638" t="s">
        <v>134</v>
      </c>
      <c r="M5638" t="s">
        <v>152</v>
      </c>
      <c r="N5638" t="s">
        <v>588</v>
      </c>
      <c r="O5638" t="s">
        <v>104</v>
      </c>
      <c r="P5638" t="s">
        <v>100</v>
      </c>
      <c r="Q5638" t="s">
        <v>100</v>
      </c>
    </row>
    <row r="5639" spans="1:17" x14ac:dyDescent="0.3">
      <c r="A5639" t="s">
        <v>49</v>
      </c>
      <c r="B5639" t="s">
        <v>365</v>
      </c>
      <c r="C5639">
        <v>19</v>
      </c>
      <c r="D5639" t="s">
        <v>811</v>
      </c>
      <c r="E5639" t="s">
        <v>99</v>
      </c>
      <c r="F5639" t="s">
        <v>58</v>
      </c>
      <c r="G5639" t="s">
        <v>684</v>
      </c>
      <c r="H5639" t="s">
        <v>129</v>
      </c>
      <c r="I5639" t="s">
        <v>809</v>
      </c>
      <c r="J5639" t="s">
        <v>1192</v>
      </c>
      <c r="K5639" t="s">
        <v>99</v>
      </c>
      <c r="L5639" t="s">
        <v>687</v>
      </c>
      <c r="M5639" t="s">
        <v>684</v>
      </c>
      <c r="N5639" t="s">
        <v>730</v>
      </c>
      <c r="O5639" t="s">
        <v>99</v>
      </c>
      <c r="P5639" t="s">
        <v>99</v>
      </c>
      <c r="Q5639" t="s">
        <v>207</v>
      </c>
    </row>
    <row r="5641" spans="1:17" x14ac:dyDescent="0.3">
      <c r="A5641" t="s">
        <v>1759</v>
      </c>
      <c r="J5641" t="s">
        <v>1760</v>
      </c>
    </row>
    <row r="5642" spans="1:17" x14ac:dyDescent="0.3">
      <c r="A5642" t="s">
        <v>44</v>
      </c>
      <c r="B5642" t="s">
        <v>32</v>
      </c>
      <c r="C5642" t="s">
        <v>45</v>
      </c>
      <c r="D5642" t="s">
        <v>46</v>
      </c>
      <c r="E5642" t="s">
        <v>47</v>
      </c>
      <c r="F5642" t="s">
        <v>48</v>
      </c>
      <c r="J5642" t="s">
        <v>44</v>
      </c>
      <c r="K5642" t="s">
        <v>32</v>
      </c>
      <c r="L5642" t="s">
        <v>45</v>
      </c>
      <c r="M5642" t="s">
        <v>46</v>
      </c>
      <c r="N5642" t="s">
        <v>47</v>
      </c>
      <c r="O5642" t="s">
        <v>48</v>
      </c>
    </row>
    <row r="5643" spans="1:17" x14ac:dyDescent="0.3">
      <c r="A5643" t="s">
        <v>35</v>
      </c>
      <c r="B5643">
        <v>3145</v>
      </c>
      <c r="C5643">
        <v>14257.16</v>
      </c>
      <c r="D5643">
        <v>10000</v>
      </c>
      <c r="E5643">
        <v>0</v>
      </c>
      <c r="F5643">
        <v>200000</v>
      </c>
      <c r="J5643" t="s">
        <v>35</v>
      </c>
      <c r="K5643">
        <v>3145</v>
      </c>
      <c r="L5643">
        <v>6859</v>
      </c>
      <c r="M5643">
        <v>4666.67</v>
      </c>
      <c r="N5643">
        <v>0</v>
      </c>
      <c r="O5643">
        <v>90000</v>
      </c>
    </row>
    <row r="5644" spans="1:17" x14ac:dyDescent="0.3">
      <c r="A5644" t="s">
        <v>37</v>
      </c>
      <c r="B5644">
        <v>3855</v>
      </c>
      <c r="C5644">
        <v>14582.09</v>
      </c>
      <c r="D5644">
        <v>11000</v>
      </c>
      <c r="E5644">
        <v>0</v>
      </c>
      <c r="F5644">
        <v>250000</v>
      </c>
      <c r="J5644" t="s">
        <v>37</v>
      </c>
      <c r="K5644">
        <v>3855</v>
      </c>
      <c r="L5644">
        <v>6236.26</v>
      </c>
      <c r="M5644">
        <v>4750</v>
      </c>
      <c r="N5644">
        <v>0</v>
      </c>
      <c r="O5644">
        <v>103200</v>
      </c>
    </row>
    <row r="5645" spans="1:17" x14ac:dyDescent="0.3">
      <c r="A5645" t="s">
        <v>36</v>
      </c>
      <c r="B5645">
        <v>2305</v>
      </c>
      <c r="C5645">
        <v>14251.69</v>
      </c>
      <c r="D5645">
        <v>9900</v>
      </c>
      <c r="E5645">
        <v>0</v>
      </c>
      <c r="F5645">
        <v>226000</v>
      </c>
      <c r="J5645" t="s">
        <v>36</v>
      </c>
      <c r="K5645">
        <v>2305</v>
      </c>
      <c r="L5645">
        <v>6601.59</v>
      </c>
      <c r="M5645">
        <v>4200</v>
      </c>
      <c r="N5645">
        <v>0</v>
      </c>
      <c r="O5645">
        <v>101000</v>
      </c>
    </row>
    <row r="5646" spans="1:17" x14ac:dyDescent="0.3">
      <c r="A5646" t="s">
        <v>34</v>
      </c>
      <c r="B5646">
        <v>2080</v>
      </c>
      <c r="C5646">
        <v>13283.82</v>
      </c>
      <c r="D5646">
        <v>9900</v>
      </c>
      <c r="E5646">
        <v>0</v>
      </c>
      <c r="F5646">
        <v>200000</v>
      </c>
      <c r="J5646" t="s">
        <v>34</v>
      </c>
      <c r="K5646">
        <v>2080</v>
      </c>
      <c r="L5646">
        <v>6086.55</v>
      </c>
      <c r="M5646">
        <v>4500</v>
      </c>
      <c r="N5646">
        <v>0</v>
      </c>
      <c r="O5646">
        <v>100000</v>
      </c>
    </row>
    <row r="5647" spans="1:17" x14ac:dyDescent="0.3">
      <c r="A5647" t="s">
        <v>33</v>
      </c>
      <c r="B5647">
        <v>1937</v>
      </c>
      <c r="C5647">
        <v>13766.5</v>
      </c>
      <c r="D5647">
        <v>10000</v>
      </c>
      <c r="E5647">
        <v>0</v>
      </c>
      <c r="F5647">
        <v>210000</v>
      </c>
      <c r="J5647" t="s">
        <v>33</v>
      </c>
      <c r="K5647">
        <v>1937</v>
      </c>
      <c r="L5647">
        <v>6117.52</v>
      </c>
      <c r="M5647">
        <v>5000</v>
      </c>
      <c r="N5647">
        <v>0</v>
      </c>
      <c r="O5647">
        <v>70000</v>
      </c>
    </row>
    <row r="5648" spans="1:17" x14ac:dyDescent="0.3">
      <c r="A5648" t="s">
        <v>49</v>
      </c>
      <c r="B5648">
        <v>13322</v>
      </c>
      <c r="C5648">
        <v>14088.79</v>
      </c>
      <c r="D5648">
        <v>10000</v>
      </c>
      <c r="E5648">
        <v>0</v>
      </c>
      <c r="F5648">
        <v>250000</v>
      </c>
      <c r="J5648" t="s">
        <v>49</v>
      </c>
      <c r="K5648">
        <v>13322</v>
      </c>
      <c r="L5648">
        <v>6401.4</v>
      </c>
      <c r="M5648">
        <v>4666.67</v>
      </c>
      <c r="N5648">
        <v>0</v>
      </c>
      <c r="O5648">
        <v>103200</v>
      </c>
    </row>
    <row r="5650" spans="1:16" x14ac:dyDescent="0.3">
      <c r="A5650" t="s">
        <v>1761</v>
      </c>
      <c r="J5650" t="s">
        <v>1762</v>
      </c>
    </row>
    <row r="5651" spans="1:16" x14ac:dyDescent="0.3">
      <c r="A5651" t="s">
        <v>44</v>
      </c>
      <c r="B5651" t="s">
        <v>361</v>
      </c>
      <c r="C5651" t="s">
        <v>32</v>
      </c>
      <c r="D5651" t="s">
        <v>45</v>
      </c>
      <c r="E5651" t="s">
        <v>46</v>
      </c>
      <c r="F5651" t="s">
        <v>47</v>
      </c>
      <c r="G5651" t="s">
        <v>48</v>
      </c>
      <c r="J5651" t="s">
        <v>44</v>
      </c>
      <c r="K5651" t="s">
        <v>361</v>
      </c>
      <c r="L5651" t="s">
        <v>32</v>
      </c>
      <c r="M5651" t="s">
        <v>45</v>
      </c>
      <c r="N5651" t="s">
        <v>46</v>
      </c>
      <c r="O5651" t="s">
        <v>47</v>
      </c>
      <c r="P5651" t="s">
        <v>48</v>
      </c>
    </row>
    <row r="5652" spans="1:16" x14ac:dyDescent="0.3">
      <c r="A5652" t="s">
        <v>35</v>
      </c>
      <c r="B5652" t="s">
        <v>339</v>
      </c>
      <c r="C5652">
        <v>890</v>
      </c>
      <c r="D5652">
        <v>10261.709999999999</v>
      </c>
      <c r="E5652">
        <v>7000</v>
      </c>
      <c r="F5652">
        <v>0</v>
      </c>
      <c r="G5652">
        <v>169500</v>
      </c>
      <c r="J5652" t="s">
        <v>35</v>
      </c>
      <c r="K5652" t="s">
        <v>339</v>
      </c>
      <c r="L5652">
        <v>890</v>
      </c>
      <c r="M5652">
        <v>4977.8999999999996</v>
      </c>
      <c r="N5652">
        <v>3750</v>
      </c>
      <c r="O5652">
        <v>0</v>
      </c>
      <c r="P5652">
        <v>72000</v>
      </c>
    </row>
    <row r="5653" spans="1:16" x14ac:dyDescent="0.3">
      <c r="A5653" t="s">
        <v>35</v>
      </c>
      <c r="B5653" t="s">
        <v>340</v>
      </c>
      <c r="C5653">
        <v>2215</v>
      </c>
      <c r="D5653">
        <v>15809.66</v>
      </c>
      <c r="E5653">
        <v>10800</v>
      </c>
      <c r="F5653">
        <v>0</v>
      </c>
      <c r="G5653">
        <v>200000</v>
      </c>
      <c r="J5653" t="s">
        <v>35</v>
      </c>
      <c r="K5653" t="s">
        <v>340</v>
      </c>
      <c r="L5653">
        <v>2215</v>
      </c>
      <c r="M5653">
        <v>7644.76</v>
      </c>
      <c r="N5653">
        <v>5333.33</v>
      </c>
      <c r="O5653">
        <v>0</v>
      </c>
      <c r="P5653">
        <v>90000</v>
      </c>
    </row>
    <row r="5654" spans="1:16" x14ac:dyDescent="0.3">
      <c r="A5654" t="s">
        <v>35</v>
      </c>
      <c r="B5654" t="s">
        <v>365</v>
      </c>
      <c r="C5654">
        <v>40</v>
      </c>
      <c r="D5654">
        <v>17853.88</v>
      </c>
      <c r="E5654">
        <v>13300</v>
      </c>
      <c r="F5654">
        <v>0</v>
      </c>
      <c r="G5654">
        <v>150000</v>
      </c>
      <c r="J5654" t="s">
        <v>35</v>
      </c>
      <c r="K5654" t="s">
        <v>365</v>
      </c>
      <c r="L5654">
        <v>40</v>
      </c>
      <c r="M5654">
        <v>5207.59</v>
      </c>
      <c r="N5654">
        <v>4166.67</v>
      </c>
      <c r="O5654">
        <v>0</v>
      </c>
      <c r="P5654">
        <v>37500</v>
      </c>
    </row>
    <row r="5655" spans="1:16" x14ac:dyDescent="0.3">
      <c r="A5655" t="s">
        <v>37</v>
      </c>
      <c r="B5655" t="s">
        <v>339</v>
      </c>
      <c r="C5655">
        <v>1093</v>
      </c>
      <c r="D5655">
        <v>11449.45</v>
      </c>
      <c r="E5655">
        <v>8000</v>
      </c>
      <c r="F5655">
        <v>0</v>
      </c>
      <c r="G5655">
        <v>250000</v>
      </c>
      <c r="J5655" t="s">
        <v>37</v>
      </c>
      <c r="K5655" t="s">
        <v>339</v>
      </c>
      <c r="L5655">
        <v>1093</v>
      </c>
      <c r="M5655">
        <v>4511.3500000000004</v>
      </c>
      <c r="N5655">
        <v>3750</v>
      </c>
      <c r="O5655">
        <v>0</v>
      </c>
      <c r="P5655">
        <v>58125</v>
      </c>
    </row>
    <row r="5656" spans="1:16" x14ac:dyDescent="0.3">
      <c r="A5656" t="s">
        <v>37</v>
      </c>
      <c r="B5656" t="s">
        <v>340</v>
      </c>
      <c r="C5656">
        <v>2721</v>
      </c>
      <c r="D5656">
        <v>15759.47</v>
      </c>
      <c r="E5656">
        <v>12500</v>
      </c>
      <c r="F5656">
        <v>0</v>
      </c>
      <c r="G5656">
        <v>213100</v>
      </c>
      <c r="J5656" t="s">
        <v>37</v>
      </c>
      <c r="K5656" t="s">
        <v>340</v>
      </c>
      <c r="L5656">
        <v>2721</v>
      </c>
      <c r="M5656">
        <v>6928.77</v>
      </c>
      <c r="N5656">
        <v>5286.67</v>
      </c>
      <c r="O5656">
        <v>0</v>
      </c>
      <c r="P5656">
        <v>103200</v>
      </c>
    </row>
    <row r="5657" spans="1:16" x14ac:dyDescent="0.3">
      <c r="A5657" t="s">
        <v>37</v>
      </c>
      <c r="B5657" t="s">
        <v>365</v>
      </c>
      <c r="C5657">
        <v>41</v>
      </c>
      <c r="D5657">
        <v>17579.05</v>
      </c>
      <c r="E5657">
        <v>15000</v>
      </c>
      <c r="F5657">
        <v>0</v>
      </c>
      <c r="G5657">
        <v>65000</v>
      </c>
      <c r="J5657" t="s">
        <v>37</v>
      </c>
      <c r="K5657" t="s">
        <v>365</v>
      </c>
      <c r="L5657">
        <v>41</v>
      </c>
      <c r="M5657">
        <v>4955.0600000000004</v>
      </c>
      <c r="N5657">
        <v>4000</v>
      </c>
      <c r="O5657">
        <v>0</v>
      </c>
      <c r="P5657">
        <v>21666.67</v>
      </c>
    </row>
    <row r="5658" spans="1:16" x14ac:dyDescent="0.3">
      <c r="A5658" t="s">
        <v>36</v>
      </c>
      <c r="B5658" t="s">
        <v>339</v>
      </c>
      <c r="C5658">
        <v>770</v>
      </c>
      <c r="D5658">
        <v>11520.83</v>
      </c>
      <c r="E5658">
        <v>8600</v>
      </c>
      <c r="F5658">
        <v>0</v>
      </c>
      <c r="G5658">
        <v>100000</v>
      </c>
      <c r="J5658" t="s">
        <v>36</v>
      </c>
      <c r="K5658" t="s">
        <v>339</v>
      </c>
      <c r="L5658">
        <v>770</v>
      </c>
      <c r="M5658">
        <v>5755.35</v>
      </c>
      <c r="N5658">
        <v>4000</v>
      </c>
      <c r="O5658">
        <v>0</v>
      </c>
      <c r="P5658">
        <v>100000</v>
      </c>
    </row>
    <row r="5659" spans="1:16" x14ac:dyDescent="0.3">
      <c r="A5659" t="s">
        <v>36</v>
      </c>
      <c r="B5659" t="s">
        <v>340</v>
      </c>
      <c r="C5659">
        <v>1472</v>
      </c>
      <c r="D5659">
        <v>14896.74</v>
      </c>
      <c r="E5659">
        <v>10000</v>
      </c>
      <c r="F5659">
        <v>0</v>
      </c>
      <c r="G5659">
        <v>202000</v>
      </c>
      <c r="J5659" t="s">
        <v>36</v>
      </c>
      <c r="K5659" t="s">
        <v>340</v>
      </c>
      <c r="L5659">
        <v>1472</v>
      </c>
      <c r="M5659">
        <v>6869.91</v>
      </c>
      <c r="N5659">
        <v>4333.33</v>
      </c>
      <c r="O5659">
        <v>0</v>
      </c>
      <c r="P5659">
        <v>101000</v>
      </c>
    </row>
    <row r="5660" spans="1:16" x14ac:dyDescent="0.3">
      <c r="A5660" t="s">
        <v>36</v>
      </c>
      <c r="B5660" t="s">
        <v>365</v>
      </c>
      <c r="C5660">
        <v>63</v>
      </c>
      <c r="D5660">
        <v>33143.160000000003</v>
      </c>
      <c r="E5660">
        <v>12500</v>
      </c>
      <c r="F5660">
        <v>0</v>
      </c>
      <c r="G5660">
        <v>226000</v>
      </c>
      <c r="J5660" t="s">
        <v>36</v>
      </c>
      <c r="K5660" t="s">
        <v>365</v>
      </c>
      <c r="L5660">
        <v>63</v>
      </c>
      <c r="M5660">
        <v>10692.09</v>
      </c>
      <c r="N5660">
        <v>4000</v>
      </c>
      <c r="O5660">
        <v>0</v>
      </c>
      <c r="P5660">
        <v>75333.33</v>
      </c>
    </row>
    <row r="5661" spans="1:16" x14ac:dyDescent="0.3">
      <c r="A5661" t="s">
        <v>34</v>
      </c>
      <c r="B5661" t="s">
        <v>339</v>
      </c>
      <c r="C5661">
        <v>555</v>
      </c>
      <c r="D5661">
        <v>11742.74</v>
      </c>
      <c r="E5661">
        <v>9000</v>
      </c>
      <c r="F5661">
        <v>0</v>
      </c>
      <c r="G5661">
        <v>114260</v>
      </c>
      <c r="J5661" t="s">
        <v>34</v>
      </c>
      <c r="K5661" t="s">
        <v>339</v>
      </c>
      <c r="L5661">
        <v>555</v>
      </c>
      <c r="M5661">
        <v>4359.66</v>
      </c>
      <c r="N5661">
        <v>3600</v>
      </c>
      <c r="O5661">
        <v>0</v>
      </c>
      <c r="P5661">
        <v>37333.33</v>
      </c>
    </row>
    <row r="5662" spans="1:16" x14ac:dyDescent="0.3">
      <c r="A5662" t="s">
        <v>34</v>
      </c>
      <c r="B5662" t="s">
        <v>340</v>
      </c>
      <c r="C5662">
        <v>1497</v>
      </c>
      <c r="D5662">
        <v>14199.31</v>
      </c>
      <c r="E5662">
        <v>10000</v>
      </c>
      <c r="F5662">
        <v>0</v>
      </c>
      <c r="G5662">
        <v>200000</v>
      </c>
      <c r="J5662" t="s">
        <v>34</v>
      </c>
      <c r="K5662" t="s">
        <v>340</v>
      </c>
      <c r="L5662">
        <v>1497</v>
      </c>
      <c r="M5662">
        <v>7087.96</v>
      </c>
      <c r="N5662">
        <v>5100</v>
      </c>
      <c r="O5662">
        <v>0</v>
      </c>
      <c r="P5662">
        <v>100000</v>
      </c>
    </row>
    <row r="5663" spans="1:16" x14ac:dyDescent="0.3">
      <c r="A5663" t="s">
        <v>34</v>
      </c>
      <c r="B5663" t="s">
        <v>365</v>
      </c>
      <c r="C5663">
        <v>28</v>
      </c>
      <c r="D5663">
        <v>9059.68</v>
      </c>
      <c r="E5663">
        <v>2090</v>
      </c>
      <c r="F5663">
        <v>0</v>
      </c>
      <c r="G5663">
        <v>50000</v>
      </c>
      <c r="J5663" t="s">
        <v>34</v>
      </c>
      <c r="K5663" t="s">
        <v>365</v>
      </c>
      <c r="L5663">
        <v>28</v>
      </c>
      <c r="M5663">
        <v>2378.54</v>
      </c>
      <c r="N5663">
        <v>522.5</v>
      </c>
      <c r="O5663">
        <v>0</v>
      </c>
      <c r="P5663">
        <v>12500</v>
      </c>
    </row>
    <row r="5664" spans="1:16" x14ac:dyDescent="0.3">
      <c r="A5664" t="s">
        <v>33</v>
      </c>
      <c r="B5664" t="s">
        <v>339</v>
      </c>
      <c r="C5664">
        <v>503</v>
      </c>
      <c r="D5664">
        <v>10079.049999999999</v>
      </c>
      <c r="E5664">
        <v>7700</v>
      </c>
      <c r="F5664">
        <v>0</v>
      </c>
      <c r="G5664">
        <v>55000</v>
      </c>
      <c r="J5664" t="s">
        <v>33</v>
      </c>
      <c r="K5664" t="s">
        <v>339</v>
      </c>
      <c r="L5664">
        <v>503</v>
      </c>
      <c r="M5664">
        <v>4587.42</v>
      </c>
      <c r="N5664">
        <v>4000</v>
      </c>
      <c r="O5664">
        <v>0</v>
      </c>
      <c r="P5664">
        <v>30000</v>
      </c>
    </row>
    <row r="5665" spans="1:16" x14ac:dyDescent="0.3">
      <c r="A5665" t="s">
        <v>33</v>
      </c>
      <c r="B5665" t="s">
        <v>340</v>
      </c>
      <c r="C5665">
        <v>1415</v>
      </c>
      <c r="D5665">
        <v>15073.46</v>
      </c>
      <c r="E5665">
        <v>12000</v>
      </c>
      <c r="F5665">
        <v>0</v>
      </c>
      <c r="G5665">
        <v>210000</v>
      </c>
      <c r="J5665" t="s">
        <v>33</v>
      </c>
      <c r="K5665" t="s">
        <v>340</v>
      </c>
      <c r="L5665">
        <v>1415</v>
      </c>
      <c r="M5665">
        <v>6702.7</v>
      </c>
      <c r="N5665">
        <v>5666.67</v>
      </c>
      <c r="O5665">
        <v>0</v>
      </c>
      <c r="P5665">
        <v>70000</v>
      </c>
    </row>
    <row r="5666" spans="1:16" x14ac:dyDescent="0.3">
      <c r="A5666" t="s">
        <v>33</v>
      </c>
      <c r="B5666" t="s">
        <v>365</v>
      </c>
      <c r="C5666">
        <v>19</v>
      </c>
      <c r="D5666">
        <v>18757.439999999999</v>
      </c>
      <c r="E5666">
        <v>20000</v>
      </c>
      <c r="F5666">
        <v>0</v>
      </c>
      <c r="G5666">
        <v>40000</v>
      </c>
      <c r="J5666" t="s">
        <v>33</v>
      </c>
      <c r="K5666" t="s">
        <v>365</v>
      </c>
      <c r="L5666">
        <v>19</v>
      </c>
      <c r="M5666">
        <v>5061.5</v>
      </c>
      <c r="N5666">
        <v>5333.33</v>
      </c>
      <c r="O5666">
        <v>0</v>
      </c>
      <c r="P5666">
        <v>13500</v>
      </c>
    </row>
    <row r="5667" spans="1:16" x14ac:dyDescent="0.3">
      <c r="A5667" t="s">
        <v>49</v>
      </c>
      <c r="B5667" t="s">
        <v>339</v>
      </c>
      <c r="C5667">
        <v>3811</v>
      </c>
      <c r="D5667">
        <v>10993.63</v>
      </c>
      <c r="E5667">
        <v>8000</v>
      </c>
      <c r="F5667">
        <v>0</v>
      </c>
      <c r="G5667">
        <v>250000</v>
      </c>
      <c r="J5667" t="s">
        <v>49</v>
      </c>
      <c r="K5667" t="s">
        <v>339</v>
      </c>
      <c r="L5667">
        <v>3811</v>
      </c>
      <c r="M5667">
        <v>4741.97</v>
      </c>
      <c r="N5667">
        <v>3800</v>
      </c>
      <c r="O5667">
        <v>0</v>
      </c>
      <c r="P5667">
        <v>100000</v>
      </c>
    </row>
    <row r="5668" spans="1:16" x14ac:dyDescent="0.3">
      <c r="A5668" t="s">
        <v>49</v>
      </c>
      <c r="B5668" t="s">
        <v>340</v>
      </c>
      <c r="C5668">
        <v>9320</v>
      </c>
      <c r="D5668">
        <v>15319.43</v>
      </c>
      <c r="E5668">
        <v>11500</v>
      </c>
      <c r="F5668">
        <v>0</v>
      </c>
      <c r="G5668">
        <v>213100</v>
      </c>
      <c r="J5668" t="s">
        <v>49</v>
      </c>
      <c r="K5668" t="s">
        <v>340</v>
      </c>
      <c r="L5668">
        <v>9320</v>
      </c>
      <c r="M5668">
        <v>7124.18</v>
      </c>
      <c r="N5668">
        <v>5250</v>
      </c>
      <c r="O5668">
        <v>0</v>
      </c>
      <c r="P5668">
        <v>103200</v>
      </c>
    </row>
    <row r="5669" spans="1:16" x14ac:dyDescent="0.3">
      <c r="A5669" t="s">
        <v>49</v>
      </c>
      <c r="B5669" t="s">
        <v>365</v>
      </c>
      <c r="C5669">
        <v>191</v>
      </c>
      <c r="D5669">
        <v>18585.93</v>
      </c>
      <c r="E5669">
        <v>12500</v>
      </c>
      <c r="F5669">
        <v>0</v>
      </c>
      <c r="G5669">
        <v>226000</v>
      </c>
      <c r="J5669" t="s">
        <v>49</v>
      </c>
      <c r="K5669" t="s">
        <v>365</v>
      </c>
      <c r="L5669">
        <v>191</v>
      </c>
      <c r="M5669">
        <v>5450.5</v>
      </c>
      <c r="N5669">
        <v>3500</v>
      </c>
      <c r="O5669">
        <v>0</v>
      </c>
      <c r="P5669">
        <v>75333.33</v>
      </c>
    </row>
    <row r="5671" spans="1:16" x14ac:dyDescent="0.3">
      <c r="A5671" t="s">
        <v>1763</v>
      </c>
      <c r="J5671" t="s">
        <v>1764</v>
      </c>
    </row>
    <row r="5672" spans="1:16" x14ac:dyDescent="0.3">
      <c r="A5672" t="s">
        <v>44</v>
      </c>
      <c r="B5672" t="s">
        <v>209</v>
      </c>
      <c r="C5672" t="s">
        <v>32</v>
      </c>
      <c r="D5672" t="s">
        <v>45</v>
      </c>
      <c r="E5672" t="s">
        <v>46</v>
      </c>
      <c r="F5672" t="s">
        <v>47</v>
      </c>
      <c r="G5672" t="s">
        <v>48</v>
      </c>
      <c r="J5672" t="s">
        <v>44</v>
      </c>
      <c r="K5672" t="s">
        <v>209</v>
      </c>
      <c r="L5672" t="s">
        <v>32</v>
      </c>
      <c r="M5672" t="s">
        <v>45</v>
      </c>
      <c r="N5672" t="s">
        <v>46</v>
      </c>
      <c r="O5672" t="s">
        <v>47</v>
      </c>
      <c r="P5672" t="s">
        <v>48</v>
      </c>
    </row>
    <row r="5673" spans="1:16" x14ac:dyDescent="0.3">
      <c r="A5673" t="s">
        <v>35</v>
      </c>
      <c r="B5673" t="s">
        <v>210</v>
      </c>
      <c r="C5673">
        <v>136</v>
      </c>
      <c r="D5673">
        <v>13880.67</v>
      </c>
      <c r="E5673">
        <v>11700</v>
      </c>
      <c r="F5673">
        <v>0</v>
      </c>
      <c r="G5673">
        <v>59436</v>
      </c>
      <c r="J5673" t="s">
        <v>35</v>
      </c>
      <c r="K5673" t="s">
        <v>210</v>
      </c>
      <c r="L5673">
        <v>136</v>
      </c>
      <c r="M5673">
        <v>6257.58</v>
      </c>
      <c r="N5673">
        <v>4875</v>
      </c>
      <c r="O5673">
        <v>0</v>
      </c>
      <c r="P5673">
        <v>32000</v>
      </c>
    </row>
    <row r="5674" spans="1:16" x14ac:dyDescent="0.3">
      <c r="A5674" t="s">
        <v>35</v>
      </c>
      <c r="B5674" t="s">
        <v>212</v>
      </c>
      <c r="C5674">
        <v>2442</v>
      </c>
      <c r="D5674">
        <v>13045.41</v>
      </c>
      <c r="E5674">
        <v>8200</v>
      </c>
      <c r="F5674">
        <v>0</v>
      </c>
      <c r="G5674">
        <v>169500</v>
      </c>
      <c r="J5674" t="s">
        <v>35</v>
      </c>
      <c r="K5674" t="s">
        <v>212</v>
      </c>
      <c r="L5674">
        <v>2442</v>
      </c>
      <c r="M5674">
        <v>6601.12</v>
      </c>
      <c r="N5674">
        <v>4400</v>
      </c>
      <c r="O5674">
        <v>0</v>
      </c>
      <c r="P5674">
        <v>90000</v>
      </c>
    </row>
    <row r="5675" spans="1:16" x14ac:dyDescent="0.3">
      <c r="A5675" t="s">
        <v>35</v>
      </c>
      <c r="B5675" t="s">
        <v>216</v>
      </c>
      <c r="C5675">
        <v>567</v>
      </c>
      <c r="D5675">
        <v>17419.61</v>
      </c>
      <c r="E5675">
        <v>13000</v>
      </c>
      <c r="F5675">
        <v>0</v>
      </c>
      <c r="G5675">
        <v>200000</v>
      </c>
      <c r="J5675" t="s">
        <v>35</v>
      </c>
      <c r="K5675" t="s">
        <v>216</v>
      </c>
      <c r="L5675">
        <v>567</v>
      </c>
      <c r="M5675">
        <v>7639.34</v>
      </c>
      <c r="N5675">
        <v>5200</v>
      </c>
      <c r="O5675">
        <v>0</v>
      </c>
      <c r="P5675">
        <v>66666.67</v>
      </c>
    </row>
    <row r="5676" spans="1:16" x14ac:dyDescent="0.3">
      <c r="A5676" t="s">
        <v>37</v>
      </c>
      <c r="B5676" t="s">
        <v>210</v>
      </c>
      <c r="C5676">
        <v>138</v>
      </c>
      <c r="D5676">
        <v>24096.98</v>
      </c>
      <c r="E5676">
        <v>17000</v>
      </c>
      <c r="F5676">
        <v>0</v>
      </c>
      <c r="G5676">
        <v>232500</v>
      </c>
      <c r="J5676" t="s">
        <v>37</v>
      </c>
      <c r="K5676" t="s">
        <v>210</v>
      </c>
      <c r="L5676">
        <v>138</v>
      </c>
      <c r="M5676">
        <v>11358.94</v>
      </c>
      <c r="N5676">
        <v>7500</v>
      </c>
      <c r="O5676">
        <v>0</v>
      </c>
      <c r="P5676">
        <v>100000</v>
      </c>
    </row>
    <row r="5677" spans="1:16" x14ac:dyDescent="0.3">
      <c r="A5677" t="s">
        <v>37</v>
      </c>
      <c r="B5677" t="s">
        <v>212</v>
      </c>
      <c r="C5677">
        <v>3606</v>
      </c>
      <c r="D5677">
        <v>14006.32</v>
      </c>
      <c r="E5677">
        <v>10200</v>
      </c>
      <c r="F5677">
        <v>0</v>
      </c>
      <c r="G5677">
        <v>250000</v>
      </c>
      <c r="J5677" t="s">
        <v>37</v>
      </c>
      <c r="K5677" t="s">
        <v>212</v>
      </c>
      <c r="L5677">
        <v>3606</v>
      </c>
      <c r="M5677">
        <v>5980.42</v>
      </c>
      <c r="N5677">
        <v>4500</v>
      </c>
      <c r="O5677">
        <v>0</v>
      </c>
      <c r="P5677">
        <v>103200</v>
      </c>
    </row>
    <row r="5678" spans="1:16" x14ac:dyDescent="0.3">
      <c r="A5678" t="s">
        <v>37</v>
      </c>
      <c r="B5678" t="s">
        <v>216</v>
      </c>
      <c r="C5678">
        <v>111</v>
      </c>
      <c r="D5678">
        <v>19600</v>
      </c>
      <c r="E5678">
        <v>20000</v>
      </c>
      <c r="F5678">
        <v>0</v>
      </c>
      <c r="G5678">
        <v>79500</v>
      </c>
      <c r="J5678" t="s">
        <v>37</v>
      </c>
      <c r="K5678" t="s">
        <v>216</v>
      </c>
      <c r="L5678">
        <v>111</v>
      </c>
      <c r="M5678">
        <v>7105.73</v>
      </c>
      <c r="N5678">
        <v>6250</v>
      </c>
      <c r="O5678">
        <v>0</v>
      </c>
      <c r="P5678">
        <v>30000</v>
      </c>
    </row>
    <row r="5679" spans="1:16" x14ac:dyDescent="0.3">
      <c r="A5679" t="s">
        <v>36</v>
      </c>
      <c r="B5679" t="s">
        <v>210</v>
      </c>
      <c r="C5679">
        <v>165</v>
      </c>
      <c r="D5679">
        <v>18425.32</v>
      </c>
      <c r="E5679">
        <v>12000</v>
      </c>
      <c r="F5679">
        <v>0</v>
      </c>
      <c r="G5679">
        <v>202000</v>
      </c>
      <c r="J5679" t="s">
        <v>36</v>
      </c>
      <c r="K5679" t="s">
        <v>210</v>
      </c>
      <c r="L5679">
        <v>165</v>
      </c>
      <c r="M5679">
        <v>8769.32</v>
      </c>
      <c r="N5679">
        <v>4440</v>
      </c>
      <c r="O5679">
        <v>0</v>
      </c>
      <c r="P5679">
        <v>101000</v>
      </c>
    </row>
    <row r="5680" spans="1:16" x14ac:dyDescent="0.3">
      <c r="A5680" t="s">
        <v>36</v>
      </c>
      <c r="B5680" t="s">
        <v>212</v>
      </c>
      <c r="C5680">
        <v>1875</v>
      </c>
      <c r="D5680">
        <v>13492.01</v>
      </c>
      <c r="E5680">
        <v>9000</v>
      </c>
      <c r="F5680">
        <v>0</v>
      </c>
      <c r="G5680">
        <v>226000</v>
      </c>
      <c r="J5680" t="s">
        <v>36</v>
      </c>
      <c r="K5680" t="s">
        <v>212</v>
      </c>
      <c r="L5680">
        <v>1875</v>
      </c>
      <c r="M5680">
        <v>6257.98</v>
      </c>
      <c r="N5680">
        <v>4040</v>
      </c>
      <c r="O5680">
        <v>0</v>
      </c>
      <c r="P5680">
        <v>100000</v>
      </c>
    </row>
    <row r="5681" spans="1:16" x14ac:dyDescent="0.3">
      <c r="A5681" t="s">
        <v>36</v>
      </c>
      <c r="B5681" t="s">
        <v>216</v>
      </c>
      <c r="C5681">
        <v>265</v>
      </c>
      <c r="D5681">
        <v>15210.81</v>
      </c>
      <c r="E5681">
        <v>14000</v>
      </c>
      <c r="F5681">
        <v>0</v>
      </c>
      <c r="G5681">
        <v>52340</v>
      </c>
      <c r="J5681" t="s">
        <v>36</v>
      </c>
      <c r="K5681" t="s">
        <v>216</v>
      </c>
      <c r="L5681">
        <v>265</v>
      </c>
      <c r="M5681">
        <v>6770.14</v>
      </c>
      <c r="N5681">
        <v>4333.33</v>
      </c>
      <c r="O5681">
        <v>0</v>
      </c>
      <c r="P5681">
        <v>32000</v>
      </c>
    </row>
    <row r="5682" spans="1:16" x14ac:dyDescent="0.3">
      <c r="A5682" t="s">
        <v>34</v>
      </c>
      <c r="B5682" t="s">
        <v>210</v>
      </c>
      <c r="C5682">
        <v>256</v>
      </c>
      <c r="D5682">
        <v>14583.56</v>
      </c>
      <c r="E5682">
        <v>12000</v>
      </c>
      <c r="F5682">
        <v>0</v>
      </c>
      <c r="G5682">
        <v>104000</v>
      </c>
      <c r="J5682" t="s">
        <v>34</v>
      </c>
      <c r="K5682" t="s">
        <v>210</v>
      </c>
      <c r="L5682">
        <v>256</v>
      </c>
      <c r="M5682">
        <v>5834.24</v>
      </c>
      <c r="N5682">
        <v>4666.67</v>
      </c>
      <c r="O5682">
        <v>0</v>
      </c>
      <c r="P5682">
        <v>52000</v>
      </c>
    </row>
    <row r="5683" spans="1:16" x14ac:dyDescent="0.3">
      <c r="A5683" t="s">
        <v>34</v>
      </c>
      <c r="B5683" t="s">
        <v>212</v>
      </c>
      <c r="C5683">
        <v>1582</v>
      </c>
      <c r="D5683">
        <v>12854.14</v>
      </c>
      <c r="E5683">
        <v>9000</v>
      </c>
      <c r="F5683">
        <v>0</v>
      </c>
      <c r="G5683">
        <v>200000</v>
      </c>
      <c r="J5683" t="s">
        <v>34</v>
      </c>
      <c r="K5683" t="s">
        <v>212</v>
      </c>
      <c r="L5683">
        <v>1582</v>
      </c>
      <c r="M5683">
        <v>6176.74</v>
      </c>
      <c r="N5683">
        <v>4500</v>
      </c>
      <c r="O5683">
        <v>0</v>
      </c>
      <c r="P5683">
        <v>100000</v>
      </c>
    </row>
    <row r="5684" spans="1:16" x14ac:dyDescent="0.3">
      <c r="A5684" t="s">
        <v>34</v>
      </c>
      <c r="B5684" t="s">
        <v>216</v>
      </c>
      <c r="C5684">
        <v>242</v>
      </c>
      <c r="D5684">
        <v>13865.26</v>
      </c>
      <c r="E5684">
        <v>9500</v>
      </c>
      <c r="F5684">
        <v>0</v>
      </c>
      <c r="G5684">
        <v>150000</v>
      </c>
      <c r="J5684" t="s">
        <v>34</v>
      </c>
      <c r="K5684" t="s">
        <v>216</v>
      </c>
      <c r="L5684">
        <v>242</v>
      </c>
      <c r="M5684">
        <v>5942.02</v>
      </c>
      <c r="N5684">
        <v>3500</v>
      </c>
      <c r="O5684">
        <v>0</v>
      </c>
      <c r="P5684">
        <v>80000</v>
      </c>
    </row>
    <row r="5685" spans="1:16" x14ac:dyDescent="0.3">
      <c r="A5685" t="s">
        <v>33</v>
      </c>
      <c r="B5685" t="s">
        <v>210</v>
      </c>
      <c r="C5685">
        <v>68</v>
      </c>
      <c r="D5685">
        <v>14390.3</v>
      </c>
      <c r="E5685">
        <v>12000</v>
      </c>
      <c r="F5685">
        <v>0</v>
      </c>
      <c r="G5685">
        <v>50000</v>
      </c>
      <c r="J5685" t="s">
        <v>33</v>
      </c>
      <c r="K5685" t="s">
        <v>210</v>
      </c>
      <c r="L5685">
        <v>68</v>
      </c>
      <c r="M5685">
        <v>6024.96</v>
      </c>
      <c r="N5685">
        <v>5000</v>
      </c>
      <c r="O5685">
        <v>0</v>
      </c>
      <c r="P5685">
        <v>30000</v>
      </c>
    </row>
    <row r="5686" spans="1:16" x14ac:dyDescent="0.3">
      <c r="A5686" t="s">
        <v>33</v>
      </c>
      <c r="B5686" t="s">
        <v>212</v>
      </c>
      <c r="C5686">
        <v>1800</v>
      </c>
      <c r="D5686">
        <v>13532.76</v>
      </c>
      <c r="E5686">
        <v>10000</v>
      </c>
      <c r="F5686">
        <v>0</v>
      </c>
      <c r="G5686">
        <v>210000</v>
      </c>
      <c r="J5686" t="s">
        <v>33</v>
      </c>
      <c r="K5686" t="s">
        <v>212</v>
      </c>
      <c r="L5686">
        <v>1800</v>
      </c>
      <c r="M5686">
        <v>6033.79</v>
      </c>
      <c r="N5686">
        <v>5000</v>
      </c>
      <c r="O5686">
        <v>0</v>
      </c>
      <c r="P5686">
        <v>70000</v>
      </c>
    </row>
    <row r="5687" spans="1:16" x14ac:dyDescent="0.3">
      <c r="A5687" t="s">
        <v>33</v>
      </c>
      <c r="B5687" t="s">
        <v>216</v>
      </c>
      <c r="C5687">
        <v>69</v>
      </c>
      <c r="D5687">
        <v>18663.810000000001</v>
      </c>
      <c r="E5687">
        <v>15000</v>
      </c>
      <c r="F5687">
        <v>0</v>
      </c>
      <c r="G5687">
        <v>100000</v>
      </c>
      <c r="J5687" t="s">
        <v>33</v>
      </c>
      <c r="K5687" t="s">
        <v>216</v>
      </c>
      <c r="L5687">
        <v>69</v>
      </c>
      <c r="M5687">
        <v>8168.67</v>
      </c>
      <c r="N5687">
        <v>5666.67</v>
      </c>
      <c r="O5687">
        <v>0</v>
      </c>
      <c r="P5687">
        <v>50000</v>
      </c>
    </row>
    <row r="5688" spans="1:16" x14ac:dyDescent="0.3">
      <c r="A5688" t="s">
        <v>49</v>
      </c>
      <c r="B5688" t="s">
        <v>210</v>
      </c>
      <c r="C5688">
        <v>763</v>
      </c>
      <c r="D5688">
        <v>16452.099999999999</v>
      </c>
      <c r="E5688">
        <v>13000</v>
      </c>
      <c r="F5688">
        <v>0</v>
      </c>
      <c r="G5688">
        <v>232500</v>
      </c>
      <c r="J5688" t="s">
        <v>49</v>
      </c>
      <c r="K5688" t="s">
        <v>210</v>
      </c>
      <c r="L5688">
        <v>763</v>
      </c>
      <c r="M5688">
        <v>7217.41</v>
      </c>
      <c r="N5688">
        <v>5000</v>
      </c>
      <c r="O5688">
        <v>0</v>
      </c>
      <c r="P5688">
        <v>101000</v>
      </c>
    </row>
    <row r="5689" spans="1:16" x14ac:dyDescent="0.3">
      <c r="A5689" t="s">
        <v>49</v>
      </c>
      <c r="B5689" t="s">
        <v>212</v>
      </c>
      <c r="C5689">
        <v>11305</v>
      </c>
      <c r="D5689">
        <v>13454.76</v>
      </c>
      <c r="E5689">
        <v>9700</v>
      </c>
      <c r="F5689">
        <v>0</v>
      </c>
      <c r="G5689">
        <v>250000</v>
      </c>
      <c r="J5689" t="s">
        <v>49</v>
      </c>
      <c r="K5689" t="s">
        <v>212</v>
      </c>
      <c r="L5689">
        <v>11305</v>
      </c>
      <c r="M5689">
        <v>6197.6</v>
      </c>
      <c r="N5689">
        <v>4600</v>
      </c>
      <c r="O5689">
        <v>0</v>
      </c>
      <c r="P5689">
        <v>103200</v>
      </c>
    </row>
    <row r="5690" spans="1:16" x14ac:dyDescent="0.3">
      <c r="A5690" t="s">
        <v>49</v>
      </c>
      <c r="B5690" t="s">
        <v>216</v>
      </c>
      <c r="C5690">
        <v>1254</v>
      </c>
      <c r="D5690">
        <v>16666.650000000001</v>
      </c>
      <c r="E5690">
        <v>12000</v>
      </c>
      <c r="F5690">
        <v>0</v>
      </c>
      <c r="G5690">
        <v>200000</v>
      </c>
      <c r="J5690" t="s">
        <v>49</v>
      </c>
      <c r="K5690" t="s">
        <v>216</v>
      </c>
      <c r="L5690">
        <v>1254</v>
      </c>
      <c r="M5690">
        <v>7197.78</v>
      </c>
      <c r="N5690">
        <v>5000</v>
      </c>
      <c r="O5690">
        <v>0</v>
      </c>
      <c r="P5690">
        <v>80000</v>
      </c>
    </row>
    <row r="5692" spans="1:16" x14ac:dyDescent="0.3">
      <c r="A5692" t="s">
        <v>1765</v>
      </c>
      <c r="J5692" t="s">
        <v>1766</v>
      </c>
    </row>
    <row r="5693" spans="1:16" x14ac:dyDescent="0.3">
      <c r="A5693" t="s">
        <v>44</v>
      </c>
      <c r="B5693" t="s">
        <v>388</v>
      </c>
      <c r="C5693" t="s">
        <v>32</v>
      </c>
      <c r="D5693" t="s">
        <v>45</v>
      </c>
      <c r="E5693" t="s">
        <v>46</v>
      </c>
      <c r="F5693" t="s">
        <v>47</v>
      </c>
      <c r="G5693" t="s">
        <v>48</v>
      </c>
      <c r="J5693" t="s">
        <v>44</v>
      </c>
      <c r="K5693" t="s">
        <v>388</v>
      </c>
      <c r="L5693" t="s">
        <v>32</v>
      </c>
      <c r="M5693" t="s">
        <v>45</v>
      </c>
      <c r="N5693" t="s">
        <v>46</v>
      </c>
      <c r="O5693" t="s">
        <v>47</v>
      </c>
      <c r="P5693" t="s">
        <v>48</v>
      </c>
    </row>
    <row r="5694" spans="1:16" x14ac:dyDescent="0.3">
      <c r="A5694" t="s">
        <v>35</v>
      </c>
      <c r="B5694" t="s">
        <v>389</v>
      </c>
      <c r="C5694">
        <v>2141</v>
      </c>
      <c r="D5694">
        <v>14260.76</v>
      </c>
      <c r="E5694">
        <v>9500</v>
      </c>
      <c r="F5694">
        <v>0</v>
      </c>
      <c r="G5694">
        <v>200000</v>
      </c>
      <c r="J5694" t="s">
        <v>35</v>
      </c>
      <c r="K5694" t="s">
        <v>389</v>
      </c>
      <c r="L5694">
        <v>2141</v>
      </c>
      <c r="M5694">
        <v>6568.2</v>
      </c>
      <c r="N5694">
        <v>4500</v>
      </c>
      <c r="O5694">
        <v>0</v>
      </c>
      <c r="P5694">
        <v>78000</v>
      </c>
    </row>
    <row r="5695" spans="1:16" x14ac:dyDescent="0.3">
      <c r="A5695" t="s">
        <v>35</v>
      </c>
      <c r="B5695" t="s">
        <v>390</v>
      </c>
      <c r="C5695">
        <v>875</v>
      </c>
      <c r="D5695">
        <v>13819.65</v>
      </c>
      <c r="E5695">
        <v>10000</v>
      </c>
      <c r="F5695">
        <v>0</v>
      </c>
      <c r="G5695">
        <v>100000</v>
      </c>
      <c r="J5695" t="s">
        <v>35</v>
      </c>
      <c r="K5695" t="s">
        <v>390</v>
      </c>
      <c r="L5695">
        <v>875</v>
      </c>
      <c r="M5695">
        <v>7877.25</v>
      </c>
      <c r="N5695">
        <v>5100</v>
      </c>
      <c r="O5695">
        <v>0</v>
      </c>
      <c r="P5695">
        <v>90000</v>
      </c>
    </row>
    <row r="5696" spans="1:16" x14ac:dyDescent="0.3">
      <c r="A5696" t="s">
        <v>35</v>
      </c>
      <c r="B5696" t="s">
        <v>365</v>
      </c>
      <c r="C5696">
        <v>129</v>
      </c>
      <c r="D5696">
        <v>17122.560000000001</v>
      </c>
      <c r="E5696">
        <v>13860</v>
      </c>
      <c r="F5696">
        <v>0</v>
      </c>
      <c r="G5696">
        <v>64000</v>
      </c>
      <c r="J5696" t="s">
        <v>35</v>
      </c>
      <c r="K5696" t="s">
        <v>365</v>
      </c>
      <c r="L5696">
        <v>129</v>
      </c>
      <c r="M5696">
        <v>5328.69</v>
      </c>
      <c r="N5696">
        <v>4375</v>
      </c>
      <c r="O5696">
        <v>0</v>
      </c>
      <c r="P5696">
        <v>21333.33</v>
      </c>
    </row>
    <row r="5697" spans="1:16" x14ac:dyDescent="0.3">
      <c r="A5697" t="s">
        <v>37</v>
      </c>
      <c r="B5697" t="s">
        <v>389</v>
      </c>
      <c r="C5697">
        <v>2305</v>
      </c>
      <c r="D5697">
        <v>13926.72</v>
      </c>
      <c r="E5697">
        <v>10000</v>
      </c>
      <c r="F5697">
        <v>0</v>
      </c>
      <c r="G5697">
        <v>250000</v>
      </c>
      <c r="J5697" t="s">
        <v>37</v>
      </c>
      <c r="K5697" t="s">
        <v>389</v>
      </c>
      <c r="L5697">
        <v>2305</v>
      </c>
      <c r="M5697">
        <v>5822.07</v>
      </c>
      <c r="N5697">
        <v>4500</v>
      </c>
      <c r="O5697">
        <v>0</v>
      </c>
      <c r="P5697">
        <v>103200</v>
      </c>
    </row>
    <row r="5698" spans="1:16" x14ac:dyDescent="0.3">
      <c r="A5698" t="s">
        <v>37</v>
      </c>
      <c r="B5698" t="s">
        <v>390</v>
      </c>
      <c r="C5698">
        <v>1309</v>
      </c>
      <c r="D5698">
        <v>14800.2</v>
      </c>
      <c r="E5698">
        <v>11000</v>
      </c>
      <c r="F5698">
        <v>0</v>
      </c>
      <c r="G5698">
        <v>150000</v>
      </c>
      <c r="J5698" t="s">
        <v>37</v>
      </c>
      <c r="K5698" t="s">
        <v>390</v>
      </c>
      <c r="L5698">
        <v>1309</v>
      </c>
      <c r="M5698">
        <v>6851.88</v>
      </c>
      <c r="N5698">
        <v>5000</v>
      </c>
      <c r="O5698">
        <v>0</v>
      </c>
      <c r="P5698">
        <v>70000</v>
      </c>
    </row>
    <row r="5699" spans="1:16" x14ac:dyDescent="0.3">
      <c r="A5699" t="s">
        <v>37</v>
      </c>
      <c r="B5699" t="s">
        <v>365</v>
      </c>
      <c r="C5699">
        <v>241</v>
      </c>
      <c r="D5699">
        <v>19133.5</v>
      </c>
      <c r="E5699">
        <v>16400</v>
      </c>
      <c r="F5699">
        <v>0</v>
      </c>
      <c r="G5699">
        <v>105416</v>
      </c>
      <c r="J5699" t="s">
        <v>37</v>
      </c>
      <c r="K5699" t="s">
        <v>365</v>
      </c>
      <c r="L5699">
        <v>241</v>
      </c>
      <c r="M5699">
        <v>6592.28</v>
      </c>
      <c r="N5699">
        <v>5000</v>
      </c>
      <c r="O5699">
        <v>0</v>
      </c>
      <c r="P5699">
        <v>52708</v>
      </c>
    </row>
    <row r="5700" spans="1:16" x14ac:dyDescent="0.3">
      <c r="A5700" t="s">
        <v>36</v>
      </c>
      <c r="B5700" t="s">
        <v>389</v>
      </c>
      <c r="C5700">
        <v>1578</v>
      </c>
      <c r="D5700">
        <v>13738.49</v>
      </c>
      <c r="E5700">
        <v>9200</v>
      </c>
      <c r="F5700">
        <v>0</v>
      </c>
      <c r="G5700">
        <v>226000</v>
      </c>
      <c r="J5700" t="s">
        <v>36</v>
      </c>
      <c r="K5700" t="s">
        <v>389</v>
      </c>
      <c r="L5700">
        <v>1578</v>
      </c>
      <c r="M5700">
        <v>6545.28</v>
      </c>
      <c r="N5700">
        <v>4000</v>
      </c>
      <c r="O5700">
        <v>0</v>
      </c>
      <c r="P5700">
        <v>101000</v>
      </c>
    </row>
    <row r="5701" spans="1:16" x14ac:dyDescent="0.3">
      <c r="A5701" t="s">
        <v>36</v>
      </c>
      <c r="B5701" t="s">
        <v>390</v>
      </c>
      <c r="C5701">
        <v>627</v>
      </c>
      <c r="D5701">
        <v>14239.13</v>
      </c>
      <c r="E5701">
        <v>10000</v>
      </c>
      <c r="F5701">
        <v>0</v>
      </c>
      <c r="G5701">
        <v>130000</v>
      </c>
      <c r="J5701" t="s">
        <v>36</v>
      </c>
      <c r="K5701" t="s">
        <v>390</v>
      </c>
      <c r="L5701">
        <v>627</v>
      </c>
      <c r="M5701">
        <v>6851.84</v>
      </c>
      <c r="N5701">
        <v>4666.67</v>
      </c>
      <c r="O5701">
        <v>0</v>
      </c>
      <c r="P5701">
        <v>74000</v>
      </c>
    </row>
    <row r="5702" spans="1:16" x14ac:dyDescent="0.3">
      <c r="A5702" t="s">
        <v>36</v>
      </c>
      <c r="B5702" t="s">
        <v>365</v>
      </c>
      <c r="C5702">
        <v>100</v>
      </c>
      <c r="D5702">
        <v>19514.21</v>
      </c>
      <c r="E5702">
        <v>17000</v>
      </c>
      <c r="F5702">
        <v>0</v>
      </c>
      <c r="G5702">
        <v>77400</v>
      </c>
      <c r="J5702" t="s">
        <v>36</v>
      </c>
      <c r="K5702" t="s">
        <v>365</v>
      </c>
      <c r="L5702">
        <v>100</v>
      </c>
      <c r="M5702">
        <v>6149.92</v>
      </c>
      <c r="N5702">
        <v>4375</v>
      </c>
      <c r="O5702">
        <v>0</v>
      </c>
      <c r="P5702">
        <v>22333.33</v>
      </c>
    </row>
    <row r="5703" spans="1:16" x14ac:dyDescent="0.3">
      <c r="A5703" t="s">
        <v>34</v>
      </c>
      <c r="B5703" t="s">
        <v>389</v>
      </c>
      <c r="C5703">
        <v>1385</v>
      </c>
      <c r="D5703">
        <v>11826.86</v>
      </c>
      <c r="E5703">
        <v>9000</v>
      </c>
      <c r="F5703">
        <v>0</v>
      </c>
      <c r="G5703">
        <v>200000</v>
      </c>
      <c r="J5703" t="s">
        <v>34</v>
      </c>
      <c r="K5703" t="s">
        <v>389</v>
      </c>
      <c r="L5703">
        <v>1385</v>
      </c>
      <c r="M5703">
        <v>5302.62</v>
      </c>
      <c r="N5703">
        <v>4200</v>
      </c>
      <c r="O5703">
        <v>0</v>
      </c>
      <c r="P5703">
        <v>100000</v>
      </c>
    </row>
    <row r="5704" spans="1:16" x14ac:dyDescent="0.3">
      <c r="A5704" t="s">
        <v>34</v>
      </c>
      <c r="B5704" t="s">
        <v>390</v>
      </c>
      <c r="C5704">
        <v>615</v>
      </c>
      <c r="D5704">
        <v>15581.67</v>
      </c>
      <c r="E5704">
        <v>11700</v>
      </c>
      <c r="F5704">
        <v>0</v>
      </c>
      <c r="G5704">
        <v>150000</v>
      </c>
      <c r="J5704" t="s">
        <v>34</v>
      </c>
      <c r="K5704" t="s">
        <v>390</v>
      </c>
      <c r="L5704">
        <v>615</v>
      </c>
      <c r="M5704">
        <v>7730.63</v>
      </c>
      <c r="N5704">
        <v>5300</v>
      </c>
      <c r="O5704">
        <v>0</v>
      </c>
      <c r="P5704">
        <v>80000</v>
      </c>
    </row>
    <row r="5705" spans="1:16" x14ac:dyDescent="0.3">
      <c r="A5705" t="s">
        <v>34</v>
      </c>
      <c r="B5705" t="s">
        <v>365</v>
      </c>
      <c r="C5705">
        <v>80</v>
      </c>
      <c r="D5705">
        <v>20485.54</v>
      </c>
      <c r="E5705">
        <v>15100</v>
      </c>
      <c r="F5705">
        <v>0</v>
      </c>
      <c r="G5705">
        <v>65000</v>
      </c>
      <c r="J5705" t="s">
        <v>34</v>
      </c>
      <c r="K5705" t="s">
        <v>365</v>
      </c>
      <c r="L5705">
        <v>80</v>
      </c>
      <c r="M5705">
        <v>7165.56</v>
      </c>
      <c r="N5705">
        <v>5350</v>
      </c>
      <c r="O5705">
        <v>0</v>
      </c>
      <c r="P5705">
        <v>31750</v>
      </c>
    </row>
    <row r="5706" spans="1:16" x14ac:dyDescent="0.3">
      <c r="A5706" t="s">
        <v>33</v>
      </c>
      <c r="B5706" t="s">
        <v>389</v>
      </c>
      <c r="C5706">
        <v>1090</v>
      </c>
      <c r="D5706">
        <v>12537.07</v>
      </c>
      <c r="E5706">
        <v>9000</v>
      </c>
      <c r="F5706">
        <v>0</v>
      </c>
      <c r="G5706">
        <v>100000</v>
      </c>
      <c r="J5706" t="s">
        <v>33</v>
      </c>
      <c r="K5706" t="s">
        <v>389</v>
      </c>
      <c r="L5706">
        <v>1090</v>
      </c>
      <c r="M5706">
        <v>5745.49</v>
      </c>
      <c r="N5706">
        <v>4800</v>
      </c>
      <c r="O5706">
        <v>0</v>
      </c>
      <c r="P5706">
        <v>50000</v>
      </c>
    </row>
    <row r="5707" spans="1:16" x14ac:dyDescent="0.3">
      <c r="A5707" t="s">
        <v>33</v>
      </c>
      <c r="B5707" t="s">
        <v>390</v>
      </c>
      <c r="C5707">
        <v>708</v>
      </c>
      <c r="D5707">
        <v>14981.16</v>
      </c>
      <c r="E5707">
        <v>12000</v>
      </c>
      <c r="F5707">
        <v>0</v>
      </c>
      <c r="G5707">
        <v>210000</v>
      </c>
      <c r="J5707" t="s">
        <v>33</v>
      </c>
      <c r="K5707" t="s">
        <v>390</v>
      </c>
      <c r="L5707">
        <v>708</v>
      </c>
      <c r="M5707">
        <v>6737.26</v>
      </c>
      <c r="N5707">
        <v>5500</v>
      </c>
      <c r="O5707">
        <v>0</v>
      </c>
      <c r="P5707">
        <v>70000</v>
      </c>
    </row>
    <row r="5708" spans="1:16" x14ac:dyDescent="0.3">
      <c r="A5708" t="s">
        <v>33</v>
      </c>
      <c r="B5708" t="s">
        <v>365</v>
      </c>
      <c r="C5708">
        <v>139</v>
      </c>
      <c r="D5708">
        <v>17379.310000000001</v>
      </c>
      <c r="E5708">
        <v>17000</v>
      </c>
      <c r="F5708">
        <v>0</v>
      </c>
      <c r="G5708">
        <v>70000</v>
      </c>
      <c r="J5708" t="s">
        <v>33</v>
      </c>
      <c r="K5708" t="s">
        <v>365</v>
      </c>
      <c r="L5708">
        <v>139</v>
      </c>
      <c r="M5708">
        <v>5807.79</v>
      </c>
      <c r="N5708">
        <v>5500</v>
      </c>
      <c r="O5708">
        <v>0</v>
      </c>
      <c r="P5708">
        <v>21500</v>
      </c>
    </row>
    <row r="5709" spans="1:16" x14ac:dyDescent="0.3">
      <c r="A5709" t="s">
        <v>49</v>
      </c>
      <c r="B5709" t="s">
        <v>389</v>
      </c>
      <c r="C5709">
        <v>8499</v>
      </c>
      <c r="D5709">
        <v>13411.8</v>
      </c>
      <c r="E5709">
        <v>9500</v>
      </c>
      <c r="F5709">
        <v>0</v>
      </c>
      <c r="G5709">
        <v>250000</v>
      </c>
      <c r="J5709" t="s">
        <v>49</v>
      </c>
      <c r="K5709" t="s">
        <v>389</v>
      </c>
      <c r="L5709">
        <v>8499</v>
      </c>
      <c r="M5709">
        <v>6013.99</v>
      </c>
      <c r="N5709">
        <v>4480</v>
      </c>
      <c r="O5709">
        <v>0</v>
      </c>
      <c r="P5709">
        <v>103200</v>
      </c>
    </row>
    <row r="5710" spans="1:16" x14ac:dyDescent="0.3">
      <c r="A5710" t="s">
        <v>49</v>
      </c>
      <c r="B5710" t="s">
        <v>390</v>
      </c>
      <c r="C5710">
        <v>4134</v>
      </c>
      <c r="D5710">
        <v>14691.94</v>
      </c>
      <c r="E5710">
        <v>11000</v>
      </c>
      <c r="F5710">
        <v>0</v>
      </c>
      <c r="G5710">
        <v>210000</v>
      </c>
      <c r="J5710" t="s">
        <v>49</v>
      </c>
      <c r="K5710" t="s">
        <v>390</v>
      </c>
      <c r="L5710">
        <v>4134</v>
      </c>
      <c r="M5710">
        <v>7231.43</v>
      </c>
      <c r="N5710">
        <v>5100</v>
      </c>
      <c r="O5710">
        <v>0</v>
      </c>
      <c r="P5710">
        <v>90000</v>
      </c>
    </row>
    <row r="5711" spans="1:16" x14ac:dyDescent="0.3">
      <c r="A5711" t="s">
        <v>49</v>
      </c>
      <c r="B5711" t="s">
        <v>365</v>
      </c>
      <c r="C5711">
        <v>689</v>
      </c>
      <c r="D5711">
        <v>18619.21</v>
      </c>
      <c r="E5711">
        <v>16000</v>
      </c>
      <c r="F5711">
        <v>0</v>
      </c>
      <c r="G5711">
        <v>105416</v>
      </c>
      <c r="J5711" t="s">
        <v>49</v>
      </c>
      <c r="K5711" t="s">
        <v>365</v>
      </c>
      <c r="L5711">
        <v>689</v>
      </c>
      <c r="M5711">
        <v>6216.49</v>
      </c>
      <c r="N5711">
        <v>5000</v>
      </c>
      <c r="O5711">
        <v>0</v>
      </c>
      <c r="P5711">
        <v>52708</v>
      </c>
    </row>
    <row r="5713" spans="1:16" x14ac:dyDescent="0.3">
      <c r="A5713" t="s">
        <v>1767</v>
      </c>
      <c r="J5713" t="s">
        <v>1768</v>
      </c>
    </row>
    <row r="5714" spans="1:16" x14ac:dyDescent="0.3">
      <c r="A5714" t="s">
        <v>44</v>
      </c>
      <c r="B5714" t="s">
        <v>235</v>
      </c>
      <c r="C5714" t="s">
        <v>32</v>
      </c>
      <c r="D5714" t="s">
        <v>45</v>
      </c>
      <c r="E5714" t="s">
        <v>46</v>
      </c>
      <c r="F5714" t="s">
        <v>47</v>
      </c>
      <c r="G5714" t="s">
        <v>48</v>
      </c>
      <c r="J5714" t="s">
        <v>44</v>
      </c>
      <c r="K5714" t="s">
        <v>235</v>
      </c>
      <c r="L5714" t="s">
        <v>32</v>
      </c>
      <c r="M5714" t="s">
        <v>45</v>
      </c>
      <c r="N5714" t="s">
        <v>46</v>
      </c>
      <c r="O5714" t="s">
        <v>47</v>
      </c>
      <c r="P5714" t="s">
        <v>48</v>
      </c>
    </row>
    <row r="5715" spans="1:16" x14ac:dyDescent="0.3">
      <c r="A5715" t="s">
        <v>35</v>
      </c>
      <c r="B5715" t="s">
        <v>236</v>
      </c>
      <c r="C5715">
        <v>1610</v>
      </c>
      <c r="D5715">
        <v>12563.5</v>
      </c>
      <c r="E5715">
        <v>8800</v>
      </c>
      <c r="F5715">
        <v>0</v>
      </c>
      <c r="G5715">
        <v>200000</v>
      </c>
      <c r="J5715" t="s">
        <v>35</v>
      </c>
      <c r="K5715" t="s">
        <v>236</v>
      </c>
      <c r="L5715">
        <v>1610</v>
      </c>
      <c r="M5715">
        <v>5619.99</v>
      </c>
      <c r="N5715">
        <v>4160</v>
      </c>
      <c r="O5715">
        <v>0</v>
      </c>
      <c r="P5715">
        <v>90000</v>
      </c>
    </row>
    <row r="5716" spans="1:16" x14ac:dyDescent="0.3">
      <c r="A5716" t="s">
        <v>35</v>
      </c>
      <c r="B5716" t="s">
        <v>238</v>
      </c>
      <c r="C5716">
        <v>1535</v>
      </c>
      <c r="D5716">
        <v>14962.27</v>
      </c>
      <c r="E5716">
        <v>10000</v>
      </c>
      <c r="F5716">
        <v>0</v>
      </c>
      <c r="G5716">
        <v>120000</v>
      </c>
      <c r="J5716" t="s">
        <v>35</v>
      </c>
      <c r="K5716" t="s">
        <v>238</v>
      </c>
      <c r="L5716">
        <v>1535</v>
      </c>
      <c r="M5716">
        <v>7374.83</v>
      </c>
      <c r="N5716">
        <v>5000</v>
      </c>
      <c r="O5716">
        <v>0</v>
      </c>
      <c r="P5716">
        <v>72000</v>
      </c>
    </row>
    <row r="5717" spans="1:16" x14ac:dyDescent="0.3">
      <c r="A5717" t="s">
        <v>37</v>
      </c>
      <c r="B5717" t="s">
        <v>236</v>
      </c>
      <c r="C5717">
        <v>2211</v>
      </c>
      <c r="D5717">
        <v>12529.4</v>
      </c>
      <c r="E5717">
        <v>9500</v>
      </c>
      <c r="F5717">
        <v>0</v>
      </c>
      <c r="G5717">
        <v>250000</v>
      </c>
      <c r="J5717" t="s">
        <v>37</v>
      </c>
      <c r="K5717" t="s">
        <v>236</v>
      </c>
      <c r="L5717">
        <v>2211</v>
      </c>
      <c r="M5717">
        <v>5166.3100000000004</v>
      </c>
      <c r="N5717">
        <v>4000</v>
      </c>
      <c r="O5717">
        <v>0</v>
      </c>
      <c r="P5717">
        <v>103200</v>
      </c>
    </row>
    <row r="5718" spans="1:16" x14ac:dyDescent="0.3">
      <c r="A5718" t="s">
        <v>37</v>
      </c>
      <c r="B5718" t="s">
        <v>238</v>
      </c>
      <c r="C5718">
        <v>1644</v>
      </c>
      <c r="D5718">
        <v>17267.59</v>
      </c>
      <c r="E5718">
        <v>14000</v>
      </c>
      <c r="F5718">
        <v>0</v>
      </c>
      <c r="G5718">
        <v>232500</v>
      </c>
      <c r="J5718" t="s">
        <v>37</v>
      </c>
      <c r="K5718" t="s">
        <v>238</v>
      </c>
      <c r="L5718">
        <v>1644</v>
      </c>
      <c r="M5718">
        <v>7636.04</v>
      </c>
      <c r="N5718">
        <v>6100</v>
      </c>
      <c r="O5718">
        <v>0</v>
      </c>
      <c r="P5718">
        <v>100000</v>
      </c>
    </row>
    <row r="5719" spans="1:16" x14ac:dyDescent="0.3">
      <c r="A5719" t="s">
        <v>36</v>
      </c>
      <c r="B5719" t="s">
        <v>236</v>
      </c>
      <c r="C5719">
        <v>1566</v>
      </c>
      <c r="D5719">
        <v>12699.7</v>
      </c>
      <c r="E5719">
        <v>8500</v>
      </c>
      <c r="F5719">
        <v>0</v>
      </c>
      <c r="G5719">
        <v>226000</v>
      </c>
      <c r="J5719" t="s">
        <v>36</v>
      </c>
      <c r="K5719" t="s">
        <v>236</v>
      </c>
      <c r="L5719">
        <v>1566</v>
      </c>
      <c r="M5719">
        <v>5503.54</v>
      </c>
      <c r="N5719">
        <v>3700</v>
      </c>
      <c r="O5719">
        <v>0</v>
      </c>
      <c r="P5719">
        <v>75333.33</v>
      </c>
    </row>
    <row r="5720" spans="1:16" x14ac:dyDescent="0.3">
      <c r="A5720" t="s">
        <v>36</v>
      </c>
      <c r="B5720" t="s">
        <v>238</v>
      </c>
      <c r="C5720">
        <v>739</v>
      </c>
      <c r="D5720">
        <v>15379.55</v>
      </c>
      <c r="E5720">
        <v>10200</v>
      </c>
      <c r="F5720">
        <v>0</v>
      </c>
      <c r="G5720">
        <v>202000</v>
      </c>
      <c r="J5720" t="s">
        <v>36</v>
      </c>
      <c r="K5720" t="s">
        <v>238</v>
      </c>
      <c r="L5720">
        <v>739</v>
      </c>
      <c r="M5720">
        <v>7399.56</v>
      </c>
      <c r="N5720">
        <v>4600</v>
      </c>
      <c r="O5720">
        <v>0</v>
      </c>
      <c r="P5720">
        <v>101000</v>
      </c>
    </row>
    <row r="5721" spans="1:16" x14ac:dyDescent="0.3">
      <c r="A5721" t="s">
        <v>34</v>
      </c>
      <c r="B5721" t="s">
        <v>236</v>
      </c>
      <c r="C5721">
        <v>717</v>
      </c>
      <c r="D5721">
        <v>10028.15</v>
      </c>
      <c r="E5721">
        <v>7000</v>
      </c>
      <c r="F5721">
        <v>0</v>
      </c>
      <c r="G5721">
        <v>75000</v>
      </c>
      <c r="J5721" t="s">
        <v>34</v>
      </c>
      <c r="K5721" t="s">
        <v>236</v>
      </c>
      <c r="L5721">
        <v>717</v>
      </c>
      <c r="M5721">
        <v>4394.07</v>
      </c>
      <c r="N5721">
        <v>3500</v>
      </c>
      <c r="O5721">
        <v>0</v>
      </c>
      <c r="P5721">
        <v>35000</v>
      </c>
    </row>
    <row r="5722" spans="1:16" x14ac:dyDescent="0.3">
      <c r="A5722" t="s">
        <v>34</v>
      </c>
      <c r="B5722" t="s">
        <v>238</v>
      </c>
      <c r="C5722">
        <v>1363</v>
      </c>
      <c r="D5722">
        <v>14711.66</v>
      </c>
      <c r="E5722">
        <v>10800</v>
      </c>
      <c r="F5722">
        <v>0</v>
      </c>
      <c r="G5722">
        <v>200000</v>
      </c>
      <c r="J5722" t="s">
        <v>34</v>
      </c>
      <c r="K5722" t="s">
        <v>238</v>
      </c>
      <c r="L5722">
        <v>1363</v>
      </c>
      <c r="M5722">
        <v>6828.83</v>
      </c>
      <c r="N5722">
        <v>4833.33</v>
      </c>
      <c r="O5722">
        <v>0</v>
      </c>
      <c r="P5722">
        <v>100000</v>
      </c>
    </row>
    <row r="5723" spans="1:16" x14ac:dyDescent="0.3">
      <c r="A5723" t="s">
        <v>33</v>
      </c>
      <c r="B5723" t="s">
        <v>236</v>
      </c>
      <c r="C5723">
        <v>1116</v>
      </c>
      <c r="D5723">
        <v>11561.49</v>
      </c>
      <c r="E5723">
        <v>9000</v>
      </c>
      <c r="F5723">
        <v>0</v>
      </c>
      <c r="G5723">
        <v>80800</v>
      </c>
      <c r="J5723" t="s">
        <v>33</v>
      </c>
      <c r="K5723" t="s">
        <v>236</v>
      </c>
      <c r="L5723">
        <v>1116</v>
      </c>
      <c r="M5723">
        <v>5101.91</v>
      </c>
      <c r="N5723">
        <v>4500</v>
      </c>
      <c r="O5723">
        <v>0</v>
      </c>
      <c r="P5723">
        <v>30000</v>
      </c>
    </row>
    <row r="5724" spans="1:16" x14ac:dyDescent="0.3">
      <c r="A5724" t="s">
        <v>33</v>
      </c>
      <c r="B5724" t="s">
        <v>238</v>
      </c>
      <c r="C5724">
        <v>821</v>
      </c>
      <c r="D5724">
        <v>16033.37</v>
      </c>
      <c r="E5724">
        <v>12000</v>
      </c>
      <c r="F5724">
        <v>0</v>
      </c>
      <c r="G5724">
        <v>210000</v>
      </c>
      <c r="J5724" t="s">
        <v>33</v>
      </c>
      <c r="K5724" t="s">
        <v>238</v>
      </c>
      <c r="L5724">
        <v>821</v>
      </c>
      <c r="M5724">
        <v>7161.63</v>
      </c>
      <c r="N5724">
        <v>6000</v>
      </c>
      <c r="O5724">
        <v>0</v>
      </c>
      <c r="P5724">
        <v>70000</v>
      </c>
    </row>
    <row r="5725" spans="1:16" x14ac:dyDescent="0.3">
      <c r="A5725" t="s">
        <v>49</v>
      </c>
      <c r="B5725" t="s">
        <v>236</v>
      </c>
      <c r="C5725">
        <v>7220</v>
      </c>
      <c r="D5725">
        <v>12025.46</v>
      </c>
      <c r="E5725">
        <v>8860</v>
      </c>
      <c r="F5725">
        <v>0</v>
      </c>
      <c r="G5725">
        <v>250000</v>
      </c>
      <c r="J5725" t="s">
        <v>49</v>
      </c>
      <c r="K5725" t="s">
        <v>236</v>
      </c>
      <c r="L5725">
        <v>7220</v>
      </c>
      <c r="M5725">
        <v>5170.8599999999997</v>
      </c>
      <c r="N5725">
        <v>4000</v>
      </c>
      <c r="O5725">
        <v>0</v>
      </c>
      <c r="P5725">
        <v>103200</v>
      </c>
    </row>
    <row r="5726" spans="1:16" x14ac:dyDescent="0.3">
      <c r="A5726" t="s">
        <v>49</v>
      </c>
      <c r="B5726" t="s">
        <v>238</v>
      </c>
      <c r="C5726">
        <v>6102</v>
      </c>
      <c r="D5726">
        <v>15564.36</v>
      </c>
      <c r="E5726">
        <v>11100</v>
      </c>
      <c r="F5726">
        <v>0</v>
      </c>
      <c r="G5726">
        <v>232500</v>
      </c>
      <c r="J5726" t="s">
        <v>49</v>
      </c>
      <c r="K5726" t="s">
        <v>238</v>
      </c>
      <c r="L5726">
        <v>6102</v>
      </c>
      <c r="M5726">
        <v>7281.41</v>
      </c>
      <c r="N5726">
        <v>5150</v>
      </c>
      <c r="O5726">
        <v>0</v>
      </c>
      <c r="P5726">
        <v>101000</v>
      </c>
    </row>
    <row r="5728" spans="1:16" x14ac:dyDescent="0.3">
      <c r="A5728" t="s">
        <v>1769</v>
      </c>
      <c r="J5728" t="s">
        <v>1770</v>
      </c>
    </row>
    <row r="5729" spans="1:16" x14ac:dyDescent="0.3">
      <c r="A5729" t="s">
        <v>44</v>
      </c>
      <c r="B5729" t="s">
        <v>1335</v>
      </c>
      <c r="C5729" t="s">
        <v>32</v>
      </c>
      <c r="D5729" t="s">
        <v>45</v>
      </c>
      <c r="E5729" t="s">
        <v>46</v>
      </c>
      <c r="F5729" t="s">
        <v>47</v>
      </c>
      <c r="G5729" t="s">
        <v>48</v>
      </c>
      <c r="J5729" t="s">
        <v>44</v>
      </c>
      <c r="K5729" t="s">
        <v>1335</v>
      </c>
      <c r="L5729" t="s">
        <v>32</v>
      </c>
      <c r="M5729" t="s">
        <v>45</v>
      </c>
      <c r="N5729" t="s">
        <v>46</v>
      </c>
      <c r="O5729" t="s">
        <v>47</v>
      </c>
      <c r="P5729" t="s">
        <v>48</v>
      </c>
    </row>
    <row r="5730" spans="1:16" x14ac:dyDescent="0.3">
      <c r="A5730" t="s">
        <v>35</v>
      </c>
      <c r="B5730" t="s">
        <v>1336</v>
      </c>
      <c r="C5730">
        <v>2094</v>
      </c>
      <c r="D5730">
        <v>16466.96</v>
      </c>
      <c r="E5730">
        <v>12000</v>
      </c>
      <c r="F5730">
        <v>0</v>
      </c>
      <c r="G5730">
        <v>200000</v>
      </c>
      <c r="J5730" t="s">
        <v>35</v>
      </c>
      <c r="K5730" t="s">
        <v>1336</v>
      </c>
      <c r="L5730">
        <v>2094</v>
      </c>
      <c r="M5730">
        <v>6404.2</v>
      </c>
      <c r="N5730">
        <v>4833.33</v>
      </c>
      <c r="O5730">
        <v>0</v>
      </c>
      <c r="P5730">
        <v>66666.67</v>
      </c>
    </row>
    <row r="5731" spans="1:16" x14ac:dyDescent="0.3">
      <c r="A5731" t="s">
        <v>35</v>
      </c>
      <c r="B5731" t="s">
        <v>1338</v>
      </c>
      <c r="C5731">
        <v>246</v>
      </c>
      <c r="D5731">
        <v>14961.23</v>
      </c>
      <c r="E5731">
        <v>12800</v>
      </c>
      <c r="F5731">
        <v>0</v>
      </c>
      <c r="G5731">
        <v>62000</v>
      </c>
      <c r="J5731" t="s">
        <v>35</v>
      </c>
      <c r="K5731" t="s">
        <v>1338</v>
      </c>
      <c r="L5731">
        <v>246</v>
      </c>
      <c r="M5731">
        <v>2803.43</v>
      </c>
      <c r="N5731">
        <v>2400</v>
      </c>
      <c r="O5731">
        <v>0</v>
      </c>
      <c r="P5731">
        <v>12400</v>
      </c>
    </row>
    <row r="5732" spans="1:16" x14ac:dyDescent="0.3">
      <c r="A5732" t="s">
        <v>35</v>
      </c>
      <c r="B5732" t="s">
        <v>1339</v>
      </c>
      <c r="C5732">
        <v>805</v>
      </c>
      <c r="D5732">
        <v>8858.66</v>
      </c>
      <c r="E5732">
        <v>5000</v>
      </c>
      <c r="F5732">
        <v>0</v>
      </c>
      <c r="G5732">
        <v>90000</v>
      </c>
      <c r="J5732" t="s">
        <v>35</v>
      </c>
      <c r="K5732" t="s">
        <v>1339</v>
      </c>
      <c r="L5732">
        <v>805</v>
      </c>
      <c r="M5732">
        <v>8858.66</v>
      </c>
      <c r="N5732">
        <v>5000</v>
      </c>
      <c r="O5732">
        <v>0</v>
      </c>
      <c r="P5732">
        <v>90000</v>
      </c>
    </row>
    <row r="5733" spans="1:16" x14ac:dyDescent="0.3">
      <c r="A5733" t="s">
        <v>37</v>
      </c>
      <c r="B5733" t="s">
        <v>1336</v>
      </c>
      <c r="C5733">
        <v>2494</v>
      </c>
      <c r="D5733">
        <v>16118.84</v>
      </c>
      <c r="E5733">
        <v>13000</v>
      </c>
      <c r="F5733">
        <v>0</v>
      </c>
      <c r="G5733">
        <v>232500</v>
      </c>
      <c r="J5733" t="s">
        <v>37</v>
      </c>
      <c r="K5733" t="s">
        <v>1336</v>
      </c>
      <c r="L5733">
        <v>2494</v>
      </c>
      <c r="M5733">
        <v>6197.3</v>
      </c>
      <c r="N5733">
        <v>5000</v>
      </c>
      <c r="O5733">
        <v>0</v>
      </c>
      <c r="P5733">
        <v>100000</v>
      </c>
    </row>
    <row r="5734" spans="1:16" x14ac:dyDescent="0.3">
      <c r="A5734" t="s">
        <v>37</v>
      </c>
      <c r="B5734" t="s">
        <v>1338</v>
      </c>
      <c r="C5734">
        <v>433</v>
      </c>
      <c r="D5734">
        <v>20466.09</v>
      </c>
      <c r="E5734">
        <v>18000</v>
      </c>
      <c r="F5734">
        <v>0</v>
      </c>
      <c r="G5734">
        <v>250000</v>
      </c>
      <c r="J5734" t="s">
        <v>37</v>
      </c>
      <c r="K5734" t="s">
        <v>1338</v>
      </c>
      <c r="L5734">
        <v>433</v>
      </c>
      <c r="M5734">
        <v>3723.37</v>
      </c>
      <c r="N5734">
        <v>3100</v>
      </c>
      <c r="O5734">
        <v>0</v>
      </c>
      <c r="P5734">
        <v>50000</v>
      </c>
    </row>
    <row r="5735" spans="1:16" x14ac:dyDescent="0.3">
      <c r="A5735" t="s">
        <v>37</v>
      </c>
      <c r="B5735" t="s">
        <v>1339</v>
      </c>
      <c r="C5735">
        <v>928</v>
      </c>
      <c r="D5735">
        <v>7538</v>
      </c>
      <c r="E5735">
        <v>5000</v>
      </c>
      <c r="F5735">
        <v>0</v>
      </c>
      <c r="G5735">
        <v>103200</v>
      </c>
      <c r="J5735" t="s">
        <v>37</v>
      </c>
      <c r="K5735" t="s">
        <v>1339</v>
      </c>
      <c r="L5735">
        <v>928</v>
      </c>
      <c r="M5735">
        <v>7538</v>
      </c>
      <c r="N5735">
        <v>5000</v>
      </c>
      <c r="O5735">
        <v>0</v>
      </c>
      <c r="P5735">
        <v>103200</v>
      </c>
    </row>
    <row r="5736" spans="1:16" x14ac:dyDescent="0.3">
      <c r="A5736" t="s">
        <v>36</v>
      </c>
      <c r="B5736" t="s">
        <v>1336</v>
      </c>
      <c r="C5736">
        <v>1515</v>
      </c>
      <c r="D5736">
        <v>15675.24</v>
      </c>
      <c r="E5736">
        <v>10200</v>
      </c>
      <c r="F5736">
        <v>0</v>
      </c>
      <c r="G5736">
        <v>226000</v>
      </c>
      <c r="J5736" t="s">
        <v>36</v>
      </c>
      <c r="K5736" t="s">
        <v>1336</v>
      </c>
      <c r="L5736">
        <v>1515</v>
      </c>
      <c r="M5736">
        <v>6223.42</v>
      </c>
      <c r="N5736">
        <v>4025</v>
      </c>
      <c r="O5736">
        <v>0</v>
      </c>
      <c r="P5736">
        <v>101000</v>
      </c>
    </row>
    <row r="5737" spans="1:16" x14ac:dyDescent="0.3">
      <c r="A5737" t="s">
        <v>36</v>
      </c>
      <c r="B5737" t="s">
        <v>1338</v>
      </c>
      <c r="C5737">
        <v>235</v>
      </c>
      <c r="D5737">
        <v>18264.43</v>
      </c>
      <c r="E5737">
        <v>15000</v>
      </c>
      <c r="F5737">
        <v>0</v>
      </c>
      <c r="G5737">
        <v>130000</v>
      </c>
      <c r="J5737" t="s">
        <v>36</v>
      </c>
      <c r="K5737" t="s">
        <v>1338</v>
      </c>
      <c r="L5737">
        <v>235</v>
      </c>
      <c r="M5737">
        <v>3183.31</v>
      </c>
      <c r="N5737">
        <v>2771.43</v>
      </c>
      <c r="O5737">
        <v>0</v>
      </c>
      <c r="P5737">
        <v>26000</v>
      </c>
    </row>
    <row r="5738" spans="1:16" x14ac:dyDescent="0.3">
      <c r="A5738" t="s">
        <v>36</v>
      </c>
      <c r="B5738" t="s">
        <v>1339</v>
      </c>
      <c r="C5738">
        <v>555</v>
      </c>
      <c r="D5738">
        <v>8958.61</v>
      </c>
      <c r="E5738">
        <v>6000</v>
      </c>
      <c r="F5738">
        <v>0</v>
      </c>
      <c r="G5738">
        <v>100000</v>
      </c>
      <c r="J5738" t="s">
        <v>36</v>
      </c>
      <c r="K5738" t="s">
        <v>1339</v>
      </c>
      <c r="L5738">
        <v>555</v>
      </c>
      <c r="M5738">
        <v>8958.61</v>
      </c>
      <c r="N5738">
        <v>6000</v>
      </c>
      <c r="O5738">
        <v>0</v>
      </c>
      <c r="P5738">
        <v>100000</v>
      </c>
    </row>
    <row r="5739" spans="1:16" x14ac:dyDescent="0.3">
      <c r="A5739" t="s">
        <v>34</v>
      </c>
      <c r="B5739" t="s">
        <v>1336</v>
      </c>
      <c r="C5739">
        <v>1346</v>
      </c>
      <c r="D5739">
        <v>14995.9</v>
      </c>
      <c r="E5739">
        <v>11700</v>
      </c>
      <c r="F5739">
        <v>0</v>
      </c>
      <c r="G5739">
        <v>200000</v>
      </c>
      <c r="J5739" t="s">
        <v>34</v>
      </c>
      <c r="K5739" t="s">
        <v>1336</v>
      </c>
      <c r="L5739">
        <v>1346</v>
      </c>
      <c r="M5739">
        <v>5858.55</v>
      </c>
      <c r="N5739">
        <v>4500</v>
      </c>
      <c r="O5739">
        <v>0</v>
      </c>
      <c r="P5739">
        <v>100000</v>
      </c>
    </row>
    <row r="5740" spans="1:16" x14ac:dyDescent="0.3">
      <c r="A5740" t="s">
        <v>34</v>
      </c>
      <c r="B5740" t="s">
        <v>1338</v>
      </c>
      <c r="C5740">
        <v>134</v>
      </c>
      <c r="D5740">
        <v>18985.919999999998</v>
      </c>
      <c r="E5740">
        <v>17000</v>
      </c>
      <c r="F5740">
        <v>0</v>
      </c>
      <c r="G5740">
        <v>75000</v>
      </c>
      <c r="J5740" t="s">
        <v>34</v>
      </c>
      <c r="K5740" t="s">
        <v>1338</v>
      </c>
      <c r="L5740">
        <v>134</v>
      </c>
      <c r="M5740">
        <v>3433.91</v>
      </c>
      <c r="N5740">
        <v>3000</v>
      </c>
      <c r="O5740">
        <v>0</v>
      </c>
      <c r="P5740">
        <v>13400</v>
      </c>
    </row>
    <row r="5741" spans="1:16" x14ac:dyDescent="0.3">
      <c r="A5741" t="s">
        <v>34</v>
      </c>
      <c r="B5741" t="s">
        <v>1339</v>
      </c>
      <c r="C5741">
        <v>600</v>
      </c>
      <c r="D5741">
        <v>7396.44</v>
      </c>
      <c r="E5741">
        <v>5000</v>
      </c>
      <c r="F5741">
        <v>0</v>
      </c>
      <c r="G5741">
        <v>80000</v>
      </c>
      <c r="J5741" t="s">
        <v>34</v>
      </c>
      <c r="K5741" t="s">
        <v>1339</v>
      </c>
      <c r="L5741">
        <v>600</v>
      </c>
      <c r="M5741">
        <v>7396.44</v>
      </c>
      <c r="N5741">
        <v>5000</v>
      </c>
      <c r="O5741">
        <v>0</v>
      </c>
      <c r="P5741">
        <v>80000</v>
      </c>
    </row>
    <row r="5742" spans="1:16" x14ac:dyDescent="0.3">
      <c r="A5742" t="s">
        <v>33</v>
      </c>
      <c r="B5742" t="s">
        <v>1336</v>
      </c>
      <c r="C5742">
        <v>1392</v>
      </c>
      <c r="D5742">
        <v>15991.63</v>
      </c>
      <c r="E5742">
        <v>13600</v>
      </c>
      <c r="F5742">
        <v>0</v>
      </c>
      <c r="G5742">
        <v>210000</v>
      </c>
      <c r="J5742" t="s">
        <v>33</v>
      </c>
      <c r="K5742" t="s">
        <v>1336</v>
      </c>
      <c r="L5742">
        <v>1392</v>
      </c>
      <c r="M5742">
        <v>6200.01</v>
      </c>
      <c r="N5742">
        <v>5400</v>
      </c>
      <c r="O5742">
        <v>0</v>
      </c>
      <c r="P5742">
        <v>70000</v>
      </c>
    </row>
    <row r="5743" spans="1:16" x14ac:dyDescent="0.3">
      <c r="A5743" t="s">
        <v>33</v>
      </c>
      <c r="B5743" t="s">
        <v>1338</v>
      </c>
      <c r="C5743">
        <v>88</v>
      </c>
      <c r="D5743">
        <v>18354.59</v>
      </c>
      <c r="E5743">
        <v>16000</v>
      </c>
      <c r="F5743">
        <v>0</v>
      </c>
      <c r="G5743">
        <v>80800</v>
      </c>
      <c r="J5743" t="s">
        <v>33</v>
      </c>
      <c r="K5743" t="s">
        <v>1338</v>
      </c>
      <c r="L5743">
        <v>88</v>
      </c>
      <c r="M5743">
        <v>3428.26</v>
      </c>
      <c r="N5743">
        <v>2920</v>
      </c>
      <c r="O5743">
        <v>0</v>
      </c>
      <c r="P5743">
        <v>16160</v>
      </c>
    </row>
    <row r="5744" spans="1:16" x14ac:dyDescent="0.3">
      <c r="A5744" t="s">
        <v>33</v>
      </c>
      <c r="B5744" t="s">
        <v>1339</v>
      </c>
      <c r="C5744">
        <v>457</v>
      </c>
      <c r="D5744">
        <v>6394.34</v>
      </c>
      <c r="E5744">
        <v>4700</v>
      </c>
      <c r="F5744">
        <v>0</v>
      </c>
      <c r="G5744">
        <v>50000</v>
      </c>
      <c r="J5744" t="s">
        <v>33</v>
      </c>
      <c r="K5744" t="s">
        <v>1339</v>
      </c>
      <c r="L5744">
        <v>457</v>
      </c>
      <c r="M5744">
        <v>6394.34</v>
      </c>
      <c r="N5744">
        <v>4700</v>
      </c>
      <c r="O5744">
        <v>0</v>
      </c>
      <c r="P5744">
        <v>50000</v>
      </c>
    </row>
    <row r="5745" spans="1:16" x14ac:dyDescent="0.3">
      <c r="A5745" t="s">
        <v>49</v>
      </c>
      <c r="B5745" t="s">
        <v>1336</v>
      </c>
      <c r="C5745">
        <v>8841</v>
      </c>
      <c r="D5745">
        <v>15949.17</v>
      </c>
      <c r="E5745">
        <v>12000</v>
      </c>
      <c r="F5745">
        <v>0</v>
      </c>
      <c r="G5745">
        <v>232500</v>
      </c>
      <c r="J5745" t="s">
        <v>49</v>
      </c>
      <c r="K5745" t="s">
        <v>1336</v>
      </c>
      <c r="L5745">
        <v>8841</v>
      </c>
      <c r="M5745">
        <v>6195.91</v>
      </c>
      <c r="N5745">
        <v>4993.67</v>
      </c>
      <c r="O5745">
        <v>0</v>
      </c>
      <c r="P5745">
        <v>101000</v>
      </c>
    </row>
    <row r="5746" spans="1:16" x14ac:dyDescent="0.3">
      <c r="A5746" t="s">
        <v>49</v>
      </c>
      <c r="B5746" t="s">
        <v>1338</v>
      </c>
      <c r="C5746">
        <v>1136</v>
      </c>
      <c r="D5746">
        <v>18509.66</v>
      </c>
      <c r="E5746">
        <v>16000</v>
      </c>
      <c r="F5746">
        <v>0</v>
      </c>
      <c r="G5746">
        <v>250000</v>
      </c>
      <c r="J5746" t="s">
        <v>49</v>
      </c>
      <c r="K5746" t="s">
        <v>1338</v>
      </c>
      <c r="L5746">
        <v>1136</v>
      </c>
      <c r="M5746">
        <v>3374.98</v>
      </c>
      <c r="N5746">
        <v>2966.67</v>
      </c>
      <c r="O5746">
        <v>0</v>
      </c>
      <c r="P5746">
        <v>50000</v>
      </c>
    </row>
    <row r="5747" spans="1:16" x14ac:dyDescent="0.3">
      <c r="A5747" t="s">
        <v>49</v>
      </c>
      <c r="B5747" t="s">
        <v>1339</v>
      </c>
      <c r="C5747">
        <v>3345</v>
      </c>
      <c r="D5747">
        <v>7877.3</v>
      </c>
      <c r="E5747">
        <v>5000</v>
      </c>
      <c r="F5747">
        <v>0</v>
      </c>
      <c r="G5747">
        <v>103200</v>
      </c>
      <c r="J5747" t="s">
        <v>49</v>
      </c>
      <c r="K5747" t="s">
        <v>1339</v>
      </c>
      <c r="L5747">
        <v>3345</v>
      </c>
      <c r="M5747">
        <v>7877.3</v>
      </c>
      <c r="N5747">
        <v>5000</v>
      </c>
      <c r="O5747">
        <v>0</v>
      </c>
      <c r="P5747">
        <v>103200</v>
      </c>
    </row>
    <row r="5749" spans="1:16" x14ac:dyDescent="0.3">
      <c r="A5749" t="s">
        <v>1771</v>
      </c>
      <c r="J5749" t="s">
        <v>1772</v>
      </c>
    </row>
    <row r="5750" spans="1:16" x14ac:dyDescent="0.3">
      <c r="A5750" t="s">
        <v>44</v>
      </c>
      <c r="B5750" t="s">
        <v>257</v>
      </c>
      <c r="C5750" t="s">
        <v>32</v>
      </c>
      <c r="D5750" t="s">
        <v>45</v>
      </c>
      <c r="E5750" t="s">
        <v>46</v>
      </c>
      <c r="F5750" t="s">
        <v>47</v>
      </c>
      <c r="G5750" t="s">
        <v>48</v>
      </c>
      <c r="J5750" t="s">
        <v>44</v>
      </c>
      <c r="K5750" t="s">
        <v>257</v>
      </c>
      <c r="L5750" t="s">
        <v>32</v>
      </c>
      <c r="M5750" t="s">
        <v>45</v>
      </c>
      <c r="N5750" t="s">
        <v>46</v>
      </c>
      <c r="O5750" t="s">
        <v>47</v>
      </c>
      <c r="P5750" t="s">
        <v>48</v>
      </c>
    </row>
    <row r="5751" spans="1:16" x14ac:dyDescent="0.3">
      <c r="A5751" t="s">
        <v>35</v>
      </c>
      <c r="B5751" t="s">
        <v>258</v>
      </c>
      <c r="C5751">
        <v>2873</v>
      </c>
      <c r="D5751">
        <v>14892.98</v>
      </c>
      <c r="E5751">
        <v>10000</v>
      </c>
      <c r="F5751">
        <v>0</v>
      </c>
      <c r="G5751">
        <v>200000</v>
      </c>
      <c r="J5751" t="s">
        <v>35</v>
      </c>
      <c r="K5751" t="s">
        <v>258</v>
      </c>
      <c r="L5751">
        <v>2873</v>
      </c>
      <c r="M5751">
        <v>7226.03</v>
      </c>
      <c r="N5751">
        <v>5000</v>
      </c>
      <c r="O5751">
        <v>0</v>
      </c>
      <c r="P5751">
        <v>90000</v>
      </c>
    </row>
    <row r="5752" spans="1:16" x14ac:dyDescent="0.3">
      <c r="A5752" t="s">
        <v>35</v>
      </c>
      <c r="B5752" t="s">
        <v>260</v>
      </c>
      <c r="C5752">
        <v>272</v>
      </c>
      <c r="D5752">
        <v>8750.75</v>
      </c>
      <c r="E5752">
        <v>6500</v>
      </c>
      <c r="F5752">
        <v>0</v>
      </c>
      <c r="G5752">
        <v>70000</v>
      </c>
      <c r="J5752" t="s">
        <v>35</v>
      </c>
      <c r="K5752" t="s">
        <v>260</v>
      </c>
      <c r="L5752">
        <v>272</v>
      </c>
      <c r="M5752">
        <v>3680.44</v>
      </c>
      <c r="N5752">
        <v>3000</v>
      </c>
      <c r="O5752">
        <v>0</v>
      </c>
      <c r="P5752">
        <v>35000</v>
      </c>
    </row>
    <row r="5753" spans="1:16" x14ac:dyDescent="0.3">
      <c r="A5753" t="s">
        <v>37</v>
      </c>
      <c r="B5753" t="s">
        <v>258</v>
      </c>
      <c r="C5753">
        <v>3855</v>
      </c>
      <c r="D5753">
        <v>14582.09</v>
      </c>
      <c r="E5753">
        <v>11000</v>
      </c>
      <c r="F5753">
        <v>0</v>
      </c>
      <c r="G5753">
        <v>250000</v>
      </c>
      <c r="J5753" t="s">
        <v>37</v>
      </c>
      <c r="K5753" t="s">
        <v>258</v>
      </c>
      <c r="L5753">
        <v>3855</v>
      </c>
      <c r="M5753">
        <v>6236.26</v>
      </c>
      <c r="N5753">
        <v>4750</v>
      </c>
      <c r="O5753">
        <v>0</v>
      </c>
      <c r="P5753">
        <v>103200</v>
      </c>
    </row>
    <row r="5754" spans="1:16" x14ac:dyDescent="0.3">
      <c r="A5754" t="s">
        <v>36</v>
      </c>
      <c r="B5754" t="s">
        <v>258</v>
      </c>
      <c r="C5754">
        <v>2100</v>
      </c>
      <c r="D5754">
        <v>14286.54</v>
      </c>
      <c r="E5754">
        <v>9910</v>
      </c>
      <c r="F5754">
        <v>0</v>
      </c>
      <c r="G5754">
        <v>226000</v>
      </c>
      <c r="J5754" t="s">
        <v>36</v>
      </c>
      <c r="K5754" t="s">
        <v>258</v>
      </c>
      <c r="L5754">
        <v>2100</v>
      </c>
      <c r="M5754">
        <v>6625.48</v>
      </c>
      <c r="N5754">
        <v>4200</v>
      </c>
      <c r="O5754">
        <v>0</v>
      </c>
      <c r="P5754">
        <v>101000</v>
      </c>
    </row>
    <row r="5755" spans="1:16" x14ac:dyDescent="0.3">
      <c r="A5755" t="s">
        <v>36</v>
      </c>
      <c r="B5755" t="s">
        <v>260</v>
      </c>
      <c r="C5755">
        <v>205</v>
      </c>
      <c r="D5755">
        <v>9993.43</v>
      </c>
      <c r="E5755">
        <v>7000</v>
      </c>
      <c r="F5755">
        <v>0</v>
      </c>
      <c r="G5755">
        <v>130000</v>
      </c>
      <c r="J5755" t="s">
        <v>36</v>
      </c>
      <c r="K5755" t="s">
        <v>260</v>
      </c>
      <c r="L5755">
        <v>205</v>
      </c>
      <c r="M5755">
        <v>3681.69</v>
      </c>
      <c r="N5755">
        <v>2850</v>
      </c>
      <c r="O5755">
        <v>0</v>
      </c>
      <c r="P5755">
        <v>40000</v>
      </c>
    </row>
    <row r="5756" spans="1:16" x14ac:dyDescent="0.3">
      <c r="A5756" t="s">
        <v>34</v>
      </c>
      <c r="B5756" t="s">
        <v>258</v>
      </c>
      <c r="C5756">
        <v>1221</v>
      </c>
      <c r="D5756">
        <v>16500.650000000001</v>
      </c>
      <c r="E5756">
        <v>12400</v>
      </c>
      <c r="F5756">
        <v>0</v>
      </c>
      <c r="G5756">
        <v>200000</v>
      </c>
      <c r="J5756" t="s">
        <v>34</v>
      </c>
      <c r="K5756" t="s">
        <v>258</v>
      </c>
      <c r="L5756">
        <v>1221</v>
      </c>
      <c r="M5756">
        <v>8397.44</v>
      </c>
      <c r="N5756">
        <v>6500</v>
      </c>
      <c r="O5756">
        <v>0</v>
      </c>
      <c r="P5756">
        <v>100000</v>
      </c>
    </row>
    <row r="5757" spans="1:16" x14ac:dyDescent="0.3">
      <c r="A5757" t="s">
        <v>34</v>
      </c>
      <c r="B5757" t="s">
        <v>260</v>
      </c>
      <c r="C5757">
        <v>859</v>
      </c>
      <c r="D5757">
        <v>11346.87</v>
      </c>
      <c r="E5757">
        <v>8900</v>
      </c>
      <c r="F5757">
        <v>0</v>
      </c>
      <c r="G5757">
        <v>150000</v>
      </c>
      <c r="J5757" t="s">
        <v>34</v>
      </c>
      <c r="K5757" t="s">
        <v>260</v>
      </c>
      <c r="L5757">
        <v>859</v>
      </c>
      <c r="M5757">
        <v>4695.1000000000004</v>
      </c>
      <c r="N5757">
        <v>3465</v>
      </c>
      <c r="O5757">
        <v>0</v>
      </c>
      <c r="P5757">
        <v>80000</v>
      </c>
    </row>
    <row r="5758" spans="1:16" x14ac:dyDescent="0.3">
      <c r="A5758" t="s">
        <v>33</v>
      </c>
      <c r="B5758" t="s">
        <v>258</v>
      </c>
      <c r="C5758">
        <v>1937</v>
      </c>
      <c r="D5758">
        <v>13766.5</v>
      </c>
      <c r="E5758">
        <v>10000</v>
      </c>
      <c r="F5758">
        <v>0</v>
      </c>
      <c r="G5758">
        <v>210000</v>
      </c>
      <c r="J5758" t="s">
        <v>33</v>
      </c>
      <c r="K5758" t="s">
        <v>258</v>
      </c>
      <c r="L5758">
        <v>1937</v>
      </c>
      <c r="M5758">
        <v>6117.52</v>
      </c>
      <c r="N5758">
        <v>5000</v>
      </c>
      <c r="O5758">
        <v>0</v>
      </c>
      <c r="P5758">
        <v>70000</v>
      </c>
    </row>
    <row r="5759" spans="1:16" x14ac:dyDescent="0.3">
      <c r="A5759" t="s">
        <v>49</v>
      </c>
      <c r="B5759" t="s">
        <v>258</v>
      </c>
      <c r="C5759">
        <v>11986</v>
      </c>
      <c r="D5759">
        <v>14653.69</v>
      </c>
      <c r="E5759">
        <v>10200</v>
      </c>
      <c r="F5759">
        <v>0</v>
      </c>
      <c r="G5759">
        <v>250000</v>
      </c>
      <c r="J5759" t="s">
        <v>49</v>
      </c>
      <c r="K5759" t="s">
        <v>258</v>
      </c>
      <c r="L5759">
        <v>11986</v>
      </c>
      <c r="M5759">
        <v>6732.09</v>
      </c>
      <c r="N5759">
        <v>5000</v>
      </c>
      <c r="O5759">
        <v>0</v>
      </c>
      <c r="P5759">
        <v>103200</v>
      </c>
    </row>
    <row r="5760" spans="1:16" x14ac:dyDescent="0.3">
      <c r="A5760" t="s">
        <v>49</v>
      </c>
      <c r="B5760" t="s">
        <v>260</v>
      </c>
      <c r="C5760">
        <v>1336</v>
      </c>
      <c r="D5760">
        <v>10814.58</v>
      </c>
      <c r="E5760">
        <v>8000</v>
      </c>
      <c r="F5760">
        <v>0</v>
      </c>
      <c r="G5760">
        <v>150000</v>
      </c>
      <c r="J5760" t="s">
        <v>49</v>
      </c>
      <c r="K5760" t="s">
        <v>260</v>
      </c>
      <c r="L5760">
        <v>1336</v>
      </c>
      <c r="M5760">
        <v>4484.68</v>
      </c>
      <c r="N5760">
        <v>3333.33</v>
      </c>
      <c r="O5760">
        <v>0</v>
      </c>
      <c r="P5760">
        <v>80000</v>
      </c>
    </row>
    <row r="5762" spans="1:16" x14ac:dyDescent="0.3">
      <c r="A5762" t="s">
        <v>1773</v>
      </c>
      <c r="J5762" t="s">
        <v>1774</v>
      </c>
    </row>
    <row r="5763" spans="1:16" x14ac:dyDescent="0.3">
      <c r="A5763" t="s">
        <v>44</v>
      </c>
      <c r="B5763" t="s">
        <v>879</v>
      </c>
      <c r="C5763" t="s">
        <v>32</v>
      </c>
      <c r="D5763" t="s">
        <v>45</v>
      </c>
      <c r="E5763" t="s">
        <v>46</v>
      </c>
      <c r="F5763" t="s">
        <v>47</v>
      </c>
      <c r="G5763" t="s">
        <v>48</v>
      </c>
      <c r="J5763" t="s">
        <v>44</v>
      </c>
      <c r="K5763" t="s">
        <v>879</v>
      </c>
      <c r="L5763" t="s">
        <v>32</v>
      </c>
      <c r="M5763" t="s">
        <v>45</v>
      </c>
      <c r="N5763" t="s">
        <v>46</v>
      </c>
      <c r="O5763" t="s">
        <v>47</v>
      </c>
      <c r="P5763" t="s">
        <v>48</v>
      </c>
    </row>
    <row r="5764" spans="1:16" x14ac:dyDescent="0.3">
      <c r="A5764" t="s">
        <v>35</v>
      </c>
      <c r="B5764" t="s">
        <v>880</v>
      </c>
      <c r="C5764">
        <v>596</v>
      </c>
      <c r="D5764">
        <v>20855.93</v>
      </c>
      <c r="E5764">
        <v>15000</v>
      </c>
      <c r="F5764">
        <v>0</v>
      </c>
      <c r="G5764">
        <v>90000</v>
      </c>
      <c r="J5764" t="s">
        <v>35</v>
      </c>
      <c r="K5764" t="s">
        <v>880</v>
      </c>
      <c r="L5764">
        <v>596</v>
      </c>
      <c r="M5764">
        <v>13188.78</v>
      </c>
      <c r="N5764">
        <v>10500</v>
      </c>
      <c r="O5764">
        <v>0</v>
      </c>
      <c r="P5764">
        <v>90000</v>
      </c>
    </row>
    <row r="5765" spans="1:16" x14ac:dyDescent="0.3">
      <c r="A5765" t="s">
        <v>35</v>
      </c>
      <c r="B5765" t="s">
        <v>881</v>
      </c>
      <c r="C5765">
        <v>1162</v>
      </c>
      <c r="D5765">
        <v>6471.43</v>
      </c>
      <c r="E5765">
        <v>5000</v>
      </c>
      <c r="F5765">
        <v>0</v>
      </c>
      <c r="G5765">
        <v>72000</v>
      </c>
      <c r="J5765" t="s">
        <v>35</v>
      </c>
      <c r="K5765" t="s">
        <v>881</v>
      </c>
      <c r="L5765">
        <v>1162</v>
      </c>
      <c r="M5765">
        <v>4279.4799999999996</v>
      </c>
      <c r="N5765">
        <v>3750</v>
      </c>
      <c r="O5765">
        <v>0</v>
      </c>
      <c r="P5765">
        <v>72000</v>
      </c>
    </row>
    <row r="5766" spans="1:16" x14ac:dyDescent="0.3">
      <c r="A5766" t="s">
        <v>35</v>
      </c>
      <c r="B5766" t="s">
        <v>882</v>
      </c>
      <c r="C5766">
        <v>1387</v>
      </c>
      <c r="D5766">
        <v>16041.84</v>
      </c>
      <c r="E5766">
        <v>12500</v>
      </c>
      <c r="F5766">
        <v>0</v>
      </c>
      <c r="G5766">
        <v>200000</v>
      </c>
      <c r="J5766" t="s">
        <v>35</v>
      </c>
      <c r="K5766" t="s">
        <v>882</v>
      </c>
      <c r="L5766">
        <v>1387</v>
      </c>
      <c r="M5766">
        <v>5196.82</v>
      </c>
      <c r="N5766">
        <v>4333.33</v>
      </c>
      <c r="O5766">
        <v>0</v>
      </c>
      <c r="P5766">
        <v>66666.67</v>
      </c>
    </row>
    <row r="5767" spans="1:16" x14ac:dyDescent="0.3">
      <c r="A5767" t="s">
        <v>37</v>
      </c>
      <c r="B5767" t="s">
        <v>880</v>
      </c>
      <c r="C5767">
        <v>671</v>
      </c>
      <c r="D5767">
        <v>18701.36</v>
      </c>
      <c r="E5767">
        <v>16000</v>
      </c>
      <c r="F5767">
        <v>0</v>
      </c>
      <c r="G5767">
        <v>100000</v>
      </c>
      <c r="J5767" t="s">
        <v>37</v>
      </c>
      <c r="K5767" t="s">
        <v>880</v>
      </c>
      <c r="L5767">
        <v>671</v>
      </c>
      <c r="M5767">
        <v>11517.44</v>
      </c>
      <c r="N5767">
        <v>10000</v>
      </c>
      <c r="O5767">
        <v>0</v>
      </c>
      <c r="P5767">
        <v>100000</v>
      </c>
    </row>
    <row r="5768" spans="1:16" x14ac:dyDescent="0.3">
      <c r="A5768" t="s">
        <v>37</v>
      </c>
      <c r="B5768" t="s">
        <v>881</v>
      </c>
      <c r="C5768">
        <v>1371</v>
      </c>
      <c r="D5768">
        <v>6807.45</v>
      </c>
      <c r="E5768">
        <v>5700</v>
      </c>
      <c r="F5768">
        <v>0</v>
      </c>
      <c r="G5768">
        <v>105416</v>
      </c>
      <c r="J5768" t="s">
        <v>37</v>
      </c>
      <c r="K5768" t="s">
        <v>881</v>
      </c>
      <c r="L5768">
        <v>1371</v>
      </c>
      <c r="M5768">
        <v>4272.3599999999997</v>
      </c>
      <c r="N5768">
        <v>3550</v>
      </c>
      <c r="O5768">
        <v>0</v>
      </c>
      <c r="P5768">
        <v>103200</v>
      </c>
    </row>
    <row r="5769" spans="1:16" x14ac:dyDescent="0.3">
      <c r="A5769" t="s">
        <v>37</v>
      </c>
      <c r="B5769" t="s">
        <v>882</v>
      </c>
      <c r="C5769">
        <v>1813</v>
      </c>
      <c r="D5769">
        <v>18897.400000000001</v>
      </c>
      <c r="E5769">
        <v>16000</v>
      </c>
      <c r="F5769">
        <v>0</v>
      </c>
      <c r="G5769">
        <v>250000</v>
      </c>
      <c r="J5769" t="s">
        <v>37</v>
      </c>
      <c r="K5769" t="s">
        <v>882</v>
      </c>
      <c r="L5769">
        <v>1813</v>
      </c>
      <c r="M5769">
        <v>5768.53</v>
      </c>
      <c r="N5769">
        <v>5000</v>
      </c>
      <c r="O5769">
        <v>0</v>
      </c>
      <c r="P5769">
        <v>100000</v>
      </c>
    </row>
    <row r="5770" spans="1:16" x14ac:dyDescent="0.3">
      <c r="A5770" t="s">
        <v>36</v>
      </c>
      <c r="B5770" t="s">
        <v>880</v>
      </c>
      <c r="C5770">
        <v>382</v>
      </c>
      <c r="D5770">
        <v>15978.19</v>
      </c>
      <c r="E5770">
        <v>12000</v>
      </c>
      <c r="F5770">
        <v>0</v>
      </c>
      <c r="G5770">
        <v>80000</v>
      </c>
      <c r="J5770" t="s">
        <v>36</v>
      </c>
      <c r="K5770" t="s">
        <v>880</v>
      </c>
      <c r="L5770">
        <v>382</v>
      </c>
      <c r="M5770">
        <v>10593.02</v>
      </c>
      <c r="N5770">
        <v>8700</v>
      </c>
      <c r="O5770">
        <v>0</v>
      </c>
      <c r="P5770">
        <v>74000</v>
      </c>
    </row>
    <row r="5771" spans="1:16" x14ac:dyDescent="0.3">
      <c r="A5771" t="s">
        <v>36</v>
      </c>
      <c r="B5771" t="s">
        <v>881</v>
      </c>
      <c r="C5771">
        <v>866</v>
      </c>
      <c r="D5771">
        <v>8548.86</v>
      </c>
      <c r="E5771">
        <v>6000</v>
      </c>
      <c r="F5771">
        <v>0</v>
      </c>
      <c r="G5771">
        <v>130000</v>
      </c>
      <c r="J5771" t="s">
        <v>36</v>
      </c>
      <c r="K5771" t="s">
        <v>881</v>
      </c>
      <c r="L5771">
        <v>866</v>
      </c>
      <c r="M5771">
        <v>5248.36</v>
      </c>
      <c r="N5771">
        <v>3500</v>
      </c>
      <c r="O5771">
        <v>0</v>
      </c>
      <c r="P5771">
        <v>100000</v>
      </c>
    </row>
    <row r="5772" spans="1:16" x14ac:dyDescent="0.3">
      <c r="A5772" t="s">
        <v>36</v>
      </c>
      <c r="B5772" t="s">
        <v>882</v>
      </c>
      <c r="C5772">
        <v>1057</v>
      </c>
      <c r="D5772">
        <v>17012.189999999999</v>
      </c>
      <c r="E5772">
        <v>12000</v>
      </c>
      <c r="F5772">
        <v>0</v>
      </c>
      <c r="G5772">
        <v>226000</v>
      </c>
      <c r="J5772" t="s">
        <v>36</v>
      </c>
      <c r="K5772" t="s">
        <v>882</v>
      </c>
      <c r="L5772">
        <v>1057</v>
      </c>
      <c r="M5772">
        <v>5499.34</v>
      </c>
      <c r="N5772">
        <v>3775</v>
      </c>
      <c r="O5772">
        <v>0</v>
      </c>
      <c r="P5772">
        <v>101000</v>
      </c>
    </row>
    <row r="5773" spans="1:16" x14ac:dyDescent="0.3">
      <c r="A5773" t="s">
        <v>34</v>
      </c>
      <c r="B5773" t="s">
        <v>880</v>
      </c>
      <c r="C5773">
        <v>351</v>
      </c>
      <c r="D5773">
        <v>18252.48</v>
      </c>
      <c r="E5773">
        <v>14000</v>
      </c>
      <c r="F5773">
        <v>0</v>
      </c>
      <c r="G5773">
        <v>200000</v>
      </c>
      <c r="J5773" t="s">
        <v>34</v>
      </c>
      <c r="K5773" t="s">
        <v>880</v>
      </c>
      <c r="L5773">
        <v>351</v>
      </c>
      <c r="M5773">
        <v>12338.43</v>
      </c>
      <c r="N5773">
        <v>10000</v>
      </c>
      <c r="O5773">
        <v>0</v>
      </c>
      <c r="P5773">
        <v>100000</v>
      </c>
    </row>
    <row r="5774" spans="1:16" x14ac:dyDescent="0.3">
      <c r="A5774" t="s">
        <v>34</v>
      </c>
      <c r="B5774" t="s">
        <v>881</v>
      </c>
      <c r="C5774">
        <v>861</v>
      </c>
      <c r="D5774">
        <v>7236.73</v>
      </c>
      <c r="E5774">
        <v>5600</v>
      </c>
      <c r="F5774">
        <v>0</v>
      </c>
      <c r="G5774">
        <v>50000</v>
      </c>
      <c r="J5774" t="s">
        <v>34</v>
      </c>
      <c r="K5774" t="s">
        <v>881</v>
      </c>
      <c r="L5774">
        <v>861</v>
      </c>
      <c r="M5774">
        <v>4087.41</v>
      </c>
      <c r="N5774">
        <v>3600</v>
      </c>
      <c r="O5774">
        <v>0</v>
      </c>
      <c r="P5774">
        <v>30000</v>
      </c>
    </row>
    <row r="5775" spans="1:16" x14ac:dyDescent="0.3">
      <c r="A5775" t="s">
        <v>34</v>
      </c>
      <c r="B5775" t="s">
        <v>882</v>
      </c>
      <c r="C5775">
        <v>868</v>
      </c>
      <c r="D5775">
        <v>16376.42</v>
      </c>
      <c r="E5775">
        <v>14000</v>
      </c>
      <c r="F5775">
        <v>0</v>
      </c>
      <c r="G5775">
        <v>150000</v>
      </c>
      <c r="J5775" t="s">
        <v>34</v>
      </c>
      <c r="K5775" t="s">
        <v>882</v>
      </c>
      <c r="L5775">
        <v>868</v>
      </c>
      <c r="M5775">
        <v>5236.57</v>
      </c>
      <c r="N5775">
        <v>4250</v>
      </c>
      <c r="O5775">
        <v>0</v>
      </c>
      <c r="P5775">
        <v>50000</v>
      </c>
    </row>
    <row r="5776" spans="1:16" x14ac:dyDescent="0.3">
      <c r="A5776" t="s">
        <v>33</v>
      </c>
      <c r="B5776" t="s">
        <v>880</v>
      </c>
      <c r="C5776">
        <v>426</v>
      </c>
      <c r="D5776">
        <v>16083.44</v>
      </c>
      <c r="E5776">
        <v>15000</v>
      </c>
      <c r="F5776">
        <v>0</v>
      </c>
      <c r="G5776">
        <v>70000</v>
      </c>
      <c r="J5776" t="s">
        <v>33</v>
      </c>
      <c r="K5776" t="s">
        <v>880</v>
      </c>
      <c r="L5776">
        <v>426</v>
      </c>
      <c r="M5776">
        <v>9359.5400000000009</v>
      </c>
      <c r="N5776">
        <v>8500</v>
      </c>
      <c r="O5776">
        <v>0</v>
      </c>
      <c r="P5776">
        <v>50000</v>
      </c>
    </row>
    <row r="5777" spans="1:134" x14ac:dyDescent="0.3">
      <c r="A5777" t="s">
        <v>33</v>
      </c>
      <c r="B5777" t="s">
        <v>881</v>
      </c>
      <c r="C5777">
        <v>682</v>
      </c>
      <c r="D5777">
        <v>6878.01</v>
      </c>
      <c r="E5777">
        <v>6000</v>
      </c>
      <c r="F5777">
        <v>0</v>
      </c>
      <c r="G5777">
        <v>40000</v>
      </c>
      <c r="J5777" t="s">
        <v>33</v>
      </c>
      <c r="K5777" t="s">
        <v>881</v>
      </c>
      <c r="L5777">
        <v>682</v>
      </c>
      <c r="M5777">
        <v>4259.91</v>
      </c>
      <c r="N5777">
        <v>4000</v>
      </c>
      <c r="O5777">
        <v>0</v>
      </c>
      <c r="P5777">
        <v>23000</v>
      </c>
    </row>
    <row r="5778" spans="1:134" x14ac:dyDescent="0.3">
      <c r="A5778" t="s">
        <v>33</v>
      </c>
      <c r="B5778" t="s">
        <v>882</v>
      </c>
      <c r="C5778">
        <v>829</v>
      </c>
      <c r="D5778">
        <v>18237.55</v>
      </c>
      <c r="E5778">
        <v>15900</v>
      </c>
      <c r="F5778">
        <v>0</v>
      </c>
      <c r="G5778">
        <v>210000</v>
      </c>
      <c r="J5778" t="s">
        <v>33</v>
      </c>
      <c r="K5778" t="s">
        <v>882</v>
      </c>
      <c r="L5778">
        <v>829</v>
      </c>
      <c r="M5778">
        <v>5971.43</v>
      </c>
      <c r="N5778">
        <v>5440</v>
      </c>
      <c r="O5778">
        <v>0</v>
      </c>
      <c r="P5778">
        <v>70000</v>
      </c>
    </row>
    <row r="5779" spans="1:134" x14ac:dyDescent="0.3">
      <c r="A5779" t="s">
        <v>49</v>
      </c>
      <c r="B5779" t="s">
        <v>880</v>
      </c>
      <c r="C5779">
        <v>2426</v>
      </c>
      <c r="D5779">
        <v>18649.73</v>
      </c>
      <c r="E5779">
        <v>15000</v>
      </c>
      <c r="F5779">
        <v>0</v>
      </c>
      <c r="G5779">
        <v>200000</v>
      </c>
      <c r="J5779" t="s">
        <v>49</v>
      </c>
      <c r="K5779" t="s">
        <v>880</v>
      </c>
      <c r="L5779">
        <v>2426</v>
      </c>
      <c r="M5779">
        <v>11763.85</v>
      </c>
      <c r="N5779">
        <v>10000</v>
      </c>
      <c r="O5779">
        <v>0</v>
      </c>
      <c r="P5779">
        <v>100000</v>
      </c>
    </row>
    <row r="5780" spans="1:134" x14ac:dyDescent="0.3">
      <c r="A5780" t="s">
        <v>49</v>
      </c>
      <c r="B5780" t="s">
        <v>881</v>
      </c>
      <c r="C5780">
        <v>4942</v>
      </c>
      <c r="D5780">
        <v>6955.39</v>
      </c>
      <c r="E5780">
        <v>5500</v>
      </c>
      <c r="F5780">
        <v>0</v>
      </c>
      <c r="G5780">
        <v>130000</v>
      </c>
      <c r="J5780" t="s">
        <v>49</v>
      </c>
      <c r="K5780" t="s">
        <v>881</v>
      </c>
      <c r="L5780">
        <v>4942</v>
      </c>
      <c r="M5780">
        <v>4310.13</v>
      </c>
      <c r="N5780">
        <v>3700</v>
      </c>
      <c r="O5780">
        <v>0</v>
      </c>
      <c r="P5780">
        <v>103200</v>
      </c>
    </row>
    <row r="5781" spans="1:134" x14ac:dyDescent="0.3">
      <c r="A5781" t="s">
        <v>49</v>
      </c>
      <c r="B5781" t="s">
        <v>882</v>
      </c>
      <c r="C5781">
        <v>5954</v>
      </c>
      <c r="D5781">
        <v>17350.919999999998</v>
      </c>
      <c r="E5781">
        <v>14700</v>
      </c>
      <c r="F5781">
        <v>0</v>
      </c>
      <c r="G5781">
        <v>250000</v>
      </c>
      <c r="J5781" t="s">
        <v>49</v>
      </c>
      <c r="K5781" t="s">
        <v>882</v>
      </c>
      <c r="L5781">
        <v>5954</v>
      </c>
      <c r="M5781">
        <v>5513.49</v>
      </c>
      <c r="N5781">
        <v>4666.67</v>
      </c>
      <c r="O5781">
        <v>0</v>
      </c>
      <c r="P5781">
        <v>101000</v>
      </c>
    </row>
    <row r="5783" spans="1:134" x14ac:dyDescent="0.3">
      <c r="A5783" t="s">
        <v>1775</v>
      </c>
      <c r="BQ5783" t="s">
        <v>1776</v>
      </c>
    </row>
    <row r="5784" spans="1:134" x14ac:dyDescent="0.3">
      <c r="A5784" t="s">
        <v>44</v>
      </c>
      <c r="B5784" t="s">
        <v>1777</v>
      </c>
      <c r="C5784" t="s">
        <v>1778</v>
      </c>
      <c r="D5784" t="s">
        <v>1779</v>
      </c>
      <c r="E5784" t="s">
        <v>1780</v>
      </c>
      <c r="F5784" t="s">
        <v>1781</v>
      </c>
      <c r="G5784" t="s">
        <v>1782</v>
      </c>
      <c r="H5784" t="s">
        <v>1783</v>
      </c>
      <c r="I5784" t="s">
        <v>1784</v>
      </c>
      <c r="J5784" t="s">
        <v>1785</v>
      </c>
      <c r="K5784" t="s">
        <v>1786</v>
      </c>
      <c r="L5784" t="s">
        <v>1787</v>
      </c>
      <c r="M5784" t="s">
        <v>1788</v>
      </c>
      <c r="N5784" t="s">
        <v>1789</v>
      </c>
      <c r="O5784" t="s">
        <v>1790</v>
      </c>
      <c r="P5784" t="s">
        <v>1791</v>
      </c>
      <c r="Q5784" t="s">
        <v>1792</v>
      </c>
      <c r="R5784" t="s">
        <v>1793</v>
      </c>
      <c r="S5784" t="s">
        <v>1794</v>
      </c>
      <c r="T5784" t="s">
        <v>1795</v>
      </c>
      <c r="U5784" t="s">
        <v>1796</v>
      </c>
      <c r="V5784" t="s">
        <v>1797</v>
      </c>
      <c r="W5784" t="s">
        <v>1798</v>
      </c>
      <c r="X5784" t="s">
        <v>1799</v>
      </c>
      <c r="Y5784" t="s">
        <v>1800</v>
      </c>
      <c r="Z5784" t="s">
        <v>1801</v>
      </c>
      <c r="AA5784" t="s">
        <v>1802</v>
      </c>
      <c r="AB5784" t="s">
        <v>1803</v>
      </c>
      <c r="AC5784" t="s">
        <v>1804</v>
      </c>
      <c r="AD5784" t="s">
        <v>1805</v>
      </c>
      <c r="AE5784" t="s">
        <v>1806</v>
      </c>
      <c r="AF5784" t="s">
        <v>1807</v>
      </c>
      <c r="AG5784" t="s">
        <v>1808</v>
      </c>
      <c r="AH5784" t="s">
        <v>1809</v>
      </c>
      <c r="AI5784" t="s">
        <v>1810</v>
      </c>
      <c r="AJ5784" t="s">
        <v>1811</v>
      </c>
      <c r="AK5784" t="s">
        <v>1812</v>
      </c>
      <c r="AL5784" t="s">
        <v>1813</v>
      </c>
      <c r="AM5784" t="s">
        <v>1814</v>
      </c>
      <c r="AN5784" t="s">
        <v>1815</v>
      </c>
      <c r="AO5784" t="s">
        <v>1816</v>
      </c>
      <c r="AP5784" t="s">
        <v>1817</v>
      </c>
      <c r="AQ5784" t="s">
        <v>1818</v>
      </c>
      <c r="AR5784" t="s">
        <v>1819</v>
      </c>
      <c r="AS5784" t="s">
        <v>1820</v>
      </c>
      <c r="AT5784" t="s">
        <v>1821</v>
      </c>
      <c r="AU5784" t="s">
        <v>1822</v>
      </c>
      <c r="AV5784" t="s">
        <v>1823</v>
      </c>
      <c r="AW5784" t="s">
        <v>1824</v>
      </c>
      <c r="AX5784" t="s">
        <v>1825</v>
      </c>
      <c r="AY5784" t="s">
        <v>1826</v>
      </c>
      <c r="AZ5784" t="s">
        <v>1827</v>
      </c>
      <c r="BA5784" t="s">
        <v>1828</v>
      </c>
      <c r="BB5784" t="s">
        <v>1829</v>
      </c>
      <c r="BC5784" t="s">
        <v>1830</v>
      </c>
      <c r="BD5784" t="s">
        <v>1831</v>
      </c>
      <c r="BE5784" t="s">
        <v>1832</v>
      </c>
      <c r="BF5784" t="s">
        <v>1833</v>
      </c>
      <c r="BG5784" t="s">
        <v>1834</v>
      </c>
      <c r="BH5784" t="s">
        <v>1835</v>
      </c>
      <c r="BI5784" t="s">
        <v>1836</v>
      </c>
      <c r="BJ5784" t="s">
        <v>1837</v>
      </c>
      <c r="BK5784" t="s">
        <v>1838</v>
      </c>
      <c r="BL5784" t="s">
        <v>1839</v>
      </c>
      <c r="BM5784" t="s">
        <v>1840</v>
      </c>
      <c r="BN5784" t="s">
        <v>1841</v>
      </c>
      <c r="BQ5784" t="s">
        <v>44</v>
      </c>
      <c r="BR5784" t="s">
        <v>1842</v>
      </c>
      <c r="BS5784" t="s">
        <v>1843</v>
      </c>
      <c r="BT5784" t="s">
        <v>1844</v>
      </c>
      <c r="BU5784" t="s">
        <v>1845</v>
      </c>
      <c r="BV5784" t="s">
        <v>1846</v>
      </c>
      <c r="BW5784" t="s">
        <v>1847</v>
      </c>
      <c r="BX5784" t="s">
        <v>1848</v>
      </c>
      <c r="BY5784" t="s">
        <v>1849</v>
      </c>
      <c r="BZ5784" t="s">
        <v>1850</v>
      </c>
      <c r="CA5784" t="s">
        <v>1851</v>
      </c>
      <c r="CB5784" t="s">
        <v>1852</v>
      </c>
      <c r="CC5784" t="s">
        <v>1853</v>
      </c>
      <c r="CD5784" t="s">
        <v>1854</v>
      </c>
      <c r="CE5784" t="s">
        <v>1855</v>
      </c>
      <c r="CF5784" t="s">
        <v>1856</v>
      </c>
      <c r="CG5784" t="s">
        <v>1857</v>
      </c>
      <c r="CH5784" t="s">
        <v>1858</v>
      </c>
      <c r="CI5784" t="s">
        <v>1859</v>
      </c>
      <c r="CJ5784" t="s">
        <v>1860</v>
      </c>
      <c r="CK5784" t="s">
        <v>1861</v>
      </c>
      <c r="CL5784" t="s">
        <v>1862</v>
      </c>
      <c r="CM5784" t="s">
        <v>1863</v>
      </c>
      <c r="CN5784" t="s">
        <v>1864</v>
      </c>
      <c r="CO5784" t="s">
        <v>1865</v>
      </c>
      <c r="CP5784" t="s">
        <v>1866</v>
      </c>
      <c r="CQ5784" t="s">
        <v>1867</v>
      </c>
      <c r="CR5784" t="s">
        <v>1868</v>
      </c>
      <c r="CS5784" t="s">
        <v>1869</v>
      </c>
      <c r="CT5784" t="s">
        <v>1870</v>
      </c>
      <c r="CU5784" t="s">
        <v>1871</v>
      </c>
      <c r="CV5784" t="s">
        <v>1872</v>
      </c>
      <c r="CW5784" t="s">
        <v>1873</v>
      </c>
      <c r="CX5784" t="s">
        <v>1874</v>
      </c>
      <c r="CY5784" t="s">
        <v>1875</v>
      </c>
      <c r="CZ5784" t="s">
        <v>1876</v>
      </c>
      <c r="DA5784" t="s">
        <v>1877</v>
      </c>
      <c r="DB5784" t="s">
        <v>1878</v>
      </c>
      <c r="DC5784" t="s">
        <v>1879</v>
      </c>
      <c r="DD5784" t="s">
        <v>1880</v>
      </c>
      <c r="DE5784" t="s">
        <v>1881</v>
      </c>
      <c r="DF5784" t="s">
        <v>1882</v>
      </c>
      <c r="DG5784" t="s">
        <v>1883</v>
      </c>
      <c r="DH5784" t="s">
        <v>1884</v>
      </c>
      <c r="DI5784" t="s">
        <v>1885</v>
      </c>
      <c r="DJ5784" t="s">
        <v>1886</v>
      </c>
      <c r="DK5784" t="s">
        <v>1887</v>
      </c>
      <c r="DL5784" t="s">
        <v>1888</v>
      </c>
      <c r="DM5784" t="s">
        <v>1889</v>
      </c>
      <c r="DN5784" t="s">
        <v>1890</v>
      </c>
      <c r="DO5784" t="s">
        <v>1891</v>
      </c>
      <c r="DP5784" t="s">
        <v>1892</v>
      </c>
      <c r="DQ5784" t="s">
        <v>1893</v>
      </c>
      <c r="DR5784" t="s">
        <v>1894</v>
      </c>
      <c r="DS5784" t="s">
        <v>1895</v>
      </c>
      <c r="DT5784" t="s">
        <v>1896</v>
      </c>
      <c r="DU5784" t="s">
        <v>1897</v>
      </c>
      <c r="DV5784" t="s">
        <v>1898</v>
      </c>
      <c r="DW5784" t="s">
        <v>1899</v>
      </c>
      <c r="DX5784" t="s">
        <v>1900</v>
      </c>
      <c r="DY5784" t="s">
        <v>1901</v>
      </c>
      <c r="DZ5784" t="s">
        <v>1902</v>
      </c>
      <c r="EA5784" t="s">
        <v>1903</v>
      </c>
      <c r="EB5784" t="s">
        <v>1904</v>
      </c>
      <c r="EC5784" t="s">
        <v>1905</v>
      </c>
      <c r="ED5784" t="s">
        <v>1906</v>
      </c>
    </row>
    <row r="5785" spans="1:134" x14ac:dyDescent="0.3">
      <c r="A5785" t="s">
        <v>35</v>
      </c>
      <c r="B5785">
        <v>1210</v>
      </c>
      <c r="C5785">
        <v>21441.48</v>
      </c>
      <c r="D5785">
        <v>17500</v>
      </c>
      <c r="E5785">
        <v>1000</v>
      </c>
      <c r="F5785">
        <v>150000</v>
      </c>
      <c r="G5785">
        <v>166</v>
      </c>
      <c r="H5785">
        <v>9715.93</v>
      </c>
      <c r="I5785">
        <v>9000</v>
      </c>
      <c r="J5785">
        <v>500</v>
      </c>
      <c r="K5785">
        <v>30000</v>
      </c>
      <c r="L5785">
        <v>220</v>
      </c>
      <c r="M5785">
        <v>9909.66</v>
      </c>
      <c r="N5785">
        <v>8000</v>
      </c>
      <c r="O5785">
        <v>1000</v>
      </c>
      <c r="P5785">
        <v>52000</v>
      </c>
      <c r="Q5785">
        <v>141</v>
      </c>
      <c r="R5785">
        <v>18188.62</v>
      </c>
      <c r="S5785">
        <v>17000</v>
      </c>
      <c r="T5785">
        <v>500</v>
      </c>
      <c r="U5785">
        <v>200000</v>
      </c>
      <c r="V5785">
        <v>169</v>
      </c>
      <c r="W5785">
        <v>2799.16</v>
      </c>
      <c r="X5785">
        <v>1000</v>
      </c>
      <c r="Y5785">
        <v>330</v>
      </c>
      <c r="Z5785">
        <v>22000</v>
      </c>
      <c r="AA5785">
        <v>154</v>
      </c>
      <c r="AB5785">
        <v>7758.32</v>
      </c>
      <c r="AC5785">
        <v>5000</v>
      </c>
      <c r="AD5785">
        <v>300</v>
      </c>
      <c r="AE5785">
        <v>40000</v>
      </c>
      <c r="AF5785">
        <v>1481</v>
      </c>
      <c r="AG5785">
        <v>5836.92</v>
      </c>
      <c r="AH5785">
        <v>4700</v>
      </c>
      <c r="AI5785">
        <v>1100</v>
      </c>
      <c r="AJ5785">
        <v>78000</v>
      </c>
      <c r="AK5785">
        <v>7</v>
      </c>
      <c r="AL5785">
        <v>5880.03</v>
      </c>
      <c r="AM5785">
        <v>2000</v>
      </c>
      <c r="AN5785">
        <v>500</v>
      </c>
      <c r="AO5785">
        <v>70000</v>
      </c>
      <c r="AP5785">
        <v>54</v>
      </c>
      <c r="AQ5785">
        <v>6904.41</v>
      </c>
      <c r="AR5785">
        <v>2000</v>
      </c>
      <c r="AS5785">
        <v>500</v>
      </c>
      <c r="AT5785">
        <v>70000</v>
      </c>
      <c r="AU5785">
        <v>27</v>
      </c>
      <c r="AV5785">
        <v>5036.04</v>
      </c>
      <c r="AW5785">
        <v>2200</v>
      </c>
      <c r="AX5785">
        <v>337</v>
      </c>
      <c r="AY5785">
        <v>33300</v>
      </c>
      <c r="AZ5785">
        <v>500</v>
      </c>
      <c r="BA5785">
        <v>3655.42</v>
      </c>
      <c r="BB5785">
        <v>2760</v>
      </c>
      <c r="BC5785">
        <v>600</v>
      </c>
      <c r="BD5785">
        <v>22000</v>
      </c>
      <c r="BE5785">
        <v>6</v>
      </c>
      <c r="BF5785">
        <v>1302.6199999999999</v>
      </c>
      <c r="BG5785">
        <v>500</v>
      </c>
      <c r="BH5785">
        <v>500</v>
      </c>
      <c r="BI5785">
        <v>8000</v>
      </c>
      <c r="BJ5785">
        <v>15</v>
      </c>
      <c r="BK5785">
        <v>6099.2</v>
      </c>
      <c r="BL5785">
        <v>1800</v>
      </c>
      <c r="BM5785">
        <v>370</v>
      </c>
      <c r="BN5785">
        <v>70000</v>
      </c>
      <c r="BQ5785" t="s">
        <v>35</v>
      </c>
      <c r="BR5785">
        <v>1210</v>
      </c>
      <c r="BS5785">
        <v>9732.9699999999993</v>
      </c>
      <c r="BT5785">
        <v>6666.67</v>
      </c>
      <c r="BU5785">
        <v>200</v>
      </c>
      <c r="BV5785">
        <v>90000</v>
      </c>
      <c r="BW5785">
        <v>166</v>
      </c>
      <c r="BX5785">
        <v>5516.57</v>
      </c>
      <c r="BY5785">
        <v>4000</v>
      </c>
      <c r="BZ5785">
        <v>300</v>
      </c>
      <c r="CA5785">
        <v>25000</v>
      </c>
      <c r="CB5785">
        <v>220</v>
      </c>
      <c r="CC5785">
        <v>4947.2700000000004</v>
      </c>
      <c r="CD5785">
        <v>3333.33</v>
      </c>
      <c r="CE5785">
        <v>285.70999999999998</v>
      </c>
      <c r="CF5785">
        <v>52000</v>
      </c>
      <c r="CG5785">
        <v>141</v>
      </c>
      <c r="CH5785">
        <v>7712.48</v>
      </c>
      <c r="CI5785">
        <v>5000</v>
      </c>
      <c r="CJ5785">
        <v>125</v>
      </c>
      <c r="CK5785">
        <v>66666.67</v>
      </c>
      <c r="CL5785">
        <v>169</v>
      </c>
      <c r="CM5785">
        <v>1344.54</v>
      </c>
      <c r="CN5785">
        <v>666.67</v>
      </c>
      <c r="CO5785">
        <v>120</v>
      </c>
      <c r="CP5785">
        <v>11000</v>
      </c>
      <c r="CQ5785">
        <v>154</v>
      </c>
      <c r="CR5785">
        <v>4083.06</v>
      </c>
      <c r="CS5785">
        <v>3000</v>
      </c>
      <c r="CT5785">
        <v>100</v>
      </c>
      <c r="CU5785">
        <v>13333.33</v>
      </c>
      <c r="CV5785">
        <v>1481</v>
      </c>
      <c r="CW5785">
        <v>3399.05</v>
      </c>
      <c r="CX5785">
        <v>2850</v>
      </c>
      <c r="CY5785">
        <v>333.33</v>
      </c>
      <c r="CZ5785">
        <v>78000</v>
      </c>
      <c r="DA5785">
        <v>7</v>
      </c>
      <c r="DB5785">
        <v>3743.54</v>
      </c>
      <c r="DC5785">
        <v>1000</v>
      </c>
      <c r="DD5785">
        <v>214.29</v>
      </c>
      <c r="DE5785">
        <v>40000</v>
      </c>
      <c r="DF5785">
        <v>54</v>
      </c>
      <c r="DG5785">
        <v>2998.27</v>
      </c>
      <c r="DH5785">
        <v>1000</v>
      </c>
      <c r="DI5785">
        <v>200</v>
      </c>
      <c r="DJ5785">
        <v>23333.33</v>
      </c>
      <c r="DK5785">
        <v>27</v>
      </c>
      <c r="DL5785">
        <v>1694.96</v>
      </c>
      <c r="DM5785">
        <v>1100</v>
      </c>
      <c r="DN5785">
        <v>337</v>
      </c>
      <c r="DO5785">
        <v>6660</v>
      </c>
      <c r="DP5785">
        <v>500</v>
      </c>
      <c r="DQ5785">
        <v>1654.41</v>
      </c>
      <c r="DR5785">
        <v>1366.67</v>
      </c>
      <c r="DS5785">
        <v>107.5</v>
      </c>
      <c r="DT5785">
        <v>12000</v>
      </c>
      <c r="DU5785">
        <v>6</v>
      </c>
      <c r="DV5785">
        <v>802.46</v>
      </c>
      <c r="DW5785">
        <v>500</v>
      </c>
      <c r="DX5785">
        <v>500</v>
      </c>
      <c r="DY5785">
        <v>4000</v>
      </c>
      <c r="DZ5785">
        <v>15</v>
      </c>
      <c r="EA5785">
        <v>3830.63</v>
      </c>
      <c r="EB5785">
        <v>750</v>
      </c>
      <c r="EC5785">
        <v>185</v>
      </c>
      <c r="ED5785">
        <v>32000</v>
      </c>
    </row>
    <row r="5786" spans="1:134" x14ac:dyDescent="0.3">
      <c r="A5786" t="s">
        <v>37</v>
      </c>
      <c r="B5786">
        <v>1702</v>
      </c>
      <c r="C5786">
        <v>16941.060000000001</v>
      </c>
      <c r="D5786">
        <v>14000</v>
      </c>
      <c r="E5786">
        <v>3000</v>
      </c>
      <c r="F5786">
        <v>250000</v>
      </c>
      <c r="G5786">
        <v>251</v>
      </c>
      <c r="H5786">
        <v>9081.43</v>
      </c>
      <c r="I5786">
        <v>8000</v>
      </c>
      <c r="J5786">
        <v>1000</v>
      </c>
      <c r="K5786">
        <v>60000</v>
      </c>
      <c r="L5786">
        <v>388</v>
      </c>
      <c r="M5786">
        <v>9843.68</v>
      </c>
      <c r="N5786">
        <v>8000</v>
      </c>
      <c r="O5786">
        <v>1200</v>
      </c>
      <c r="P5786">
        <v>50000</v>
      </c>
      <c r="Q5786">
        <v>226</v>
      </c>
      <c r="R5786">
        <v>21075.75</v>
      </c>
      <c r="S5786">
        <v>13000</v>
      </c>
      <c r="T5786">
        <v>850</v>
      </c>
      <c r="U5786">
        <v>200000</v>
      </c>
      <c r="V5786">
        <v>243</v>
      </c>
      <c r="W5786">
        <v>2055.1999999999998</v>
      </c>
      <c r="X5786">
        <v>1000</v>
      </c>
      <c r="Y5786">
        <v>334</v>
      </c>
      <c r="Z5786">
        <v>15000</v>
      </c>
      <c r="AA5786">
        <v>307</v>
      </c>
      <c r="AB5786">
        <v>7583.78</v>
      </c>
      <c r="AC5786">
        <v>5000</v>
      </c>
      <c r="AD5786">
        <v>300</v>
      </c>
      <c r="AE5786">
        <v>80000</v>
      </c>
      <c r="AF5786">
        <v>1910</v>
      </c>
      <c r="AG5786">
        <v>4996.55</v>
      </c>
      <c r="AH5786">
        <v>4000</v>
      </c>
      <c r="AI5786">
        <v>1200</v>
      </c>
      <c r="AJ5786">
        <v>74000</v>
      </c>
      <c r="AK5786">
        <v>2</v>
      </c>
      <c r="AL5786">
        <v>4000</v>
      </c>
      <c r="AM5786">
        <v>4000</v>
      </c>
      <c r="AN5786">
        <v>4000</v>
      </c>
      <c r="AO5786">
        <v>4000</v>
      </c>
      <c r="AP5786">
        <v>71</v>
      </c>
      <c r="AQ5786">
        <v>9900.3700000000008</v>
      </c>
      <c r="AR5786">
        <v>4000</v>
      </c>
      <c r="AS5786">
        <v>500</v>
      </c>
      <c r="AT5786">
        <v>200000</v>
      </c>
      <c r="AU5786">
        <v>13</v>
      </c>
      <c r="AV5786">
        <v>6146.65</v>
      </c>
      <c r="AW5786">
        <v>5000</v>
      </c>
      <c r="AX5786">
        <v>1000</v>
      </c>
      <c r="AY5786">
        <v>13260</v>
      </c>
      <c r="AZ5786">
        <v>691</v>
      </c>
      <c r="BA5786">
        <v>3814.5</v>
      </c>
      <c r="BB5786">
        <v>2700</v>
      </c>
      <c r="BC5786">
        <v>690</v>
      </c>
      <c r="BD5786">
        <v>42000</v>
      </c>
      <c r="BE5786">
        <v>4</v>
      </c>
      <c r="BF5786">
        <v>4377.1099999999997</v>
      </c>
      <c r="BG5786">
        <v>5000</v>
      </c>
      <c r="BH5786">
        <v>2000</v>
      </c>
      <c r="BI5786">
        <v>7000</v>
      </c>
      <c r="BJ5786">
        <v>7</v>
      </c>
      <c r="BK5786">
        <v>9292.93</v>
      </c>
      <c r="BL5786">
        <v>2800</v>
      </c>
      <c r="BM5786">
        <v>800</v>
      </c>
      <c r="BN5786">
        <v>56000</v>
      </c>
      <c r="BQ5786" t="s">
        <v>37</v>
      </c>
      <c r="BR5786">
        <v>1702</v>
      </c>
      <c r="BS5786">
        <v>6461.51</v>
      </c>
      <c r="BT5786">
        <v>5000</v>
      </c>
      <c r="BU5786">
        <v>428.57</v>
      </c>
      <c r="BV5786">
        <v>100000</v>
      </c>
      <c r="BW5786">
        <v>251</v>
      </c>
      <c r="BX5786">
        <v>4058.4</v>
      </c>
      <c r="BY5786">
        <v>3000</v>
      </c>
      <c r="BZ5786">
        <v>333.33</v>
      </c>
      <c r="CA5786">
        <v>29000</v>
      </c>
      <c r="CB5786">
        <v>388</v>
      </c>
      <c r="CC5786">
        <v>4082.45</v>
      </c>
      <c r="CD5786">
        <v>3000</v>
      </c>
      <c r="CE5786">
        <v>400</v>
      </c>
      <c r="CF5786">
        <v>30000</v>
      </c>
      <c r="CG5786">
        <v>226</v>
      </c>
      <c r="CH5786">
        <v>8811.25</v>
      </c>
      <c r="CI5786">
        <v>5000</v>
      </c>
      <c r="CJ5786">
        <v>166.67</v>
      </c>
      <c r="CK5786">
        <v>100000</v>
      </c>
      <c r="CL5786">
        <v>243</v>
      </c>
      <c r="CM5786">
        <v>1143.28</v>
      </c>
      <c r="CN5786">
        <v>666.67</v>
      </c>
      <c r="CO5786">
        <v>80</v>
      </c>
      <c r="CP5786">
        <v>11000</v>
      </c>
      <c r="CQ5786">
        <v>307</v>
      </c>
      <c r="CR5786">
        <v>3945.41</v>
      </c>
      <c r="CS5786">
        <v>3000</v>
      </c>
      <c r="CT5786">
        <v>75</v>
      </c>
      <c r="CU5786">
        <v>40000</v>
      </c>
      <c r="CV5786">
        <v>1910</v>
      </c>
      <c r="CW5786">
        <v>2650.64</v>
      </c>
      <c r="CX5786">
        <v>2585</v>
      </c>
      <c r="CY5786">
        <v>300</v>
      </c>
      <c r="CZ5786">
        <v>37000</v>
      </c>
      <c r="DA5786">
        <v>2</v>
      </c>
      <c r="DB5786">
        <v>3562.77</v>
      </c>
      <c r="DC5786">
        <v>4000</v>
      </c>
      <c r="DD5786">
        <v>1333.33</v>
      </c>
      <c r="DE5786">
        <v>4000</v>
      </c>
      <c r="DF5786">
        <v>71</v>
      </c>
      <c r="DG5786">
        <v>5610.6</v>
      </c>
      <c r="DH5786">
        <v>3000</v>
      </c>
      <c r="DI5786">
        <v>150</v>
      </c>
      <c r="DJ5786">
        <v>100000</v>
      </c>
      <c r="DK5786">
        <v>13</v>
      </c>
      <c r="DL5786">
        <v>2808.71</v>
      </c>
      <c r="DM5786">
        <v>2000</v>
      </c>
      <c r="DN5786">
        <v>1000</v>
      </c>
      <c r="DO5786">
        <v>6630</v>
      </c>
      <c r="DP5786">
        <v>691</v>
      </c>
      <c r="DQ5786">
        <v>1532.02</v>
      </c>
      <c r="DR5786">
        <v>1250</v>
      </c>
      <c r="DS5786">
        <v>107.5</v>
      </c>
      <c r="DT5786">
        <v>21000</v>
      </c>
      <c r="DU5786">
        <v>4</v>
      </c>
      <c r="DV5786">
        <v>1295.8599999999999</v>
      </c>
      <c r="DW5786">
        <v>714.29</v>
      </c>
      <c r="DX5786">
        <v>500</v>
      </c>
      <c r="DY5786">
        <v>3500</v>
      </c>
      <c r="DZ5786">
        <v>7</v>
      </c>
      <c r="EA5786">
        <v>5714.08</v>
      </c>
      <c r="EB5786">
        <v>1000</v>
      </c>
      <c r="EC5786">
        <v>250</v>
      </c>
      <c r="ED5786">
        <v>20000</v>
      </c>
    </row>
    <row r="5787" spans="1:134" x14ac:dyDescent="0.3">
      <c r="A5787" t="s">
        <v>36</v>
      </c>
      <c r="B5787">
        <v>804</v>
      </c>
      <c r="C5787">
        <v>15539.89</v>
      </c>
      <c r="D5787">
        <v>10000</v>
      </c>
      <c r="E5787">
        <v>1100</v>
      </c>
      <c r="F5787">
        <v>180000</v>
      </c>
      <c r="G5787">
        <v>172</v>
      </c>
      <c r="H5787">
        <v>6532.47</v>
      </c>
      <c r="I5787">
        <v>5000</v>
      </c>
      <c r="J5787">
        <v>800</v>
      </c>
      <c r="K5787">
        <v>30000</v>
      </c>
      <c r="L5787">
        <v>337</v>
      </c>
      <c r="M5787">
        <v>9739.5499999999993</v>
      </c>
      <c r="N5787">
        <v>7000</v>
      </c>
      <c r="O5787">
        <v>1000</v>
      </c>
      <c r="P5787">
        <v>41000</v>
      </c>
      <c r="Q5787">
        <v>177</v>
      </c>
      <c r="R5787">
        <v>15705.2</v>
      </c>
      <c r="S5787">
        <v>10000</v>
      </c>
      <c r="T5787">
        <v>300</v>
      </c>
      <c r="U5787">
        <v>100000</v>
      </c>
      <c r="V5787">
        <v>104</v>
      </c>
      <c r="W5787">
        <v>3189.96</v>
      </c>
      <c r="X5787">
        <v>2000</v>
      </c>
      <c r="Y5787">
        <v>400</v>
      </c>
      <c r="Z5787">
        <v>50000</v>
      </c>
      <c r="AA5787">
        <v>164</v>
      </c>
      <c r="AB5787">
        <v>15588.07</v>
      </c>
      <c r="AC5787">
        <v>5000</v>
      </c>
      <c r="AD5787">
        <v>1000</v>
      </c>
      <c r="AE5787">
        <v>108000</v>
      </c>
      <c r="AF5787">
        <v>1041</v>
      </c>
      <c r="AG5787">
        <v>5447.69</v>
      </c>
      <c r="AH5787">
        <v>4200</v>
      </c>
      <c r="AI5787">
        <v>1250</v>
      </c>
      <c r="AJ5787">
        <v>22000</v>
      </c>
      <c r="AP5787">
        <v>30</v>
      </c>
      <c r="AQ5787">
        <v>6058.51</v>
      </c>
      <c r="AR5787">
        <v>5000</v>
      </c>
      <c r="AS5787">
        <v>500</v>
      </c>
      <c r="AT5787">
        <v>20000</v>
      </c>
      <c r="AU5787">
        <v>64</v>
      </c>
      <c r="AV5787">
        <v>4676.99</v>
      </c>
      <c r="AW5787">
        <v>4000</v>
      </c>
      <c r="AX5787">
        <v>300</v>
      </c>
      <c r="AY5787">
        <v>26600</v>
      </c>
      <c r="AZ5787">
        <v>497</v>
      </c>
      <c r="BA5787">
        <v>4302.13</v>
      </c>
      <c r="BB5787">
        <v>2885</v>
      </c>
      <c r="BC5787">
        <v>640</v>
      </c>
      <c r="BD5787">
        <v>90000</v>
      </c>
      <c r="BE5787">
        <v>10</v>
      </c>
      <c r="BF5787">
        <v>2785.27</v>
      </c>
      <c r="BG5787">
        <v>3000</v>
      </c>
      <c r="BH5787">
        <v>500</v>
      </c>
      <c r="BI5787">
        <v>6000</v>
      </c>
      <c r="BJ5787">
        <v>9</v>
      </c>
      <c r="BK5787">
        <v>45677.14</v>
      </c>
      <c r="BL5787">
        <v>3500</v>
      </c>
      <c r="BM5787">
        <v>500</v>
      </c>
      <c r="BN5787">
        <v>108000</v>
      </c>
      <c r="BQ5787" t="s">
        <v>36</v>
      </c>
      <c r="BR5787">
        <v>804</v>
      </c>
      <c r="BS5787">
        <v>6469.09</v>
      </c>
      <c r="BT5787">
        <v>4000</v>
      </c>
      <c r="BU5787">
        <v>275</v>
      </c>
      <c r="BV5787">
        <v>90000</v>
      </c>
      <c r="BW5787">
        <v>172</v>
      </c>
      <c r="BX5787">
        <v>3446.96</v>
      </c>
      <c r="BY5787">
        <v>2000</v>
      </c>
      <c r="BZ5787">
        <v>142.86000000000001</v>
      </c>
      <c r="CA5787">
        <v>20000</v>
      </c>
      <c r="CB5787">
        <v>337</v>
      </c>
      <c r="CC5787">
        <v>4519.3100000000004</v>
      </c>
      <c r="CD5787">
        <v>3000</v>
      </c>
      <c r="CE5787">
        <v>250</v>
      </c>
      <c r="CF5787">
        <v>23000</v>
      </c>
      <c r="CG5787">
        <v>177</v>
      </c>
      <c r="CH5787">
        <v>8189.45</v>
      </c>
      <c r="CI5787">
        <v>3000</v>
      </c>
      <c r="CJ5787">
        <v>100</v>
      </c>
      <c r="CK5787">
        <v>70000</v>
      </c>
      <c r="CL5787">
        <v>104</v>
      </c>
      <c r="CM5787">
        <v>1639.23</v>
      </c>
      <c r="CN5787">
        <v>1000</v>
      </c>
      <c r="CO5787">
        <v>100</v>
      </c>
      <c r="CP5787">
        <v>25000</v>
      </c>
      <c r="CQ5787">
        <v>164</v>
      </c>
      <c r="CR5787">
        <v>8379.4500000000007</v>
      </c>
      <c r="CS5787">
        <v>3333.33</v>
      </c>
      <c r="CT5787">
        <v>222.22</v>
      </c>
      <c r="CU5787">
        <v>100000</v>
      </c>
      <c r="CV5787">
        <v>1041</v>
      </c>
      <c r="CW5787">
        <v>2903.58</v>
      </c>
      <c r="CX5787">
        <v>2500</v>
      </c>
      <c r="CY5787">
        <v>275</v>
      </c>
      <c r="CZ5787">
        <v>16500</v>
      </c>
      <c r="DF5787">
        <v>30</v>
      </c>
      <c r="DG5787">
        <v>4553.84</v>
      </c>
      <c r="DH5787">
        <v>5000</v>
      </c>
      <c r="DI5787">
        <v>125</v>
      </c>
      <c r="DJ5787">
        <v>10000</v>
      </c>
      <c r="DK5787">
        <v>64</v>
      </c>
      <c r="DL5787">
        <v>2248.21</v>
      </c>
      <c r="DM5787">
        <v>1500</v>
      </c>
      <c r="DN5787">
        <v>150</v>
      </c>
      <c r="DO5787">
        <v>8000</v>
      </c>
      <c r="DP5787">
        <v>497</v>
      </c>
      <c r="DQ5787">
        <v>1600.09</v>
      </c>
      <c r="DR5787">
        <v>1563</v>
      </c>
      <c r="DS5787">
        <v>72.22</v>
      </c>
      <c r="DT5787">
        <v>18000</v>
      </c>
      <c r="DU5787">
        <v>10</v>
      </c>
      <c r="DV5787">
        <v>1433.77</v>
      </c>
      <c r="DW5787">
        <v>1500</v>
      </c>
      <c r="DX5787">
        <v>215</v>
      </c>
      <c r="DY5787">
        <v>3000</v>
      </c>
      <c r="DZ5787">
        <v>9</v>
      </c>
      <c r="EA5787">
        <v>15616.04</v>
      </c>
      <c r="EB5787">
        <v>3500</v>
      </c>
      <c r="EC5787">
        <v>250</v>
      </c>
      <c r="ED5787">
        <v>36000</v>
      </c>
    </row>
    <row r="5788" spans="1:134" x14ac:dyDescent="0.3">
      <c r="A5788" t="s">
        <v>34</v>
      </c>
      <c r="B5788">
        <v>755</v>
      </c>
      <c r="C5788">
        <v>15066.31</v>
      </c>
      <c r="D5788">
        <v>10000</v>
      </c>
      <c r="E5788">
        <v>860</v>
      </c>
      <c r="F5788">
        <v>122000</v>
      </c>
      <c r="G5788">
        <v>129</v>
      </c>
      <c r="H5788">
        <v>6028.2</v>
      </c>
      <c r="I5788">
        <v>5000</v>
      </c>
      <c r="J5788">
        <v>700</v>
      </c>
      <c r="K5788">
        <v>30000</v>
      </c>
      <c r="L5788">
        <v>228</v>
      </c>
      <c r="M5788">
        <v>10634.11</v>
      </c>
      <c r="N5788">
        <v>9000</v>
      </c>
      <c r="O5788">
        <v>900</v>
      </c>
      <c r="P5788">
        <v>60000</v>
      </c>
      <c r="Q5788">
        <v>89</v>
      </c>
      <c r="R5788">
        <v>19591.310000000001</v>
      </c>
      <c r="S5788">
        <v>8000</v>
      </c>
      <c r="T5788">
        <v>300</v>
      </c>
      <c r="U5788">
        <v>200000</v>
      </c>
      <c r="V5788">
        <v>49</v>
      </c>
      <c r="W5788">
        <v>2207.0500000000002</v>
      </c>
      <c r="X5788">
        <v>1800</v>
      </c>
      <c r="Y5788">
        <v>500</v>
      </c>
      <c r="Z5788">
        <v>18000</v>
      </c>
      <c r="AA5788">
        <v>136</v>
      </c>
      <c r="AB5788">
        <v>8374.1299999999992</v>
      </c>
      <c r="AC5788">
        <v>4000</v>
      </c>
      <c r="AD5788">
        <v>500</v>
      </c>
      <c r="AE5788">
        <v>50000</v>
      </c>
      <c r="AF5788">
        <v>1052</v>
      </c>
      <c r="AG5788">
        <v>5759.43</v>
      </c>
      <c r="AH5788">
        <v>4600</v>
      </c>
      <c r="AI5788">
        <v>1600</v>
      </c>
      <c r="AJ5788">
        <v>35000</v>
      </c>
      <c r="AK5788">
        <v>4</v>
      </c>
      <c r="AL5788">
        <v>5501.17</v>
      </c>
      <c r="AM5788">
        <v>7000</v>
      </c>
      <c r="AN5788">
        <v>2000</v>
      </c>
      <c r="AO5788">
        <v>7000</v>
      </c>
      <c r="AP5788">
        <v>55</v>
      </c>
      <c r="AQ5788">
        <v>4702.6899999999996</v>
      </c>
      <c r="AR5788">
        <v>4000</v>
      </c>
      <c r="AS5788">
        <v>500</v>
      </c>
      <c r="AT5788">
        <v>50000</v>
      </c>
      <c r="AU5788">
        <v>36</v>
      </c>
      <c r="AV5788">
        <v>7686.54</v>
      </c>
      <c r="AW5788">
        <v>6600</v>
      </c>
      <c r="AX5788">
        <v>800</v>
      </c>
      <c r="AY5788">
        <v>20000</v>
      </c>
      <c r="AZ5788">
        <v>449</v>
      </c>
      <c r="BA5788">
        <v>5534.67</v>
      </c>
      <c r="BB5788">
        <v>4300</v>
      </c>
      <c r="BC5788">
        <v>600</v>
      </c>
      <c r="BD5788">
        <v>30000</v>
      </c>
      <c r="BE5788">
        <v>2</v>
      </c>
      <c r="BF5788">
        <v>1000</v>
      </c>
      <c r="BG5788">
        <v>1000</v>
      </c>
      <c r="BH5788">
        <v>1000</v>
      </c>
      <c r="BI5788">
        <v>1000</v>
      </c>
      <c r="BJ5788">
        <v>10</v>
      </c>
      <c r="BK5788">
        <v>18585.060000000001</v>
      </c>
      <c r="BL5788">
        <v>3000</v>
      </c>
      <c r="BM5788">
        <v>1200</v>
      </c>
      <c r="BN5788">
        <v>50000</v>
      </c>
      <c r="BQ5788" t="s">
        <v>34</v>
      </c>
      <c r="BR5788">
        <v>755</v>
      </c>
      <c r="BS5788">
        <v>6641.83</v>
      </c>
      <c r="BT5788">
        <v>4666.67</v>
      </c>
      <c r="BU5788">
        <v>215</v>
      </c>
      <c r="BV5788">
        <v>50000</v>
      </c>
      <c r="BW5788">
        <v>129</v>
      </c>
      <c r="BX5788">
        <v>2637.31</v>
      </c>
      <c r="BY5788">
        <v>1500</v>
      </c>
      <c r="BZ5788">
        <v>250</v>
      </c>
      <c r="CA5788">
        <v>15000</v>
      </c>
      <c r="CB5788">
        <v>228</v>
      </c>
      <c r="CC5788">
        <v>4633.25</v>
      </c>
      <c r="CD5788">
        <v>4000</v>
      </c>
      <c r="CE5788">
        <v>250</v>
      </c>
      <c r="CF5788">
        <v>40000</v>
      </c>
      <c r="CG5788">
        <v>89</v>
      </c>
      <c r="CH5788">
        <v>9581.7999999999993</v>
      </c>
      <c r="CI5788">
        <v>3000</v>
      </c>
      <c r="CJ5788">
        <v>75</v>
      </c>
      <c r="CK5788">
        <v>100000</v>
      </c>
      <c r="CL5788">
        <v>49</v>
      </c>
      <c r="CM5788">
        <v>1430.12</v>
      </c>
      <c r="CN5788">
        <v>1000</v>
      </c>
      <c r="CO5788">
        <v>125</v>
      </c>
      <c r="CP5788">
        <v>10000</v>
      </c>
      <c r="CQ5788">
        <v>136</v>
      </c>
      <c r="CR5788">
        <v>4184.07</v>
      </c>
      <c r="CS5788">
        <v>2000</v>
      </c>
      <c r="CT5788">
        <v>214.29</v>
      </c>
      <c r="CU5788">
        <v>50000</v>
      </c>
      <c r="CV5788">
        <v>1052</v>
      </c>
      <c r="CW5788">
        <v>3121.08</v>
      </c>
      <c r="CX5788">
        <v>2800</v>
      </c>
      <c r="CY5788">
        <v>250</v>
      </c>
      <c r="CZ5788">
        <v>30000</v>
      </c>
      <c r="DA5788">
        <v>4</v>
      </c>
      <c r="DB5788">
        <v>2506.56</v>
      </c>
      <c r="DC5788">
        <v>1750</v>
      </c>
      <c r="DD5788">
        <v>1000</v>
      </c>
      <c r="DE5788">
        <v>7000</v>
      </c>
      <c r="DF5788">
        <v>55</v>
      </c>
      <c r="DG5788">
        <v>2306.25</v>
      </c>
      <c r="DH5788">
        <v>1666.67</v>
      </c>
      <c r="DI5788">
        <v>150</v>
      </c>
      <c r="DJ5788">
        <v>20000</v>
      </c>
      <c r="DK5788">
        <v>36</v>
      </c>
      <c r="DL5788">
        <v>3118.52</v>
      </c>
      <c r="DM5788">
        <v>2500</v>
      </c>
      <c r="DN5788">
        <v>400</v>
      </c>
      <c r="DO5788">
        <v>6600</v>
      </c>
      <c r="DP5788">
        <v>449</v>
      </c>
      <c r="DQ5788">
        <v>2071.0500000000002</v>
      </c>
      <c r="DR5788">
        <v>2000</v>
      </c>
      <c r="DS5788">
        <v>107.5</v>
      </c>
      <c r="DT5788">
        <v>25000</v>
      </c>
      <c r="DU5788">
        <v>2</v>
      </c>
      <c r="DV5788">
        <v>1000</v>
      </c>
      <c r="DW5788">
        <v>1000</v>
      </c>
      <c r="DX5788">
        <v>1000</v>
      </c>
      <c r="DY5788">
        <v>1000</v>
      </c>
      <c r="DZ5788">
        <v>10</v>
      </c>
      <c r="EA5788">
        <v>6013.73</v>
      </c>
      <c r="EB5788">
        <v>1500</v>
      </c>
      <c r="EC5788">
        <v>300</v>
      </c>
      <c r="ED5788">
        <v>16666.669999999998</v>
      </c>
    </row>
    <row r="5789" spans="1:134" x14ac:dyDescent="0.3">
      <c r="A5789" t="s">
        <v>33</v>
      </c>
      <c r="B5789">
        <v>910</v>
      </c>
      <c r="C5789">
        <v>16010.98</v>
      </c>
      <c r="D5789">
        <v>14000</v>
      </c>
      <c r="E5789">
        <v>3000</v>
      </c>
      <c r="F5789">
        <v>200000</v>
      </c>
      <c r="G5789">
        <v>74</v>
      </c>
      <c r="H5789">
        <v>8603.06</v>
      </c>
      <c r="I5789">
        <v>7000</v>
      </c>
      <c r="J5789">
        <v>2000</v>
      </c>
      <c r="K5789">
        <v>50000</v>
      </c>
      <c r="L5789">
        <v>133</v>
      </c>
      <c r="M5789">
        <v>8786.69</v>
      </c>
      <c r="N5789">
        <v>7000</v>
      </c>
      <c r="O5789">
        <v>1500</v>
      </c>
      <c r="P5789">
        <v>40000</v>
      </c>
      <c r="Q5789">
        <v>139</v>
      </c>
      <c r="R5789">
        <v>22389.79</v>
      </c>
      <c r="S5789">
        <v>20000</v>
      </c>
      <c r="T5789">
        <v>1000</v>
      </c>
      <c r="U5789">
        <v>100000</v>
      </c>
      <c r="V5789">
        <v>256</v>
      </c>
      <c r="W5789">
        <v>2954.64</v>
      </c>
      <c r="X5789">
        <v>2000</v>
      </c>
      <c r="Y5789">
        <v>500</v>
      </c>
      <c r="Z5789">
        <v>20000</v>
      </c>
      <c r="AA5789">
        <v>106</v>
      </c>
      <c r="AB5789">
        <v>8653.8799999999992</v>
      </c>
      <c r="AC5789">
        <v>5000</v>
      </c>
      <c r="AD5789">
        <v>500</v>
      </c>
      <c r="AE5789">
        <v>40000</v>
      </c>
      <c r="AF5789">
        <v>918</v>
      </c>
      <c r="AG5789">
        <v>5325.52</v>
      </c>
      <c r="AH5789">
        <v>4500</v>
      </c>
      <c r="AI5789">
        <v>1000</v>
      </c>
      <c r="AJ5789">
        <v>23000</v>
      </c>
      <c r="AP5789">
        <v>47</v>
      </c>
      <c r="AQ5789">
        <v>2659.35</v>
      </c>
      <c r="AR5789">
        <v>2000</v>
      </c>
      <c r="AS5789">
        <v>1000</v>
      </c>
      <c r="AT5789">
        <v>6000</v>
      </c>
      <c r="AU5789">
        <v>6</v>
      </c>
      <c r="AV5789">
        <v>10659.44</v>
      </c>
      <c r="AW5789">
        <v>2000</v>
      </c>
      <c r="AX5789">
        <v>400</v>
      </c>
      <c r="AY5789">
        <v>70000</v>
      </c>
      <c r="AZ5789">
        <v>236</v>
      </c>
      <c r="BA5789">
        <v>3877.11</v>
      </c>
      <c r="BB5789">
        <v>2700</v>
      </c>
      <c r="BC5789">
        <v>600</v>
      </c>
      <c r="BD5789">
        <v>26000</v>
      </c>
      <c r="BE5789">
        <v>1</v>
      </c>
      <c r="BF5789">
        <v>2000</v>
      </c>
      <c r="BG5789">
        <v>2000</v>
      </c>
      <c r="BH5789">
        <v>2000</v>
      </c>
      <c r="BI5789">
        <v>2000</v>
      </c>
      <c r="BQ5789" t="s">
        <v>33</v>
      </c>
      <c r="BR5789">
        <v>910</v>
      </c>
      <c r="BS5789">
        <v>6515.26</v>
      </c>
      <c r="BT5789">
        <v>5000</v>
      </c>
      <c r="BU5789">
        <v>800</v>
      </c>
      <c r="BV5789">
        <v>66666.67</v>
      </c>
      <c r="BW5789">
        <v>74</v>
      </c>
      <c r="BX5789">
        <v>3243.83</v>
      </c>
      <c r="BY5789">
        <v>2500</v>
      </c>
      <c r="BZ5789">
        <v>333.33</v>
      </c>
      <c r="CA5789">
        <v>12500</v>
      </c>
      <c r="CB5789">
        <v>133</v>
      </c>
      <c r="CC5789">
        <v>3943.52</v>
      </c>
      <c r="CD5789">
        <v>3000</v>
      </c>
      <c r="CE5789">
        <v>666.67</v>
      </c>
      <c r="CF5789">
        <v>20000</v>
      </c>
      <c r="CG5789">
        <v>139</v>
      </c>
      <c r="CH5789">
        <v>8939.39</v>
      </c>
      <c r="CI5789">
        <v>7000</v>
      </c>
      <c r="CJ5789">
        <v>500</v>
      </c>
      <c r="CK5789">
        <v>50000</v>
      </c>
      <c r="CL5789">
        <v>256</v>
      </c>
      <c r="CM5789">
        <v>1432.74</v>
      </c>
      <c r="CN5789">
        <v>1000</v>
      </c>
      <c r="CO5789">
        <v>200</v>
      </c>
      <c r="CP5789">
        <v>15000</v>
      </c>
      <c r="CQ5789">
        <v>106</v>
      </c>
      <c r="CR5789">
        <v>3905.49</v>
      </c>
      <c r="CS5789">
        <v>3000</v>
      </c>
      <c r="CT5789">
        <v>500</v>
      </c>
      <c r="CU5789">
        <v>15000</v>
      </c>
      <c r="CV5789">
        <v>918</v>
      </c>
      <c r="CW5789">
        <v>3158.18</v>
      </c>
      <c r="CX5789">
        <v>3100</v>
      </c>
      <c r="CY5789">
        <v>375</v>
      </c>
      <c r="CZ5789">
        <v>11500</v>
      </c>
      <c r="DF5789">
        <v>47</v>
      </c>
      <c r="DG5789">
        <v>1373.72</v>
      </c>
      <c r="DH5789">
        <v>1000</v>
      </c>
      <c r="DI5789">
        <v>500</v>
      </c>
      <c r="DJ5789">
        <v>3000</v>
      </c>
      <c r="DK5789">
        <v>6</v>
      </c>
      <c r="DL5789">
        <v>3035.49</v>
      </c>
      <c r="DM5789">
        <v>2000</v>
      </c>
      <c r="DN5789">
        <v>200</v>
      </c>
      <c r="DO5789">
        <v>14000</v>
      </c>
      <c r="DP5789">
        <v>236</v>
      </c>
      <c r="DQ5789">
        <v>1573.55</v>
      </c>
      <c r="DR5789">
        <v>1260</v>
      </c>
      <c r="DS5789">
        <v>114.29</v>
      </c>
      <c r="DT5789">
        <v>23000</v>
      </c>
      <c r="DU5789">
        <v>1</v>
      </c>
      <c r="DV5789">
        <v>2000</v>
      </c>
      <c r="DW5789">
        <v>2000</v>
      </c>
      <c r="DX5789">
        <v>2000</v>
      </c>
      <c r="DY5789">
        <v>2000</v>
      </c>
    </row>
    <row r="5790" spans="1:134" x14ac:dyDescent="0.3">
      <c r="A5790" t="s">
        <v>49</v>
      </c>
      <c r="B5790">
        <v>5381</v>
      </c>
      <c r="C5790">
        <v>17640.650000000001</v>
      </c>
      <c r="D5790">
        <v>14000</v>
      </c>
      <c r="E5790">
        <v>860</v>
      </c>
      <c r="F5790">
        <v>250000</v>
      </c>
      <c r="G5790">
        <v>792</v>
      </c>
      <c r="H5790">
        <v>8204.51</v>
      </c>
      <c r="I5790">
        <v>7000</v>
      </c>
      <c r="J5790">
        <v>500</v>
      </c>
      <c r="K5790">
        <v>60000</v>
      </c>
      <c r="L5790">
        <v>1306</v>
      </c>
      <c r="M5790">
        <v>9869.69</v>
      </c>
      <c r="N5790">
        <v>8000</v>
      </c>
      <c r="O5790">
        <v>900</v>
      </c>
      <c r="P5790">
        <v>60000</v>
      </c>
      <c r="Q5790">
        <v>772</v>
      </c>
      <c r="R5790">
        <v>19851.14</v>
      </c>
      <c r="S5790">
        <v>15000</v>
      </c>
      <c r="T5790">
        <v>300</v>
      </c>
      <c r="U5790">
        <v>200000</v>
      </c>
      <c r="V5790">
        <v>821</v>
      </c>
      <c r="W5790">
        <v>2564.5</v>
      </c>
      <c r="X5790">
        <v>1600</v>
      </c>
      <c r="Y5790">
        <v>330</v>
      </c>
      <c r="Z5790">
        <v>50000</v>
      </c>
      <c r="AA5790">
        <v>867</v>
      </c>
      <c r="AB5790">
        <v>8866.2000000000007</v>
      </c>
      <c r="AC5790">
        <v>5000</v>
      </c>
      <c r="AD5790">
        <v>300</v>
      </c>
      <c r="AE5790">
        <v>108000</v>
      </c>
      <c r="AF5790">
        <v>6402</v>
      </c>
      <c r="AG5790">
        <v>5446.67</v>
      </c>
      <c r="AH5790">
        <v>4400</v>
      </c>
      <c r="AI5790">
        <v>1000</v>
      </c>
      <c r="AJ5790">
        <v>78000</v>
      </c>
      <c r="AK5790">
        <v>13</v>
      </c>
      <c r="AL5790">
        <v>5567.7</v>
      </c>
      <c r="AM5790">
        <v>2000</v>
      </c>
      <c r="AN5790">
        <v>500</v>
      </c>
      <c r="AO5790">
        <v>70000</v>
      </c>
      <c r="AP5790">
        <v>257</v>
      </c>
      <c r="AQ5790">
        <v>6397.47</v>
      </c>
      <c r="AR5790">
        <v>3000</v>
      </c>
      <c r="AS5790">
        <v>500</v>
      </c>
      <c r="AT5790">
        <v>200000</v>
      </c>
      <c r="AU5790">
        <v>146</v>
      </c>
      <c r="AV5790">
        <v>6317.15</v>
      </c>
      <c r="AW5790">
        <v>5000</v>
      </c>
      <c r="AX5790">
        <v>300</v>
      </c>
      <c r="AY5790">
        <v>70000</v>
      </c>
      <c r="AZ5790">
        <v>2373</v>
      </c>
      <c r="BA5790">
        <v>4315.58</v>
      </c>
      <c r="BB5790">
        <v>3000</v>
      </c>
      <c r="BC5790">
        <v>600</v>
      </c>
      <c r="BD5790">
        <v>90000</v>
      </c>
      <c r="BE5790">
        <v>23</v>
      </c>
      <c r="BF5790">
        <v>2094.7600000000002</v>
      </c>
      <c r="BG5790">
        <v>1000</v>
      </c>
      <c r="BH5790">
        <v>500</v>
      </c>
      <c r="BI5790">
        <v>8000</v>
      </c>
      <c r="BJ5790">
        <v>41</v>
      </c>
      <c r="BK5790">
        <v>17352.16</v>
      </c>
      <c r="BL5790">
        <v>2800</v>
      </c>
      <c r="BM5790">
        <v>370</v>
      </c>
      <c r="BN5790">
        <v>108000</v>
      </c>
      <c r="BQ5790" t="s">
        <v>49</v>
      </c>
      <c r="BR5790">
        <v>5381</v>
      </c>
      <c r="BS5790">
        <v>7441.26</v>
      </c>
      <c r="BT5790">
        <v>5000</v>
      </c>
      <c r="BU5790">
        <v>200</v>
      </c>
      <c r="BV5790">
        <v>100000</v>
      </c>
      <c r="BW5790">
        <v>792</v>
      </c>
      <c r="BX5790">
        <v>3959.18</v>
      </c>
      <c r="BY5790">
        <v>2666.67</v>
      </c>
      <c r="BZ5790">
        <v>142.86000000000001</v>
      </c>
      <c r="CA5790">
        <v>29000</v>
      </c>
      <c r="CB5790">
        <v>1306</v>
      </c>
      <c r="CC5790">
        <v>4411.8900000000003</v>
      </c>
      <c r="CD5790">
        <v>3333.33</v>
      </c>
      <c r="CE5790">
        <v>250</v>
      </c>
      <c r="CF5790">
        <v>52000</v>
      </c>
      <c r="CG5790">
        <v>772</v>
      </c>
      <c r="CH5790">
        <v>8647.24</v>
      </c>
      <c r="CI5790">
        <v>5000</v>
      </c>
      <c r="CJ5790">
        <v>75</v>
      </c>
      <c r="CK5790">
        <v>100000</v>
      </c>
      <c r="CL5790">
        <v>821</v>
      </c>
      <c r="CM5790">
        <v>1325.74</v>
      </c>
      <c r="CN5790">
        <v>833</v>
      </c>
      <c r="CO5790">
        <v>80</v>
      </c>
      <c r="CP5790">
        <v>25000</v>
      </c>
      <c r="CQ5790">
        <v>867</v>
      </c>
      <c r="CR5790">
        <v>4539.34</v>
      </c>
      <c r="CS5790">
        <v>3000</v>
      </c>
      <c r="CT5790">
        <v>75</v>
      </c>
      <c r="CU5790">
        <v>100000</v>
      </c>
      <c r="CV5790">
        <v>6402</v>
      </c>
      <c r="CW5790">
        <v>3033.97</v>
      </c>
      <c r="CX5790">
        <v>2750</v>
      </c>
      <c r="CY5790">
        <v>250</v>
      </c>
      <c r="CZ5790">
        <v>78000</v>
      </c>
      <c r="DA5790">
        <v>13</v>
      </c>
      <c r="DB5790">
        <v>3437.58</v>
      </c>
      <c r="DC5790">
        <v>1000</v>
      </c>
      <c r="DD5790">
        <v>214.29</v>
      </c>
      <c r="DE5790">
        <v>40000</v>
      </c>
      <c r="DF5790">
        <v>257</v>
      </c>
      <c r="DG5790">
        <v>3366.86</v>
      </c>
      <c r="DH5790">
        <v>1666.67</v>
      </c>
      <c r="DI5790">
        <v>125</v>
      </c>
      <c r="DJ5790">
        <v>100000</v>
      </c>
      <c r="DK5790">
        <v>146</v>
      </c>
      <c r="DL5790">
        <v>2528.2600000000002</v>
      </c>
      <c r="DM5790">
        <v>2000</v>
      </c>
      <c r="DN5790">
        <v>150</v>
      </c>
      <c r="DO5790">
        <v>14000</v>
      </c>
      <c r="DP5790">
        <v>2373</v>
      </c>
      <c r="DQ5790">
        <v>1720.23</v>
      </c>
      <c r="DR5790">
        <v>1500</v>
      </c>
      <c r="DS5790">
        <v>72.22</v>
      </c>
      <c r="DT5790">
        <v>25000</v>
      </c>
      <c r="DU5790">
        <v>23</v>
      </c>
      <c r="DV5790">
        <v>1086.81</v>
      </c>
      <c r="DW5790">
        <v>714.29</v>
      </c>
      <c r="DX5790">
        <v>215</v>
      </c>
      <c r="DY5790">
        <v>4000</v>
      </c>
      <c r="DZ5790">
        <v>41</v>
      </c>
      <c r="EA5790">
        <v>6855.73</v>
      </c>
      <c r="EB5790">
        <v>1000</v>
      </c>
      <c r="EC5790">
        <v>185</v>
      </c>
      <c r="ED5790">
        <v>36000</v>
      </c>
    </row>
    <row r="5792" spans="1:134" x14ac:dyDescent="0.3">
      <c r="A5792" t="s">
        <v>1907</v>
      </c>
      <c r="BQ5792" t="s">
        <v>1908</v>
      </c>
    </row>
    <row r="5793" spans="1:135" x14ac:dyDescent="0.3">
      <c r="A5793" t="s">
        <v>44</v>
      </c>
      <c r="B5793" t="s">
        <v>235</v>
      </c>
      <c r="C5793" t="s">
        <v>1777</v>
      </c>
      <c r="D5793" t="s">
        <v>1778</v>
      </c>
      <c r="E5793" t="s">
        <v>1779</v>
      </c>
      <c r="F5793" t="s">
        <v>1780</v>
      </c>
      <c r="G5793" t="s">
        <v>1781</v>
      </c>
      <c r="H5793" t="s">
        <v>1782</v>
      </c>
      <c r="I5793" t="s">
        <v>1783</v>
      </c>
      <c r="J5793" t="s">
        <v>1784</v>
      </c>
      <c r="K5793" t="s">
        <v>1785</v>
      </c>
      <c r="L5793" t="s">
        <v>1786</v>
      </c>
      <c r="M5793" t="s">
        <v>1787</v>
      </c>
      <c r="N5793" t="s">
        <v>1788</v>
      </c>
      <c r="O5793" t="s">
        <v>1789</v>
      </c>
      <c r="P5793" t="s">
        <v>1790</v>
      </c>
      <c r="Q5793" t="s">
        <v>1791</v>
      </c>
      <c r="R5793" t="s">
        <v>1792</v>
      </c>
      <c r="S5793" t="s">
        <v>1793</v>
      </c>
      <c r="T5793" t="s">
        <v>1794</v>
      </c>
      <c r="U5793" t="s">
        <v>1795</v>
      </c>
      <c r="V5793" t="s">
        <v>1796</v>
      </c>
      <c r="W5793" t="s">
        <v>1797</v>
      </c>
      <c r="X5793" t="s">
        <v>1798</v>
      </c>
      <c r="Y5793" t="s">
        <v>1799</v>
      </c>
      <c r="Z5793" t="s">
        <v>1800</v>
      </c>
      <c r="AA5793" t="s">
        <v>1801</v>
      </c>
      <c r="AB5793" t="s">
        <v>1802</v>
      </c>
      <c r="AC5793" t="s">
        <v>1803</v>
      </c>
      <c r="AD5793" t="s">
        <v>1804</v>
      </c>
      <c r="AE5793" t="s">
        <v>1805</v>
      </c>
      <c r="AF5793" t="s">
        <v>1806</v>
      </c>
      <c r="AG5793" t="s">
        <v>1807</v>
      </c>
      <c r="AH5793" t="s">
        <v>1808</v>
      </c>
      <c r="AI5793" t="s">
        <v>1809</v>
      </c>
      <c r="AJ5793" t="s">
        <v>1810</v>
      </c>
      <c r="AK5793" t="s">
        <v>1811</v>
      </c>
      <c r="AL5793" t="s">
        <v>1812</v>
      </c>
      <c r="AM5793" t="s">
        <v>1813</v>
      </c>
      <c r="AN5793" t="s">
        <v>1814</v>
      </c>
      <c r="AO5793" t="s">
        <v>1815</v>
      </c>
      <c r="AP5793" t="s">
        <v>1816</v>
      </c>
      <c r="AQ5793" t="s">
        <v>1817</v>
      </c>
      <c r="AR5793" t="s">
        <v>1818</v>
      </c>
      <c r="AS5793" t="s">
        <v>1819</v>
      </c>
      <c r="AT5793" t="s">
        <v>1820</v>
      </c>
      <c r="AU5793" t="s">
        <v>1821</v>
      </c>
      <c r="AV5793" t="s">
        <v>1822</v>
      </c>
      <c r="AW5793" t="s">
        <v>1823</v>
      </c>
      <c r="AX5793" t="s">
        <v>1824</v>
      </c>
      <c r="AY5793" t="s">
        <v>1825</v>
      </c>
      <c r="AZ5793" t="s">
        <v>1826</v>
      </c>
      <c r="BA5793" t="s">
        <v>1827</v>
      </c>
      <c r="BB5793" t="s">
        <v>1828</v>
      </c>
      <c r="BC5793" t="s">
        <v>1829</v>
      </c>
      <c r="BD5793" t="s">
        <v>1830</v>
      </c>
      <c r="BE5793" t="s">
        <v>1831</v>
      </c>
      <c r="BF5793" t="s">
        <v>1832</v>
      </c>
      <c r="BG5793" t="s">
        <v>1833</v>
      </c>
      <c r="BH5793" t="s">
        <v>1834</v>
      </c>
      <c r="BI5793" t="s">
        <v>1835</v>
      </c>
      <c r="BJ5793" t="s">
        <v>1836</v>
      </c>
      <c r="BK5793" t="s">
        <v>1837</v>
      </c>
      <c r="BL5793" t="s">
        <v>1838</v>
      </c>
      <c r="BM5793" t="s">
        <v>1839</v>
      </c>
      <c r="BN5793" t="s">
        <v>1840</v>
      </c>
      <c r="BO5793" t="s">
        <v>1841</v>
      </c>
      <c r="BQ5793" t="s">
        <v>44</v>
      </c>
      <c r="BR5793" t="s">
        <v>235</v>
      </c>
      <c r="BS5793" t="s">
        <v>1842</v>
      </c>
      <c r="BT5793" t="s">
        <v>1843</v>
      </c>
      <c r="BU5793" t="s">
        <v>1844</v>
      </c>
      <c r="BV5793" t="s">
        <v>1845</v>
      </c>
      <c r="BW5793" t="s">
        <v>1846</v>
      </c>
      <c r="BX5793" t="s">
        <v>1847</v>
      </c>
      <c r="BY5793" t="s">
        <v>1848</v>
      </c>
      <c r="BZ5793" t="s">
        <v>1849</v>
      </c>
      <c r="CA5793" t="s">
        <v>1850</v>
      </c>
      <c r="CB5793" t="s">
        <v>1851</v>
      </c>
      <c r="CC5793" t="s">
        <v>1852</v>
      </c>
      <c r="CD5793" t="s">
        <v>1853</v>
      </c>
      <c r="CE5793" t="s">
        <v>1854</v>
      </c>
      <c r="CF5793" t="s">
        <v>1855</v>
      </c>
      <c r="CG5793" t="s">
        <v>1856</v>
      </c>
      <c r="CH5793" t="s">
        <v>1857</v>
      </c>
      <c r="CI5793" t="s">
        <v>1858</v>
      </c>
      <c r="CJ5793" t="s">
        <v>1859</v>
      </c>
      <c r="CK5793" t="s">
        <v>1860</v>
      </c>
      <c r="CL5793" t="s">
        <v>1861</v>
      </c>
      <c r="CM5793" t="s">
        <v>1862</v>
      </c>
      <c r="CN5793" t="s">
        <v>1863</v>
      </c>
      <c r="CO5793" t="s">
        <v>1864</v>
      </c>
      <c r="CP5793" t="s">
        <v>1865</v>
      </c>
      <c r="CQ5793" t="s">
        <v>1866</v>
      </c>
      <c r="CR5793" t="s">
        <v>1867</v>
      </c>
      <c r="CS5793" t="s">
        <v>1868</v>
      </c>
      <c r="CT5793" t="s">
        <v>1869</v>
      </c>
      <c r="CU5793" t="s">
        <v>1870</v>
      </c>
      <c r="CV5793" t="s">
        <v>1871</v>
      </c>
      <c r="CW5793" t="s">
        <v>1872</v>
      </c>
      <c r="CX5793" t="s">
        <v>1873</v>
      </c>
      <c r="CY5793" t="s">
        <v>1874</v>
      </c>
      <c r="CZ5793" t="s">
        <v>1875</v>
      </c>
      <c r="DA5793" t="s">
        <v>1876</v>
      </c>
      <c r="DB5793" t="s">
        <v>1877</v>
      </c>
      <c r="DC5793" t="s">
        <v>1878</v>
      </c>
      <c r="DD5793" t="s">
        <v>1879</v>
      </c>
      <c r="DE5793" t="s">
        <v>1880</v>
      </c>
      <c r="DF5793" t="s">
        <v>1881</v>
      </c>
      <c r="DG5793" t="s">
        <v>1882</v>
      </c>
      <c r="DH5793" t="s">
        <v>1883</v>
      </c>
      <c r="DI5793" t="s">
        <v>1884</v>
      </c>
      <c r="DJ5793" t="s">
        <v>1885</v>
      </c>
      <c r="DK5793" t="s">
        <v>1886</v>
      </c>
      <c r="DL5793" t="s">
        <v>1887</v>
      </c>
      <c r="DM5793" t="s">
        <v>1888</v>
      </c>
      <c r="DN5793" t="s">
        <v>1889</v>
      </c>
      <c r="DO5793" t="s">
        <v>1890</v>
      </c>
      <c r="DP5793" t="s">
        <v>1891</v>
      </c>
      <c r="DQ5793" t="s">
        <v>1892</v>
      </c>
      <c r="DR5793" t="s">
        <v>1893</v>
      </c>
      <c r="DS5793" t="s">
        <v>1894</v>
      </c>
      <c r="DT5793" t="s">
        <v>1895</v>
      </c>
      <c r="DU5793" t="s">
        <v>1896</v>
      </c>
      <c r="DV5793" t="s">
        <v>1897</v>
      </c>
      <c r="DW5793" t="s">
        <v>1898</v>
      </c>
      <c r="DX5793" t="s">
        <v>1899</v>
      </c>
      <c r="DY5793" t="s">
        <v>1900</v>
      </c>
      <c r="DZ5793" t="s">
        <v>1901</v>
      </c>
      <c r="EA5793" t="s">
        <v>1902</v>
      </c>
      <c r="EB5793" t="s">
        <v>1903</v>
      </c>
      <c r="EC5793" t="s">
        <v>1904</v>
      </c>
      <c r="ED5793" t="s">
        <v>1905</v>
      </c>
      <c r="EE5793" t="s">
        <v>1906</v>
      </c>
    </row>
    <row r="5794" spans="1:135" x14ac:dyDescent="0.3">
      <c r="A5794" t="s">
        <v>35</v>
      </c>
      <c r="B5794" t="s">
        <v>236</v>
      </c>
      <c r="C5794">
        <v>595</v>
      </c>
      <c r="D5794">
        <v>16133.21</v>
      </c>
      <c r="E5794">
        <v>12000</v>
      </c>
      <c r="F5794">
        <v>1000</v>
      </c>
      <c r="G5794">
        <v>150000</v>
      </c>
      <c r="H5794">
        <v>75</v>
      </c>
      <c r="I5794">
        <v>9109.25</v>
      </c>
      <c r="J5794">
        <v>7500</v>
      </c>
      <c r="K5794">
        <v>500</v>
      </c>
      <c r="L5794">
        <v>30000</v>
      </c>
      <c r="M5794">
        <v>120</v>
      </c>
      <c r="N5794">
        <v>10477.75</v>
      </c>
      <c r="O5794">
        <v>8000</v>
      </c>
      <c r="P5794">
        <v>1000</v>
      </c>
      <c r="Q5794">
        <v>40000</v>
      </c>
      <c r="R5794">
        <v>93</v>
      </c>
      <c r="S5794">
        <v>15650.64</v>
      </c>
      <c r="T5794">
        <v>8000</v>
      </c>
      <c r="U5794">
        <v>500</v>
      </c>
      <c r="V5794">
        <v>200000</v>
      </c>
      <c r="W5794">
        <v>139</v>
      </c>
      <c r="X5794">
        <v>2116.36</v>
      </c>
      <c r="Y5794">
        <v>1000</v>
      </c>
      <c r="Z5794">
        <v>350</v>
      </c>
      <c r="AA5794">
        <v>22000</v>
      </c>
      <c r="AB5794">
        <v>80</v>
      </c>
      <c r="AC5794">
        <v>7476.91</v>
      </c>
      <c r="AD5794">
        <v>5000</v>
      </c>
      <c r="AE5794">
        <v>300</v>
      </c>
      <c r="AF5794">
        <v>40000</v>
      </c>
      <c r="AG5794">
        <v>806</v>
      </c>
      <c r="AH5794">
        <v>5566.02</v>
      </c>
      <c r="AI5794">
        <v>4300</v>
      </c>
      <c r="AJ5794">
        <v>2000</v>
      </c>
      <c r="AK5794">
        <v>78000</v>
      </c>
      <c r="AL5794">
        <v>4</v>
      </c>
      <c r="AM5794">
        <v>19323.55</v>
      </c>
      <c r="AN5794">
        <v>1500</v>
      </c>
      <c r="AO5794">
        <v>500</v>
      </c>
      <c r="AP5794">
        <v>70000</v>
      </c>
      <c r="AQ5794">
        <v>24</v>
      </c>
      <c r="AR5794">
        <v>8915.6299999999992</v>
      </c>
      <c r="AS5794">
        <v>4000</v>
      </c>
      <c r="AT5794">
        <v>600</v>
      </c>
      <c r="AU5794">
        <v>70000</v>
      </c>
      <c r="AV5794">
        <v>7</v>
      </c>
      <c r="AW5794">
        <v>5904.04</v>
      </c>
      <c r="AX5794">
        <v>5000</v>
      </c>
      <c r="AY5794">
        <v>2000</v>
      </c>
      <c r="AZ5794">
        <v>12000</v>
      </c>
      <c r="BA5794">
        <v>255</v>
      </c>
      <c r="BB5794">
        <v>3682.89</v>
      </c>
      <c r="BC5794">
        <v>2750</v>
      </c>
      <c r="BD5794">
        <v>600</v>
      </c>
      <c r="BE5794">
        <v>22000</v>
      </c>
      <c r="BK5794">
        <v>8</v>
      </c>
      <c r="BL5794">
        <v>6031.25</v>
      </c>
      <c r="BM5794">
        <v>1500</v>
      </c>
      <c r="BN5794">
        <v>370</v>
      </c>
      <c r="BO5794">
        <v>70000</v>
      </c>
      <c r="BQ5794" t="s">
        <v>35</v>
      </c>
      <c r="BR5794" t="s">
        <v>236</v>
      </c>
      <c r="BS5794">
        <v>595</v>
      </c>
      <c r="BT5794">
        <v>6596.24</v>
      </c>
      <c r="BU5794">
        <v>5000</v>
      </c>
      <c r="BV5794">
        <v>200</v>
      </c>
      <c r="BW5794">
        <v>90000</v>
      </c>
      <c r="BX5794">
        <v>75</v>
      </c>
      <c r="BY5794">
        <v>4426.74</v>
      </c>
      <c r="BZ5794">
        <v>3333.33</v>
      </c>
      <c r="CA5794">
        <v>375</v>
      </c>
      <c r="CB5794">
        <v>25000</v>
      </c>
      <c r="CC5794">
        <v>120</v>
      </c>
      <c r="CD5794">
        <v>4532.87</v>
      </c>
      <c r="CE5794">
        <v>3000</v>
      </c>
      <c r="CF5794">
        <v>285.70999999999998</v>
      </c>
      <c r="CG5794">
        <v>20000</v>
      </c>
      <c r="CH5794">
        <v>93</v>
      </c>
      <c r="CI5794">
        <v>5766.84</v>
      </c>
      <c r="CJ5794">
        <v>3500</v>
      </c>
      <c r="CK5794">
        <v>125</v>
      </c>
      <c r="CL5794">
        <v>66666.67</v>
      </c>
      <c r="CM5794">
        <v>139</v>
      </c>
      <c r="CN5794">
        <v>1052.73</v>
      </c>
      <c r="CO5794">
        <v>600</v>
      </c>
      <c r="CP5794">
        <v>120</v>
      </c>
      <c r="CQ5794">
        <v>11000</v>
      </c>
      <c r="CR5794">
        <v>80</v>
      </c>
      <c r="CS5794">
        <v>3746.83</v>
      </c>
      <c r="CT5794">
        <v>2500</v>
      </c>
      <c r="CU5794">
        <v>100</v>
      </c>
      <c r="CV5794">
        <v>13333.33</v>
      </c>
      <c r="CW5794">
        <v>806</v>
      </c>
      <c r="CX5794">
        <v>3215.21</v>
      </c>
      <c r="CY5794">
        <v>2900</v>
      </c>
      <c r="CZ5794">
        <v>341.17</v>
      </c>
      <c r="DA5794">
        <v>78000</v>
      </c>
      <c r="DB5794">
        <v>4</v>
      </c>
      <c r="DC5794">
        <v>5111.03</v>
      </c>
      <c r="DD5794">
        <v>1500</v>
      </c>
      <c r="DE5794">
        <v>214.29</v>
      </c>
      <c r="DF5794">
        <v>17500</v>
      </c>
      <c r="DG5794">
        <v>24</v>
      </c>
      <c r="DH5794">
        <v>3178.57</v>
      </c>
      <c r="DI5794">
        <v>1250</v>
      </c>
      <c r="DJ5794">
        <v>200</v>
      </c>
      <c r="DK5794">
        <v>23333.33</v>
      </c>
      <c r="DL5794">
        <v>7</v>
      </c>
      <c r="DM5794">
        <v>2194.77</v>
      </c>
      <c r="DN5794">
        <v>2400</v>
      </c>
      <c r="DO5794">
        <v>550</v>
      </c>
      <c r="DP5794">
        <v>3300</v>
      </c>
      <c r="DQ5794">
        <v>255</v>
      </c>
      <c r="DR5794">
        <v>1520.59</v>
      </c>
      <c r="DS5794">
        <v>1250</v>
      </c>
      <c r="DT5794">
        <v>107.5</v>
      </c>
      <c r="DU5794">
        <v>7333.33</v>
      </c>
      <c r="EA5794">
        <v>8</v>
      </c>
      <c r="EB5794">
        <v>1737.43</v>
      </c>
      <c r="EC5794">
        <v>533.33000000000004</v>
      </c>
      <c r="ED5794">
        <v>185</v>
      </c>
      <c r="EE5794">
        <v>17500</v>
      </c>
    </row>
    <row r="5795" spans="1:135" x14ac:dyDescent="0.3">
      <c r="A5795" t="s">
        <v>35</v>
      </c>
      <c r="B5795" t="s">
        <v>238</v>
      </c>
      <c r="C5795">
        <v>615</v>
      </c>
      <c r="D5795">
        <v>23511.02</v>
      </c>
      <c r="E5795">
        <v>20000</v>
      </c>
      <c r="F5795">
        <v>1490</v>
      </c>
      <c r="G5795">
        <v>120000</v>
      </c>
      <c r="H5795">
        <v>91</v>
      </c>
      <c r="I5795">
        <v>9932.32</v>
      </c>
      <c r="J5795">
        <v>10000</v>
      </c>
      <c r="K5795">
        <v>900</v>
      </c>
      <c r="L5795">
        <v>30000</v>
      </c>
      <c r="M5795">
        <v>100</v>
      </c>
      <c r="N5795">
        <v>9517.61</v>
      </c>
      <c r="O5795">
        <v>8000</v>
      </c>
      <c r="P5795">
        <v>2000</v>
      </c>
      <c r="Q5795">
        <v>52000</v>
      </c>
      <c r="R5795">
        <v>48</v>
      </c>
      <c r="S5795">
        <v>20256.759999999998</v>
      </c>
      <c r="T5795">
        <v>20000</v>
      </c>
      <c r="U5795">
        <v>650</v>
      </c>
      <c r="V5795">
        <v>70000</v>
      </c>
      <c r="W5795">
        <v>30</v>
      </c>
      <c r="X5795">
        <v>4415.28</v>
      </c>
      <c r="Y5795">
        <v>1416</v>
      </c>
      <c r="Z5795">
        <v>330</v>
      </c>
      <c r="AA5795">
        <v>20000</v>
      </c>
      <c r="AB5795">
        <v>74</v>
      </c>
      <c r="AC5795">
        <v>7944.02</v>
      </c>
      <c r="AD5795">
        <v>5000</v>
      </c>
      <c r="AE5795">
        <v>500</v>
      </c>
      <c r="AF5795">
        <v>37000</v>
      </c>
      <c r="AG5795">
        <v>675</v>
      </c>
      <c r="AH5795">
        <v>5977.72</v>
      </c>
      <c r="AI5795">
        <v>5000</v>
      </c>
      <c r="AJ5795">
        <v>1100</v>
      </c>
      <c r="AK5795">
        <v>35000</v>
      </c>
      <c r="AL5795">
        <v>3</v>
      </c>
      <c r="AM5795">
        <v>4707.83</v>
      </c>
      <c r="AN5795">
        <v>2000</v>
      </c>
      <c r="AO5795">
        <v>2000</v>
      </c>
      <c r="AP5795">
        <v>40000</v>
      </c>
      <c r="AQ5795">
        <v>30</v>
      </c>
      <c r="AR5795">
        <v>6497.82</v>
      </c>
      <c r="AS5795">
        <v>2000</v>
      </c>
      <c r="AT5795">
        <v>500</v>
      </c>
      <c r="AU5795">
        <v>30000</v>
      </c>
      <c r="AV5795">
        <v>20</v>
      </c>
      <c r="AW5795">
        <v>4912.22</v>
      </c>
      <c r="AX5795">
        <v>2200</v>
      </c>
      <c r="AY5795">
        <v>337</v>
      </c>
      <c r="AZ5795">
        <v>33300</v>
      </c>
      <c r="BA5795">
        <v>245</v>
      </c>
      <c r="BB5795">
        <v>3642.01</v>
      </c>
      <c r="BC5795">
        <v>2800</v>
      </c>
      <c r="BD5795">
        <v>800</v>
      </c>
      <c r="BE5795">
        <v>14136</v>
      </c>
      <c r="BF5795">
        <v>6</v>
      </c>
      <c r="BG5795">
        <v>1302.6199999999999</v>
      </c>
      <c r="BH5795">
        <v>500</v>
      </c>
      <c r="BI5795">
        <v>500</v>
      </c>
      <c r="BJ5795">
        <v>8000</v>
      </c>
      <c r="BK5795">
        <v>7</v>
      </c>
      <c r="BL5795">
        <v>6142.74</v>
      </c>
      <c r="BM5795">
        <v>2500</v>
      </c>
      <c r="BN5795">
        <v>1250</v>
      </c>
      <c r="BO5795">
        <v>32000</v>
      </c>
      <c r="BQ5795" t="s">
        <v>35</v>
      </c>
      <c r="BR5795" t="s">
        <v>238</v>
      </c>
      <c r="BS5795">
        <v>615</v>
      </c>
      <c r="BT5795">
        <v>10955.9</v>
      </c>
      <c r="BU5795">
        <v>7500</v>
      </c>
      <c r="BV5795">
        <v>750</v>
      </c>
      <c r="BW5795">
        <v>50000</v>
      </c>
      <c r="BX5795">
        <v>91</v>
      </c>
      <c r="BY5795">
        <v>5905.29</v>
      </c>
      <c r="BZ5795">
        <v>5000</v>
      </c>
      <c r="CA5795">
        <v>300</v>
      </c>
      <c r="CB5795">
        <v>25000</v>
      </c>
      <c r="CC5795">
        <v>100</v>
      </c>
      <c r="CD5795">
        <v>5233.25</v>
      </c>
      <c r="CE5795">
        <v>3333.33</v>
      </c>
      <c r="CF5795">
        <v>400</v>
      </c>
      <c r="CG5795">
        <v>52000</v>
      </c>
      <c r="CH5795">
        <v>48</v>
      </c>
      <c r="CI5795">
        <v>9297.9500000000007</v>
      </c>
      <c r="CJ5795">
        <v>5000</v>
      </c>
      <c r="CK5795">
        <v>200</v>
      </c>
      <c r="CL5795">
        <v>25000</v>
      </c>
      <c r="CM5795">
        <v>30</v>
      </c>
      <c r="CN5795">
        <v>2035.22</v>
      </c>
      <c r="CO5795">
        <v>900</v>
      </c>
      <c r="CP5795">
        <v>140</v>
      </c>
      <c r="CQ5795">
        <v>10000</v>
      </c>
      <c r="CR5795">
        <v>74</v>
      </c>
      <c r="CS5795">
        <v>4304.93</v>
      </c>
      <c r="CT5795">
        <v>3000</v>
      </c>
      <c r="CU5795">
        <v>250</v>
      </c>
      <c r="CV5795">
        <v>12500</v>
      </c>
      <c r="CW5795">
        <v>675</v>
      </c>
      <c r="CX5795">
        <v>3494.61</v>
      </c>
      <c r="CY5795">
        <v>2820</v>
      </c>
      <c r="CZ5795">
        <v>333.33</v>
      </c>
      <c r="DA5795">
        <v>30000</v>
      </c>
      <c r="DB5795">
        <v>3</v>
      </c>
      <c r="DC5795">
        <v>3624.3</v>
      </c>
      <c r="DD5795">
        <v>1000</v>
      </c>
      <c r="DE5795">
        <v>666.67</v>
      </c>
      <c r="DF5795">
        <v>40000</v>
      </c>
      <c r="DG5795">
        <v>30</v>
      </c>
      <c r="DH5795">
        <v>2961.83</v>
      </c>
      <c r="DI5795">
        <v>1000</v>
      </c>
      <c r="DJ5795">
        <v>425</v>
      </c>
      <c r="DK5795">
        <v>15000</v>
      </c>
      <c r="DL5795">
        <v>20</v>
      </c>
      <c r="DM5795">
        <v>1623.66</v>
      </c>
      <c r="DN5795">
        <v>733.33</v>
      </c>
      <c r="DO5795">
        <v>337</v>
      </c>
      <c r="DP5795">
        <v>6660</v>
      </c>
      <c r="DQ5795">
        <v>245</v>
      </c>
      <c r="DR5795">
        <v>1719.75</v>
      </c>
      <c r="DS5795">
        <v>1500</v>
      </c>
      <c r="DT5795">
        <v>122.86</v>
      </c>
      <c r="DU5795">
        <v>12000</v>
      </c>
      <c r="DV5795">
        <v>6</v>
      </c>
      <c r="DW5795">
        <v>802.46</v>
      </c>
      <c r="DX5795">
        <v>500</v>
      </c>
      <c r="DY5795">
        <v>500</v>
      </c>
      <c r="DZ5795">
        <v>4000</v>
      </c>
      <c r="EA5795">
        <v>7</v>
      </c>
      <c r="EB5795">
        <v>5171.6499999999996</v>
      </c>
      <c r="EC5795">
        <v>900</v>
      </c>
      <c r="ED5795">
        <v>416.67</v>
      </c>
      <c r="EE5795">
        <v>32000</v>
      </c>
    </row>
    <row r="5796" spans="1:135" x14ac:dyDescent="0.3">
      <c r="A5796" t="s">
        <v>37</v>
      </c>
      <c r="B5796" t="s">
        <v>236</v>
      </c>
      <c r="C5796">
        <v>866</v>
      </c>
      <c r="D5796">
        <v>14640.71</v>
      </c>
      <c r="E5796">
        <v>12000</v>
      </c>
      <c r="F5796">
        <v>3000</v>
      </c>
      <c r="G5796">
        <v>250000</v>
      </c>
      <c r="H5796">
        <v>149</v>
      </c>
      <c r="I5796">
        <v>8110.41</v>
      </c>
      <c r="J5796">
        <v>7500</v>
      </c>
      <c r="K5796">
        <v>1000</v>
      </c>
      <c r="L5796">
        <v>30000</v>
      </c>
      <c r="M5796">
        <v>243</v>
      </c>
      <c r="N5796">
        <v>9825.33</v>
      </c>
      <c r="O5796">
        <v>8000</v>
      </c>
      <c r="P5796">
        <v>1200</v>
      </c>
      <c r="Q5796">
        <v>50000</v>
      </c>
      <c r="R5796">
        <v>137</v>
      </c>
      <c r="S5796">
        <v>15705.53</v>
      </c>
      <c r="T5796">
        <v>10000</v>
      </c>
      <c r="U5796">
        <v>850</v>
      </c>
      <c r="V5796">
        <v>150000</v>
      </c>
      <c r="W5796">
        <v>209</v>
      </c>
      <c r="X5796">
        <v>1635.45</v>
      </c>
      <c r="Y5796">
        <v>1000</v>
      </c>
      <c r="Z5796">
        <v>334</v>
      </c>
      <c r="AA5796">
        <v>12000</v>
      </c>
      <c r="AB5796">
        <v>170</v>
      </c>
      <c r="AC5796">
        <v>7527.42</v>
      </c>
      <c r="AD5796">
        <v>5000</v>
      </c>
      <c r="AE5796">
        <v>500</v>
      </c>
      <c r="AF5796">
        <v>50000</v>
      </c>
      <c r="AG5796">
        <v>1213</v>
      </c>
      <c r="AH5796">
        <v>4703.46</v>
      </c>
      <c r="AI5796">
        <v>4000</v>
      </c>
      <c r="AJ5796">
        <v>1500</v>
      </c>
      <c r="AK5796">
        <v>74000</v>
      </c>
      <c r="AQ5796">
        <v>30</v>
      </c>
      <c r="AR5796">
        <v>9570.48</v>
      </c>
      <c r="AS5796">
        <v>3000</v>
      </c>
      <c r="AT5796">
        <v>500</v>
      </c>
      <c r="AU5796">
        <v>100000</v>
      </c>
      <c r="AV5796">
        <v>3</v>
      </c>
      <c r="AW5796">
        <v>5225.72</v>
      </c>
      <c r="AX5796">
        <v>6600</v>
      </c>
      <c r="AY5796">
        <v>2220</v>
      </c>
      <c r="AZ5796">
        <v>6600</v>
      </c>
      <c r="BA5796">
        <v>417</v>
      </c>
      <c r="BB5796">
        <v>3830.86</v>
      </c>
      <c r="BC5796">
        <v>2700</v>
      </c>
      <c r="BD5796">
        <v>760</v>
      </c>
      <c r="BE5796">
        <v>42000</v>
      </c>
      <c r="BF5796">
        <v>3</v>
      </c>
      <c r="BG5796">
        <v>4869.04</v>
      </c>
      <c r="BH5796">
        <v>5000</v>
      </c>
      <c r="BI5796">
        <v>3000</v>
      </c>
      <c r="BJ5796">
        <v>7000</v>
      </c>
      <c r="BK5796">
        <v>4</v>
      </c>
      <c r="BL5796">
        <v>10211.950000000001</v>
      </c>
      <c r="BM5796">
        <v>5000</v>
      </c>
      <c r="BN5796">
        <v>1250</v>
      </c>
      <c r="BO5796">
        <v>20000</v>
      </c>
      <c r="BQ5796" t="s">
        <v>37</v>
      </c>
      <c r="BR5796" t="s">
        <v>236</v>
      </c>
      <c r="BS5796">
        <v>866</v>
      </c>
      <c r="BT5796">
        <v>5058.43</v>
      </c>
      <c r="BU5796">
        <v>4000</v>
      </c>
      <c r="BV5796">
        <v>428.57</v>
      </c>
      <c r="BW5796">
        <v>50000</v>
      </c>
      <c r="BX5796">
        <v>149</v>
      </c>
      <c r="BY5796">
        <v>3130.25</v>
      </c>
      <c r="BZ5796">
        <v>2500</v>
      </c>
      <c r="CA5796">
        <v>333.33</v>
      </c>
      <c r="CB5796">
        <v>12000</v>
      </c>
      <c r="CC5796">
        <v>243</v>
      </c>
      <c r="CD5796">
        <v>3547.6</v>
      </c>
      <c r="CE5796">
        <v>2666.67</v>
      </c>
      <c r="CF5796">
        <v>400</v>
      </c>
      <c r="CG5796">
        <v>30000</v>
      </c>
      <c r="CH5796">
        <v>137</v>
      </c>
      <c r="CI5796">
        <v>6522.98</v>
      </c>
      <c r="CJ5796">
        <v>2500</v>
      </c>
      <c r="CK5796">
        <v>166.67</v>
      </c>
      <c r="CL5796">
        <v>70000</v>
      </c>
      <c r="CM5796">
        <v>209</v>
      </c>
      <c r="CN5796">
        <v>919.09</v>
      </c>
      <c r="CO5796">
        <v>600</v>
      </c>
      <c r="CP5796">
        <v>80</v>
      </c>
      <c r="CQ5796">
        <v>11000</v>
      </c>
      <c r="CR5796">
        <v>170</v>
      </c>
      <c r="CS5796">
        <v>4050.65</v>
      </c>
      <c r="CT5796">
        <v>3000</v>
      </c>
      <c r="CU5796">
        <v>166.67</v>
      </c>
      <c r="CV5796">
        <v>40000</v>
      </c>
      <c r="CW5796">
        <v>1213</v>
      </c>
      <c r="CX5796">
        <v>2485.38</v>
      </c>
      <c r="CY5796">
        <v>2500</v>
      </c>
      <c r="CZ5796">
        <v>300</v>
      </c>
      <c r="DA5796">
        <v>37000</v>
      </c>
      <c r="DG5796">
        <v>30</v>
      </c>
      <c r="DH5796">
        <v>6890.25</v>
      </c>
      <c r="DI5796">
        <v>2500</v>
      </c>
      <c r="DJ5796">
        <v>150</v>
      </c>
      <c r="DK5796">
        <v>100000</v>
      </c>
      <c r="DL5796">
        <v>3</v>
      </c>
      <c r="DM5796">
        <v>3774.13</v>
      </c>
      <c r="DN5796">
        <v>2220</v>
      </c>
      <c r="DO5796">
        <v>1320</v>
      </c>
      <c r="DP5796">
        <v>6600</v>
      </c>
      <c r="DQ5796">
        <v>417</v>
      </c>
      <c r="DR5796">
        <v>1514.05</v>
      </c>
      <c r="DS5796">
        <v>1250</v>
      </c>
      <c r="DT5796">
        <v>107.5</v>
      </c>
      <c r="DU5796">
        <v>10500</v>
      </c>
      <c r="DV5796">
        <v>3</v>
      </c>
      <c r="DW5796">
        <v>1460.56</v>
      </c>
      <c r="DX5796">
        <v>750</v>
      </c>
      <c r="DY5796">
        <v>714.29</v>
      </c>
      <c r="DZ5796">
        <v>3500</v>
      </c>
      <c r="EA5796">
        <v>4</v>
      </c>
      <c r="EB5796">
        <v>8745.93</v>
      </c>
      <c r="EC5796">
        <v>1333.33</v>
      </c>
      <c r="ED5796">
        <v>250</v>
      </c>
      <c r="EE5796">
        <v>20000</v>
      </c>
    </row>
    <row r="5797" spans="1:135" x14ac:dyDescent="0.3">
      <c r="A5797" t="s">
        <v>37</v>
      </c>
      <c r="B5797" t="s">
        <v>238</v>
      </c>
      <c r="C5797">
        <v>836</v>
      </c>
      <c r="D5797">
        <v>19222.89</v>
      </c>
      <c r="E5797">
        <v>15000</v>
      </c>
      <c r="F5797">
        <v>3000</v>
      </c>
      <c r="G5797">
        <v>100000</v>
      </c>
      <c r="H5797">
        <v>102</v>
      </c>
      <c r="I5797">
        <v>10558.39</v>
      </c>
      <c r="J5797">
        <v>9000</v>
      </c>
      <c r="K5797">
        <v>1500</v>
      </c>
      <c r="L5797">
        <v>60000</v>
      </c>
      <c r="M5797">
        <v>145</v>
      </c>
      <c r="N5797">
        <v>9870.4699999999993</v>
      </c>
      <c r="O5797">
        <v>9000</v>
      </c>
      <c r="P5797">
        <v>2000</v>
      </c>
      <c r="Q5797">
        <v>50000</v>
      </c>
      <c r="R5797">
        <v>89</v>
      </c>
      <c r="S5797">
        <v>28138.22</v>
      </c>
      <c r="T5797">
        <v>20000</v>
      </c>
      <c r="U5797">
        <v>1500</v>
      </c>
      <c r="V5797">
        <v>200000</v>
      </c>
      <c r="W5797">
        <v>34</v>
      </c>
      <c r="X5797">
        <v>3765.09</v>
      </c>
      <c r="Y5797">
        <v>1500</v>
      </c>
      <c r="Z5797">
        <v>400</v>
      </c>
      <c r="AA5797">
        <v>15000</v>
      </c>
      <c r="AB5797">
        <v>137</v>
      </c>
      <c r="AC5797">
        <v>7646.64</v>
      </c>
      <c r="AD5797">
        <v>5000</v>
      </c>
      <c r="AE5797">
        <v>300</v>
      </c>
      <c r="AF5797">
        <v>80000</v>
      </c>
      <c r="AG5797">
        <v>697</v>
      </c>
      <c r="AH5797">
        <v>5484.58</v>
      </c>
      <c r="AI5797">
        <v>4500</v>
      </c>
      <c r="AJ5797">
        <v>1200</v>
      </c>
      <c r="AK5797">
        <v>30000</v>
      </c>
      <c r="AL5797">
        <v>2</v>
      </c>
      <c r="AM5797">
        <v>4000</v>
      </c>
      <c r="AN5797">
        <v>4000</v>
      </c>
      <c r="AO5797">
        <v>4000</v>
      </c>
      <c r="AP5797">
        <v>4000</v>
      </c>
      <c r="AQ5797">
        <v>41</v>
      </c>
      <c r="AR5797">
        <v>10131</v>
      </c>
      <c r="AS5797">
        <v>4000</v>
      </c>
      <c r="AT5797">
        <v>700</v>
      </c>
      <c r="AU5797">
        <v>200000</v>
      </c>
      <c r="AV5797">
        <v>10</v>
      </c>
      <c r="AW5797">
        <v>6339.7</v>
      </c>
      <c r="AX5797">
        <v>5000</v>
      </c>
      <c r="AY5797">
        <v>1000</v>
      </c>
      <c r="AZ5797">
        <v>13260</v>
      </c>
      <c r="BA5797">
        <v>274</v>
      </c>
      <c r="BB5797">
        <v>3791.16</v>
      </c>
      <c r="BC5797">
        <v>2700</v>
      </c>
      <c r="BD5797">
        <v>690</v>
      </c>
      <c r="BE5797">
        <v>42000</v>
      </c>
      <c r="BF5797">
        <v>1</v>
      </c>
      <c r="BG5797">
        <v>2000</v>
      </c>
      <c r="BH5797">
        <v>2000</v>
      </c>
      <c r="BI5797">
        <v>2000</v>
      </c>
      <c r="BJ5797">
        <v>2000</v>
      </c>
      <c r="BK5797">
        <v>3</v>
      </c>
      <c r="BL5797">
        <v>8359.09</v>
      </c>
      <c r="BM5797">
        <v>2800</v>
      </c>
      <c r="BN5797">
        <v>800</v>
      </c>
      <c r="BO5797">
        <v>56000</v>
      </c>
      <c r="BQ5797" t="s">
        <v>37</v>
      </c>
      <c r="BR5797" t="s">
        <v>238</v>
      </c>
      <c r="BS5797">
        <v>836</v>
      </c>
      <c r="BT5797">
        <v>7853.29</v>
      </c>
      <c r="BU5797">
        <v>6500</v>
      </c>
      <c r="BV5797">
        <v>623.33000000000004</v>
      </c>
      <c r="BW5797">
        <v>100000</v>
      </c>
      <c r="BX5797">
        <v>102</v>
      </c>
      <c r="BY5797">
        <v>5470.16</v>
      </c>
      <c r="BZ5797">
        <v>4000</v>
      </c>
      <c r="CA5797">
        <v>444.44</v>
      </c>
      <c r="CB5797">
        <v>29000</v>
      </c>
      <c r="CC5797">
        <v>145</v>
      </c>
      <c r="CD5797">
        <v>4863.3100000000004</v>
      </c>
      <c r="CE5797">
        <v>3333.33</v>
      </c>
      <c r="CF5797">
        <v>500</v>
      </c>
      <c r="CG5797">
        <v>30000</v>
      </c>
      <c r="CH5797">
        <v>89</v>
      </c>
      <c r="CI5797">
        <v>11820.6</v>
      </c>
      <c r="CJ5797">
        <v>7000</v>
      </c>
      <c r="CK5797">
        <v>500</v>
      </c>
      <c r="CL5797">
        <v>100000</v>
      </c>
      <c r="CM5797">
        <v>34</v>
      </c>
      <c r="CN5797">
        <v>2056.54</v>
      </c>
      <c r="CO5797">
        <v>830</v>
      </c>
      <c r="CP5797">
        <v>145</v>
      </c>
      <c r="CQ5797">
        <v>6000</v>
      </c>
      <c r="CR5797">
        <v>137</v>
      </c>
      <c r="CS5797">
        <v>3828.05</v>
      </c>
      <c r="CT5797">
        <v>2500</v>
      </c>
      <c r="CU5797">
        <v>75</v>
      </c>
      <c r="CV5797">
        <v>26666.67</v>
      </c>
      <c r="CW5797">
        <v>697</v>
      </c>
      <c r="CX5797">
        <v>2925.83</v>
      </c>
      <c r="CY5797">
        <v>2750</v>
      </c>
      <c r="CZ5797">
        <v>433.33</v>
      </c>
      <c r="DA5797">
        <v>20000</v>
      </c>
      <c r="DB5797">
        <v>2</v>
      </c>
      <c r="DC5797">
        <v>3562.77</v>
      </c>
      <c r="DD5797">
        <v>4000</v>
      </c>
      <c r="DE5797">
        <v>1333.33</v>
      </c>
      <c r="DF5797">
        <v>4000</v>
      </c>
      <c r="DG5797">
        <v>41</v>
      </c>
      <c r="DH5797">
        <v>4715.9799999999996</v>
      </c>
      <c r="DI5797">
        <v>3000</v>
      </c>
      <c r="DJ5797">
        <v>300</v>
      </c>
      <c r="DK5797">
        <v>66666.67</v>
      </c>
      <c r="DL5797">
        <v>10</v>
      </c>
      <c r="DM5797">
        <v>2606.34</v>
      </c>
      <c r="DN5797">
        <v>2000</v>
      </c>
      <c r="DO5797">
        <v>1000</v>
      </c>
      <c r="DP5797">
        <v>6630</v>
      </c>
      <c r="DQ5797">
        <v>274</v>
      </c>
      <c r="DR5797">
        <v>1557.66</v>
      </c>
      <c r="DS5797">
        <v>1200</v>
      </c>
      <c r="DT5797">
        <v>141.66999999999999</v>
      </c>
      <c r="DU5797">
        <v>21000</v>
      </c>
      <c r="DV5797">
        <v>1</v>
      </c>
      <c r="DW5797">
        <v>500</v>
      </c>
      <c r="DX5797">
        <v>500</v>
      </c>
      <c r="DY5797">
        <v>500</v>
      </c>
      <c r="DZ5797">
        <v>500</v>
      </c>
      <c r="EA5797">
        <v>3</v>
      </c>
      <c r="EB5797">
        <v>2633.36</v>
      </c>
      <c r="EC5797">
        <v>1400</v>
      </c>
      <c r="ED5797">
        <v>800</v>
      </c>
      <c r="EE5797">
        <v>14000</v>
      </c>
    </row>
    <row r="5798" spans="1:135" x14ac:dyDescent="0.3">
      <c r="A5798" t="s">
        <v>36</v>
      </c>
      <c r="B5798" t="s">
        <v>236</v>
      </c>
      <c r="C5798">
        <v>519</v>
      </c>
      <c r="D5798">
        <v>11759.08</v>
      </c>
      <c r="E5798">
        <v>9000</v>
      </c>
      <c r="F5798">
        <v>1100</v>
      </c>
      <c r="G5798">
        <v>50000</v>
      </c>
      <c r="H5798">
        <v>120</v>
      </c>
      <c r="I5798">
        <v>4728.25</v>
      </c>
      <c r="J5798">
        <v>4000</v>
      </c>
      <c r="K5798">
        <v>800</v>
      </c>
      <c r="L5798">
        <v>15000</v>
      </c>
      <c r="M5798">
        <v>226</v>
      </c>
      <c r="N5798">
        <v>7492.17</v>
      </c>
      <c r="O5798">
        <v>6000</v>
      </c>
      <c r="P5798">
        <v>1000</v>
      </c>
      <c r="Q5798">
        <v>25000</v>
      </c>
      <c r="R5798">
        <v>125</v>
      </c>
      <c r="S5798">
        <v>12954.84</v>
      </c>
      <c r="T5798">
        <v>7000</v>
      </c>
      <c r="U5798">
        <v>300</v>
      </c>
      <c r="V5798">
        <v>100000</v>
      </c>
      <c r="W5798">
        <v>89</v>
      </c>
      <c r="X5798">
        <v>3112.77</v>
      </c>
      <c r="Y5798">
        <v>1500</v>
      </c>
      <c r="Z5798">
        <v>400</v>
      </c>
      <c r="AA5798">
        <v>50000</v>
      </c>
      <c r="AB5798">
        <v>115</v>
      </c>
      <c r="AC5798">
        <v>16963.419999999998</v>
      </c>
      <c r="AD5798">
        <v>6000</v>
      </c>
      <c r="AE5798">
        <v>1000</v>
      </c>
      <c r="AF5798">
        <v>108000</v>
      </c>
      <c r="AG5798">
        <v>709</v>
      </c>
      <c r="AH5798">
        <v>4438.32</v>
      </c>
      <c r="AI5798">
        <v>3540</v>
      </c>
      <c r="AJ5798">
        <v>1300</v>
      </c>
      <c r="AK5798">
        <v>20000</v>
      </c>
      <c r="AQ5798">
        <v>18</v>
      </c>
      <c r="AR5798">
        <v>6775.65</v>
      </c>
      <c r="AS5798">
        <v>2500</v>
      </c>
      <c r="AT5798">
        <v>500</v>
      </c>
      <c r="AU5798">
        <v>20000</v>
      </c>
      <c r="AV5798">
        <v>45</v>
      </c>
      <c r="AW5798">
        <v>5695.2</v>
      </c>
      <c r="AX5798">
        <v>6000</v>
      </c>
      <c r="AY5798">
        <v>300</v>
      </c>
      <c r="AZ5798">
        <v>26600</v>
      </c>
      <c r="BA5798">
        <v>325</v>
      </c>
      <c r="BB5798">
        <v>4622.93</v>
      </c>
      <c r="BC5798">
        <v>3200</v>
      </c>
      <c r="BD5798">
        <v>640</v>
      </c>
      <c r="BE5798">
        <v>90000</v>
      </c>
      <c r="BF5798">
        <v>7</v>
      </c>
      <c r="BG5798">
        <v>2971.16</v>
      </c>
      <c r="BH5798">
        <v>2500</v>
      </c>
      <c r="BI5798">
        <v>500</v>
      </c>
      <c r="BJ5798">
        <v>6000</v>
      </c>
      <c r="BK5798">
        <v>4</v>
      </c>
      <c r="BL5798">
        <v>95219.68</v>
      </c>
      <c r="BM5798">
        <v>108000</v>
      </c>
      <c r="BN5798">
        <v>500</v>
      </c>
      <c r="BO5798">
        <v>108000</v>
      </c>
      <c r="BQ5798" t="s">
        <v>36</v>
      </c>
      <c r="BR5798" t="s">
        <v>236</v>
      </c>
      <c r="BS5798">
        <v>519</v>
      </c>
      <c r="BT5798">
        <v>4314.25</v>
      </c>
      <c r="BU5798">
        <v>3333.33</v>
      </c>
      <c r="BV5798">
        <v>275</v>
      </c>
      <c r="BW5798">
        <v>40000</v>
      </c>
      <c r="BX5798">
        <v>120</v>
      </c>
      <c r="BY5798">
        <v>1826.41</v>
      </c>
      <c r="BZ5798">
        <v>1250</v>
      </c>
      <c r="CA5798">
        <v>142.86000000000001</v>
      </c>
      <c r="CB5798">
        <v>12000</v>
      </c>
      <c r="CC5798">
        <v>226</v>
      </c>
      <c r="CD5798">
        <v>3667.08</v>
      </c>
      <c r="CE5798">
        <v>2500</v>
      </c>
      <c r="CF5798">
        <v>250</v>
      </c>
      <c r="CG5798">
        <v>20000</v>
      </c>
      <c r="CH5798">
        <v>125</v>
      </c>
      <c r="CI5798">
        <v>6193.63</v>
      </c>
      <c r="CJ5798">
        <v>2500</v>
      </c>
      <c r="CK5798">
        <v>100</v>
      </c>
      <c r="CL5798">
        <v>33333.33</v>
      </c>
      <c r="CM5798">
        <v>89</v>
      </c>
      <c r="CN5798">
        <v>1447.59</v>
      </c>
      <c r="CO5798">
        <v>600</v>
      </c>
      <c r="CP5798">
        <v>100</v>
      </c>
      <c r="CQ5798">
        <v>25000</v>
      </c>
      <c r="CR5798">
        <v>115</v>
      </c>
      <c r="CS5798">
        <v>8914.3700000000008</v>
      </c>
      <c r="CT5798">
        <v>3333.33</v>
      </c>
      <c r="CU5798">
        <v>222.22</v>
      </c>
      <c r="CV5798">
        <v>50000</v>
      </c>
      <c r="CW5798">
        <v>709</v>
      </c>
      <c r="CX5798">
        <v>2393.5700000000002</v>
      </c>
      <c r="CY5798">
        <v>2498.5</v>
      </c>
      <c r="CZ5798">
        <v>275</v>
      </c>
      <c r="DA5798">
        <v>10000</v>
      </c>
      <c r="DG5798">
        <v>18</v>
      </c>
      <c r="DH5798">
        <v>2608.64</v>
      </c>
      <c r="DI5798">
        <v>1500</v>
      </c>
      <c r="DJ5798">
        <v>250</v>
      </c>
      <c r="DK5798">
        <v>6666.67</v>
      </c>
      <c r="DL5798">
        <v>45</v>
      </c>
      <c r="DM5798">
        <v>2475.1799999999998</v>
      </c>
      <c r="DN5798">
        <v>2000</v>
      </c>
      <c r="DO5798">
        <v>150</v>
      </c>
      <c r="DP5798">
        <v>6660</v>
      </c>
      <c r="DQ5798">
        <v>325</v>
      </c>
      <c r="DR5798">
        <v>1567.57</v>
      </c>
      <c r="DS5798">
        <v>1500</v>
      </c>
      <c r="DT5798">
        <v>107.5</v>
      </c>
      <c r="DU5798">
        <v>18000</v>
      </c>
      <c r="DV5798">
        <v>7</v>
      </c>
      <c r="DW5798">
        <v>1489.07</v>
      </c>
      <c r="DX5798">
        <v>1250</v>
      </c>
      <c r="DY5798">
        <v>215</v>
      </c>
      <c r="DZ5798">
        <v>3000</v>
      </c>
      <c r="EA5798">
        <v>4</v>
      </c>
      <c r="EB5798">
        <v>31751.08</v>
      </c>
      <c r="EC5798">
        <v>36000</v>
      </c>
      <c r="ED5798">
        <v>250</v>
      </c>
      <c r="EE5798">
        <v>36000</v>
      </c>
    </row>
    <row r="5799" spans="1:135" x14ac:dyDescent="0.3">
      <c r="A5799" t="s">
        <v>36</v>
      </c>
      <c r="B5799" t="s">
        <v>238</v>
      </c>
      <c r="C5799">
        <v>285</v>
      </c>
      <c r="D5799">
        <v>18492.43</v>
      </c>
      <c r="E5799">
        <v>12000</v>
      </c>
      <c r="F5799">
        <v>3100</v>
      </c>
      <c r="G5799">
        <v>180000</v>
      </c>
      <c r="H5799">
        <v>52</v>
      </c>
      <c r="I5799">
        <v>7798.75</v>
      </c>
      <c r="J5799">
        <v>5000</v>
      </c>
      <c r="K5799">
        <v>1000</v>
      </c>
      <c r="L5799">
        <v>30000</v>
      </c>
      <c r="M5799">
        <v>111</v>
      </c>
      <c r="N5799">
        <v>11814.03</v>
      </c>
      <c r="O5799">
        <v>10000</v>
      </c>
      <c r="P5799">
        <v>1500</v>
      </c>
      <c r="Q5799">
        <v>41000</v>
      </c>
      <c r="R5799">
        <v>52</v>
      </c>
      <c r="S5799">
        <v>17656.89</v>
      </c>
      <c r="T5799">
        <v>10000</v>
      </c>
      <c r="U5799">
        <v>400</v>
      </c>
      <c r="V5799">
        <v>75000</v>
      </c>
      <c r="W5799">
        <v>15</v>
      </c>
      <c r="X5799">
        <v>3354.58</v>
      </c>
      <c r="Y5799">
        <v>3000</v>
      </c>
      <c r="Z5799">
        <v>917</v>
      </c>
      <c r="AA5799">
        <v>12000</v>
      </c>
      <c r="AB5799">
        <v>49</v>
      </c>
      <c r="AC5799">
        <v>14263.44</v>
      </c>
      <c r="AD5799">
        <v>4000</v>
      </c>
      <c r="AE5799">
        <v>1000</v>
      </c>
      <c r="AF5799">
        <v>100000</v>
      </c>
      <c r="AG5799">
        <v>332</v>
      </c>
      <c r="AH5799">
        <v>6181.63</v>
      </c>
      <c r="AI5799">
        <v>4600</v>
      </c>
      <c r="AJ5799">
        <v>1250</v>
      </c>
      <c r="AK5799">
        <v>22000</v>
      </c>
      <c r="AQ5799">
        <v>12</v>
      </c>
      <c r="AR5799">
        <v>5840.94</v>
      </c>
      <c r="AS5799">
        <v>5000</v>
      </c>
      <c r="AT5799">
        <v>500</v>
      </c>
      <c r="AU5799">
        <v>10000</v>
      </c>
      <c r="AV5799">
        <v>19</v>
      </c>
      <c r="AW5799">
        <v>3990.25</v>
      </c>
      <c r="AX5799">
        <v>2200</v>
      </c>
      <c r="AY5799">
        <v>1500</v>
      </c>
      <c r="AZ5799">
        <v>8000</v>
      </c>
      <c r="BA5799">
        <v>172</v>
      </c>
      <c r="BB5799">
        <v>4129.59</v>
      </c>
      <c r="BC5799">
        <v>2800</v>
      </c>
      <c r="BD5799">
        <v>650</v>
      </c>
      <c r="BE5799">
        <v>16000</v>
      </c>
      <c r="BF5799">
        <v>3</v>
      </c>
      <c r="BG5799">
        <v>2693.33</v>
      </c>
      <c r="BH5799">
        <v>3000</v>
      </c>
      <c r="BI5799">
        <v>550</v>
      </c>
      <c r="BJ5799">
        <v>3000</v>
      </c>
      <c r="BK5799">
        <v>5</v>
      </c>
      <c r="BL5799">
        <v>2163.98</v>
      </c>
      <c r="BM5799">
        <v>1500</v>
      </c>
      <c r="BN5799">
        <v>1000</v>
      </c>
      <c r="BO5799">
        <v>10000</v>
      </c>
      <c r="BQ5799" t="s">
        <v>36</v>
      </c>
      <c r="BR5799" t="s">
        <v>238</v>
      </c>
      <c r="BS5799">
        <v>285</v>
      </c>
      <c r="BT5799">
        <v>8151.86</v>
      </c>
      <c r="BU5799">
        <v>5333.33</v>
      </c>
      <c r="BV5799">
        <v>1000</v>
      </c>
      <c r="BW5799">
        <v>90000</v>
      </c>
      <c r="BX5799">
        <v>52</v>
      </c>
      <c r="BY5799">
        <v>4584.33</v>
      </c>
      <c r="BZ5799">
        <v>2000</v>
      </c>
      <c r="CA5799">
        <v>500</v>
      </c>
      <c r="CB5799">
        <v>20000</v>
      </c>
      <c r="CC5799">
        <v>111</v>
      </c>
      <c r="CD5799">
        <v>5305.98</v>
      </c>
      <c r="CE5799">
        <v>5000</v>
      </c>
      <c r="CF5799">
        <v>416.67</v>
      </c>
      <c r="CG5799">
        <v>23000</v>
      </c>
      <c r="CH5799">
        <v>52</v>
      </c>
      <c r="CI5799">
        <v>9605.7199999999993</v>
      </c>
      <c r="CJ5799">
        <v>4000</v>
      </c>
      <c r="CK5799">
        <v>350</v>
      </c>
      <c r="CL5799">
        <v>70000</v>
      </c>
      <c r="CM5799">
        <v>15</v>
      </c>
      <c r="CN5799">
        <v>2047.86</v>
      </c>
      <c r="CO5799">
        <v>1500</v>
      </c>
      <c r="CP5799">
        <v>208.33</v>
      </c>
      <c r="CQ5799">
        <v>9100</v>
      </c>
      <c r="CR5799">
        <v>49</v>
      </c>
      <c r="CS5799">
        <v>7864.26</v>
      </c>
      <c r="CT5799">
        <v>3000</v>
      </c>
      <c r="CU5799">
        <v>333.33</v>
      </c>
      <c r="CV5799">
        <v>100000</v>
      </c>
      <c r="CW5799">
        <v>332</v>
      </c>
      <c r="CX5799">
        <v>3274.43</v>
      </c>
      <c r="CY5799">
        <v>2700</v>
      </c>
      <c r="CZ5799">
        <v>416.67</v>
      </c>
      <c r="DA5799">
        <v>16500</v>
      </c>
      <c r="DG5799">
        <v>12</v>
      </c>
      <c r="DH5799">
        <v>5143.99</v>
      </c>
      <c r="DI5799">
        <v>5000</v>
      </c>
      <c r="DJ5799">
        <v>125</v>
      </c>
      <c r="DK5799">
        <v>10000</v>
      </c>
      <c r="DL5799">
        <v>19</v>
      </c>
      <c r="DM5799">
        <v>2095.13</v>
      </c>
      <c r="DN5799">
        <v>733.33</v>
      </c>
      <c r="DO5799">
        <v>333.33</v>
      </c>
      <c r="DP5799">
        <v>8000</v>
      </c>
      <c r="DQ5799">
        <v>172</v>
      </c>
      <c r="DR5799">
        <v>1617.58</v>
      </c>
      <c r="DS5799">
        <v>1563</v>
      </c>
      <c r="DT5799">
        <v>72.22</v>
      </c>
      <c r="DU5799">
        <v>6150</v>
      </c>
      <c r="DV5799">
        <v>3</v>
      </c>
      <c r="DW5799">
        <v>1406.43</v>
      </c>
      <c r="DX5799">
        <v>1500</v>
      </c>
      <c r="DY5799">
        <v>550</v>
      </c>
      <c r="DZ5799">
        <v>1500</v>
      </c>
      <c r="EA5799">
        <v>5</v>
      </c>
      <c r="EB5799">
        <v>1444.65</v>
      </c>
      <c r="EC5799">
        <v>1000</v>
      </c>
      <c r="ED5799">
        <v>500</v>
      </c>
      <c r="EE5799">
        <v>3500</v>
      </c>
    </row>
    <row r="5800" spans="1:135" x14ac:dyDescent="0.3">
      <c r="A5800" t="s">
        <v>34</v>
      </c>
      <c r="B5800" t="s">
        <v>236</v>
      </c>
      <c r="C5800">
        <v>227</v>
      </c>
      <c r="D5800">
        <v>11352.23</v>
      </c>
      <c r="E5800">
        <v>9000</v>
      </c>
      <c r="F5800">
        <v>1200</v>
      </c>
      <c r="G5800">
        <v>70000</v>
      </c>
      <c r="H5800">
        <v>48</v>
      </c>
      <c r="I5800">
        <v>4505.37</v>
      </c>
      <c r="J5800">
        <v>4000</v>
      </c>
      <c r="K5800">
        <v>2000</v>
      </c>
      <c r="L5800">
        <v>30000</v>
      </c>
      <c r="M5800">
        <v>96</v>
      </c>
      <c r="N5800">
        <v>7927.66</v>
      </c>
      <c r="O5800">
        <v>7000</v>
      </c>
      <c r="P5800">
        <v>1000</v>
      </c>
      <c r="Q5800">
        <v>37000</v>
      </c>
      <c r="R5800">
        <v>43</v>
      </c>
      <c r="S5800">
        <v>9228.85</v>
      </c>
      <c r="T5800">
        <v>5000</v>
      </c>
      <c r="U5800">
        <v>1000</v>
      </c>
      <c r="V5800">
        <v>65000</v>
      </c>
      <c r="W5800">
        <v>40</v>
      </c>
      <c r="X5800">
        <v>1710.6</v>
      </c>
      <c r="Y5800">
        <v>1800</v>
      </c>
      <c r="Z5800">
        <v>700</v>
      </c>
      <c r="AA5800">
        <v>10000</v>
      </c>
      <c r="AB5800">
        <v>57</v>
      </c>
      <c r="AC5800">
        <v>4698.2</v>
      </c>
      <c r="AD5800">
        <v>3000</v>
      </c>
      <c r="AE5800">
        <v>1000</v>
      </c>
      <c r="AF5800">
        <v>30000</v>
      </c>
      <c r="AG5800">
        <v>394</v>
      </c>
      <c r="AH5800">
        <v>5312.76</v>
      </c>
      <c r="AI5800">
        <v>4200</v>
      </c>
      <c r="AJ5800">
        <v>1900</v>
      </c>
      <c r="AK5800">
        <v>30000</v>
      </c>
      <c r="AQ5800">
        <v>16</v>
      </c>
      <c r="AR5800">
        <v>3616.05</v>
      </c>
      <c r="AS5800">
        <v>2000</v>
      </c>
      <c r="AT5800">
        <v>500</v>
      </c>
      <c r="AU5800">
        <v>8000</v>
      </c>
      <c r="AV5800">
        <v>9</v>
      </c>
      <c r="AW5800">
        <v>7228.18</v>
      </c>
      <c r="AX5800">
        <v>6600</v>
      </c>
      <c r="AY5800">
        <v>800</v>
      </c>
      <c r="AZ5800">
        <v>19800</v>
      </c>
      <c r="BA5800">
        <v>128</v>
      </c>
      <c r="BB5800">
        <v>5682.85</v>
      </c>
      <c r="BC5800">
        <v>4300</v>
      </c>
      <c r="BD5800">
        <v>800</v>
      </c>
      <c r="BE5800">
        <v>30000</v>
      </c>
      <c r="BF5800">
        <v>1</v>
      </c>
      <c r="BG5800">
        <v>1000</v>
      </c>
      <c r="BH5800">
        <v>1000</v>
      </c>
      <c r="BI5800">
        <v>1000</v>
      </c>
      <c r="BJ5800">
        <v>1000</v>
      </c>
      <c r="BK5800">
        <v>3</v>
      </c>
      <c r="BL5800">
        <v>9748.81</v>
      </c>
      <c r="BM5800">
        <v>20000</v>
      </c>
      <c r="BN5800">
        <v>2000</v>
      </c>
      <c r="BO5800">
        <v>20000</v>
      </c>
      <c r="BQ5800" t="s">
        <v>34</v>
      </c>
      <c r="BR5800" t="s">
        <v>236</v>
      </c>
      <c r="BS5800">
        <v>227</v>
      </c>
      <c r="BT5800">
        <v>4677.1899999999996</v>
      </c>
      <c r="BU5800">
        <v>3500</v>
      </c>
      <c r="BV5800">
        <v>300</v>
      </c>
      <c r="BW5800">
        <v>35000</v>
      </c>
      <c r="BX5800">
        <v>48</v>
      </c>
      <c r="BY5800">
        <v>1623.87</v>
      </c>
      <c r="BZ5800">
        <v>1000</v>
      </c>
      <c r="CA5800">
        <v>333.33</v>
      </c>
      <c r="CB5800">
        <v>10000</v>
      </c>
      <c r="CC5800">
        <v>96</v>
      </c>
      <c r="CD5800">
        <v>3532.18</v>
      </c>
      <c r="CE5800">
        <v>2500</v>
      </c>
      <c r="CF5800">
        <v>333.33</v>
      </c>
      <c r="CG5800">
        <v>17500</v>
      </c>
      <c r="CH5800">
        <v>43</v>
      </c>
      <c r="CI5800">
        <v>3271.1</v>
      </c>
      <c r="CJ5800">
        <v>1666.67</v>
      </c>
      <c r="CK5800">
        <v>250</v>
      </c>
      <c r="CL5800">
        <v>21666.67</v>
      </c>
      <c r="CM5800">
        <v>40</v>
      </c>
      <c r="CN5800">
        <v>1211.1500000000001</v>
      </c>
      <c r="CO5800">
        <v>1000</v>
      </c>
      <c r="CP5800">
        <v>200</v>
      </c>
      <c r="CQ5800">
        <v>10000</v>
      </c>
      <c r="CR5800">
        <v>57</v>
      </c>
      <c r="CS5800">
        <v>2740.25</v>
      </c>
      <c r="CT5800">
        <v>1500</v>
      </c>
      <c r="CU5800">
        <v>214.29</v>
      </c>
      <c r="CV5800">
        <v>25000</v>
      </c>
      <c r="CW5800">
        <v>394</v>
      </c>
      <c r="CX5800">
        <v>2832.91</v>
      </c>
      <c r="CY5800">
        <v>2700</v>
      </c>
      <c r="CZ5800">
        <v>250</v>
      </c>
      <c r="DA5800">
        <v>17900</v>
      </c>
      <c r="DG5800">
        <v>16</v>
      </c>
      <c r="DH5800">
        <v>1704.48</v>
      </c>
      <c r="DI5800">
        <v>1500</v>
      </c>
      <c r="DJ5800">
        <v>400</v>
      </c>
      <c r="DK5800">
        <v>5000</v>
      </c>
      <c r="DL5800">
        <v>9</v>
      </c>
      <c r="DM5800">
        <v>3017.38</v>
      </c>
      <c r="DN5800">
        <v>2200</v>
      </c>
      <c r="DO5800">
        <v>400</v>
      </c>
      <c r="DP5800">
        <v>6600</v>
      </c>
      <c r="DQ5800">
        <v>128</v>
      </c>
      <c r="DR5800">
        <v>1945.43</v>
      </c>
      <c r="DS5800">
        <v>1750</v>
      </c>
      <c r="DT5800">
        <v>143.33000000000001</v>
      </c>
      <c r="DU5800">
        <v>7500</v>
      </c>
      <c r="DV5800">
        <v>1</v>
      </c>
      <c r="DW5800">
        <v>1000</v>
      </c>
      <c r="DX5800">
        <v>1000</v>
      </c>
      <c r="DY5800">
        <v>1000</v>
      </c>
      <c r="DZ5800">
        <v>1000</v>
      </c>
      <c r="EA5800">
        <v>3</v>
      </c>
      <c r="EB5800">
        <v>3439.44</v>
      </c>
      <c r="EC5800">
        <v>6666.67</v>
      </c>
      <c r="ED5800">
        <v>1000</v>
      </c>
      <c r="EE5800">
        <v>6666.67</v>
      </c>
    </row>
    <row r="5801" spans="1:135" x14ac:dyDescent="0.3">
      <c r="A5801" t="s">
        <v>34</v>
      </c>
      <c r="B5801" t="s">
        <v>238</v>
      </c>
      <c r="C5801">
        <v>528</v>
      </c>
      <c r="D5801">
        <v>16217.28</v>
      </c>
      <c r="E5801">
        <v>12000</v>
      </c>
      <c r="F5801">
        <v>860</v>
      </c>
      <c r="G5801">
        <v>122000</v>
      </c>
      <c r="H5801">
        <v>81</v>
      </c>
      <c r="I5801">
        <v>6902.92</v>
      </c>
      <c r="J5801">
        <v>6000</v>
      </c>
      <c r="K5801">
        <v>700</v>
      </c>
      <c r="L5801">
        <v>27000</v>
      </c>
      <c r="M5801">
        <v>132</v>
      </c>
      <c r="N5801">
        <v>11690.62</v>
      </c>
      <c r="O5801">
        <v>10000</v>
      </c>
      <c r="P5801">
        <v>900</v>
      </c>
      <c r="Q5801">
        <v>60000</v>
      </c>
      <c r="R5801">
        <v>46</v>
      </c>
      <c r="S5801">
        <v>27004.12</v>
      </c>
      <c r="T5801">
        <v>15000</v>
      </c>
      <c r="U5801">
        <v>300</v>
      </c>
      <c r="V5801">
        <v>200000</v>
      </c>
      <c r="W5801">
        <v>9</v>
      </c>
      <c r="X5801">
        <v>3576.61</v>
      </c>
      <c r="Y5801">
        <v>2000</v>
      </c>
      <c r="Z5801">
        <v>500</v>
      </c>
      <c r="AA5801">
        <v>18000</v>
      </c>
      <c r="AB5801">
        <v>79</v>
      </c>
      <c r="AC5801">
        <v>10747.18</v>
      </c>
      <c r="AD5801">
        <v>5000</v>
      </c>
      <c r="AE5801">
        <v>500</v>
      </c>
      <c r="AF5801">
        <v>50000</v>
      </c>
      <c r="AG5801">
        <v>658</v>
      </c>
      <c r="AH5801">
        <v>5973.14</v>
      </c>
      <c r="AI5801">
        <v>4700</v>
      </c>
      <c r="AJ5801">
        <v>1600</v>
      </c>
      <c r="AK5801">
        <v>35000</v>
      </c>
      <c r="AL5801">
        <v>4</v>
      </c>
      <c r="AM5801">
        <v>5501.17</v>
      </c>
      <c r="AN5801">
        <v>7000</v>
      </c>
      <c r="AO5801">
        <v>2000</v>
      </c>
      <c r="AP5801">
        <v>7000</v>
      </c>
      <c r="AQ5801">
        <v>39</v>
      </c>
      <c r="AR5801">
        <v>5277.25</v>
      </c>
      <c r="AS5801">
        <v>4000</v>
      </c>
      <c r="AT5801">
        <v>500</v>
      </c>
      <c r="AU5801">
        <v>50000</v>
      </c>
      <c r="AV5801">
        <v>27</v>
      </c>
      <c r="AW5801">
        <v>8002.81</v>
      </c>
      <c r="AX5801">
        <v>6600</v>
      </c>
      <c r="AY5801">
        <v>2000</v>
      </c>
      <c r="AZ5801">
        <v>20000</v>
      </c>
      <c r="BA5801">
        <v>321</v>
      </c>
      <c r="BB5801">
        <v>5471.74</v>
      </c>
      <c r="BC5801">
        <v>4300</v>
      </c>
      <c r="BD5801">
        <v>600</v>
      </c>
      <c r="BE5801">
        <v>25000</v>
      </c>
      <c r="BF5801">
        <v>1</v>
      </c>
      <c r="BG5801">
        <v>1000</v>
      </c>
      <c r="BH5801">
        <v>1000</v>
      </c>
      <c r="BI5801">
        <v>1000</v>
      </c>
      <c r="BJ5801">
        <v>1000</v>
      </c>
      <c r="BK5801">
        <v>7</v>
      </c>
      <c r="BL5801">
        <v>24713.15</v>
      </c>
      <c r="BM5801">
        <v>3000</v>
      </c>
      <c r="BN5801">
        <v>1200</v>
      </c>
      <c r="BO5801">
        <v>50000</v>
      </c>
      <c r="BQ5801" t="s">
        <v>34</v>
      </c>
      <c r="BR5801" t="s">
        <v>238</v>
      </c>
      <c r="BS5801">
        <v>528</v>
      </c>
      <c r="BT5801">
        <v>7250.66</v>
      </c>
      <c r="BU5801">
        <v>5000</v>
      </c>
      <c r="BV5801">
        <v>215</v>
      </c>
      <c r="BW5801">
        <v>50000</v>
      </c>
      <c r="BX5801">
        <v>81</v>
      </c>
      <c r="BY5801">
        <v>3219.44</v>
      </c>
      <c r="BZ5801">
        <v>2166.67</v>
      </c>
      <c r="CA5801">
        <v>250</v>
      </c>
      <c r="CB5801">
        <v>15000</v>
      </c>
      <c r="CC5801">
        <v>132</v>
      </c>
      <c r="CD5801">
        <v>5063.07</v>
      </c>
      <c r="CE5801">
        <v>4375</v>
      </c>
      <c r="CF5801">
        <v>250</v>
      </c>
      <c r="CG5801">
        <v>40000</v>
      </c>
      <c r="CH5801">
        <v>46</v>
      </c>
      <c r="CI5801">
        <v>14096.18</v>
      </c>
      <c r="CJ5801">
        <v>5000</v>
      </c>
      <c r="CK5801">
        <v>75</v>
      </c>
      <c r="CL5801">
        <v>100000</v>
      </c>
      <c r="CM5801">
        <v>9</v>
      </c>
      <c r="CN5801">
        <v>2034.2</v>
      </c>
      <c r="CO5801">
        <v>1300</v>
      </c>
      <c r="CP5801">
        <v>125</v>
      </c>
      <c r="CQ5801">
        <v>9000</v>
      </c>
      <c r="CR5801">
        <v>79</v>
      </c>
      <c r="CS5801">
        <v>5116.1499999999996</v>
      </c>
      <c r="CT5801">
        <v>3000</v>
      </c>
      <c r="CU5801">
        <v>500</v>
      </c>
      <c r="CV5801">
        <v>50000</v>
      </c>
      <c r="CW5801">
        <v>658</v>
      </c>
      <c r="CX5801">
        <v>3258.96</v>
      </c>
      <c r="CY5801">
        <v>2900</v>
      </c>
      <c r="CZ5801">
        <v>366.67</v>
      </c>
      <c r="DA5801">
        <v>30000</v>
      </c>
      <c r="DB5801">
        <v>4</v>
      </c>
      <c r="DC5801">
        <v>2506.56</v>
      </c>
      <c r="DD5801">
        <v>1750</v>
      </c>
      <c r="DE5801">
        <v>1000</v>
      </c>
      <c r="DF5801">
        <v>7000</v>
      </c>
      <c r="DG5801">
        <v>39</v>
      </c>
      <c r="DH5801">
        <v>2624.44</v>
      </c>
      <c r="DI5801">
        <v>2000</v>
      </c>
      <c r="DJ5801">
        <v>150</v>
      </c>
      <c r="DK5801">
        <v>20000</v>
      </c>
      <c r="DL5801">
        <v>27</v>
      </c>
      <c r="DM5801">
        <v>3188.3</v>
      </c>
      <c r="DN5801">
        <v>2666.67</v>
      </c>
      <c r="DO5801">
        <v>733.33</v>
      </c>
      <c r="DP5801">
        <v>6600</v>
      </c>
      <c r="DQ5801">
        <v>321</v>
      </c>
      <c r="DR5801">
        <v>2124.4</v>
      </c>
      <c r="DS5801">
        <v>2000</v>
      </c>
      <c r="DT5801">
        <v>107.5</v>
      </c>
      <c r="DU5801">
        <v>25000</v>
      </c>
      <c r="DV5801">
        <v>1</v>
      </c>
      <c r="DW5801">
        <v>1000</v>
      </c>
      <c r="DX5801">
        <v>1000</v>
      </c>
      <c r="DY5801">
        <v>1000</v>
      </c>
      <c r="DZ5801">
        <v>1000</v>
      </c>
      <c r="EA5801">
        <v>7</v>
      </c>
      <c r="EB5801">
        <v>7799.05</v>
      </c>
      <c r="EC5801">
        <v>1500</v>
      </c>
      <c r="ED5801">
        <v>300</v>
      </c>
      <c r="EE5801">
        <v>16666.669999999998</v>
      </c>
    </row>
    <row r="5802" spans="1:135" x14ac:dyDescent="0.3">
      <c r="A5802" t="s">
        <v>33</v>
      </c>
      <c r="B5802" t="s">
        <v>236</v>
      </c>
      <c r="C5802">
        <v>481</v>
      </c>
      <c r="D5802">
        <v>13472.92</v>
      </c>
      <c r="E5802">
        <v>11600</v>
      </c>
      <c r="F5802">
        <v>3000</v>
      </c>
      <c r="G5802">
        <v>70000</v>
      </c>
      <c r="H5802">
        <v>45</v>
      </c>
      <c r="I5802">
        <v>7376.5</v>
      </c>
      <c r="J5802">
        <v>7000</v>
      </c>
      <c r="K5802">
        <v>2000</v>
      </c>
      <c r="L5802">
        <v>17000</v>
      </c>
      <c r="M5802">
        <v>72</v>
      </c>
      <c r="N5802">
        <v>7957.96</v>
      </c>
      <c r="O5802">
        <v>7000</v>
      </c>
      <c r="P5802">
        <v>1500</v>
      </c>
      <c r="Q5802">
        <v>30000</v>
      </c>
      <c r="R5802">
        <v>74</v>
      </c>
      <c r="S5802">
        <v>13521.05</v>
      </c>
      <c r="T5802">
        <v>10000</v>
      </c>
      <c r="U5802">
        <v>1000</v>
      </c>
      <c r="V5802">
        <v>50000</v>
      </c>
      <c r="W5802">
        <v>224</v>
      </c>
      <c r="X5802">
        <v>2636.3</v>
      </c>
      <c r="Y5802">
        <v>2000</v>
      </c>
      <c r="Z5802">
        <v>500</v>
      </c>
      <c r="AA5802">
        <v>17000</v>
      </c>
      <c r="AB5802">
        <v>56</v>
      </c>
      <c r="AC5802">
        <v>9438.98</v>
      </c>
      <c r="AD5802">
        <v>5000</v>
      </c>
      <c r="AE5802">
        <v>1000</v>
      </c>
      <c r="AF5802">
        <v>40000</v>
      </c>
      <c r="AG5802">
        <v>601</v>
      </c>
      <c r="AH5802">
        <v>5090.28</v>
      </c>
      <c r="AI5802">
        <v>4200</v>
      </c>
      <c r="AJ5802">
        <v>1300</v>
      </c>
      <c r="AK5802">
        <v>21000</v>
      </c>
      <c r="AQ5802">
        <v>26</v>
      </c>
      <c r="AR5802">
        <v>2151.35</v>
      </c>
      <c r="AS5802">
        <v>2000</v>
      </c>
      <c r="AT5802">
        <v>1000</v>
      </c>
      <c r="AU5802">
        <v>4000</v>
      </c>
      <c r="AV5802">
        <v>2</v>
      </c>
      <c r="AW5802">
        <v>33013.919999999998</v>
      </c>
      <c r="AX5802">
        <v>70000</v>
      </c>
      <c r="AY5802">
        <v>2000</v>
      </c>
      <c r="AZ5802">
        <v>70000</v>
      </c>
      <c r="BA5802">
        <v>131</v>
      </c>
      <c r="BB5802">
        <v>3904.77</v>
      </c>
      <c r="BC5802">
        <v>2800</v>
      </c>
      <c r="BD5802">
        <v>600</v>
      </c>
      <c r="BE5802">
        <v>20000</v>
      </c>
      <c r="BF5802">
        <v>1</v>
      </c>
      <c r="BG5802">
        <v>2000</v>
      </c>
      <c r="BH5802">
        <v>2000</v>
      </c>
      <c r="BI5802">
        <v>2000</v>
      </c>
      <c r="BJ5802">
        <v>2000</v>
      </c>
      <c r="BQ5802" t="s">
        <v>33</v>
      </c>
      <c r="BR5802" t="s">
        <v>236</v>
      </c>
      <c r="BS5802">
        <v>481</v>
      </c>
      <c r="BT5802">
        <v>5188.6899999999996</v>
      </c>
      <c r="BU5802">
        <v>4500</v>
      </c>
      <c r="BV5802">
        <v>800</v>
      </c>
      <c r="BW5802">
        <v>30000</v>
      </c>
      <c r="BX5802">
        <v>45</v>
      </c>
      <c r="BY5802">
        <v>2546.66</v>
      </c>
      <c r="BZ5802">
        <v>2500</v>
      </c>
      <c r="CA5802">
        <v>333.33</v>
      </c>
      <c r="CB5802">
        <v>7500</v>
      </c>
      <c r="CC5802">
        <v>72</v>
      </c>
      <c r="CD5802">
        <v>3552.08</v>
      </c>
      <c r="CE5802">
        <v>3000</v>
      </c>
      <c r="CF5802">
        <v>750</v>
      </c>
      <c r="CG5802">
        <v>13000</v>
      </c>
      <c r="CH5802">
        <v>74</v>
      </c>
      <c r="CI5802">
        <v>5422.94</v>
      </c>
      <c r="CJ5802">
        <v>3750</v>
      </c>
      <c r="CK5802">
        <v>500</v>
      </c>
      <c r="CL5802">
        <v>25000</v>
      </c>
      <c r="CM5802">
        <v>224</v>
      </c>
      <c r="CN5802">
        <v>1266.19</v>
      </c>
      <c r="CO5802">
        <v>1000</v>
      </c>
      <c r="CP5802">
        <v>200</v>
      </c>
      <c r="CQ5802">
        <v>12000</v>
      </c>
      <c r="CR5802">
        <v>56</v>
      </c>
      <c r="CS5802">
        <v>3899.44</v>
      </c>
      <c r="CT5802">
        <v>3000</v>
      </c>
      <c r="CU5802">
        <v>500</v>
      </c>
      <c r="CV5802">
        <v>15000</v>
      </c>
      <c r="CW5802">
        <v>601</v>
      </c>
      <c r="CX5802">
        <v>2986.38</v>
      </c>
      <c r="CY5802">
        <v>3000</v>
      </c>
      <c r="CZ5802">
        <v>375</v>
      </c>
      <c r="DA5802">
        <v>10500</v>
      </c>
      <c r="DG5802">
        <v>26</v>
      </c>
      <c r="DH5802">
        <v>1110.83</v>
      </c>
      <c r="DI5802">
        <v>1000</v>
      </c>
      <c r="DJ5802">
        <v>500</v>
      </c>
      <c r="DK5802">
        <v>2000</v>
      </c>
      <c r="DL5802">
        <v>2</v>
      </c>
      <c r="DM5802">
        <v>7473.04</v>
      </c>
      <c r="DN5802">
        <v>14000</v>
      </c>
      <c r="DO5802">
        <v>2000</v>
      </c>
      <c r="DP5802">
        <v>14000</v>
      </c>
      <c r="DQ5802">
        <v>131</v>
      </c>
      <c r="DR5802">
        <v>1462.4</v>
      </c>
      <c r="DS5802">
        <v>1265</v>
      </c>
      <c r="DT5802">
        <v>114.29</v>
      </c>
      <c r="DU5802">
        <v>5300</v>
      </c>
      <c r="DV5802">
        <v>1</v>
      </c>
      <c r="DW5802">
        <v>2000</v>
      </c>
      <c r="DX5802">
        <v>2000</v>
      </c>
      <c r="DY5802">
        <v>2000</v>
      </c>
      <c r="DZ5802">
        <v>2000</v>
      </c>
    </row>
    <row r="5803" spans="1:135" x14ac:dyDescent="0.3">
      <c r="A5803" t="s">
        <v>33</v>
      </c>
      <c r="B5803" t="s">
        <v>238</v>
      </c>
      <c r="C5803">
        <v>429</v>
      </c>
      <c r="D5803">
        <v>18116.59</v>
      </c>
      <c r="E5803">
        <v>15000</v>
      </c>
      <c r="F5803">
        <v>4000</v>
      </c>
      <c r="G5803">
        <v>200000</v>
      </c>
      <c r="H5803">
        <v>29</v>
      </c>
      <c r="I5803">
        <v>10102.25</v>
      </c>
      <c r="J5803">
        <v>8000</v>
      </c>
      <c r="K5803">
        <v>3000</v>
      </c>
      <c r="L5803">
        <v>50000</v>
      </c>
      <c r="M5803">
        <v>61</v>
      </c>
      <c r="N5803">
        <v>9525.77</v>
      </c>
      <c r="O5803">
        <v>8000</v>
      </c>
      <c r="P5803">
        <v>2000</v>
      </c>
      <c r="Q5803">
        <v>40000</v>
      </c>
      <c r="R5803">
        <v>65</v>
      </c>
      <c r="S5803">
        <v>30028.9</v>
      </c>
      <c r="T5803">
        <v>25000</v>
      </c>
      <c r="U5803">
        <v>1000</v>
      </c>
      <c r="V5803">
        <v>100000</v>
      </c>
      <c r="W5803">
        <v>32</v>
      </c>
      <c r="X5803">
        <v>4666.43</v>
      </c>
      <c r="Y5803">
        <v>4000</v>
      </c>
      <c r="Z5803">
        <v>1000</v>
      </c>
      <c r="AA5803">
        <v>20000</v>
      </c>
      <c r="AB5803">
        <v>50</v>
      </c>
      <c r="AC5803">
        <v>7952.87</v>
      </c>
      <c r="AD5803">
        <v>5000</v>
      </c>
      <c r="AE5803">
        <v>500</v>
      </c>
      <c r="AF5803">
        <v>30000</v>
      </c>
      <c r="AG5803">
        <v>317</v>
      </c>
      <c r="AH5803">
        <v>5670.5</v>
      </c>
      <c r="AI5803">
        <v>4800</v>
      </c>
      <c r="AJ5803">
        <v>1000</v>
      </c>
      <c r="AK5803">
        <v>23000</v>
      </c>
      <c r="AQ5803">
        <v>21</v>
      </c>
      <c r="AR5803">
        <v>3140.46</v>
      </c>
      <c r="AS5803">
        <v>3000</v>
      </c>
      <c r="AT5803">
        <v>2000</v>
      </c>
      <c r="AU5803">
        <v>6000</v>
      </c>
      <c r="AV5803">
        <v>4</v>
      </c>
      <c r="AW5803">
        <v>2697.86</v>
      </c>
      <c r="AX5803">
        <v>1000</v>
      </c>
      <c r="AY5803">
        <v>400</v>
      </c>
      <c r="AZ5803">
        <v>5000</v>
      </c>
      <c r="BA5803">
        <v>105</v>
      </c>
      <c r="BB5803">
        <v>3851.08</v>
      </c>
      <c r="BC5803">
        <v>2500</v>
      </c>
      <c r="BD5803">
        <v>800</v>
      </c>
      <c r="BE5803">
        <v>26000</v>
      </c>
      <c r="BQ5803" t="s">
        <v>33</v>
      </c>
      <c r="BR5803" t="s">
        <v>238</v>
      </c>
      <c r="BS5803">
        <v>429</v>
      </c>
      <c r="BT5803">
        <v>7615.81</v>
      </c>
      <c r="BU5803">
        <v>6000</v>
      </c>
      <c r="BV5803">
        <v>1000</v>
      </c>
      <c r="BW5803">
        <v>66666.67</v>
      </c>
      <c r="BX5803">
        <v>29</v>
      </c>
      <c r="BY5803">
        <v>4095.95</v>
      </c>
      <c r="BZ5803">
        <v>3333.33</v>
      </c>
      <c r="CA5803">
        <v>400</v>
      </c>
      <c r="CB5803">
        <v>12500</v>
      </c>
      <c r="CC5803">
        <v>61</v>
      </c>
      <c r="CD5803">
        <v>4292.62</v>
      </c>
      <c r="CE5803">
        <v>3333.33</v>
      </c>
      <c r="CF5803">
        <v>666.67</v>
      </c>
      <c r="CG5803">
        <v>20000</v>
      </c>
      <c r="CH5803">
        <v>65</v>
      </c>
      <c r="CI5803">
        <v>11968.29</v>
      </c>
      <c r="CJ5803">
        <v>9000</v>
      </c>
      <c r="CK5803">
        <v>666.67</v>
      </c>
      <c r="CL5803">
        <v>50000</v>
      </c>
      <c r="CM5803">
        <v>32</v>
      </c>
      <c r="CN5803">
        <v>2328.34</v>
      </c>
      <c r="CO5803">
        <v>1400</v>
      </c>
      <c r="CP5803">
        <v>500</v>
      </c>
      <c r="CQ5803">
        <v>15000</v>
      </c>
      <c r="CR5803">
        <v>50</v>
      </c>
      <c r="CS5803">
        <v>3910.89</v>
      </c>
      <c r="CT5803">
        <v>3250</v>
      </c>
      <c r="CU5803">
        <v>500</v>
      </c>
      <c r="CV5803">
        <v>10000</v>
      </c>
      <c r="CW5803">
        <v>317</v>
      </c>
      <c r="CX5803">
        <v>3410.13</v>
      </c>
      <c r="CY5803">
        <v>3400</v>
      </c>
      <c r="CZ5803">
        <v>500</v>
      </c>
      <c r="DA5803">
        <v>11500</v>
      </c>
      <c r="DG5803">
        <v>21</v>
      </c>
      <c r="DH5803">
        <v>1622.69</v>
      </c>
      <c r="DI5803">
        <v>1500</v>
      </c>
      <c r="DJ5803">
        <v>750</v>
      </c>
      <c r="DK5803">
        <v>3000</v>
      </c>
      <c r="DL5803">
        <v>4</v>
      </c>
      <c r="DM5803">
        <v>1455.05</v>
      </c>
      <c r="DN5803">
        <v>1000</v>
      </c>
      <c r="DO5803">
        <v>200</v>
      </c>
      <c r="DP5803">
        <v>2500</v>
      </c>
      <c r="DQ5803">
        <v>105</v>
      </c>
      <c r="DR5803">
        <v>1678.14</v>
      </c>
      <c r="DS5803">
        <v>1250</v>
      </c>
      <c r="DT5803">
        <v>143.33000000000001</v>
      </c>
      <c r="DU5803">
        <v>23000</v>
      </c>
    </row>
    <row r="5804" spans="1:135" x14ac:dyDescent="0.3">
      <c r="A5804" t="s">
        <v>49</v>
      </c>
      <c r="B5804" t="s">
        <v>236</v>
      </c>
      <c r="C5804">
        <v>2688</v>
      </c>
      <c r="D5804">
        <v>14102.11</v>
      </c>
      <c r="E5804">
        <v>11000</v>
      </c>
      <c r="F5804">
        <v>1000</v>
      </c>
      <c r="G5804">
        <v>250000</v>
      </c>
      <c r="H5804">
        <v>437</v>
      </c>
      <c r="I5804">
        <v>7113.02</v>
      </c>
      <c r="J5804">
        <v>6000</v>
      </c>
      <c r="K5804">
        <v>500</v>
      </c>
      <c r="L5804">
        <v>30000</v>
      </c>
      <c r="M5804">
        <v>757</v>
      </c>
      <c r="N5804">
        <v>9109.5</v>
      </c>
      <c r="O5804">
        <v>7360</v>
      </c>
      <c r="P5804">
        <v>1000</v>
      </c>
      <c r="Q5804">
        <v>50000</v>
      </c>
      <c r="R5804">
        <v>472</v>
      </c>
      <c r="S5804">
        <v>14076.56</v>
      </c>
      <c r="T5804">
        <v>7500</v>
      </c>
      <c r="U5804">
        <v>300</v>
      </c>
      <c r="V5804">
        <v>200000</v>
      </c>
      <c r="W5804">
        <v>701</v>
      </c>
      <c r="X5804">
        <v>2166.5500000000002</v>
      </c>
      <c r="Y5804">
        <v>1500</v>
      </c>
      <c r="Z5804">
        <v>334</v>
      </c>
      <c r="AA5804">
        <v>50000</v>
      </c>
      <c r="AB5804">
        <v>478</v>
      </c>
      <c r="AC5804">
        <v>8621.8799999999992</v>
      </c>
      <c r="AD5804">
        <v>5000</v>
      </c>
      <c r="AE5804">
        <v>300</v>
      </c>
      <c r="AF5804">
        <v>108000</v>
      </c>
      <c r="AG5804">
        <v>3723</v>
      </c>
      <c r="AH5804">
        <v>5001.5</v>
      </c>
      <c r="AI5804">
        <v>4000</v>
      </c>
      <c r="AJ5804">
        <v>1300</v>
      </c>
      <c r="AK5804">
        <v>78000</v>
      </c>
      <c r="AL5804">
        <v>4</v>
      </c>
      <c r="AM5804">
        <v>19323.55</v>
      </c>
      <c r="AN5804">
        <v>1500</v>
      </c>
      <c r="AO5804">
        <v>500</v>
      </c>
      <c r="AP5804">
        <v>70000</v>
      </c>
      <c r="AQ5804">
        <v>114</v>
      </c>
      <c r="AR5804">
        <v>6081.05</v>
      </c>
      <c r="AS5804">
        <v>2000</v>
      </c>
      <c r="AT5804">
        <v>500</v>
      </c>
      <c r="AU5804">
        <v>100000</v>
      </c>
      <c r="AV5804">
        <v>66</v>
      </c>
      <c r="AW5804">
        <v>7433.98</v>
      </c>
      <c r="AX5804">
        <v>6600</v>
      </c>
      <c r="AY5804">
        <v>300</v>
      </c>
      <c r="AZ5804">
        <v>70000</v>
      </c>
      <c r="BA5804">
        <v>1256</v>
      </c>
      <c r="BB5804">
        <v>4262.12</v>
      </c>
      <c r="BC5804">
        <v>2900</v>
      </c>
      <c r="BD5804">
        <v>600</v>
      </c>
      <c r="BE5804">
        <v>90000</v>
      </c>
      <c r="BF5804">
        <v>12</v>
      </c>
      <c r="BG5804">
        <v>3526.59</v>
      </c>
      <c r="BH5804">
        <v>3000</v>
      </c>
      <c r="BI5804">
        <v>500</v>
      </c>
      <c r="BJ5804">
        <v>7000</v>
      </c>
      <c r="BK5804">
        <v>19</v>
      </c>
      <c r="BL5804">
        <v>24272.46</v>
      </c>
      <c r="BM5804">
        <v>3000</v>
      </c>
      <c r="BN5804">
        <v>370</v>
      </c>
      <c r="BO5804">
        <v>108000</v>
      </c>
      <c r="BQ5804" t="s">
        <v>49</v>
      </c>
      <c r="BR5804" t="s">
        <v>236</v>
      </c>
      <c r="BS5804">
        <v>2688</v>
      </c>
      <c r="BT5804">
        <v>5303.8</v>
      </c>
      <c r="BU5804">
        <v>4000</v>
      </c>
      <c r="BV5804">
        <v>200</v>
      </c>
      <c r="BW5804">
        <v>90000</v>
      </c>
      <c r="BX5804">
        <v>437</v>
      </c>
      <c r="BY5804">
        <v>2828.92</v>
      </c>
      <c r="BZ5804">
        <v>2140</v>
      </c>
      <c r="CA5804">
        <v>142.86000000000001</v>
      </c>
      <c r="CB5804">
        <v>25000</v>
      </c>
      <c r="CC5804">
        <v>757</v>
      </c>
      <c r="CD5804">
        <v>3735.8</v>
      </c>
      <c r="CE5804">
        <v>2666.67</v>
      </c>
      <c r="CF5804">
        <v>250</v>
      </c>
      <c r="CG5804">
        <v>30000</v>
      </c>
      <c r="CH5804">
        <v>472</v>
      </c>
      <c r="CI5804">
        <v>5663.67</v>
      </c>
      <c r="CJ5804">
        <v>3000</v>
      </c>
      <c r="CK5804">
        <v>100</v>
      </c>
      <c r="CL5804">
        <v>70000</v>
      </c>
      <c r="CM5804">
        <v>701</v>
      </c>
      <c r="CN5804">
        <v>1117.52</v>
      </c>
      <c r="CO5804">
        <v>800</v>
      </c>
      <c r="CP5804">
        <v>80</v>
      </c>
      <c r="CQ5804">
        <v>25000</v>
      </c>
      <c r="CR5804">
        <v>478</v>
      </c>
      <c r="CS5804">
        <v>4436.25</v>
      </c>
      <c r="CT5804">
        <v>3000</v>
      </c>
      <c r="CU5804">
        <v>100</v>
      </c>
      <c r="CV5804">
        <v>50000</v>
      </c>
      <c r="CW5804">
        <v>3723</v>
      </c>
      <c r="CX5804">
        <v>2760.2</v>
      </c>
      <c r="CY5804">
        <v>2700</v>
      </c>
      <c r="CZ5804">
        <v>250</v>
      </c>
      <c r="DA5804">
        <v>78000</v>
      </c>
      <c r="DB5804">
        <v>4</v>
      </c>
      <c r="DC5804">
        <v>5111.03</v>
      </c>
      <c r="DD5804">
        <v>1500</v>
      </c>
      <c r="DE5804">
        <v>214.29</v>
      </c>
      <c r="DF5804">
        <v>17500</v>
      </c>
      <c r="DG5804">
        <v>114</v>
      </c>
      <c r="DH5804">
        <v>3461.4</v>
      </c>
      <c r="DI5804">
        <v>1500</v>
      </c>
      <c r="DJ5804">
        <v>150</v>
      </c>
      <c r="DK5804">
        <v>100000</v>
      </c>
      <c r="DL5804">
        <v>66</v>
      </c>
      <c r="DM5804">
        <v>2975.21</v>
      </c>
      <c r="DN5804">
        <v>2200</v>
      </c>
      <c r="DO5804">
        <v>150</v>
      </c>
      <c r="DP5804">
        <v>14000</v>
      </c>
      <c r="DQ5804">
        <v>1256</v>
      </c>
      <c r="DR5804">
        <v>1600.16</v>
      </c>
      <c r="DS5804">
        <v>1350</v>
      </c>
      <c r="DT5804">
        <v>107.5</v>
      </c>
      <c r="DU5804">
        <v>18000</v>
      </c>
      <c r="DV5804">
        <v>12</v>
      </c>
      <c r="DW5804">
        <v>1542.08</v>
      </c>
      <c r="DX5804">
        <v>1000</v>
      </c>
      <c r="DY5804">
        <v>215</v>
      </c>
      <c r="DZ5804">
        <v>3500</v>
      </c>
      <c r="EA5804">
        <v>19</v>
      </c>
      <c r="EB5804">
        <v>9224.7900000000009</v>
      </c>
      <c r="EC5804">
        <v>1000</v>
      </c>
      <c r="ED5804">
        <v>185</v>
      </c>
      <c r="EE5804">
        <v>36000</v>
      </c>
    </row>
    <row r="5805" spans="1:135" x14ac:dyDescent="0.3">
      <c r="A5805" t="s">
        <v>49</v>
      </c>
      <c r="B5805" t="s">
        <v>238</v>
      </c>
      <c r="C5805">
        <v>2693</v>
      </c>
      <c r="D5805">
        <v>19793.93</v>
      </c>
      <c r="E5805">
        <v>15200</v>
      </c>
      <c r="F5805">
        <v>860</v>
      </c>
      <c r="G5805">
        <v>200000</v>
      </c>
      <c r="H5805">
        <v>355</v>
      </c>
      <c r="I5805">
        <v>9043.06</v>
      </c>
      <c r="J5805">
        <v>8000</v>
      </c>
      <c r="K5805">
        <v>700</v>
      </c>
      <c r="L5805">
        <v>60000</v>
      </c>
      <c r="M5805">
        <v>549</v>
      </c>
      <c r="N5805">
        <v>10527.57</v>
      </c>
      <c r="O5805">
        <v>9000</v>
      </c>
      <c r="P5805">
        <v>900</v>
      </c>
      <c r="Q5805">
        <v>60000</v>
      </c>
      <c r="R5805">
        <v>300</v>
      </c>
      <c r="S5805">
        <v>25142.43</v>
      </c>
      <c r="T5805">
        <v>20000</v>
      </c>
      <c r="U5805">
        <v>300</v>
      </c>
      <c r="V5805">
        <v>200000</v>
      </c>
      <c r="W5805">
        <v>120</v>
      </c>
      <c r="X5805">
        <v>4099.2</v>
      </c>
      <c r="Y5805">
        <v>3000</v>
      </c>
      <c r="Z5805">
        <v>330</v>
      </c>
      <c r="AA5805">
        <v>20000</v>
      </c>
      <c r="AB5805">
        <v>389</v>
      </c>
      <c r="AC5805">
        <v>9086.7099999999991</v>
      </c>
      <c r="AD5805">
        <v>5000</v>
      </c>
      <c r="AE5805">
        <v>300</v>
      </c>
      <c r="AF5805">
        <v>100000</v>
      </c>
      <c r="AG5805">
        <v>2679</v>
      </c>
      <c r="AH5805">
        <v>5847.15</v>
      </c>
      <c r="AI5805">
        <v>4700</v>
      </c>
      <c r="AJ5805">
        <v>1000</v>
      </c>
      <c r="AK5805">
        <v>35000</v>
      </c>
      <c r="AL5805">
        <v>9</v>
      </c>
      <c r="AM5805">
        <v>4810.7299999999996</v>
      </c>
      <c r="AN5805">
        <v>2000</v>
      </c>
      <c r="AO5805">
        <v>2000</v>
      </c>
      <c r="AP5805">
        <v>40000</v>
      </c>
      <c r="AQ5805">
        <v>143</v>
      </c>
      <c r="AR5805">
        <v>6550.62</v>
      </c>
      <c r="AS5805">
        <v>3500</v>
      </c>
      <c r="AT5805">
        <v>500</v>
      </c>
      <c r="AU5805">
        <v>200000</v>
      </c>
      <c r="AV5805">
        <v>80</v>
      </c>
      <c r="AW5805">
        <v>5829.72</v>
      </c>
      <c r="AX5805">
        <v>5000</v>
      </c>
      <c r="AY5805">
        <v>337</v>
      </c>
      <c r="AZ5805">
        <v>33300</v>
      </c>
      <c r="BA5805">
        <v>1117</v>
      </c>
      <c r="BB5805">
        <v>4352.8599999999997</v>
      </c>
      <c r="BC5805">
        <v>3000</v>
      </c>
      <c r="BD5805">
        <v>600</v>
      </c>
      <c r="BE5805">
        <v>42000</v>
      </c>
      <c r="BF5805">
        <v>11</v>
      </c>
      <c r="BG5805">
        <v>1606.71</v>
      </c>
      <c r="BH5805">
        <v>500</v>
      </c>
      <c r="BI5805">
        <v>500</v>
      </c>
      <c r="BJ5805">
        <v>8000</v>
      </c>
      <c r="BK5805">
        <v>22</v>
      </c>
      <c r="BL5805">
        <v>12121.27</v>
      </c>
      <c r="BM5805">
        <v>2500</v>
      </c>
      <c r="BN5805">
        <v>800</v>
      </c>
      <c r="BO5805">
        <v>56000</v>
      </c>
      <c r="BQ5805" t="s">
        <v>49</v>
      </c>
      <c r="BR5805" t="s">
        <v>238</v>
      </c>
      <c r="BS5805">
        <v>2693</v>
      </c>
      <c r="BT5805">
        <v>8741.94</v>
      </c>
      <c r="BU5805">
        <v>6333.33</v>
      </c>
      <c r="BV5805">
        <v>215</v>
      </c>
      <c r="BW5805">
        <v>100000</v>
      </c>
      <c r="BX5805">
        <v>355</v>
      </c>
      <c r="BY5805">
        <v>4827.51</v>
      </c>
      <c r="BZ5805">
        <v>3333.33</v>
      </c>
      <c r="CA5805">
        <v>250</v>
      </c>
      <c r="CB5805">
        <v>29000</v>
      </c>
      <c r="CC5805">
        <v>549</v>
      </c>
      <c r="CD5805">
        <v>4996.99</v>
      </c>
      <c r="CE5805">
        <v>3500</v>
      </c>
      <c r="CF5805">
        <v>250</v>
      </c>
      <c r="CG5805">
        <v>52000</v>
      </c>
      <c r="CH5805">
        <v>300</v>
      </c>
      <c r="CI5805">
        <v>11381.11</v>
      </c>
      <c r="CJ5805">
        <v>7500</v>
      </c>
      <c r="CK5805">
        <v>75</v>
      </c>
      <c r="CL5805">
        <v>100000</v>
      </c>
      <c r="CM5805">
        <v>120</v>
      </c>
      <c r="CN5805">
        <v>2128.77</v>
      </c>
      <c r="CO5805">
        <v>1300</v>
      </c>
      <c r="CP5805">
        <v>125</v>
      </c>
      <c r="CQ5805">
        <v>15000</v>
      </c>
      <c r="CR5805">
        <v>389</v>
      </c>
      <c r="CS5805">
        <v>4632.38</v>
      </c>
      <c r="CT5805">
        <v>3000</v>
      </c>
      <c r="CU5805">
        <v>75</v>
      </c>
      <c r="CV5805">
        <v>100000</v>
      </c>
      <c r="CW5805">
        <v>2679</v>
      </c>
      <c r="CX5805">
        <v>3280.25</v>
      </c>
      <c r="CY5805">
        <v>2900</v>
      </c>
      <c r="CZ5805">
        <v>333.33</v>
      </c>
      <c r="DA5805">
        <v>30000</v>
      </c>
      <c r="DB5805">
        <v>9</v>
      </c>
      <c r="DC5805">
        <v>3345.5</v>
      </c>
      <c r="DD5805">
        <v>1000</v>
      </c>
      <c r="DE5805">
        <v>666.67</v>
      </c>
      <c r="DF5805">
        <v>40000</v>
      </c>
      <c r="DG5805">
        <v>143</v>
      </c>
      <c r="DH5805">
        <v>3321.1</v>
      </c>
      <c r="DI5805">
        <v>1750</v>
      </c>
      <c r="DJ5805">
        <v>125</v>
      </c>
      <c r="DK5805">
        <v>66666.67</v>
      </c>
      <c r="DL5805">
        <v>80</v>
      </c>
      <c r="DM5805">
        <v>2333.19</v>
      </c>
      <c r="DN5805">
        <v>2000</v>
      </c>
      <c r="DO5805">
        <v>200</v>
      </c>
      <c r="DP5805">
        <v>8000</v>
      </c>
      <c r="DQ5805">
        <v>1117</v>
      </c>
      <c r="DR5805">
        <v>1803.95</v>
      </c>
      <c r="DS5805">
        <v>1666.67</v>
      </c>
      <c r="DT5805">
        <v>72.22</v>
      </c>
      <c r="DU5805">
        <v>25000</v>
      </c>
      <c r="DV5805">
        <v>11</v>
      </c>
      <c r="DW5805">
        <v>931.63</v>
      </c>
      <c r="DX5805">
        <v>500</v>
      </c>
      <c r="DY5805">
        <v>500</v>
      </c>
      <c r="DZ5805">
        <v>4000</v>
      </c>
      <c r="EA5805">
        <v>22</v>
      </c>
      <c r="EB5805">
        <v>5065.0200000000004</v>
      </c>
      <c r="EC5805">
        <v>1000</v>
      </c>
      <c r="ED5805">
        <v>300</v>
      </c>
      <c r="EE5805">
        <v>32000</v>
      </c>
    </row>
    <row r="5806" spans="1:135" x14ac:dyDescent="0.3">
      <c r="A5806" t="s">
        <v>36</v>
      </c>
      <c r="B5806" t="s">
        <v>365</v>
      </c>
      <c r="BQ5806" t="s">
        <v>36</v>
      </c>
      <c r="BR5806" t="s">
        <v>365</v>
      </c>
    </row>
    <row r="5807" spans="1:135" x14ac:dyDescent="0.3">
      <c r="A5807" t="s">
        <v>33</v>
      </c>
      <c r="B5807" t="s">
        <v>365</v>
      </c>
      <c r="BQ5807" t="s">
        <v>33</v>
      </c>
      <c r="BR5807" t="s">
        <v>365</v>
      </c>
    </row>
    <row r="5809" spans="1:135" x14ac:dyDescent="0.3">
      <c r="A5809" t="s">
        <v>1909</v>
      </c>
      <c r="BQ5809" t="s">
        <v>1910</v>
      </c>
    </row>
    <row r="5810" spans="1:135" x14ac:dyDescent="0.3">
      <c r="A5810" t="s">
        <v>44</v>
      </c>
      <c r="B5810" t="s">
        <v>209</v>
      </c>
      <c r="C5810" t="s">
        <v>1777</v>
      </c>
      <c r="D5810" t="s">
        <v>1778</v>
      </c>
      <c r="E5810" t="s">
        <v>1779</v>
      </c>
      <c r="F5810" t="s">
        <v>1780</v>
      </c>
      <c r="G5810" t="s">
        <v>1781</v>
      </c>
      <c r="H5810" t="s">
        <v>1782</v>
      </c>
      <c r="I5810" t="s">
        <v>1783</v>
      </c>
      <c r="J5810" t="s">
        <v>1784</v>
      </c>
      <c r="K5810" t="s">
        <v>1785</v>
      </c>
      <c r="L5810" t="s">
        <v>1786</v>
      </c>
      <c r="M5810" t="s">
        <v>1787</v>
      </c>
      <c r="N5810" t="s">
        <v>1788</v>
      </c>
      <c r="O5810" t="s">
        <v>1789</v>
      </c>
      <c r="P5810" t="s">
        <v>1790</v>
      </c>
      <c r="Q5810" t="s">
        <v>1791</v>
      </c>
      <c r="R5810" t="s">
        <v>1792</v>
      </c>
      <c r="S5810" t="s">
        <v>1793</v>
      </c>
      <c r="T5810" t="s">
        <v>1794</v>
      </c>
      <c r="U5810" t="s">
        <v>1795</v>
      </c>
      <c r="V5810" t="s">
        <v>1796</v>
      </c>
      <c r="W5810" t="s">
        <v>1797</v>
      </c>
      <c r="X5810" t="s">
        <v>1798</v>
      </c>
      <c r="Y5810" t="s">
        <v>1799</v>
      </c>
      <c r="Z5810" t="s">
        <v>1800</v>
      </c>
      <c r="AA5810" t="s">
        <v>1801</v>
      </c>
      <c r="AB5810" t="s">
        <v>1802</v>
      </c>
      <c r="AC5810" t="s">
        <v>1803</v>
      </c>
      <c r="AD5810" t="s">
        <v>1804</v>
      </c>
      <c r="AE5810" t="s">
        <v>1805</v>
      </c>
      <c r="AF5810" t="s">
        <v>1806</v>
      </c>
      <c r="AG5810" t="s">
        <v>1807</v>
      </c>
      <c r="AH5810" t="s">
        <v>1808</v>
      </c>
      <c r="AI5810" t="s">
        <v>1809</v>
      </c>
      <c r="AJ5810" t="s">
        <v>1810</v>
      </c>
      <c r="AK5810" t="s">
        <v>1811</v>
      </c>
      <c r="AL5810" t="s">
        <v>1812</v>
      </c>
      <c r="AM5810" t="s">
        <v>1813</v>
      </c>
      <c r="AN5810" t="s">
        <v>1814</v>
      </c>
      <c r="AO5810" t="s">
        <v>1815</v>
      </c>
      <c r="AP5810" t="s">
        <v>1816</v>
      </c>
      <c r="AQ5810" t="s">
        <v>1817</v>
      </c>
      <c r="AR5810" t="s">
        <v>1818</v>
      </c>
      <c r="AS5810" t="s">
        <v>1819</v>
      </c>
      <c r="AT5810" t="s">
        <v>1820</v>
      </c>
      <c r="AU5810" t="s">
        <v>1821</v>
      </c>
      <c r="AV5810" t="s">
        <v>1822</v>
      </c>
      <c r="AW5810" t="s">
        <v>1823</v>
      </c>
      <c r="AX5810" t="s">
        <v>1824</v>
      </c>
      <c r="AY5810" t="s">
        <v>1825</v>
      </c>
      <c r="AZ5810" t="s">
        <v>1826</v>
      </c>
      <c r="BA5810" t="s">
        <v>1827</v>
      </c>
      <c r="BB5810" t="s">
        <v>1828</v>
      </c>
      <c r="BC5810" t="s">
        <v>1829</v>
      </c>
      <c r="BD5810" t="s">
        <v>1830</v>
      </c>
      <c r="BE5810" t="s">
        <v>1831</v>
      </c>
      <c r="BF5810" t="s">
        <v>1832</v>
      </c>
      <c r="BG5810" t="s">
        <v>1833</v>
      </c>
      <c r="BH5810" t="s">
        <v>1834</v>
      </c>
      <c r="BI5810" t="s">
        <v>1835</v>
      </c>
      <c r="BJ5810" t="s">
        <v>1836</v>
      </c>
      <c r="BK5810" t="s">
        <v>1837</v>
      </c>
      <c r="BL5810" t="s">
        <v>1838</v>
      </c>
      <c r="BM5810" t="s">
        <v>1839</v>
      </c>
      <c r="BN5810" t="s">
        <v>1840</v>
      </c>
      <c r="BO5810" t="s">
        <v>1841</v>
      </c>
      <c r="BQ5810" t="s">
        <v>44</v>
      </c>
      <c r="BR5810" t="s">
        <v>209</v>
      </c>
      <c r="BS5810" t="s">
        <v>1842</v>
      </c>
      <c r="BT5810" t="s">
        <v>1843</v>
      </c>
      <c r="BU5810" t="s">
        <v>1844</v>
      </c>
      <c r="BV5810" t="s">
        <v>1845</v>
      </c>
      <c r="BW5810" t="s">
        <v>1846</v>
      </c>
      <c r="BX5810" t="s">
        <v>1847</v>
      </c>
      <c r="BY5810" t="s">
        <v>1848</v>
      </c>
      <c r="BZ5810" t="s">
        <v>1849</v>
      </c>
      <c r="CA5810" t="s">
        <v>1850</v>
      </c>
      <c r="CB5810" t="s">
        <v>1851</v>
      </c>
      <c r="CC5810" t="s">
        <v>1852</v>
      </c>
      <c r="CD5810" t="s">
        <v>1853</v>
      </c>
      <c r="CE5810" t="s">
        <v>1854</v>
      </c>
      <c r="CF5810" t="s">
        <v>1855</v>
      </c>
      <c r="CG5810" t="s">
        <v>1856</v>
      </c>
      <c r="CH5810" t="s">
        <v>1857</v>
      </c>
      <c r="CI5810" t="s">
        <v>1858</v>
      </c>
      <c r="CJ5810" t="s">
        <v>1859</v>
      </c>
      <c r="CK5810" t="s">
        <v>1860</v>
      </c>
      <c r="CL5810" t="s">
        <v>1861</v>
      </c>
      <c r="CM5810" t="s">
        <v>1862</v>
      </c>
      <c r="CN5810" t="s">
        <v>1863</v>
      </c>
      <c r="CO5810" t="s">
        <v>1864</v>
      </c>
      <c r="CP5810" t="s">
        <v>1865</v>
      </c>
      <c r="CQ5810" t="s">
        <v>1866</v>
      </c>
      <c r="CR5810" t="s">
        <v>1867</v>
      </c>
      <c r="CS5810" t="s">
        <v>1868</v>
      </c>
      <c r="CT5810" t="s">
        <v>1869</v>
      </c>
      <c r="CU5810" t="s">
        <v>1870</v>
      </c>
      <c r="CV5810" t="s">
        <v>1871</v>
      </c>
      <c r="CW5810" t="s">
        <v>1872</v>
      </c>
      <c r="CX5810" t="s">
        <v>1873</v>
      </c>
      <c r="CY5810" t="s">
        <v>1874</v>
      </c>
      <c r="CZ5810" t="s">
        <v>1875</v>
      </c>
      <c r="DA5810" t="s">
        <v>1876</v>
      </c>
      <c r="DB5810" t="s">
        <v>1877</v>
      </c>
      <c r="DC5810" t="s">
        <v>1878</v>
      </c>
      <c r="DD5810" t="s">
        <v>1879</v>
      </c>
      <c r="DE5810" t="s">
        <v>1880</v>
      </c>
      <c r="DF5810" t="s">
        <v>1881</v>
      </c>
      <c r="DG5810" t="s">
        <v>1882</v>
      </c>
      <c r="DH5810" t="s">
        <v>1883</v>
      </c>
      <c r="DI5810" t="s">
        <v>1884</v>
      </c>
      <c r="DJ5810" t="s">
        <v>1885</v>
      </c>
      <c r="DK5810" t="s">
        <v>1886</v>
      </c>
      <c r="DL5810" t="s">
        <v>1887</v>
      </c>
      <c r="DM5810" t="s">
        <v>1888</v>
      </c>
      <c r="DN5810" t="s">
        <v>1889</v>
      </c>
      <c r="DO5810" t="s">
        <v>1890</v>
      </c>
      <c r="DP5810" t="s">
        <v>1891</v>
      </c>
      <c r="DQ5810" t="s">
        <v>1892</v>
      </c>
      <c r="DR5810" t="s">
        <v>1893</v>
      </c>
      <c r="DS5810" t="s">
        <v>1894</v>
      </c>
      <c r="DT5810" t="s">
        <v>1895</v>
      </c>
      <c r="DU5810" t="s">
        <v>1896</v>
      </c>
      <c r="DV5810" t="s">
        <v>1897</v>
      </c>
      <c r="DW5810" t="s">
        <v>1898</v>
      </c>
      <c r="DX5810" t="s">
        <v>1899</v>
      </c>
      <c r="DY5810" t="s">
        <v>1900</v>
      </c>
      <c r="DZ5810" t="s">
        <v>1901</v>
      </c>
      <c r="EA5810" t="s">
        <v>1902</v>
      </c>
      <c r="EB5810" t="s">
        <v>1903</v>
      </c>
      <c r="EC5810" t="s">
        <v>1904</v>
      </c>
      <c r="ED5810" t="s">
        <v>1905</v>
      </c>
      <c r="EE5810" t="s">
        <v>1906</v>
      </c>
    </row>
    <row r="5811" spans="1:135" x14ac:dyDescent="0.3">
      <c r="A5811" t="s">
        <v>35</v>
      </c>
      <c r="B5811" t="s">
        <v>210</v>
      </c>
      <c r="C5811">
        <v>46</v>
      </c>
      <c r="D5811">
        <v>17145.259999999998</v>
      </c>
      <c r="E5811">
        <v>15000</v>
      </c>
      <c r="F5811">
        <v>1900</v>
      </c>
      <c r="G5811">
        <v>42000</v>
      </c>
      <c r="H5811">
        <v>7</v>
      </c>
      <c r="I5811">
        <v>16853.55</v>
      </c>
      <c r="J5811">
        <v>18000</v>
      </c>
      <c r="K5811">
        <v>1500</v>
      </c>
      <c r="L5811">
        <v>24000</v>
      </c>
      <c r="M5811">
        <v>15</v>
      </c>
      <c r="N5811">
        <v>7975.94</v>
      </c>
      <c r="O5811">
        <v>6000</v>
      </c>
      <c r="P5811">
        <v>2000</v>
      </c>
      <c r="Q5811">
        <v>15000</v>
      </c>
      <c r="R5811">
        <v>3</v>
      </c>
      <c r="S5811">
        <v>13502.77</v>
      </c>
      <c r="T5811">
        <v>17000</v>
      </c>
      <c r="U5811">
        <v>5000</v>
      </c>
      <c r="V5811">
        <v>20000</v>
      </c>
      <c r="W5811">
        <v>2</v>
      </c>
      <c r="X5811">
        <v>641.98</v>
      </c>
      <c r="Y5811">
        <v>700</v>
      </c>
      <c r="Z5811">
        <v>600</v>
      </c>
      <c r="AA5811">
        <v>700</v>
      </c>
      <c r="AB5811">
        <v>9</v>
      </c>
      <c r="AC5811">
        <v>9055.14</v>
      </c>
      <c r="AD5811">
        <v>8000</v>
      </c>
      <c r="AE5811">
        <v>5000</v>
      </c>
      <c r="AF5811">
        <v>20000</v>
      </c>
      <c r="AG5811">
        <v>42</v>
      </c>
      <c r="AH5811">
        <v>4370.59</v>
      </c>
      <c r="AI5811">
        <v>4000</v>
      </c>
      <c r="AJ5811">
        <v>2200</v>
      </c>
      <c r="AK5811">
        <v>12000</v>
      </c>
      <c r="AQ5811">
        <v>3</v>
      </c>
      <c r="AR5811">
        <v>4367.8</v>
      </c>
      <c r="AS5811">
        <v>4000</v>
      </c>
      <c r="AT5811">
        <v>3000</v>
      </c>
      <c r="AU5811">
        <v>6000</v>
      </c>
      <c r="AV5811">
        <v>11</v>
      </c>
      <c r="AW5811">
        <v>5475.69</v>
      </c>
      <c r="AX5811">
        <v>2000</v>
      </c>
      <c r="AY5811">
        <v>1500</v>
      </c>
      <c r="AZ5811">
        <v>33300</v>
      </c>
      <c r="BA5811">
        <v>79</v>
      </c>
      <c r="BB5811">
        <v>4757.3100000000004</v>
      </c>
      <c r="BC5811">
        <v>5000</v>
      </c>
      <c r="BD5811">
        <v>860</v>
      </c>
      <c r="BE5811">
        <v>20720</v>
      </c>
      <c r="BQ5811" t="s">
        <v>35</v>
      </c>
      <c r="BR5811" t="s">
        <v>210</v>
      </c>
      <c r="BS5811">
        <v>46</v>
      </c>
      <c r="BT5811">
        <v>8237.19</v>
      </c>
      <c r="BU5811">
        <v>5000</v>
      </c>
      <c r="BV5811">
        <v>316.67</v>
      </c>
      <c r="BW5811">
        <v>32000</v>
      </c>
      <c r="BX5811">
        <v>7</v>
      </c>
      <c r="BY5811">
        <v>7184.06</v>
      </c>
      <c r="BZ5811">
        <v>6666.67</v>
      </c>
      <c r="CA5811">
        <v>375</v>
      </c>
      <c r="CB5811">
        <v>12000</v>
      </c>
      <c r="CC5811">
        <v>15</v>
      </c>
      <c r="CD5811">
        <v>3352.9</v>
      </c>
      <c r="CE5811">
        <v>2500</v>
      </c>
      <c r="CF5811">
        <v>333.33</v>
      </c>
      <c r="CG5811">
        <v>7500</v>
      </c>
      <c r="CH5811">
        <v>3</v>
      </c>
      <c r="CI5811">
        <v>5044.1099999999997</v>
      </c>
      <c r="CJ5811">
        <v>5000</v>
      </c>
      <c r="CK5811">
        <v>1666.67</v>
      </c>
      <c r="CL5811">
        <v>8500</v>
      </c>
      <c r="CM5811">
        <v>2</v>
      </c>
      <c r="CN5811">
        <v>262.97000000000003</v>
      </c>
      <c r="CO5811">
        <v>350</v>
      </c>
      <c r="CP5811">
        <v>200</v>
      </c>
      <c r="CQ5811">
        <v>350</v>
      </c>
      <c r="CR5811">
        <v>9</v>
      </c>
      <c r="CS5811">
        <v>4392.3</v>
      </c>
      <c r="CT5811">
        <v>4000</v>
      </c>
      <c r="CU5811">
        <v>1666.67</v>
      </c>
      <c r="CV5811">
        <v>10000</v>
      </c>
      <c r="CW5811">
        <v>42</v>
      </c>
      <c r="CX5811">
        <v>2149.1</v>
      </c>
      <c r="CY5811">
        <v>1633.33</v>
      </c>
      <c r="CZ5811">
        <v>383.33</v>
      </c>
      <c r="DA5811">
        <v>6758</v>
      </c>
      <c r="DG5811">
        <v>3</v>
      </c>
      <c r="DH5811">
        <v>1279.67</v>
      </c>
      <c r="DI5811">
        <v>1500</v>
      </c>
      <c r="DJ5811">
        <v>666.67</v>
      </c>
      <c r="DK5811">
        <v>1500</v>
      </c>
      <c r="DL5811">
        <v>11</v>
      </c>
      <c r="DM5811">
        <v>1612.16</v>
      </c>
      <c r="DN5811">
        <v>1333.33</v>
      </c>
      <c r="DO5811">
        <v>500</v>
      </c>
      <c r="DP5811">
        <v>6660</v>
      </c>
      <c r="DQ5811">
        <v>79</v>
      </c>
      <c r="DR5811">
        <v>1835.48</v>
      </c>
      <c r="DS5811">
        <v>2000</v>
      </c>
      <c r="DT5811">
        <v>215</v>
      </c>
      <c r="DU5811">
        <v>3600</v>
      </c>
    </row>
    <row r="5812" spans="1:135" x14ac:dyDescent="0.3">
      <c r="A5812" t="s">
        <v>35</v>
      </c>
      <c r="B5812" t="s">
        <v>212</v>
      </c>
      <c r="C5812">
        <v>870</v>
      </c>
      <c r="D5812">
        <v>20444.84</v>
      </c>
      <c r="E5812">
        <v>15000</v>
      </c>
      <c r="F5812">
        <v>1490</v>
      </c>
      <c r="G5812">
        <v>120000</v>
      </c>
      <c r="H5812">
        <v>122</v>
      </c>
      <c r="I5812">
        <v>8891.67</v>
      </c>
      <c r="J5812">
        <v>8000</v>
      </c>
      <c r="K5812">
        <v>500</v>
      </c>
      <c r="L5812">
        <v>30000</v>
      </c>
      <c r="M5812">
        <v>157</v>
      </c>
      <c r="N5812">
        <v>9571.82</v>
      </c>
      <c r="O5812">
        <v>7000</v>
      </c>
      <c r="P5812">
        <v>1000</v>
      </c>
      <c r="Q5812">
        <v>52000</v>
      </c>
      <c r="R5812">
        <v>107</v>
      </c>
      <c r="S5812">
        <v>15050.49</v>
      </c>
      <c r="T5812">
        <v>10000</v>
      </c>
      <c r="U5812">
        <v>500</v>
      </c>
      <c r="V5812">
        <v>50000</v>
      </c>
      <c r="W5812">
        <v>163</v>
      </c>
      <c r="X5812">
        <v>2458.37</v>
      </c>
      <c r="Y5812">
        <v>1000</v>
      </c>
      <c r="Z5812">
        <v>330</v>
      </c>
      <c r="AA5812">
        <v>22000</v>
      </c>
      <c r="AB5812">
        <v>120</v>
      </c>
      <c r="AC5812">
        <v>6003.46</v>
      </c>
      <c r="AD5812">
        <v>3500</v>
      </c>
      <c r="AE5812">
        <v>300</v>
      </c>
      <c r="AF5812">
        <v>40000</v>
      </c>
      <c r="AG5812">
        <v>1292</v>
      </c>
      <c r="AH5812">
        <v>6041.65</v>
      </c>
      <c r="AI5812">
        <v>4700</v>
      </c>
      <c r="AJ5812">
        <v>1100</v>
      </c>
      <c r="AK5812">
        <v>78000</v>
      </c>
      <c r="AL5812">
        <v>5</v>
      </c>
      <c r="AM5812">
        <v>6070.44</v>
      </c>
      <c r="AN5812">
        <v>2000</v>
      </c>
      <c r="AO5812">
        <v>1500</v>
      </c>
      <c r="AP5812">
        <v>70000</v>
      </c>
      <c r="AQ5812">
        <v>42</v>
      </c>
      <c r="AR5812">
        <v>6346.06</v>
      </c>
      <c r="AS5812">
        <v>2000</v>
      </c>
      <c r="AT5812">
        <v>500</v>
      </c>
      <c r="AU5812">
        <v>30000</v>
      </c>
      <c r="AV5812">
        <v>10</v>
      </c>
      <c r="AW5812">
        <v>8600.11</v>
      </c>
      <c r="AX5812">
        <v>6600</v>
      </c>
      <c r="AY5812">
        <v>2200</v>
      </c>
      <c r="AZ5812">
        <v>25000</v>
      </c>
      <c r="BA5812">
        <v>331</v>
      </c>
      <c r="BB5812">
        <v>3415.86</v>
      </c>
      <c r="BC5812">
        <v>2700</v>
      </c>
      <c r="BD5812">
        <v>600</v>
      </c>
      <c r="BE5812">
        <v>22000</v>
      </c>
      <c r="BF5812">
        <v>6</v>
      </c>
      <c r="BG5812">
        <v>1302.6199999999999</v>
      </c>
      <c r="BH5812">
        <v>500</v>
      </c>
      <c r="BI5812">
        <v>500</v>
      </c>
      <c r="BJ5812">
        <v>8000</v>
      </c>
      <c r="BK5812">
        <v>13</v>
      </c>
      <c r="BL5812">
        <v>6438.95</v>
      </c>
      <c r="BM5812">
        <v>1800</v>
      </c>
      <c r="BN5812">
        <v>1000</v>
      </c>
      <c r="BO5812">
        <v>70000</v>
      </c>
      <c r="BQ5812" t="s">
        <v>35</v>
      </c>
      <c r="BR5812" t="s">
        <v>212</v>
      </c>
      <c r="BS5812">
        <v>870</v>
      </c>
      <c r="BT5812">
        <v>9550.73</v>
      </c>
      <c r="BU5812">
        <v>6500</v>
      </c>
      <c r="BV5812">
        <v>750</v>
      </c>
      <c r="BW5812">
        <v>90000</v>
      </c>
      <c r="BX5812">
        <v>122</v>
      </c>
      <c r="BY5812">
        <v>4923.8999999999996</v>
      </c>
      <c r="BZ5812">
        <v>4000</v>
      </c>
      <c r="CA5812">
        <v>300</v>
      </c>
      <c r="CB5812">
        <v>25000</v>
      </c>
      <c r="CC5812">
        <v>157</v>
      </c>
      <c r="CD5812">
        <v>5053.57</v>
      </c>
      <c r="CE5812">
        <v>3333.33</v>
      </c>
      <c r="CF5812">
        <v>333.33</v>
      </c>
      <c r="CG5812">
        <v>52000</v>
      </c>
      <c r="CH5812">
        <v>107</v>
      </c>
      <c r="CI5812">
        <v>6409.37</v>
      </c>
      <c r="CJ5812">
        <v>4000</v>
      </c>
      <c r="CK5812">
        <v>125</v>
      </c>
      <c r="CL5812">
        <v>25000</v>
      </c>
      <c r="CM5812">
        <v>163</v>
      </c>
      <c r="CN5812">
        <v>1182.29</v>
      </c>
      <c r="CO5812">
        <v>666.67</v>
      </c>
      <c r="CP5812">
        <v>120</v>
      </c>
      <c r="CQ5812">
        <v>11000</v>
      </c>
      <c r="CR5812">
        <v>120</v>
      </c>
      <c r="CS5812">
        <v>3654.83</v>
      </c>
      <c r="CT5812">
        <v>2500</v>
      </c>
      <c r="CU5812">
        <v>100</v>
      </c>
      <c r="CV5812">
        <v>13333.33</v>
      </c>
      <c r="CW5812">
        <v>1292</v>
      </c>
      <c r="CX5812">
        <v>3667.27</v>
      </c>
      <c r="CY5812">
        <v>3200</v>
      </c>
      <c r="CZ5812">
        <v>333.33</v>
      </c>
      <c r="DA5812">
        <v>78000</v>
      </c>
      <c r="DB5812">
        <v>5</v>
      </c>
      <c r="DC5812">
        <v>3882.22</v>
      </c>
      <c r="DD5812">
        <v>1000</v>
      </c>
      <c r="DE5812">
        <v>666.67</v>
      </c>
      <c r="DF5812">
        <v>40000</v>
      </c>
      <c r="DG5812">
        <v>42</v>
      </c>
      <c r="DH5812">
        <v>2988.95</v>
      </c>
      <c r="DI5812">
        <v>1000</v>
      </c>
      <c r="DJ5812">
        <v>200</v>
      </c>
      <c r="DK5812">
        <v>15000</v>
      </c>
      <c r="DL5812">
        <v>10</v>
      </c>
      <c r="DM5812">
        <v>2871.15</v>
      </c>
      <c r="DN5812">
        <v>2500</v>
      </c>
      <c r="DO5812">
        <v>440</v>
      </c>
      <c r="DP5812">
        <v>6600</v>
      </c>
      <c r="DQ5812">
        <v>331</v>
      </c>
      <c r="DR5812">
        <v>1732.97</v>
      </c>
      <c r="DS5812">
        <v>1250</v>
      </c>
      <c r="DT5812">
        <v>107.5</v>
      </c>
      <c r="DU5812">
        <v>12000</v>
      </c>
      <c r="DV5812">
        <v>6</v>
      </c>
      <c r="DW5812">
        <v>802.46</v>
      </c>
      <c r="DX5812">
        <v>500</v>
      </c>
      <c r="DY5812">
        <v>500</v>
      </c>
      <c r="DZ5812">
        <v>4000</v>
      </c>
      <c r="EA5812">
        <v>13</v>
      </c>
      <c r="EB5812">
        <v>4088.57</v>
      </c>
      <c r="EC5812">
        <v>750</v>
      </c>
      <c r="ED5812">
        <v>250</v>
      </c>
      <c r="EE5812">
        <v>32000</v>
      </c>
    </row>
    <row r="5813" spans="1:135" x14ac:dyDescent="0.3">
      <c r="A5813" t="s">
        <v>35</v>
      </c>
      <c r="B5813" t="s">
        <v>216</v>
      </c>
      <c r="C5813">
        <v>294</v>
      </c>
      <c r="D5813">
        <v>24008.82</v>
      </c>
      <c r="E5813">
        <v>20000</v>
      </c>
      <c r="F5813">
        <v>1000</v>
      </c>
      <c r="G5813">
        <v>150000</v>
      </c>
      <c r="H5813">
        <v>37</v>
      </c>
      <c r="I5813">
        <v>10968.78</v>
      </c>
      <c r="J5813">
        <v>10000</v>
      </c>
      <c r="K5813">
        <v>3000</v>
      </c>
      <c r="L5813">
        <v>26000</v>
      </c>
      <c r="M5813">
        <v>48</v>
      </c>
      <c r="N5813">
        <v>11027.18</v>
      </c>
      <c r="O5813">
        <v>10000</v>
      </c>
      <c r="P5813">
        <v>2000</v>
      </c>
      <c r="Q5813">
        <v>38000</v>
      </c>
      <c r="R5813">
        <v>31</v>
      </c>
      <c r="S5813">
        <v>24357.07</v>
      </c>
      <c r="T5813">
        <v>20000</v>
      </c>
      <c r="U5813">
        <v>3000</v>
      </c>
      <c r="V5813">
        <v>200000</v>
      </c>
      <c r="W5813">
        <v>4</v>
      </c>
      <c r="X5813">
        <v>14105.69</v>
      </c>
      <c r="Y5813">
        <v>20000</v>
      </c>
      <c r="Z5813">
        <v>700</v>
      </c>
      <c r="AA5813">
        <v>20000</v>
      </c>
      <c r="AB5813">
        <v>25</v>
      </c>
      <c r="AC5813">
        <v>12176.51</v>
      </c>
      <c r="AD5813">
        <v>5000</v>
      </c>
      <c r="AE5813">
        <v>700</v>
      </c>
      <c r="AF5813">
        <v>37000</v>
      </c>
      <c r="AG5813">
        <v>147</v>
      </c>
      <c r="AH5813">
        <v>5145.6099999999997</v>
      </c>
      <c r="AI5813">
        <v>5000</v>
      </c>
      <c r="AJ5813">
        <v>2000</v>
      </c>
      <c r="AK5813">
        <v>35000</v>
      </c>
      <c r="AL5813">
        <v>2</v>
      </c>
      <c r="AM5813">
        <v>1056.04</v>
      </c>
      <c r="AN5813">
        <v>1500</v>
      </c>
      <c r="AO5813">
        <v>500</v>
      </c>
      <c r="AP5813">
        <v>1500</v>
      </c>
      <c r="AQ5813">
        <v>9</v>
      </c>
      <c r="AR5813">
        <v>11979.95</v>
      </c>
      <c r="AS5813">
        <v>2000</v>
      </c>
      <c r="AT5813">
        <v>1500</v>
      </c>
      <c r="AU5813">
        <v>70000</v>
      </c>
      <c r="AV5813">
        <v>6</v>
      </c>
      <c r="AW5813">
        <v>1754.45</v>
      </c>
      <c r="AX5813">
        <v>2200</v>
      </c>
      <c r="AY5813">
        <v>337</v>
      </c>
      <c r="AZ5813">
        <v>5000</v>
      </c>
      <c r="BA5813">
        <v>90</v>
      </c>
      <c r="BB5813">
        <v>3205.06</v>
      </c>
      <c r="BC5813">
        <v>2500</v>
      </c>
      <c r="BD5813">
        <v>800</v>
      </c>
      <c r="BE5813">
        <v>11900</v>
      </c>
      <c r="BK5813">
        <v>2</v>
      </c>
      <c r="BL5813">
        <v>3086.25</v>
      </c>
      <c r="BM5813">
        <v>4000</v>
      </c>
      <c r="BN5813">
        <v>370</v>
      </c>
      <c r="BO5813">
        <v>4000</v>
      </c>
      <c r="BQ5813" t="s">
        <v>35</v>
      </c>
      <c r="BR5813" t="s">
        <v>216</v>
      </c>
      <c r="BS5813">
        <v>294</v>
      </c>
      <c r="BT5813">
        <v>10327.879999999999</v>
      </c>
      <c r="BU5813">
        <v>7250</v>
      </c>
      <c r="BV5813">
        <v>200</v>
      </c>
      <c r="BW5813">
        <v>62000</v>
      </c>
      <c r="BX5813">
        <v>37</v>
      </c>
      <c r="BY5813">
        <v>6721.99</v>
      </c>
      <c r="BZ5813">
        <v>4000</v>
      </c>
      <c r="CA5813">
        <v>600</v>
      </c>
      <c r="CB5813">
        <v>15000</v>
      </c>
      <c r="CC5813">
        <v>48</v>
      </c>
      <c r="CD5813">
        <v>5010.6000000000004</v>
      </c>
      <c r="CE5813">
        <v>3333.33</v>
      </c>
      <c r="CF5813">
        <v>285.70999999999998</v>
      </c>
      <c r="CG5813">
        <v>18000</v>
      </c>
      <c r="CH5813">
        <v>31</v>
      </c>
      <c r="CI5813">
        <v>10307.620000000001</v>
      </c>
      <c r="CJ5813">
        <v>6666.67</v>
      </c>
      <c r="CK5813">
        <v>750</v>
      </c>
      <c r="CL5813">
        <v>66666.67</v>
      </c>
      <c r="CM5813">
        <v>4</v>
      </c>
      <c r="CN5813">
        <v>6743.03</v>
      </c>
      <c r="CO5813">
        <v>10000</v>
      </c>
      <c r="CP5813">
        <v>140</v>
      </c>
      <c r="CQ5813">
        <v>10000</v>
      </c>
      <c r="CR5813">
        <v>25</v>
      </c>
      <c r="CS5813">
        <v>5164.96</v>
      </c>
      <c r="CT5813">
        <v>5000</v>
      </c>
      <c r="CU5813">
        <v>280</v>
      </c>
      <c r="CV5813">
        <v>12500</v>
      </c>
      <c r="CW5813">
        <v>147</v>
      </c>
      <c r="CX5813">
        <v>2332.9299999999998</v>
      </c>
      <c r="CY5813">
        <v>1750</v>
      </c>
      <c r="CZ5813">
        <v>341.17</v>
      </c>
      <c r="DA5813">
        <v>17500</v>
      </c>
      <c r="DB5813">
        <v>2</v>
      </c>
      <c r="DC5813">
        <v>230.14</v>
      </c>
      <c r="DD5813">
        <v>250</v>
      </c>
      <c r="DE5813">
        <v>214.29</v>
      </c>
      <c r="DF5813">
        <v>250</v>
      </c>
      <c r="DG5813">
        <v>9</v>
      </c>
      <c r="DH5813">
        <v>3901.51</v>
      </c>
      <c r="DI5813">
        <v>2000</v>
      </c>
      <c r="DJ5813">
        <v>425</v>
      </c>
      <c r="DK5813">
        <v>23333.33</v>
      </c>
      <c r="DL5813">
        <v>6</v>
      </c>
      <c r="DM5813">
        <v>927.65</v>
      </c>
      <c r="DN5813">
        <v>766.67</v>
      </c>
      <c r="DO5813">
        <v>337</v>
      </c>
      <c r="DP5813">
        <v>2500</v>
      </c>
      <c r="DQ5813">
        <v>90</v>
      </c>
      <c r="DR5813">
        <v>1327.69</v>
      </c>
      <c r="DS5813">
        <v>1200</v>
      </c>
      <c r="DT5813">
        <v>107.5</v>
      </c>
      <c r="DU5813">
        <v>5950</v>
      </c>
      <c r="EA5813">
        <v>2</v>
      </c>
      <c r="EB5813">
        <v>1543.13</v>
      </c>
      <c r="EC5813">
        <v>2000</v>
      </c>
      <c r="ED5813">
        <v>185</v>
      </c>
      <c r="EE5813">
        <v>2000</v>
      </c>
    </row>
    <row r="5814" spans="1:135" x14ac:dyDescent="0.3">
      <c r="A5814" t="s">
        <v>37</v>
      </c>
      <c r="B5814" t="s">
        <v>210</v>
      </c>
      <c r="C5814">
        <v>45</v>
      </c>
      <c r="D5814">
        <v>21563.77</v>
      </c>
      <c r="E5814">
        <v>15000</v>
      </c>
      <c r="F5814">
        <v>5000</v>
      </c>
      <c r="G5814">
        <v>68000</v>
      </c>
      <c r="H5814">
        <v>11</v>
      </c>
      <c r="I5814">
        <v>10169.76</v>
      </c>
      <c r="J5814">
        <v>10000</v>
      </c>
      <c r="K5814">
        <v>1500</v>
      </c>
      <c r="L5814">
        <v>15000</v>
      </c>
      <c r="M5814">
        <v>15</v>
      </c>
      <c r="N5814">
        <v>15588.76</v>
      </c>
      <c r="O5814">
        <v>15000</v>
      </c>
      <c r="P5814">
        <v>4000</v>
      </c>
      <c r="Q5814">
        <v>30000</v>
      </c>
      <c r="R5814">
        <v>15</v>
      </c>
      <c r="S5814">
        <v>46122.21</v>
      </c>
      <c r="T5814">
        <v>30000</v>
      </c>
      <c r="U5814">
        <v>5000</v>
      </c>
      <c r="V5814">
        <v>200000</v>
      </c>
      <c r="AB5814">
        <v>17</v>
      </c>
      <c r="AC5814">
        <v>8841.15</v>
      </c>
      <c r="AD5814">
        <v>10000</v>
      </c>
      <c r="AE5814">
        <v>500</v>
      </c>
      <c r="AF5814">
        <v>19600</v>
      </c>
      <c r="AG5814">
        <v>51</v>
      </c>
      <c r="AH5814">
        <v>4548.8100000000004</v>
      </c>
      <c r="AI5814">
        <v>3400</v>
      </c>
      <c r="AJ5814">
        <v>2100</v>
      </c>
      <c r="AK5814">
        <v>16000</v>
      </c>
      <c r="AV5814">
        <v>5</v>
      </c>
      <c r="AW5814">
        <v>6120.96</v>
      </c>
      <c r="AX5814">
        <v>4000</v>
      </c>
      <c r="AY5814">
        <v>2000</v>
      </c>
      <c r="AZ5814">
        <v>12000</v>
      </c>
      <c r="BA5814">
        <v>80</v>
      </c>
      <c r="BB5814">
        <v>5636.93</v>
      </c>
      <c r="BC5814">
        <v>4200</v>
      </c>
      <c r="BD5814">
        <v>860</v>
      </c>
      <c r="BE5814">
        <v>20000</v>
      </c>
      <c r="BK5814">
        <v>2</v>
      </c>
      <c r="BL5814">
        <v>2033.02</v>
      </c>
      <c r="BM5814">
        <v>2800</v>
      </c>
      <c r="BN5814">
        <v>1250</v>
      </c>
      <c r="BO5814">
        <v>2800</v>
      </c>
      <c r="BQ5814" t="s">
        <v>37</v>
      </c>
      <c r="BR5814" t="s">
        <v>210</v>
      </c>
      <c r="BS5814">
        <v>45</v>
      </c>
      <c r="BT5814">
        <v>9354.4</v>
      </c>
      <c r="BU5814">
        <v>7500</v>
      </c>
      <c r="BV5814">
        <v>1250</v>
      </c>
      <c r="BW5814">
        <v>35000</v>
      </c>
      <c r="BX5814">
        <v>11</v>
      </c>
      <c r="BY5814">
        <v>4867.28</v>
      </c>
      <c r="BZ5814">
        <v>5000</v>
      </c>
      <c r="CA5814">
        <v>500</v>
      </c>
      <c r="CB5814">
        <v>10000</v>
      </c>
      <c r="CC5814">
        <v>15</v>
      </c>
      <c r="CD5814">
        <v>12607.08</v>
      </c>
      <c r="CE5814">
        <v>7500</v>
      </c>
      <c r="CF5814">
        <v>1666.67</v>
      </c>
      <c r="CG5814">
        <v>30000</v>
      </c>
      <c r="CH5814">
        <v>15</v>
      </c>
      <c r="CI5814">
        <v>18993.32</v>
      </c>
      <c r="CJ5814">
        <v>11333.33</v>
      </c>
      <c r="CK5814">
        <v>2500</v>
      </c>
      <c r="CL5814">
        <v>100000</v>
      </c>
      <c r="CR5814">
        <v>17</v>
      </c>
      <c r="CS5814">
        <v>5642.41</v>
      </c>
      <c r="CT5814">
        <v>5000</v>
      </c>
      <c r="CU5814">
        <v>250</v>
      </c>
      <c r="CV5814">
        <v>13000</v>
      </c>
      <c r="CW5814">
        <v>51</v>
      </c>
      <c r="CX5814">
        <v>2167.9</v>
      </c>
      <c r="CY5814">
        <v>2250</v>
      </c>
      <c r="CZ5814">
        <v>366.67</v>
      </c>
      <c r="DA5814">
        <v>6000</v>
      </c>
      <c r="DL5814">
        <v>5</v>
      </c>
      <c r="DM5814">
        <v>2489.19</v>
      </c>
      <c r="DN5814">
        <v>2000</v>
      </c>
      <c r="DO5814">
        <v>2000</v>
      </c>
      <c r="DP5814">
        <v>6000</v>
      </c>
      <c r="DQ5814">
        <v>80</v>
      </c>
      <c r="DR5814">
        <v>2147.54</v>
      </c>
      <c r="DS5814">
        <v>2000</v>
      </c>
      <c r="DT5814">
        <v>286.67</v>
      </c>
      <c r="DU5814">
        <v>4333.33</v>
      </c>
      <c r="EA5814">
        <v>2</v>
      </c>
      <c r="EB5814">
        <v>830.95</v>
      </c>
      <c r="EC5814">
        <v>1400</v>
      </c>
      <c r="ED5814">
        <v>250</v>
      </c>
      <c r="EE5814">
        <v>1400</v>
      </c>
    </row>
    <row r="5815" spans="1:135" x14ac:dyDescent="0.3">
      <c r="A5815" t="s">
        <v>37</v>
      </c>
      <c r="B5815" t="s">
        <v>212</v>
      </c>
      <c r="C5815">
        <v>1589</v>
      </c>
      <c r="D5815">
        <v>16656.400000000001</v>
      </c>
      <c r="E5815">
        <v>14000</v>
      </c>
      <c r="F5815">
        <v>3000</v>
      </c>
      <c r="G5815">
        <v>250000</v>
      </c>
      <c r="H5815">
        <v>235</v>
      </c>
      <c r="I5815">
        <v>8774.98</v>
      </c>
      <c r="J5815">
        <v>8000</v>
      </c>
      <c r="K5815">
        <v>1000</v>
      </c>
      <c r="L5815">
        <v>60000</v>
      </c>
      <c r="M5815">
        <v>358</v>
      </c>
      <c r="N5815">
        <v>9484.73</v>
      </c>
      <c r="O5815">
        <v>8000</v>
      </c>
      <c r="P5815">
        <v>1200</v>
      </c>
      <c r="Q5815">
        <v>50000</v>
      </c>
      <c r="R5815">
        <v>203</v>
      </c>
      <c r="S5815">
        <v>17874.009999999998</v>
      </c>
      <c r="T5815">
        <v>12000</v>
      </c>
      <c r="U5815">
        <v>850</v>
      </c>
      <c r="V5815">
        <v>90000</v>
      </c>
      <c r="W5815">
        <v>237</v>
      </c>
      <c r="X5815">
        <v>2065.9499999999998</v>
      </c>
      <c r="Y5815">
        <v>1000</v>
      </c>
      <c r="Z5815">
        <v>334</v>
      </c>
      <c r="AA5815">
        <v>15000</v>
      </c>
      <c r="AB5815">
        <v>280</v>
      </c>
      <c r="AC5815">
        <v>7470.96</v>
      </c>
      <c r="AD5815">
        <v>5000</v>
      </c>
      <c r="AE5815">
        <v>300</v>
      </c>
      <c r="AF5815">
        <v>80000</v>
      </c>
      <c r="AG5815">
        <v>1825</v>
      </c>
      <c r="AH5815">
        <v>4993.1400000000003</v>
      </c>
      <c r="AI5815">
        <v>4000</v>
      </c>
      <c r="AJ5815">
        <v>1200</v>
      </c>
      <c r="AK5815">
        <v>74000</v>
      </c>
      <c r="AL5815">
        <v>2</v>
      </c>
      <c r="AM5815">
        <v>4000</v>
      </c>
      <c r="AN5815">
        <v>4000</v>
      </c>
      <c r="AO5815">
        <v>4000</v>
      </c>
      <c r="AP5815">
        <v>4000</v>
      </c>
      <c r="AQ5815">
        <v>69</v>
      </c>
      <c r="AR5815">
        <v>9809.94</v>
      </c>
      <c r="AS5815">
        <v>4000</v>
      </c>
      <c r="AT5815">
        <v>500</v>
      </c>
      <c r="AU5815">
        <v>200000</v>
      </c>
      <c r="AV5815">
        <v>7</v>
      </c>
      <c r="AW5815">
        <v>6033.8</v>
      </c>
      <c r="AX5815">
        <v>5000</v>
      </c>
      <c r="AY5815">
        <v>1000</v>
      </c>
      <c r="AZ5815">
        <v>13260</v>
      </c>
      <c r="BA5815">
        <v>588</v>
      </c>
      <c r="BB5815">
        <v>3585.03</v>
      </c>
      <c r="BC5815">
        <v>2600</v>
      </c>
      <c r="BD5815">
        <v>690</v>
      </c>
      <c r="BE5815">
        <v>42000</v>
      </c>
      <c r="BF5815">
        <v>4</v>
      </c>
      <c r="BG5815">
        <v>4377.1099999999997</v>
      </c>
      <c r="BH5815">
        <v>5000</v>
      </c>
      <c r="BI5815">
        <v>2000</v>
      </c>
      <c r="BJ5815">
        <v>7000</v>
      </c>
      <c r="BK5815">
        <v>4</v>
      </c>
      <c r="BL5815">
        <v>11990.72</v>
      </c>
      <c r="BM5815">
        <v>4000</v>
      </c>
      <c r="BN5815">
        <v>800</v>
      </c>
      <c r="BO5815">
        <v>56000</v>
      </c>
      <c r="BQ5815" t="s">
        <v>37</v>
      </c>
      <c r="BR5815" t="s">
        <v>212</v>
      </c>
      <c r="BS5815">
        <v>1589</v>
      </c>
      <c r="BT5815">
        <v>6350.96</v>
      </c>
      <c r="BU5815">
        <v>5000</v>
      </c>
      <c r="BV5815">
        <v>428.57</v>
      </c>
      <c r="BW5815">
        <v>100000</v>
      </c>
      <c r="BX5815">
        <v>235</v>
      </c>
      <c r="BY5815">
        <v>3906.12</v>
      </c>
      <c r="BZ5815">
        <v>3000</v>
      </c>
      <c r="CA5815">
        <v>333.33</v>
      </c>
      <c r="CB5815">
        <v>29000</v>
      </c>
      <c r="CC5815">
        <v>358</v>
      </c>
      <c r="CD5815">
        <v>3550.41</v>
      </c>
      <c r="CE5815">
        <v>3000</v>
      </c>
      <c r="CF5815">
        <v>400</v>
      </c>
      <c r="CG5815">
        <v>21000</v>
      </c>
      <c r="CH5815">
        <v>203</v>
      </c>
      <c r="CI5815">
        <v>7569.52</v>
      </c>
      <c r="CJ5815">
        <v>4000</v>
      </c>
      <c r="CK5815">
        <v>166.67</v>
      </c>
      <c r="CL5815">
        <v>70000</v>
      </c>
      <c r="CM5815">
        <v>237</v>
      </c>
      <c r="CN5815">
        <v>1148.05</v>
      </c>
      <c r="CO5815">
        <v>600</v>
      </c>
      <c r="CP5815">
        <v>80</v>
      </c>
      <c r="CQ5815">
        <v>11000</v>
      </c>
      <c r="CR5815">
        <v>280</v>
      </c>
      <c r="CS5815">
        <v>3845.06</v>
      </c>
      <c r="CT5815">
        <v>3000</v>
      </c>
      <c r="CU5815">
        <v>75</v>
      </c>
      <c r="CV5815">
        <v>40000</v>
      </c>
      <c r="CW5815">
        <v>1825</v>
      </c>
      <c r="CX5815">
        <v>2662.73</v>
      </c>
      <c r="CY5815">
        <v>2600</v>
      </c>
      <c r="CZ5815">
        <v>300</v>
      </c>
      <c r="DA5815">
        <v>37000</v>
      </c>
      <c r="DB5815">
        <v>2</v>
      </c>
      <c r="DC5815">
        <v>3562.77</v>
      </c>
      <c r="DD5815">
        <v>4000</v>
      </c>
      <c r="DE5815">
        <v>1333.33</v>
      </c>
      <c r="DF5815">
        <v>4000</v>
      </c>
      <c r="DG5815">
        <v>69</v>
      </c>
      <c r="DH5815">
        <v>5552.41</v>
      </c>
      <c r="DI5815">
        <v>2500</v>
      </c>
      <c r="DJ5815">
        <v>150</v>
      </c>
      <c r="DK5815">
        <v>100000</v>
      </c>
      <c r="DL5815">
        <v>7</v>
      </c>
      <c r="DM5815">
        <v>3104.47</v>
      </c>
      <c r="DN5815">
        <v>1666.67</v>
      </c>
      <c r="DO5815">
        <v>1000</v>
      </c>
      <c r="DP5815">
        <v>6630</v>
      </c>
      <c r="DQ5815">
        <v>588</v>
      </c>
      <c r="DR5815">
        <v>1470.01</v>
      </c>
      <c r="DS5815">
        <v>1050</v>
      </c>
      <c r="DT5815">
        <v>107.5</v>
      </c>
      <c r="DU5815">
        <v>21000</v>
      </c>
      <c r="DV5815">
        <v>4</v>
      </c>
      <c r="DW5815">
        <v>1295.8599999999999</v>
      </c>
      <c r="DX5815">
        <v>714.29</v>
      </c>
      <c r="DY5815">
        <v>500</v>
      </c>
      <c r="DZ5815">
        <v>3500</v>
      </c>
      <c r="EA5815">
        <v>4</v>
      </c>
      <c r="EB5815">
        <v>7762.89</v>
      </c>
      <c r="EC5815">
        <v>1333.33</v>
      </c>
      <c r="ED5815">
        <v>800</v>
      </c>
      <c r="EE5815">
        <v>20000</v>
      </c>
    </row>
    <row r="5816" spans="1:135" x14ac:dyDescent="0.3">
      <c r="A5816" t="s">
        <v>37</v>
      </c>
      <c r="B5816" t="s">
        <v>216</v>
      </c>
      <c r="C5816">
        <v>68</v>
      </c>
      <c r="D5816">
        <v>19459.64</v>
      </c>
      <c r="E5816">
        <v>20000</v>
      </c>
      <c r="F5816">
        <v>3800</v>
      </c>
      <c r="G5816">
        <v>70000</v>
      </c>
      <c r="H5816">
        <v>5</v>
      </c>
      <c r="I5816">
        <v>18741.55</v>
      </c>
      <c r="J5816">
        <v>20000</v>
      </c>
      <c r="K5816">
        <v>8600</v>
      </c>
      <c r="L5816">
        <v>25000</v>
      </c>
      <c r="M5816">
        <v>15</v>
      </c>
      <c r="N5816">
        <v>10528.48</v>
      </c>
      <c r="O5816">
        <v>10000</v>
      </c>
      <c r="P5816">
        <v>3000</v>
      </c>
      <c r="Q5816">
        <v>30000</v>
      </c>
      <c r="R5816">
        <v>8</v>
      </c>
      <c r="S5816">
        <v>16256.77</v>
      </c>
      <c r="T5816">
        <v>15000</v>
      </c>
      <c r="U5816">
        <v>4000</v>
      </c>
      <c r="V5816">
        <v>30000</v>
      </c>
      <c r="W5816">
        <v>6</v>
      </c>
      <c r="X5816">
        <v>1636.93</v>
      </c>
      <c r="Y5816">
        <v>1350</v>
      </c>
      <c r="Z5816">
        <v>700</v>
      </c>
      <c r="AA5816">
        <v>3000</v>
      </c>
      <c r="AB5816">
        <v>10</v>
      </c>
      <c r="AC5816">
        <v>7871.74</v>
      </c>
      <c r="AD5816">
        <v>6000</v>
      </c>
      <c r="AE5816">
        <v>1000</v>
      </c>
      <c r="AF5816">
        <v>20000</v>
      </c>
      <c r="AG5816">
        <v>34</v>
      </c>
      <c r="AH5816">
        <v>5838.5</v>
      </c>
      <c r="AI5816">
        <v>5000</v>
      </c>
      <c r="AJ5816">
        <v>2500</v>
      </c>
      <c r="AK5816">
        <v>13000</v>
      </c>
      <c r="AQ5816">
        <v>2</v>
      </c>
      <c r="AR5816">
        <v>14104.67</v>
      </c>
      <c r="AS5816">
        <v>20000</v>
      </c>
      <c r="AT5816">
        <v>6000</v>
      </c>
      <c r="AU5816">
        <v>20000</v>
      </c>
      <c r="AV5816">
        <v>1</v>
      </c>
      <c r="AW5816">
        <v>8000</v>
      </c>
      <c r="AX5816">
        <v>8000</v>
      </c>
      <c r="AY5816">
        <v>8000</v>
      </c>
      <c r="AZ5816">
        <v>8000</v>
      </c>
      <c r="BA5816">
        <v>23</v>
      </c>
      <c r="BB5816">
        <v>3586.96</v>
      </c>
      <c r="BC5816">
        <v>2960</v>
      </c>
      <c r="BD5816">
        <v>800</v>
      </c>
      <c r="BE5816">
        <v>15000</v>
      </c>
      <c r="BK5816">
        <v>1</v>
      </c>
      <c r="BL5816">
        <v>5000</v>
      </c>
      <c r="BM5816">
        <v>5000</v>
      </c>
      <c r="BN5816">
        <v>5000</v>
      </c>
      <c r="BO5816">
        <v>5000</v>
      </c>
      <c r="BQ5816" t="s">
        <v>37</v>
      </c>
      <c r="BR5816" t="s">
        <v>216</v>
      </c>
      <c r="BS5816">
        <v>68</v>
      </c>
      <c r="BT5816">
        <v>6465.25</v>
      </c>
      <c r="BU5816">
        <v>6000</v>
      </c>
      <c r="BV5816">
        <v>1250</v>
      </c>
      <c r="BW5816">
        <v>25000</v>
      </c>
      <c r="BX5816">
        <v>5</v>
      </c>
      <c r="BY5816">
        <v>8237.6200000000008</v>
      </c>
      <c r="BZ5816">
        <v>7000</v>
      </c>
      <c r="CA5816">
        <v>1720</v>
      </c>
      <c r="CB5816">
        <v>12500</v>
      </c>
      <c r="CC5816">
        <v>15</v>
      </c>
      <c r="CD5816">
        <v>5083.71</v>
      </c>
      <c r="CE5816">
        <v>2500</v>
      </c>
      <c r="CF5816">
        <v>800</v>
      </c>
      <c r="CG5816">
        <v>30000</v>
      </c>
      <c r="CH5816">
        <v>8</v>
      </c>
      <c r="CI5816">
        <v>5079.78</v>
      </c>
      <c r="CJ5816">
        <v>5000</v>
      </c>
      <c r="CK5816">
        <v>800</v>
      </c>
      <c r="CL5816">
        <v>10000</v>
      </c>
      <c r="CM5816">
        <v>6</v>
      </c>
      <c r="CN5816">
        <v>957.69</v>
      </c>
      <c r="CO5816">
        <v>833.33</v>
      </c>
      <c r="CP5816">
        <v>233.33</v>
      </c>
      <c r="CQ5816">
        <v>3000</v>
      </c>
      <c r="CR5816">
        <v>10</v>
      </c>
      <c r="CS5816">
        <v>2788.04</v>
      </c>
      <c r="CT5816">
        <v>2000</v>
      </c>
      <c r="CU5816">
        <v>500</v>
      </c>
      <c r="CV5816">
        <v>10000</v>
      </c>
      <c r="CW5816">
        <v>34</v>
      </c>
      <c r="CX5816">
        <v>2630.29</v>
      </c>
      <c r="CY5816">
        <v>2200</v>
      </c>
      <c r="CZ5816">
        <v>416.67</v>
      </c>
      <c r="DA5816">
        <v>6500</v>
      </c>
      <c r="DG5816">
        <v>2</v>
      </c>
      <c r="DH5816">
        <v>8315.6200000000008</v>
      </c>
      <c r="DI5816">
        <v>10000</v>
      </c>
      <c r="DJ5816">
        <v>6000</v>
      </c>
      <c r="DK5816">
        <v>10000</v>
      </c>
      <c r="DL5816">
        <v>1</v>
      </c>
      <c r="DM5816">
        <v>2666.67</v>
      </c>
      <c r="DN5816">
        <v>2666.67</v>
      </c>
      <c r="DO5816">
        <v>2666.67</v>
      </c>
      <c r="DP5816">
        <v>2666.67</v>
      </c>
      <c r="DQ5816">
        <v>23</v>
      </c>
      <c r="DR5816">
        <v>1096.75</v>
      </c>
      <c r="DS5816">
        <v>833.33</v>
      </c>
      <c r="DT5816">
        <v>215</v>
      </c>
      <c r="DU5816">
        <v>3150</v>
      </c>
      <c r="EA5816">
        <v>1</v>
      </c>
      <c r="EB5816">
        <v>1000</v>
      </c>
      <c r="EC5816">
        <v>1000</v>
      </c>
      <c r="ED5816">
        <v>1000</v>
      </c>
      <c r="EE5816">
        <v>1000</v>
      </c>
    </row>
    <row r="5817" spans="1:135" x14ac:dyDescent="0.3">
      <c r="A5817" t="s">
        <v>36</v>
      </c>
      <c r="B5817" t="s">
        <v>210</v>
      </c>
      <c r="C5817">
        <v>40</v>
      </c>
      <c r="D5817">
        <v>28263.31</v>
      </c>
      <c r="E5817">
        <v>10000</v>
      </c>
      <c r="F5817">
        <v>4000</v>
      </c>
      <c r="G5817">
        <v>180000</v>
      </c>
      <c r="H5817">
        <v>13</v>
      </c>
      <c r="I5817">
        <v>5137.2</v>
      </c>
      <c r="J5817">
        <v>5000</v>
      </c>
      <c r="K5817">
        <v>1000</v>
      </c>
      <c r="L5817">
        <v>16000</v>
      </c>
      <c r="M5817">
        <v>28</v>
      </c>
      <c r="N5817">
        <v>7783.72</v>
      </c>
      <c r="O5817">
        <v>5800</v>
      </c>
      <c r="P5817">
        <v>1800</v>
      </c>
      <c r="Q5817">
        <v>30000</v>
      </c>
      <c r="R5817">
        <v>5</v>
      </c>
      <c r="S5817">
        <v>18296.45</v>
      </c>
      <c r="T5817">
        <v>6000</v>
      </c>
      <c r="U5817">
        <v>3000</v>
      </c>
      <c r="V5817">
        <v>70000</v>
      </c>
      <c r="W5817">
        <v>2</v>
      </c>
      <c r="X5817">
        <v>2251.33</v>
      </c>
      <c r="Y5817">
        <v>6000</v>
      </c>
      <c r="Z5817">
        <v>1250</v>
      </c>
      <c r="AA5817">
        <v>6000</v>
      </c>
      <c r="AB5817">
        <v>14</v>
      </c>
      <c r="AC5817">
        <v>4315.1499999999996</v>
      </c>
      <c r="AD5817">
        <v>4000</v>
      </c>
      <c r="AE5817">
        <v>1300</v>
      </c>
      <c r="AF5817">
        <v>15000</v>
      </c>
      <c r="AG5817">
        <v>59</v>
      </c>
      <c r="AH5817">
        <v>6769.7</v>
      </c>
      <c r="AI5817">
        <v>5000</v>
      </c>
      <c r="AJ5817">
        <v>2200</v>
      </c>
      <c r="AK5817">
        <v>22000</v>
      </c>
      <c r="AQ5817">
        <v>7</v>
      </c>
      <c r="AR5817">
        <v>7248.01</v>
      </c>
      <c r="AS5817">
        <v>10000</v>
      </c>
      <c r="AT5817">
        <v>1000</v>
      </c>
      <c r="AU5817">
        <v>10000</v>
      </c>
      <c r="AV5817">
        <v>12</v>
      </c>
      <c r="AW5817">
        <v>5527.54</v>
      </c>
      <c r="AX5817">
        <v>6000</v>
      </c>
      <c r="AY5817">
        <v>2000</v>
      </c>
      <c r="AZ5817">
        <v>14000</v>
      </c>
      <c r="BA5817">
        <v>116</v>
      </c>
      <c r="BB5817">
        <v>5205.0600000000004</v>
      </c>
      <c r="BC5817">
        <v>4700</v>
      </c>
      <c r="BD5817">
        <v>750</v>
      </c>
      <c r="BE5817">
        <v>20000</v>
      </c>
      <c r="BK5817">
        <v>2</v>
      </c>
      <c r="BL5817">
        <v>2250</v>
      </c>
      <c r="BM5817">
        <v>1000</v>
      </c>
      <c r="BN5817">
        <v>1000</v>
      </c>
      <c r="BO5817">
        <v>3500</v>
      </c>
      <c r="BQ5817" t="s">
        <v>36</v>
      </c>
      <c r="BR5817" t="s">
        <v>210</v>
      </c>
      <c r="BS5817">
        <v>40</v>
      </c>
      <c r="BT5817">
        <v>13393.94</v>
      </c>
      <c r="BU5817">
        <v>5000</v>
      </c>
      <c r="BV5817">
        <v>1285.71</v>
      </c>
      <c r="BW5817">
        <v>90000</v>
      </c>
      <c r="BX5817">
        <v>13</v>
      </c>
      <c r="BY5817">
        <v>1414.5</v>
      </c>
      <c r="BZ5817">
        <v>1500</v>
      </c>
      <c r="CA5817">
        <v>300</v>
      </c>
      <c r="CB5817">
        <v>5333.33</v>
      </c>
      <c r="CC5817">
        <v>28</v>
      </c>
      <c r="CD5817">
        <v>3885.65</v>
      </c>
      <c r="CE5817">
        <v>2500</v>
      </c>
      <c r="CF5817">
        <v>333.33</v>
      </c>
      <c r="CG5817">
        <v>10000</v>
      </c>
      <c r="CH5817">
        <v>5</v>
      </c>
      <c r="CI5817">
        <v>13744.38</v>
      </c>
      <c r="CJ5817">
        <v>3000</v>
      </c>
      <c r="CK5817">
        <v>1000</v>
      </c>
      <c r="CL5817">
        <v>70000</v>
      </c>
      <c r="CM5817">
        <v>2</v>
      </c>
      <c r="CN5817">
        <v>480.62</v>
      </c>
      <c r="CO5817">
        <v>1500</v>
      </c>
      <c r="CP5817">
        <v>208.33</v>
      </c>
      <c r="CQ5817">
        <v>1500</v>
      </c>
      <c r="CR5817">
        <v>14</v>
      </c>
      <c r="CS5817">
        <v>2779.87</v>
      </c>
      <c r="CT5817">
        <v>3000</v>
      </c>
      <c r="CU5817">
        <v>222.22</v>
      </c>
      <c r="CV5817">
        <v>7500</v>
      </c>
      <c r="CW5817">
        <v>59</v>
      </c>
      <c r="CX5817">
        <v>3433.1</v>
      </c>
      <c r="CY5817">
        <v>2000</v>
      </c>
      <c r="CZ5817">
        <v>440</v>
      </c>
      <c r="DA5817">
        <v>12000</v>
      </c>
      <c r="DG5817">
        <v>7</v>
      </c>
      <c r="DH5817">
        <v>5628.46</v>
      </c>
      <c r="DI5817">
        <v>5000</v>
      </c>
      <c r="DJ5817">
        <v>500</v>
      </c>
      <c r="DK5817">
        <v>10000</v>
      </c>
      <c r="DL5817">
        <v>12</v>
      </c>
      <c r="DM5817">
        <v>1635.99</v>
      </c>
      <c r="DN5817">
        <v>1600</v>
      </c>
      <c r="DO5817">
        <v>666.67</v>
      </c>
      <c r="DP5817">
        <v>3300</v>
      </c>
      <c r="DQ5817">
        <v>116</v>
      </c>
      <c r="DR5817">
        <v>1998.22</v>
      </c>
      <c r="DS5817">
        <v>2000</v>
      </c>
      <c r="DT5817">
        <v>143.33000000000001</v>
      </c>
      <c r="DU5817">
        <v>6150</v>
      </c>
      <c r="EA5817">
        <v>2</v>
      </c>
      <c r="EB5817">
        <v>2250</v>
      </c>
      <c r="EC5817">
        <v>1000</v>
      </c>
      <c r="ED5817">
        <v>1000</v>
      </c>
      <c r="EE5817">
        <v>3500</v>
      </c>
    </row>
    <row r="5818" spans="1:135" x14ac:dyDescent="0.3">
      <c r="A5818" t="s">
        <v>36</v>
      </c>
      <c r="B5818" t="s">
        <v>212</v>
      </c>
      <c r="C5818">
        <v>660</v>
      </c>
      <c r="D5818">
        <v>14492.47</v>
      </c>
      <c r="E5818">
        <v>10000</v>
      </c>
      <c r="F5818">
        <v>1900</v>
      </c>
      <c r="G5818">
        <v>72000</v>
      </c>
      <c r="H5818">
        <v>139</v>
      </c>
      <c r="I5818">
        <v>5350.44</v>
      </c>
      <c r="J5818">
        <v>4000</v>
      </c>
      <c r="K5818">
        <v>800</v>
      </c>
      <c r="L5818">
        <v>20000</v>
      </c>
      <c r="M5818">
        <v>275</v>
      </c>
      <c r="N5818">
        <v>9054.31</v>
      </c>
      <c r="O5818">
        <v>6000</v>
      </c>
      <c r="P5818">
        <v>1300</v>
      </c>
      <c r="Q5818">
        <v>41000</v>
      </c>
      <c r="R5818">
        <v>155</v>
      </c>
      <c r="S5818">
        <v>15665.36</v>
      </c>
      <c r="T5818">
        <v>10000</v>
      </c>
      <c r="U5818">
        <v>400</v>
      </c>
      <c r="V5818">
        <v>100000</v>
      </c>
      <c r="W5818">
        <v>92</v>
      </c>
      <c r="X5818">
        <v>3078.03</v>
      </c>
      <c r="Y5818">
        <v>2000</v>
      </c>
      <c r="Z5818">
        <v>400</v>
      </c>
      <c r="AA5818">
        <v>50000</v>
      </c>
      <c r="AB5818">
        <v>120</v>
      </c>
      <c r="AC5818">
        <v>18161.68</v>
      </c>
      <c r="AD5818">
        <v>5000</v>
      </c>
      <c r="AE5818">
        <v>1000</v>
      </c>
      <c r="AF5818">
        <v>108000</v>
      </c>
      <c r="AG5818">
        <v>888</v>
      </c>
      <c r="AH5818">
        <v>5196.59</v>
      </c>
      <c r="AI5818">
        <v>4000</v>
      </c>
      <c r="AJ5818">
        <v>1250</v>
      </c>
      <c r="AK5818">
        <v>20000</v>
      </c>
      <c r="AQ5818">
        <v>16</v>
      </c>
      <c r="AR5818">
        <v>4544.76</v>
      </c>
      <c r="AS5818">
        <v>5000</v>
      </c>
      <c r="AT5818">
        <v>500</v>
      </c>
      <c r="AU5818">
        <v>8000</v>
      </c>
      <c r="AV5818">
        <v>32</v>
      </c>
      <c r="AW5818">
        <v>4967.2299999999996</v>
      </c>
      <c r="AX5818">
        <v>4400</v>
      </c>
      <c r="AY5818">
        <v>300</v>
      </c>
      <c r="AZ5818">
        <v>20000</v>
      </c>
      <c r="BA5818">
        <v>289</v>
      </c>
      <c r="BB5818">
        <v>3739.37</v>
      </c>
      <c r="BC5818">
        <v>2600</v>
      </c>
      <c r="BD5818">
        <v>800</v>
      </c>
      <c r="BE5818">
        <v>90000</v>
      </c>
      <c r="BF5818">
        <v>10</v>
      </c>
      <c r="BG5818">
        <v>2785.27</v>
      </c>
      <c r="BH5818">
        <v>3000</v>
      </c>
      <c r="BI5818">
        <v>500</v>
      </c>
      <c r="BJ5818">
        <v>6000</v>
      </c>
      <c r="BK5818">
        <v>5</v>
      </c>
      <c r="BL5818">
        <v>62515.94</v>
      </c>
      <c r="BM5818">
        <v>108000</v>
      </c>
      <c r="BN5818">
        <v>500</v>
      </c>
      <c r="BO5818">
        <v>108000</v>
      </c>
      <c r="BQ5818" t="s">
        <v>36</v>
      </c>
      <c r="BR5818" t="s">
        <v>212</v>
      </c>
      <c r="BS5818">
        <v>660</v>
      </c>
      <c r="BT5818">
        <v>5892.96</v>
      </c>
      <c r="BU5818">
        <v>4000</v>
      </c>
      <c r="BV5818">
        <v>380</v>
      </c>
      <c r="BW5818">
        <v>30000</v>
      </c>
      <c r="BX5818">
        <v>139</v>
      </c>
      <c r="BY5818">
        <v>2992.01</v>
      </c>
      <c r="BZ5818">
        <v>2000</v>
      </c>
      <c r="CA5818">
        <v>200</v>
      </c>
      <c r="CB5818">
        <v>14000</v>
      </c>
      <c r="CC5818">
        <v>275</v>
      </c>
      <c r="CD5818">
        <v>4156.78</v>
      </c>
      <c r="CE5818">
        <v>3000</v>
      </c>
      <c r="CF5818">
        <v>333.33</v>
      </c>
      <c r="CG5818">
        <v>20000</v>
      </c>
      <c r="CH5818">
        <v>155</v>
      </c>
      <c r="CI5818">
        <v>7938.52</v>
      </c>
      <c r="CJ5818">
        <v>3333.33</v>
      </c>
      <c r="CK5818">
        <v>250</v>
      </c>
      <c r="CL5818">
        <v>37500</v>
      </c>
      <c r="CM5818">
        <v>92</v>
      </c>
      <c r="CN5818">
        <v>1620.35</v>
      </c>
      <c r="CO5818">
        <v>880</v>
      </c>
      <c r="CP5818">
        <v>100</v>
      </c>
      <c r="CQ5818">
        <v>25000</v>
      </c>
      <c r="CR5818">
        <v>120</v>
      </c>
      <c r="CS5818">
        <v>9870.84</v>
      </c>
      <c r="CT5818">
        <v>3333.33</v>
      </c>
      <c r="CU5818">
        <v>333.33</v>
      </c>
      <c r="CV5818">
        <v>100000</v>
      </c>
      <c r="CW5818">
        <v>888</v>
      </c>
      <c r="CX5818">
        <v>2815.25</v>
      </c>
      <c r="CY5818">
        <v>2550</v>
      </c>
      <c r="CZ5818">
        <v>275</v>
      </c>
      <c r="DA5818">
        <v>16500</v>
      </c>
      <c r="DG5818">
        <v>16</v>
      </c>
      <c r="DH5818">
        <v>3925.85</v>
      </c>
      <c r="DI5818">
        <v>5000</v>
      </c>
      <c r="DJ5818">
        <v>125</v>
      </c>
      <c r="DK5818">
        <v>8000</v>
      </c>
      <c r="DL5818">
        <v>32</v>
      </c>
      <c r="DM5818">
        <v>2602.96</v>
      </c>
      <c r="DN5818">
        <v>2000</v>
      </c>
      <c r="DO5818">
        <v>150</v>
      </c>
      <c r="DP5818">
        <v>6660</v>
      </c>
      <c r="DQ5818">
        <v>289</v>
      </c>
      <c r="DR5818">
        <v>1394.89</v>
      </c>
      <c r="DS5818">
        <v>1100</v>
      </c>
      <c r="DT5818">
        <v>107.5</v>
      </c>
      <c r="DU5818">
        <v>18000</v>
      </c>
      <c r="DV5818">
        <v>10</v>
      </c>
      <c r="DW5818">
        <v>1433.77</v>
      </c>
      <c r="DX5818">
        <v>1500</v>
      </c>
      <c r="DY5818">
        <v>215</v>
      </c>
      <c r="DZ5818">
        <v>3000</v>
      </c>
      <c r="EA5818">
        <v>5</v>
      </c>
      <c r="EB5818">
        <v>20839.39</v>
      </c>
      <c r="EC5818">
        <v>36000</v>
      </c>
      <c r="ED5818">
        <v>250</v>
      </c>
      <c r="EE5818">
        <v>36000</v>
      </c>
    </row>
    <row r="5819" spans="1:135" x14ac:dyDescent="0.3">
      <c r="A5819" t="s">
        <v>36</v>
      </c>
      <c r="B5819" t="s">
        <v>216</v>
      </c>
      <c r="C5819">
        <v>104</v>
      </c>
      <c r="D5819">
        <v>13641.03</v>
      </c>
      <c r="E5819">
        <v>10000</v>
      </c>
      <c r="F5819">
        <v>1100</v>
      </c>
      <c r="G5819">
        <v>50000</v>
      </c>
      <c r="H5819">
        <v>20</v>
      </c>
      <c r="I5819">
        <v>15359.24</v>
      </c>
      <c r="J5819">
        <v>20000</v>
      </c>
      <c r="K5819">
        <v>1000</v>
      </c>
      <c r="L5819">
        <v>30000</v>
      </c>
      <c r="M5819">
        <v>34</v>
      </c>
      <c r="N5819">
        <v>15507.38</v>
      </c>
      <c r="O5819">
        <v>11000</v>
      </c>
      <c r="P5819">
        <v>1000</v>
      </c>
      <c r="Q5819">
        <v>35000</v>
      </c>
      <c r="R5819">
        <v>17</v>
      </c>
      <c r="S5819">
        <v>11990.42</v>
      </c>
      <c r="T5819">
        <v>10000</v>
      </c>
      <c r="U5819">
        <v>300</v>
      </c>
      <c r="V5819">
        <v>30000</v>
      </c>
      <c r="W5819">
        <v>10</v>
      </c>
      <c r="X5819">
        <v>4885.5</v>
      </c>
      <c r="Y5819">
        <v>5000</v>
      </c>
      <c r="Z5819">
        <v>1000</v>
      </c>
      <c r="AA5819">
        <v>20000</v>
      </c>
      <c r="AB5819">
        <v>30</v>
      </c>
      <c r="AC5819">
        <v>13964.46</v>
      </c>
      <c r="AD5819">
        <v>15000</v>
      </c>
      <c r="AE5819">
        <v>1000</v>
      </c>
      <c r="AF5819">
        <v>36000</v>
      </c>
      <c r="AG5819">
        <v>94</v>
      </c>
      <c r="AH5819">
        <v>6123.29</v>
      </c>
      <c r="AI5819">
        <v>5000</v>
      </c>
      <c r="AJ5819">
        <v>1900</v>
      </c>
      <c r="AK5819">
        <v>14000</v>
      </c>
      <c r="AQ5819">
        <v>7</v>
      </c>
      <c r="AR5819">
        <v>9492.8700000000008</v>
      </c>
      <c r="AS5819">
        <v>1400</v>
      </c>
      <c r="AT5819">
        <v>500</v>
      </c>
      <c r="AU5819">
        <v>20000</v>
      </c>
      <c r="AV5819">
        <v>20</v>
      </c>
      <c r="AW5819">
        <v>3721.5</v>
      </c>
      <c r="AX5819">
        <v>2200</v>
      </c>
      <c r="AY5819">
        <v>1000</v>
      </c>
      <c r="AZ5819">
        <v>26600</v>
      </c>
      <c r="BA5819">
        <v>92</v>
      </c>
      <c r="BB5819">
        <v>4009.96</v>
      </c>
      <c r="BC5819">
        <v>2300</v>
      </c>
      <c r="BD5819">
        <v>640</v>
      </c>
      <c r="BE5819">
        <v>30000</v>
      </c>
      <c r="BK5819">
        <v>2</v>
      </c>
      <c r="BL5819">
        <v>8584.49</v>
      </c>
      <c r="BM5819">
        <v>10000</v>
      </c>
      <c r="BN5819">
        <v>4400</v>
      </c>
      <c r="BO5819">
        <v>10000</v>
      </c>
      <c r="BQ5819" t="s">
        <v>36</v>
      </c>
      <c r="BR5819" t="s">
        <v>216</v>
      </c>
      <c r="BS5819">
        <v>104</v>
      </c>
      <c r="BT5819">
        <v>5467.39</v>
      </c>
      <c r="BU5819">
        <v>3750</v>
      </c>
      <c r="BV5819">
        <v>275</v>
      </c>
      <c r="BW5819">
        <v>22000</v>
      </c>
      <c r="BX5819">
        <v>20</v>
      </c>
      <c r="BY5819">
        <v>8636.82</v>
      </c>
      <c r="BZ5819">
        <v>10000</v>
      </c>
      <c r="CA5819">
        <v>142.86000000000001</v>
      </c>
      <c r="CB5819">
        <v>20000</v>
      </c>
      <c r="CC5819">
        <v>34</v>
      </c>
      <c r="CD5819">
        <v>7319.18</v>
      </c>
      <c r="CE5819">
        <v>4450</v>
      </c>
      <c r="CF5819">
        <v>250</v>
      </c>
      <c r="CG5819">
        <v>23000</v>
      </c>
      <c r="CH5819">
        <v>17</v>
      </c>
      <c r="CI5819">
        <v>4088.19</v>
      </c>
      <c r="CJ5819">
        <v>3750</v>
      </c>
      <c r="CK5819">
        <v>100</v>
      </c>
      <c r="CL5819">
        <v>10000</v>
      </c>
      <c r="CM5819">
        <v>10</v>
      </c>
      <c r="CN5819">
        <v>2035.29</v>
      </c>
      <c r="CO5819">
        <v>1250</v>
      </c>
      <c r="CP5819">
        <v>500</v>
      </c>
      <c r="CQ5819">
        <v>10000</v>
      </c>
      <c r="CR5819">
        <v>30</v>
      </c>
      <c r="CS5819">
        <v>6793.25</v>
      </c>
      <c r="CT5819">
        <v>3750</v>
      </c>
      <c r="CU5819">
        <v>875</v>
      </c>
      <c r="CV5819">
        <v>20000</v>
      </c>
      <c r="CW5819">
        <v>94</v>
      </c>
      <c r="CX5819">
        <v>3032.63</v>
      </c>
      <c r="CY5819">
        <v>2800</v>
      </c>
      <c r="CZ5819">
        <v>300</v>
      </c>
      <c r="DA5819">
        <v>14000</v>
      </c>
      <c r="DG5819">
        <v>7</v>
      </c>
      <c r="DH5819">
        <v>3602.85</v>
      </c>
      <c r="DI5819">
        <v>1400</v>
      </c>
      <c r="DJ5819">
        <v>250</v>
      </c>
      <c r="DK5819">
        <v>6666.67</v>
      </c>
      <c r="DL5819">
        <v>20</v>
      </c>
      <c r="DM5819">
        <v>2417.4899999999998</v>
      </c>
      <c r="DN5819">
        <v>666.67</v>
      </c>
      <c r="DO5819">
        <v>333.33</v>
      </c>
      <c r="DP5819">
        <v>8000</v>
      </c>
      <c r="DQ5819">
        <v>92</v>
      </c>
      <c r="DR5819">
        <v>1274.0999999999999</v>
      </c>
      <c r="DS5819">
        <v>1000</v>
      </c>
      <c r="DT5819">
        <v>72.22</v>
      </c>
      <c r="DU5819">
        <v>6000</v>
      </c>
      <c r="EA5819">
        <v>2</v>
      </c>
      <c r="EB5819">
        <v>3046.86</v>
      </c>
      <c r="EC5819">
        <v>3333.33</v>
      </c>
      <c r="ED5819">
        <v>2200</v>
      </c>
      <c r="EE5819">
        <v>3333.33</v>
      </c>
    </row>
    <row r="5820" spans="1:135" x14ac:dyDescent="0.3">
      <c r="A5820" t="s">
        <v>34</v>
      </c>
      <c r="B5820" t="s">
        <v>210</v>
      </c>
      <c r="C5820">
        <v>78</v>
      </c>
      <c r="D5820">
        <v>14619.08</v>
      </c>
      <c r="E5820">
        <v>8800</v>
      </c>
      <c r="F5820">
        <v>1760</v>
      </c>
      <c r="G5820">
        <v>100000</v>
      </c>
      <c r="H5820">
        <v>24</v>
      </c>
      <c r="I5820">
        <v>7138.04</v>
      </c>
      <c r="J5820">
        <v>6000</v>
      </c>
      <c r="K5820">
        <v>1700</v>
      </c>
      <c r="L5820">
        <v>27000</v>
      </c>
      <c r="M5820">
        <v>28</v>
      </c>
      <c r="N5820">
        <v>8970.75</v>
      </c>
      <c r="O5820">
        <v>6000</v>
      </c>
      <c r="P5820">
        <v>1000</v>
      </c>
      <c r="Q5820">
        <v>30000</v>
      </c>
      <c r="R5820">
        <v>3</v>
      </c>
      <c r="S5820">
        <v>8666.86</v>
      </c>
      <c r="T5820">
        <v>10500</v>
      </c>
      <c r="U5820">
        <v>6000</v>
      </c>
      <c r="V5820">
        <v>15000</v>
      </c>
      <c r="W5820">
        <v>1</v>
      </c>
      <c r="X5820">
        <v>10000</v>
      </c>
      <c r="Y5820">
        <v>10000</v>
      </c>
      <c r="Z5820">
        <v>10000</v>
      </c>
      <c r="AA5820">
        <v>10000</v>
      </c>
      <c r="AB5820">
        <v>33</v>
      </c>
      <c r="AC5820">
        <v>6527.73</v>
      </c>
      <c r="AD5820">
        <v>4000</v>
      </c>
      <c r="AE5820">
        <v>500</v>
      </c>
      <c r="AF5820">
        <v>25000</v>
      </c>
      <c r="AG5820">
        <v>110</v>
      </c>
      <c r="AH5820">
        <v>5178.26</v>
      </c>
      <c r="AI5820">
        <v>4500</v>
      </c>
      <c r="AJ5820">
        <v>1600</v>
      </c>
      <c r="AK5820">
        <v>22700</v>
      </c>
      <c r="AL5820">
        <v>1</v>
      </c>
      <c r="AM5820">
        <v>7000</v>
      </c>
      <c r="AN5820">
        <v>7000</v>
      </c>
      <c r="AO5820">
        <v>7000</v>
      </c>
      <c r="AP5820">
        <v>7000</v>
      </c>
      <c r="AQ5820">
        <v>9</v>
      </c>
      <c r="AR5820">
        <v>4857.3900000000003</v>
      </c>
      <c r="AS5820">
        <v>5000</v>
      </c>
      <c r="AT5820">
        <v>600</v>
      </c>
      <c r="AU5820">
        <v>10000</v>
      </c>
      <c r="AV5820">
        <v>10</v>
      </c>
      <c r="AW5820">
        <v>11128.55</v>
      </c>
      <c r="AX5820">
        <v>8000</v>
      </c>
      <c r="AY5820">
        <v>2000</v>
      </c>
      <c r="AZ5820">
        <v>20000</v>
      </c>
      <c r="BA5820">
        <v>187</v>
      </c>
      <c r="BB5820">
        <v>6341.69</v>
      </c>
      <c r="BC5820">
        <v>6000</v>
      </c>
      <c r="BD5820">
        <v>880</v>
      </c>
      <c r="BE5820">
        <v>20000</v>
      </c>
      <c r="BQ5820" t="s">
        <v>34</v>
      </c>
      <c r="BR5820" t="s">
        <v>210</v>
      </c>
      <c r="BS5820">
        <v>78</v>
      </c>
      <c r="BT5820">
        <v>6224.91</v>
      </c>
      <c r="BU5820">
        <v>3750</v>
      </c>
      <c r="BV5820">
        <v>440</v>
      </c>
      <c r="BW5820">
        <v>50000</v>
      </c>
      <c r="BX5820">
        <v>24</v>
      </c>
      <c r="BY5820">
        <v>2771.36</v>
      </c>
      <c r="BZ5820">
        <v>1500</v>
      </c>
      <c r="CA5820">
        <v>425</v>
      </c>
      <c r="CB5820">
        <v>15000</v>
      </c>
      <c r="CC5820">
        <v>28</v>
      </c>
      <c r="CD5820">
        <v>3739.84</v>
      </c>
      <c r="CE5820">
        <v>2500</v>
      </c>
      <c r="CF5820">
        <v>250</v>
      </c>
      <c r="CG5820">
        <v>10000</v>
      </c>
      <c r="CH5820">
        <v>3</v>
      </c>
      <c r="CI5820">
        <v>2985.26</v>
      </c>
      <c r="CJ5820">
        <v>3000</v>
      </c>
      <c r="CK5820">
        <v>2100</v>
      </c>
      <c r="CL5820">
        <v>5000</v>
      </c>
      <c r="CM5820">
        <v>1</v>
      </c>
      <c r="CN5820">
        <v>10000</v>
      </c>
      <c r="CO5820">
        <v>10000</v>
      </c>
      <c r="CP5820">
        <v>10000</v>
      </c>
      <c r="CQ5820">
        <v>10000</v>
      </c>
      <c r="CR5820">
        <v>33</v>
      </c>
      <c r="CS5820">
        <v>3274.95</v>
      </c>
      <c r="CT5820">
        <v>2666.67</v>
      </c>
      <c r="CU5820">
        <v>214.29</v>
      </c>
      <c r="CV5820">
        <v>25000</v>
      </c>
      <c r="CW5820">
        <v>110</v>
      </c>
      <c r="CX5820">
        <v>2228.86</v>
      </c>
      <c r="CY5820">
        <v>1750</v>
      </c>
      <c r="CZ5820">
        <v>357.14</v>
      </c>
      <c r="DA5820">
        <v>11350</v>
      </c>
      <c r="DB5820">
        <v>1</v>
      </c>
      <c r="DC5820">
        <v>1750</v>
      </c>
      <c r="DD5820">
        <v>1750</v>
      </c>
      <c r="DE5820">
        <v>1750</v>
      </c>
      <c r="DF5820">
        <v>1750</v>
      </c>
      <c r="DG5820">
        <v>9</v>
      </c>
      <c r="DH5820">
        <v>2219.7199999999998</v>
      </c>
      <c r="DI5820">
        <v>1666.67</v>
      </c>
      <c r="DJ5820">
        <v>150</v>
      </c>
      <c r="DK5820">
        <v>5000</v>
      </c>
      <c r="DL5820">
        <v>10</v>
      </c>
      <c r="DM5820">
        <v>3699.62</v>
      </c>
      <c r="DN5820">
        <v>3450</v>
      </c>
      <c r="DO5820">
        <v>866.67</v>
      </c>
      <c r="DP5820">
        <v>6600</v>
      </c>
      <c r="DQ5820">
        <v>187</v>
      </c>
      <c r="DR5820">
        <v>2222.58</v>
      </c>
      <c r="DS5820">
        <v>2000</v>
      </c>
      <c r="DT5820">
        <v>293.33</v>
      </c>
      <c r="DU5820">
        <v>6000</v>
      </c>
    </row>
    <row r="5821" spans="1:135" x14ac:dyDescent="0.3">
      <c r="A5821" t="s">
        <v>34</v>
      </c>
      <c r="B5821" t="s">
        <v>212</v>
      </c>
      <c r="C5821">
        <v>587</v>
      </c>
      <c r="D5821">
        <v>15319.24</v>
      </c>
      <c r="E5821">
        <v>12000</v>
      </c>
      <c r="F5821">
        <v>860</v>
      </c>
      <c r="G5821">
        <v>122000</v>
      </c>
      <c r="H5821">
        <v>78</v>
      </c>
      <c r="I5821">
        <v>5882.96</v>
      </c>
      <c r="J5821">
        <v>5000</v>
      </c>
      <c r="K5821">
        <v>700</v>
      </c>
      <c r="L5821">
        <v>30000</v>
      </c>
      <c r="M5821">
        <v>172</v>
      </c>
      <c r="N5821">
        <v>11268.13</v>
      </c>
      <c r="O5821">
        <v>9500</v>
      </c>
      <c r="P5821">
        <v>900</v>
      </c>
      <c r="Q5821">
        <v>60000</v>
      </c>
      <c r="R5821">
        <v>77</v>
      </c>
      <c r="S5821">
        <v>16237.19</v>
      </c>
      <c r="T5821">
        <v>6000</v>
      </c>
      <c r="U5821">
        <v>300</v>
      </c>
      <c r="V5821">
        <v>200000</v>
      </c>
      <c r="W5821">
        <v>45</v>
      </c>
      <c r="X5821">
        <v>2401.9</v>
      </c>
      <c r="Y5821">
        <v>1800</v>
      </c>
      <c r="Z5821">
        <v>500</v>
      </c>
      <c r="AA5821">
        <v>18000</v>
      </c>
      <c r="AB5821">
        <v>90</v>
      </c>
      <c r="AC5821">
        <v>10316.5</v>
      </c>
      <c r="AD5821">
        <v>5000</v>
      </c>
      <c r="AE5821">
        <v>650</v>
      </c>
      <c r="AF5821">
        <v>50000</v>
      </c>
      <c r="AG5821">
        <v>858</v>
      </c>
      <c r="AH5821">
        <v>5944.71</v>
      </c>
      <c r="AI5821">
        <v>4600</v>
      </c>
      <c r="AJ5821">
        <v>1900</v>
      </c>
      <c r="AK5821">
        <v>35000</v>
      </c>
      <c r="AL5821">
        <v>2</v>
      </c>
      <c r="AM5821">
        <v>5503.98</v>
      </c>
      <c r="AN5821">
        <v>7000</v>
      </c>
      <c r="AO5821">
        <v>2000</v>
      </c>
      <c r="AP5821">
        <v>7000</v>
      </c>
      <c r="AQ5821">
        <v>35</v>
      </c>
      <c r="AR5821">
        <v>4649.5600000000004</v>
      </c>
      <c r="AS5821">
        <v>4000</v>
      </c>
      <c r="AT5821">
        <v>500</v>
      </c>
      <c r="AU5821">
        <v>50000</v>
      </c>
      <c r="AV5821">
        <v>16</v>
      </c>
      <c r="AW5821">
        <v>6627.61</v>
      </c>
      <c r="AX5821">
        <v>6600</v>
      </c>
      <c r="AY5821">
        <v>2200</v>
      </c>
      <c r="AZ5821">
        <v>19000</v>
      </c>
      <c r="BA5821">
        <v>188</v>
      </c>
      <c r="BB5821">
        <v>4415.7700000000004</v>
      </c>
      <c r="BC5821">
        <v>2900</v>
      </c>
      <c r="BD5821">
        <v>600</v>
      </c>
      <c r="BE5821">
        <v>27000</v>
      </c>
      <c r="BF5821">
        <v>2</v>
      </c>
      <c r="BG5821">
        <v>1000</v>
      </c>
      <c r="BH5821">
        <v>1000</v>
      </c>
      <c r="BI5821">
        <v>1000</v>
      </c>
      <c r="BJ5821">
        <v>1000</v>
      </c>
      <c r="BK5821">
        <v>7</v>
      </c>
      <c r="BL5821">
        <v>15962.98</v>
      </c>
      <c r="BM5821">
        <v>2500</v>
      </c>
      <c r="BN5821">
        <v>1200</v>
      </c>
      <c r="BO5821">
        <v>50000</v>
      </c>
      <c r="BQ5821" t="s">
        <v>34</v>
      </c>
      <c r="BR5821" t="s">
        <v>212</v>
      </c>
      <c r="BS5821">
        <v>587</v>
      </c>
      <c r="BT5821">
        <v>6884.31</v>
      </c>
      <c r="BU5821">
        <v>5000</v>
      </c>
      <c r="BV5821">
        <v>215</v>
      </c>
      <c r="BW5821">
        <v>40666.67</v>
      </c>
      <c r="BX5821">
        <v>78</v>
      </c>
      <c r="BY5821">
        <v>2814.4</v>
      </c>
      <c r="BZ5821">
        <v>1500</v>
      </c>
      <c r="CA5821">
        <v>333.33</v>
      </c>
      <c r="CB5821">
        <v>14000</v>
      </c>
      <c r="CC5821">
        <v>172</v>
      </c>
      <c r="CD5821">
        <v>5174.88</v>
      </c>
      <c r="CE5821">
        <v>4450</v>
      </c>
      <c r="CF5821">
        <v>250</v>
      </c>
      <c r="CG5821">
        <v>40000</v>
      </c>
      <c r="CH5821">
        <v>77</v>
      </c>
      <c r="CI5821">
        <v>7532.28</v>
      </c>
      <c r="CJ5821">
        <v>3000</v>
      </c>
      <c r="CK5821">
        <v>75</v>
      </c>
      <c r="CL5821">
        <v>100000</v>
      </c>
      <c r="CM5821">
        <v>45</v>
      </c>
      <c r="CN5821">
        <v>1629.55</v>
      </c>
      <c r="CO5821">
        <v>1200</v>
      </c>
      <c r="CP5821">
        <v>125</v>
      </c>
      <c r="CQ5821">
        <v>9000</v>
      </c>
      <c r="CR5821">
        <v>90</v>
      </c>
      <c r="CS5821">
        <v>5096.33</v>
      </c>
      <c r="CT5821">
        <v>3000</v>
      </c>
      <c r="CU5821">
        <v>500</v>
      </c>
      <c r="CV5821">
        <v>50000</v>
      </c>
      <c r="CW5821">
        <v>858</v>
      </c>
      <c r="CX5821">
        <v>3400.99</v>
      </c>
      <c r="CY5821">
        <v>3100</v>
      </c>
      <c r="CZ5821">
        <v>250</v>
      </c>
      <c r="DA5821">
        <v>30000</v>
      </c>
      <c r="DB5821">
        <v>2</v>
      </c>
      <c r="DC5821">
        <v>5204.7700000000004</v>
      </c>
      <c r="DD5821">
        <v>7000</v>
      </c>
      <c r="DE5821">
        <v>1000</v>
      </c>
      <c r="DF5821">
        <v>7000</v>
      </c>
      <c r="DG5821">
        <v>35</v>
      </c>
      <c r="DH5821">
        <v>2325.4499999999998</v>
      </c>
      <c r="DI5821">
        <v>2000</v>
      </c>
      <c r="DJ5821">
        <v>250</v>
      </c>
      <c r="DK5821">
        <v>20000</v>
      </c>
      <c r="DL5821">
        <v>16</v>
      </c>
      <c r="DM5821">
        <v>3042.84</v>
      </c>
      <c r="DN5821">
        <v>2220</v>
      </c>
      <c r="DO5821">
        <v>733.33</v>
      </c>
      <c r="DP5821">
        <v>6600</v>
      </c>
      <c r="DQ5821">
        <v>188</v>
      </c>
      <c r="DR5821">
        <v>1760.25</v>
      </c>
      <c r="DS5821">
        <v>1250</v>
      </c>
      <c r="DT5821">
        <v>143.33000000000001</v>
      </c>
      <c r="DU5821">
        <v>25000</v>
      </c>
      <c r="DV5821">
        <v>2</v>
      </c>
      <c r="DW5821">
        <v>1000</v>
      </c>
      <c r="DX5821">
        <v>1000</v>
      </c>
      <c r="DY5821">
        <v>1000</v>
      </c>
      <c r="DZ5821">
        <v>1000</v>
      </c>
      <c r="EA5821">
        <v>7</v>
      </c>
      <c r="EB5821">
        <v>4876.41</v>
      </c>
      <c r="EC5821">
        <v>1000</v>
      </c>
      <c r="ED5821">
        <v>300</v>
      </c>
      <c r="EE5821">
        <v>16666.669999999998</v>
      </c>
    </row>
    <row r="5822" spans="1:135" x14ac:dyDescent="0.3">
      <c r="A5822" t="s">
        <v>34</v>
      </c>
      <c r="B5822" t="s">
        <v>216</v>
      </c>
      <c r="C5822">
        <v>90</v>
      </c>
      <c r="D5822">
        <v>14236.4</v>
      </c>
      <c r="E5822">
        <v>10000</v>
      </c>
      <c r="F5822">
        <v>2000</v>
      </c>
      <c r="G5822">
        <v>63500</v>
      </c>
      <c r="H5822">
        <v>27</v>
      </c>
      <c r="I5822">
        <v>5274.68</v>
      </c>
      <c r="J5822">
        <v>4500</v>
      </c>
      <c r="K5822">
        <v>2000</v>
      </c>
      <c r="L5822">
        <v>20000</v>
      </c>
      <c r="M5822">
        <v>28</v>
      </c>
      <c r="N5822">
        <v>9753.08</v>
      </c>
      <c r="O5822">
        <v>10000</v>
      </c>
      <c r="P5822">
        <v>1000</v>
      </c>
      <c r="Q5822">
        <v>30000</v>
      </c>
      <c r="R5822">
        <v>9</v>
      </c>
      <c r="S5822">
        <v>36557.72</v>
      </c>
      <c r="T5822">
        <v>12000</v>
      </c>
      <c r="U5822">
        <v>2000</v>
      </c>
      <c r="V5822">
        <v>100000</v>
      </c>
      <c r="W5822">
        <v>3</v>
      </c>
      <c r="X5822">
        <v>1247.04</v>
      </c>
      <c r="Y5822">
        <v>1000</v>
      </c>
      <c r="Z5822">
        <v>830</v>
      </c>
      <c r="AA5822">
        <v>3000</v>
      </c>
      <c r="AB5822">
        <v>13</v>
      </c>
      <c r="AC5822">
        <v>4465.74</v>
      </c>
      <c r="AD5822">
        <v>4000</v>
      </c>
      <c r="AE5822">
        <v>1200</v>
      </c>
      <c r="AF5822">
        <v>25000</v>
      </c>
      <c r="AG5822">
        <v>84</v>
      </c>
      <c r="AH5822">
        <v>5218.79</v>
      </c>
      <c r="AI5822">
        <v>4600</v>
      </c>
      <c r="AJ5822">
        <v>2000</v>
      </c>
      <c r="AK5822">
        <v>22000</v>
      </c>
      <c r="AL5822">
        <v>1</v>
      </c>
      <c r="AM5822">
        <v>4000</v>
      </c>
      <c r="AN5822">
        <v>4000</v>
      </c>
      <c r="AO5822">
        <v>4000</v>
      </c>
      <c r="AP5822">
        <v>4000</v>
      </c>
      <c r="AQ5822">
        <v>11</v>
      </c>
      <c r="AR5822">
        <v>4727.68</v>
      </c>
      <c r="AS5822">
        <v>2000</v>
      </c>
      <c r="AT5822">
        <v>500</v>
      </c>
      <c r="AU5822">
        <v>35000</v>
      </c>
      <c r="AV5822">
        <v>10</v>
      </c>
      <c r="AW5822">
        <v>5755.13</v>
      </c>
      <c r="AX5822">
        <v>6600</v>
      </c>
      <c r="AY5822">
        <v>800</v>
      </c>
      <c r="AZ5822">
        <v>13000</v>
      </c>
      <c r="BA5822">
        <v>74</v>
      </c>
      <c r="BB5822">
        <v>5779.02</v>
      </c>
      <c r="BC5822">
        <v>4000</v>
      </c>
      <c r="BD5822">
        <v>860</v>
      </c>
      <c r="BE5822">
        <v>30000</v>
      </c>
      <c r="BK5822">
        <v>3</v>
      </c>
      <c r="BL5822">
        <v>23712.77</v>
      </c>
      <c r="BM5822">
        <v>3000</v>
      </c>
      <c r="BN5822">
        <v>1500</v>
      </c>
      <c r="BO5822">
        <v>50000</v>
      </c>
      <c r="BQ5822" t="s">
        <v>34</v>
      </c>
      <c r="BR5822" t="s">
        <v>216</v>
      </c>
      <c r="BS5822">
        <v>90</v>
      </c>
      <c r="BT5822">
        <v>5835.62</v>
      </c>
      <c r="BU5822">
        <v>4000</v>
      </c>
      <c r="BV5822">
        <v>1000</v>
      </c>
      <c r="BW5822">
        <v>31750</v>
      </c>
      <c r="BX5822">
        <v>27</v>
      </c>
      <c r="BY5822">
        <v>2081.79</v>
      </c>
      <c r="BZ5822">
        <v>1900</v>
      </c>
      <c r="CA5822">
        <v>250</v>
      </c>
      <c r="CB5822">
        <v>10000</v>
      </c>
      <c r="CC5822">
        <v>28</v>
      </c>
      <c r="CD5822">
        <v>3276.38</v>
      </c>
      <c r="CE5822">
        <v>3333.33</v>
      </c>
      <c r="CF5822">
        <v>250</v>
      </c>
      <c r="CG5822">
        <v>10000</v>
      </c>
      <c r="CH5822">
        <v>9</v>
      </c>
      <c r="CI5822">
        <v>19933.849999999999</v>
      </c>
      <c r="CJ5822">
        <v>2400</v>
      </c>
      <c r="CK5822">
        <v>666.67</v>
      </c>
      <c r="CL5822">
        <v>80000</v>
      </c>
      <c r="CM5822">
        <v>3</v>
      </c>
      <c r="CN5822">
        <v>439.25</v>
      </c>
      <c r="CO5822">
        <v>276.67</v>
      </c>
      <c r="CP5822">
        <v>200</v>
      </c>
      <c r="CQ5822">
        <v>1500</v>
      </c>
      <c r="CR5822">
        <v>13</v>
      </c>
      <c r="CS5822">
        <v>2449.13</v>
      </c>
      <c r="CT5822">
        <v>2000</v>
      </c>
      <c r="CU5822">
        <v>500</v>
      </c>
      <c r="CV5822">
        <v>15000</v>
      </c>
      <c r="CW5822">
        <v>84</v>
      </c>
      <c r="CX5822">
        <v>2329.0700000000002</v>
      </c>
      <c r="CY5822">
        <v>1666.67</v>
      </c>
      <c r="CZ5822">
        <v>460</v>
      </c>
      <c r="DA5822">
        <v>19000</v>
      </c>
      <c r="DB5822">
        <v>1</v>
      </c>
      <c r="DC5822">
        <v>1000</v>
      </c>
      <c r="DD5822">
        <v>1000</v>
      </c>
      <c r="DE5822">
        <v>1000</v>
      </c>
      <c r="DF5822">
        <v>1000</v>
      </c>
      <c r="DG5822">
        <v>11</v>
      </c>
      <c r="DH5822">
        <v>2307.31</v>
      </c>
      <c r="DI5822">
        <v>1666.67</v>
      </c>
      <c r="DJ5822">
        <v>500</v>
      </c>
      <c r="DK5822">
        <v>17500</v>
      </c>
      <c r="DL5822">
        <v>10</v>
      </c>
      <c r="DM5822">
        <v>2584.41</v>
      </c>
      <c r="DN5822">
        <v>2000</v>
      </c>
      <c r="DO5822">
        <v>400</v>
      </c>
      <c r="DP5822">
        <v>6500</v>
      </c>
      <c r="DQ5822">
        <v>74</v>
      </c>
      <c r="DR5822">
        <v>2297.04</v>
      </c>
      <c r="DS5822">
        <v>2000</v>
      </c>
      <c r="DT5822">
        <v>107.5</v>
      </c>
      <c r="DU5822">
        <v>12000</v>
      </c>
      <c r="EA5822">
        <v>3</v>
      </c>
      <c r="EB5822">
        <v>8237.8700000000008</v>
      </c>
      <c r="EC5822">
        <v>1500</v>
      </c>
      <c r="ED5822">
        <v>1500</v>
      </c>
      <c r="EE5822">
        <v>16666.669999999998</v>
      </c>
    </row>
    <row r="5823" spans="1:135" s="5" customFormat="1" x14ac:dyDescent="0.3">
      <c r="A5823" s="5" t="s">
        <v>33</v>
      </c>
      <c r="B5823" s="5" t="s">
        <v>210</v>
      </c>
      <c r="C5823" s="5">
        <v>23</v>
      </c>
      <c r="D5823" s="5">
        <v>16333.15</v>
      </c>
      <c r="E5823" s="5">
        <v>15000</v>
      </c>
      <c r="F5823" s="5">
        <v>5300</v>
      </c>
      <c r="G5823" s="5">
        <v>50000</v>
      </c>
      <c r="H5823" s="5">
        <v>5</v>
      </c>
      <c r="I5823" s="5">
        <v>8751.69</v>
      </c>
      <c r="J5823" s="5">
        <v>7000</v>
      </c>
      <c r="K5823" s="5">
        <v>2000</v>
      </c>
      <c r="L5823" s="5">
        <v>18000</v>
      </c>
      <c r="M5823" s="5">
        <v>4</v>
      </c>
      <c r="N5823" s="5">
        <v>6693.86</v>
      </c>
      <c r="O5823" s="5">
        <v>5000</v>
      </c>
      <c r="P5823" s="5">
        <v>2000</v>
      </c>
      <c r="Q5823" s="5">
        <v>12000</v>
      </c>
      <c r="R5823" s="5">
        <v>4</v>
      </c>
      <c r="S5823" s="5">
        <v>19339.03</v>
      </c>
      <c r="T5823" s="5">
        <v>18000</v>
      </c>
      <c r="U5823" s="5">
        <v>6000</v>
      </c>
      <c r="V5823" s="5">
        <v>30000</v>
      </c>
      <c r="W5823" s="5">
        <v>1</v>
      </c>
      <c r="X5823" s="5">
        <v>1000</v>
      </c>
      <c r="Y5823" s="5">
        <v>1000</v>
      </c>
      <c r="Z5823" s="5">
        <v>1000</v>
      </c>
      <c r="AA5823" s="5">
        <v>1000</v>
      </c>
      <c r="AB5823" s="5">
        <v>5</v>
      </c>
      <c r="AC5823" s="5">
        <v>8372.08</v>
      </c>
      <c r="AD5823" s="5">
        <v>5000</v>
      </c>
      <c r="AE5823" s="5">
        <v>1000</v>
      </c>
      <c r="AF5823" s="5">
        <v>20000</v>
      </c>
      <c r="AG5823" s="5">
        <v>22</v>
      </c>
      <c r="AH5823" s="5">
        <v>5699.77</v>
      </c>
      <c r="AI5823" s="5">
        <v>5000</v>
      </c>
      <c r="AJ5823" s="5">
        <v>1300</v>
      </c>
      <c r="AK5823" s="5">
        <v>13000</v>
      </c>
      <c r="AV5823" s="5">
        <v>4</v>
      </c>
      <c r="AW5823" s="5">
        <v>3280</v>
      </c>
      <c r="AX5823" s="5">
        <v>4400</v>
      </c>
      <c r="AY5823" s="5">
        <v>1000</v>
      </c>
      <c r="AZ5823" s="5">
        <v>5000</v>
      </c>
      <c r="BA5823" s="5">
        <v>46</v>
      </c>
      <c r="BB5823" s="5">
        <v>5733.34</v>
      </c>
      <c r="BC5823" s="5">
        <v>4000</v>
      </c>
      <c r="BD5823" s="5">
        <v>860</v>
      </c>
      <c r="BE5823" s="5">
        <v>26000</v>
      </c>
      <c r="BQ5823" s="5" t="s">
        <v>33</v>
      </c>
      <c r="BR5823" s="5" t="s">
        <v>210</v>
      </c>
      <c r="BS5823" s="5">
        <v>23</v>
      </c>
      <c r="BT5823" s="5">
        <v>6834.99</v>
      </c>
      <c r="BU5823" s="5">
        <v>5000</v>
      </c>
      <c r="BV5823" s="5">
        <v>1600</v>
      </c>
      <c r="BW5823" s="5">
        <v>30000</v>
      </c>
      <c r="BX5823" s="5">
        <v>5</v>
      </c>
      <c r="BY5823" s="5">
        <v>3411.23</v>
      </c>
      <c r="BZ5823" s="5">
        <v>2000</v>
      </c>
      <c r="CA5823" s="5">
        <v>400</v>
      </c>
      <c r="CB5823" s="5">
        <v>9000</v>
      </c>
      <c r="CC5823" s="5">
        <v>4</v>
      </c>
      <c r="CD5823" s="5">
        <v>5661.29</v>
      </c>
      <c r="CE5823" s="5">
        <v>2500</v>
      </c>
      <c r="CF5823" s="5">
        <v>800</v>
      </c>
      <c r="CG5823" s="5">
        <v>12000</v>
      </c>
      <c r="CH5823" s="5">
        <v>4</v>
      </c>
      <c r="CI5823" s="5">
        <v>8569.8700000000008</v>
      </c>
      <c r="CJ5823" s="5">
        <v>9000</v>
      </c>
      <c r="CK5823" s="5">
        <v>3000</v>
      </c>
      <c r="CL5823" s="5">
        <v>12500</v>
      </c>
      <c r="CM5823" s="5">
        <v>1</v>
      </c>
      <c r="CN5823" s="5">
        <v>500</v>
      </c>
      <c r="CO5823" s="5">
        <v>500</v>
      </c>
      <c r="CP5823" s="5">
        <v>500</v>
      </c>
      <c r="CQ5823" s="5">
        <v>500</v>
      </c>
      <c r="CR5823" s="5">
        <v>5</v>
      </c>
      <c r="CS5823" s="5">
        <v>3186.92</v>
      </c>
      <c r="CT5823" s="5">
        <v>5000</v>
      </c>
      <c r="CU5823" s="5">
        <v>500</v>
      </c>
      <c r="CV5823" s="5">
        <v>5000</v>
      </c>
      <c r="CW5823" s="5">
        <v>22</v>
      </c>
      <c r="CX5823" s="5">
        <v>2721.59</v>
      </c>
      <c r="CY5823" s="5">
        <v>2500</v>
      </c>
      <c r="CZ5823" s="5">
        <v>500</v>
      </c>
      <c r="DA5823" s="5">
        <v>6100</v>
      </c>
      <c r="DL5823" s="5">
        <v>4</v>
      </c>
      <c r="DM5823" s="5">
        <v>1971.13</v>
      </c>
      <c r="DN5823" s="5">
        <v>2200</v>
      </c>
      <c r="DO5823" s="5">
        <v>1000</v>
      </c>
      <c r="DP5823" s="5">
        <v>2500</v>
      </c>
      <c r="DQ5823" s="5">
        <v>46</v>
      </c>
      <c r="DR5823" s="5">
        <v>1979.51</v>
      </c>
      <c r="DS5823" s="5">
        <v>2000</v>
      </c>
      <c r="DT5823" s="5">
        <v>143.33000000000001</v>
      </c>
      <c r="DU5823" s="5">
        <v>4700</v>
      </c>
    </row>
    <row r="5824" spans="1:135" x14ac:dyDescent="0.3">
      <c r="A5824" t="s">
        <v>33</v>
      </c>
      <c r="B5824" t="s">
        <v>212</v>
      </c>
      <c r="C5824">
        <v>852</v>
      </c>
      <c r="D5824">
        <v>15986.87</v>
      </c>
      <c r="E5824">
        <v>14000</v>
      </c>
      <c r="F5824">
        <v>3000</v>
      </c>
      <c r="G5824">
        <v>200000</v>
      </c>
      <c r="H5824">
        <v>66</v>
      </c>
      <c r="I5824">
        <v>8552.42</v>
      </c>
      <c r="J5824">
        <v>7000</v>
      </c>
      <c r="K5824">
        <v>2000</v>
      </c>
      <c r="L5824">
        <v>50000</v>
      </c>
      <c r="M5824">
        <v>123</v>
      </c>
      <c r="N5824">
        <v>8874.4699999999993</v>
      </c>
      <c r="O5824">
        <v>7000</v>
      </c>
      <c r="P5824">
        <v>1500</v>
      </c>
      <c r="Q5824">
        <v>40000</v>
      </c>
      <c r="R5824">
        <v>126</v>
      </c>
      <c r="S5824">
        <v>20725.080000000002</v>
      </c>
      <c r="T5824">
        <v>17000</v>
      </c>
      <c r="U5824">
        <v>1000</v>
      </c>
      <c r="V5824">
        <v>100000</v>
      </c>
      <c r="W5824">
        <v>251</v>
      </c>
      <c r="X5824">
        <v>2951.18</v>
      </c>
      <c r="Y5824">
        <v>2000</v>
      </c>
      <c r="Z5824">
        <v>500</v>
      </c>
      <c r="AA5824">
        <v>20000</v>
      </c>
      <c r="AB5824">
        <v>95</v>
      </c>
      <c r="AC5824">
        <v>7956.24</v>
      </c>
      <c r="AD5824">
        <v>5000</v>
      </c>
      <c r="AE5824">
        <v>500</v>
      </c>
      <c r="AF5824">
        <v>30000</v>
      </c>
      <c r="AG5824">
        <v>883</v>
      </c>
      <c r="AH5824">
        <v>5329.69</v>
      </c>
      <c r="AI5824">
        <v>4500</v>
      </c>
      <c r="AJ5824">
        <v>1000</v>
      </c>
      <c r="AK5824">
        <v>23000</v>
      </c>
      <c r="AQ5824">
        <v>47</v>
      </c>
      <c r="AR5824">
        <v>2659.35</v>
      </c>
      <c r="AS5824">
        <v>2000</v>
      </c>
      <c r="AT5824">
        <v>1000</v>
      </c>
      <c r="AU5824">
        <v>6000</v>
      </c>
      <c r="AV5824">
        <v>2</v>
      </c>
      <c r="AW5824">
        <v>25486.54</v>
      </c>
      <c r="AX5824">
        <v>70000</v>
      </c>
      <c r="AY5824">
        <v>400</v>
      </c>
      <c r="AZ5824">
        <v>70000</v>
      </c>
      <c r="BA5824">
        <v>180</v>
      </c>
      <c r="BB5824">
        <v>3323.51</v>
      </c>
      <c r="BC5824">
        <v>2530</v>
      </c>
      <c r="BD5824">
        <v>600</v>
      </c>
      <c r="BE5824">
        <v>20000</v>
      </c>
      <c r="BF5824">
        <v>1</v>
      </c>
      <c r="BG5824">
        <v>2000</v>
      </c>
      <c r="BH5824">
        <v>2000</v>
      </c>
      <c r="BI5824">
        <v>2000</v>
      </c>
      <c r="BJ5824">
        <v>2000</v>
      </c>
      <c r="BQ5824" t="s">
        <v>33</v>
      </c>
      <c r="BR5824" t="s">
        <v>212</v>
      </c>
      <c r="BS5824">
        <v>852</v>
      </c>
      <c r="BT5824">
        <v>6485.21</v>
      </c>
      <c r="BU5824">
        <v>5000</v>
      </c>
      <c r="BV5824">
        <v>800</v>
      </c>
      <c r="BW5824">
        <v>66666.67</v>
      </c>
      <c r="BX5824">
        <v>66</v>
      </c>
      <c r="BY5824">
        <v>3225.06</v>
      </c>
      <c r="BZ5824">
        <v>2500</v>
      </c>
      <c r="CA5824">
        <v>333.33</v>
      </c>
      <c r="CB5824">
        <v>12500</v>
      </c>
      <c r="CC5824">
        <v>123</v>
      </c>
      <c r="CD5824">
        <v>3943.4</v>
      </c>
      <c r="CE5824">
        <v>3250</v>
      </c>
      <c r="CF5824">
        <v>666.67</v>
      </c>
      <c r="CG5824">
        <v>20000</v>
      </c>
      <c r="CH5824">
        <v>126</v>
      </c>
      <c r="CI5824">
        <v>8006.91</v>
      </c>
      <c r="CJ5824">
        <v>6000</v>
      </c>
      <c r="CK5824">
        <v>500</v>
      </c>
      <c r="CL5824">
        <v>35000</v>
      </c>
      <c r="CM5824">
        <v>251</v>
      </c>
      <c r="CN5824">
        <v>1439.88</v>
      </c>
      <c r="CO5824">
        <v>1000</v>
      </c>
      <c r="CP5824">
        <v>200</v>
      </c>
      <c r="CQ5824">
        <v>15000</v>
      </c>
      <c r="CR5824">
        <v>95</v>
      </c>
      <c r="CS5824">
        <v>3786.26</v>
      </c>
      <c r="CT5824">
        <v>3000</v>
      </c>
      <c r="CU5824">
        <v>500</v>
      </c>
      <c r="CV5824">
        <v>15000</v>
      </c>
      <c r="CW5824">
        <v>883</v>
      </c>
      <c r="CX5824">
        <v>3181.3</v>
      </c>
      <c r="CY5824">
        <v>3100</v>
      </c>
      <c r="CZ5824">
        <v>375</v>
      </c>
      <c r="DA5824">
        <v>11500</v>
      </c>
      <c r="DG5824">
        <v>47</v>
      </c>
      <c r="DH5824">
        <v>1373.72</v>
      </c>
      <c r="DI5824">
        <v>1000</v>
      </c>
      <c r="DJ5824">
        <v>500</v>
      </c>
      <c r="DK5824">
        <v>3000</v>
      </c>
      <c r="DL5824">
        <v>2</v>
      </c>
      <c r="DM5824">
        <v>5174.0600000000004</v>
      </c>
      <c r="DN5824">
        <v>14000</v>
      </c>
      <c r="DO5824">
        <v>200</v>
      </c>
      <c r="DP5824">
        <v>14000</v>
      </c>
      <c r="DQ5824">
        <v>180</v>
      </c>
      <c r="DR5824">
        <v>1369.31</v>
      </c>
      <c r="DS5824">
        <v>1150</v>
      </c>
      <c r="DT5824">
        <v>114.29</v>
      </c>
      <c r="DU5824">
        <v>7500</v>
      </c>
      <c r="DV5824">
        <v>1</v>
      </c>
      <c r="DW5824">
        <v>2000</v>
      </c>
      <c r="DX5824">
        <v>2000</v>
      </c>
      <c r="DY5824">
        <v>2000</v>
      </c>
      <c r="DZ5824">
        <v>2000</v>
      </c>
    </row>
    <row r="5825" spans="1:135" x14ac:dyDescent="0.3">
      <c r="A5825" t="s">
        <v>33</v>
      </c>
      <c r="B5825" t="s">
        <v>216</v>
      </c>
      <c r="C5825">
        <v>35</v>
      </c>
      <c r="D5825">
        <v>16328.6</v>
      </c>
      <c r="E5825">
        <v>15000</v>
      </c>
      <c r="F5825">
        <v>4000</v>
      </c>
      <c r="G5825">
        <v>40000</v>
      </c>
      <c r="H5825">
        <v>3</v>
      </c>
      <c r="I5825">
        <v>9403.85</v>
      </c>
      <c r="J5825">
        <v>10000</v>
      </c>
      <c r="K5825">
        <v>5000</v>
      </c>
      <c r="L5825">
        <v>12000</v>
      </c>
      <c r="M5825">
        <v>6</v>
      </c>
      <c r="N5825">
        <v>8329.75</v>
      </c>
      <c r="O5825">
        <v>7000</v>
      </c>
      <c r="P5825">
        <v>3000</v>
      </c>
      <c r="Q5825">
        <v>15000</v>
      </c>
      <c r="R5825">
        <v>9</v>
      </c>
      <c r="S5825">
        <v>44659.53</v>
      </c>
      <c r="T5825">
        <v>38000</v>
      </c>
      <c r="U5825">
        <v>20000</v>
      </c>
      <c r="V5825">
        <v>100000</v>
      </c>
      <c r="W5825">
        <v>4</v>
      </c>
      <c r="X5825">
        <v>3774.76</v>
      </c>
      <c r="Y5825">
        <v>3000</v>
      </c>
      <c r="Z5825">
        <v>800</v>
      </c>
      <c r="AA5825">
        <v>8000</v>
      </c>
      <c r="AB5825">
        <v>6</v>
      </c>
      <c r="AC5825">
        <v>19484.55</v>
      </c>
      <c r="AD5825">
        <v>15000</v>
      </c>
      <c r="AE5825">
        <v>3500</v>
      </c>
      <c r="AF5825">
        <v>40000</v>
      </c>
      <c r="AG5825">
        <v>13</v>
      </c>
      <c r="AH5825">
        <v>4419.12</v>
      </c>
      <c r="AI5825">
        <v>3500</v>
      </c>
      <c r="AJ5825">
        <v>2000</v>
      </c>
      <c r="AK5825">
        <v>9000</v>
      </c>
      <c r="BA5825">
        <v>10</v>
      </c>
      <c r="BB5825">
        <v>4780.05</v>
      </c>
      <c r="BC5825">
        <v>2500</v>
      </c>
      <c r="BD5825">
        <v>860</v>
      </c>
      <c r="BE5825">
        <v>23000</v>
      </c>
      <c r="BQ5825" t="s">
        <v>33</v>
      </c>
      <c r="BR5825" t="s">
        <v>216</v>
      </c>
      <c r="BS5825">
        <v>35</v>
      </c>
      <c r="BT5825">
        <v>6962.09</v>
      </c>
      <c r="BU5825">
        <v>6000</v>
      </c>
      <c r="BV5825">
        <v>1333.33</v>
      </c>
      <c r="BW5825">
        <v>22000</v>
      </c>
      <c r="BX5825">
        <v>3</v>
      </c>
      <c r="BY5825">
        <v>3351.7</v>
      </c>
      <c r="BZ5825">
        <v>3333.33</v>
      </c>
      <c r="CA5825">
        <v>2500</v>
      </c>
      <c r="CB5825">
        <v>4000</v>
      </c>
      <c r="CC5825">
        <v>6</v>
      </c>
      <c r="CD5825">
        <v>3054.51</v>
      </c>
      <c r="CE5825">
        <v>2333.33</v>
      </c>
      <c r="CF5825">
        <v>1000</v>
      </c>
      <c r="CG5825">
        <v>5000</v>
      </c>
      <c r="CH5825">
        <v>9</v>
      </c>
      <c r="CI5825">
        <v>20695.84</v>
      </c>
      <c r="CJ5825">
        <v>12666.67</v>
      </c>
      <c r="CK5825">
        <v>6250</v>
      </c>
      <c r="CL5825">
        <v>50000</v>
      </c>
      <c r="CM5825">
        <v>4</v>
      </c>
      <c r="CN5825">
        <v>1295.1500000000001</v>
      </c>
      <c r="CO5825">
        <v>1000</v>
      </c>
      <c r="CP5825">
        <v>400</v>
      </c>
      <c r="CQ5825">
        <v>2666.67</v>
      </c>
      <c r="CR5825">
        <v>6</v>
      </c>
      <c r="CS5825">
        <v>6287.55</v>
      </c>
      <c r="CT5825">
        <v>5000</v>
      </c>
      <c r="CU5825">
        <v>1166.67</v>
      </c>
      <c r="CV5825">
        <v>13333.33</v>
      </c>
      <c r="CW5825">
        <v>13</v>
      </c>
      <c r="CX5825">
        <v>2435.2399999999998</v>
      </c>
      <c r="CY5825">
        <v>2750</v>
      </c>
      <c r="CZ5825">
        <v>700</v>
      </c>
      <c r="DA5825">
        <v>4500</v>
      </c>
      <c r="DQ5825">
        <v>10</v>
      </c>
      <c r="DR5825">
        <v>2998.11</v>
      </c>
      <c r="DS5825">
        <v>666.67</v>
      </c>
      <c r="DT5825">
        <v>286.67</v>
      </c>
      <c r="DU5825">
        <v>23000</v>
      </c>
    </row>
    <row r="5826" spans="1:135" x14ac:dyDescent="0.3">
      <c r="A5826" t="s">
        <v>49</v>
      </c>
      <c r="B5826" t="s">
        <v>210</v>
      </c>
      <c r="C5826">
        <v>232</v>
      </c>
      <c r="D5826">
        <v>18099.310000000001</v>
      </c>
      <c r="E5826">
        <v>12000</v>
      </c>
      <c r="F5826">
        <v>1760</v>
      </c>
      <c r="G5826">
        <v>180000</v>
      </c>
      <c r="H5826">
        <v>60</v>
      </c>
      <c r="I5826">
        <v>8070.85</v>
      </c>
      <c r="J5826">
        <v>6000</v>
      </c>
      <c r="K5826">
        <v>1000</v>
      </c>
      <c r="L5826">
        <v>27000</v>
      </c>
      <c r="M5826">
        <v>90</v>
      </c>
      <c r="N5826">
        <v>10052.92</v>
      </c>
      <c r="O5826">
        <v>8000</v>
      </c>
      <c r="P5826">
        <v>1000</v>
      </c>
      <c r="Q5826">
        <v>30000</v>
      </c>
      <c r="R5826">
        <v>30</v>
      </c>
      <c r="S5826">
        <v>33335.79</v>
      </c>
      <c r="T5826">
        <v>18000</v>
      </c>
      <c r="U5826">
        <v>3000</v>
      </c>
      <c r="V5826">
        <v>200000</v>
      </c>
      <c r="W5826">
        <v>6</v>
      </c>
      <c r="X5826">
        <v>1467.63</v>
      </c>
      <c r="Y5826">
        <v>1000</v>
      </c>
      <c r="Z5826">
        <v>600</v>
      </c>
      <c r="AA5826">
        <v>10000</v>
      </c>
      <c r="AB5826">
        <v>78</v>
      </c>
      <c r="AC5826">
        <v>7311.95</v>
      </c>
      <c r="AD5826">
        <v>8000</v>
      </c>
      <c r="AE5826">
        <v>500</v>
      </c>
      <c r="AF5826">
        <v>25000</v>
      </c>
      <c r="AG5826">
        <v>284</v>
      </c>
      <c r="AH5826">
        <v>5260.97</v>
      </c>
      <c r="AI5826">
        <v>4300</v>
      </c>
      <c r="AJ5826">
        <v>1300</v>
      </c>
      <c r="AK5826">
        <v>22700</v>
      </c>
      <c r="AL5826">
        <v>1</v>
      </c>
      <c r="AM5826">
        <v>7000</v>
      </c>
      <c r="AN5826">
        <v>7000</v>
      </c>
      <c r="AO5826">
        <v>7000</v>
      </c>
      <c r="AP5826">
        <v>7000</v>
      </c>
      <c r="AQ5826">
        <v>19</v>
      </c>
      <c r="AR5826">
        <v>5739.65</v>
      </c>
      <c r="AS5826">
        <v>5000</v>
      </c>
      <c r="AT5826">
        <v>600</v>
      </c>
      <c r="AU5826">
        <v>10000</v>
      </c>
      <c r="AV5826">
        <v>42</v>
      </c>
      <c r="AW5826">
        <v>7102.85</v>
      </c>
      <c r="AX5826">
        <v>5000</v>
      </c>
      <c r="AY5826">
        <v>1000</v>
      </c>
      <c r="AZ5826">
        <v>33300</v>
      </c>
      <c r="BA5826">
        <v>508</v>
      </c>
      <c r="BB5826">
        <v>5733.67</v>
      </c>
      <c r="BC5826">
        <v>5000</v>
      </c>
      <c r="BD5826">
        <v>750</v>
      </c>
      <c r="BE5826">
        <v>26000</v>
      </c>
      <c r="BK5826">
        <v>4</v>
      </c>
      <c r="BL5826">
        <v>2147.65</v>
      </c>
      <c r="BM5826">
        <v>2800</v>
      </c>
      <c r="BN5826">
        <v>1000</v>
      </c>
      <c r="BO5826">
        <v>3500</v>
      </c>
      <c r="BQ5826" t="s">
        <v>49</v>
      </c>
      <c r="BR5826" t="s">
        <v>210</v>
      </c>
      <c r="BS5826">
        <v>232</v>
      </c>
      <c r="BT5826">
        <v>8134.02</v>
      </c>
      <c r="BU5826">
        <v>5000</v>
      </c>
      <c r="BV5826">
        <v>316.67</v>
      </c>
      <c r="BW5826">
        <v>90000</v>
      </c>
      <c r="BX5826">
        <v>60</v>
      </c>
      <c r="BY5826">
        <v>3232.18</v>
      </c>
      <c r="BZ5826">
        <v>2000</v>
      </c>
      <c r="CA5826">
        <v>300</v>
      </c>
      <c r="CB5826">
        <v>15000</v>
      </c>
      <c r="CC5826">
        <v>90</v>
      </c>
      <c r="CD5826">
        <v>5794.02</v>
      </c>
      <c r="CE5826">
        <v>3333.33</v>
      </c>
      <c r="CF5826">
        <v>250</v>
      </c>
      <c r="CG5826">
        <v>30000</v>
      </c>
      <c r="CH5826">
        <v>30</v>
      </c>
      <c r="CI5826">
        <v>14578.55</v>
      </c>
      <c r="CJ5826">
        <v>6666.67</v>
      </c>
      <c r="CK5826">
        <v>1000</v>
      </c>
      <c r="CL5826">
        <v>100000</v>
      </c>
      <c r="CM5826">
        <v>6</v>
      </c>
      <c r="CN5826">
        <v>901.74</v>
      </c>
      <c r="CO5826">
        <v>500</v>
      </c>
      <c r="CP5826">
        <v>200</v>
      </c>
      <c r="CQ5826">
        <v>10000</v>
      </c>
      <c r="CR5826">
        <v>78</v>
      </c>
      <c r="CS5826">
        <v>3986.76</v>
      </c>
      <c r="CT5826">
        <v>3333.33</v>
      </c>
      <c r="CU5826">
        <v>214.29</v>
      </c>
      <c r="CV5826">
        <v>25000</v>
      </c>
      <c r="CW5826">
        <v>284</v>
      </c>
      <c r="CX5826">
        <v>2432.1799999999998</v>
      </c>
      <c r="CY5826">
        <v>1900</v>
      </c>
      <c r="CZ5826">
        <v>357.14</v>
      </c>
      <c r="DA5826">
        <v>12000</v>
      </c>
      <c r="DB5826">
        <v>1</v>
      </c>
      <c r="DC5826">
        <v>1750</v>
      </c>
      <c r="DD5826">
        <v>1750</v>
      </c>
      <c r="DE5826">
        <v>1750</v>
      </c>
      <c r="DF5826">
        <v>1750</v>
      </c>
      <c r="DG5826">
        <v>19</v>
      </c>
      <c r="DH5826">
        <v>3431.33</v>
      </c>
      <c r="DI5826">
        <v>2000</v>
      </c>
      <c r="DJ5826">
        <v>150</v>
      </c>
      <c r="DK5826">
        <v>10000</v>
      </c>
      <c r="DL5826">
        <v>42</v>
      </c>
      <c r="DM5826">
        <v>2384.09</v>
      </c>
      <c r="DN5826">
        <v>2000</v>
      </c>
      <c r="DO5826">
        <v>500</v>
      </c>
      <c r="DP5826">
        <v>6660</v>
      </c>
      <c r="DQ5826">
        <v>508</v>
      </c>
      <c r="DR5826">
        <v>2086.39</v>
      </c>
      <c r="DS5826">
        <v>2000</v>
      </c>
      <c r="DT5826">
        <v>143.33000000000001</v>
      </c>
      <c r="DU5826">
        <v>6150</v>
      </c>
      <c r="EA5826">
        <v>4</v>
      </c>
      <c r="EB5826">
        <v>1580.62</v>
      </c>
      <c r="EC5826">
        <v>1400</v>
      </c>
      <c r="ED5826">
        <v>250</v>
      </c>
      <c r="EE5826">
        <v>3500</v>
      </c>
    </row>
    <row r="5827" spans="1:135" x14ac:dyDescent="0.3">
      <c r="A5827" t="s">
        <v>49</v>
      </c>
      <c r="B5827" t="s">
        <v>212</v>
      </c>
      <c r="C5827">
        <v>4558</v>
      </c>
      <c r="D5827">
        <v>16982.599999999999</v>
      </c>
      <c r="E5827">
        <v>13400</v>
      </c>
      <c r="F5827">
        <v>860</v>
      </c>
      <c r="G5827">
        <v>250000</v>
      </c>
      <c r="H5827">
        <v>640</v>
      </c>
      <c r="I5827">
        <v>7905.67</v>
      </c>
      <c r="J5827">
        <v>6500</v>
      </c>
      <c r="K5827">
        <v>500</v>
      </c>
      <c r="L5827">
        <v>60000</v>
      </c>
      <c r="M5827">
        <v>1085</v>
      </c>
      <c r="N5827">
        <v>9640.18</v>
      </c>
      <c r="O5827">
        <v>8000</v>
      </c>
      <c r="P5827">
        <v>900</v>
      </c>
      <c r="Q5827">
        <v>60000</v>
      </c>
      <c r="R5827">
        <v>668</v>
      </c>
      <c r="S5827">
        <v>17499.060000000001</v>
      </c>
      <c r="T5827">
        <v>10000</v>
      </c>
      <c r="U5827">
        <v>300</v>
      </c>
      <c r="V5827">
        <v>200000</v>
      </c>
      <c r="W5827">
        <v>788</v>
      </c>
      <c r="X5827">
        <v>2531.6</v>
      </c>
      <c r="Y5827">
        <v>1660</v>
      </c>
      <c r="Z5827">
        <v>330</v>
      </c>
      <c r="AA5827">
        <v>50000</v>
      </c>
      <c r="AB5827">
        <v>705</v>
      </c>
      <c r="AC5827">
        <v>8830</v>
      </c>
      <c r="AD5827">
        <v>5000</v>
      </c>
      <c r="AE5827">
        <v>300</v>
      </c>
      <c r="AF5827">
        <v>108000</v>
      </c>
      <c r="AG5827">
        <v>5746</v>
      </c>
      <c r="AH5827">
        <v>5474.31</v>
      </c>
      <c r="AI5827">
        <v>4370</v>
      </c>
      <c r="AJ5827">
        <v>1000</v>
      </c>
      <c r="AK5827">
        <v>78000</v>
      </c>
      <c r="AL5827">
        <v>9</v>
      </c>
      <c r="AM5827">
        <v>5718.16</v>
      </c>
      <c r="AN5827">
        <v>2000</v>
      </c>
      <c r="AO5827">
        <v>1500</v>
      </c>
      <c r="AP5827">
        <v>70000</v>
      </c>
      <c r="AQ5827">
        <v>209</v>
      </c>
      <c r="AR5827">
        <v>6364.45</v>
      </c>
      <c r="AS5827">
        <v>3000</v>
      </c>
      <c r="AT5827">
        <v>500</v>
      </c>
      <c r="AU5827">
        <v>200000</v>
      </c>
      <c r="AV5827">
        <v>67</v>
      </c>
      <c r="AW5827">
        <v>7210.95</v>
      </c>
      <c r="AX5827">
        <v>6600</v>
      </c>
      <c r="AY5827">
        <v>300</v>
      </c>
      <c r="AZ5827">
        <v>70000</v>
      </c>
      <c r="BA5827">
        <v>1576</v>
      </c>
      <c r="BB5827">
        <v>3669.91</v>
      </c>
      <c r="BC5827">
        <v>2700</v>
      </c>
      <c r="BD5827">
        <v>600</v>
      </c>
      <c r="BE5827">
        <v>90000</v>
      </c>
      <c r="BF5827">
        <v>23</v>
      </c>
      <c r="BG5827">
        <v>2094.7600000000002</v>
      </c>
      <c r="BH5827">
        <v>1000</v>
      </c>
      <c r="BI5827">
        <v>500</v>
      </c>
      <c r="BJ5827">
        <v>8000</v>
      </c>
      <c r="BK5827">
        <v>29</v>
      </c>
      <c r="BL5827">
        <v>19004.16</v>
      </c>
      <c r="BM5827">
        <v>2500</v>
      </c>
      <c r="BN5827">
        <v>500</v>
      </c>
      <c r="BO5827">
        <v>108000</v>
      </c>
      <c r="BQ5827" t="s">
        <v>49</v>
      </c>
      <c r="BR5827" t="s">
        <v>212</v>
      </c>
      <c r="BS5827">
        <v>4558</v>
      </c>
      <c r="BT5827">
        <v>7134.95</v>
      </c>
      <c r="BU5827">
        <v>5000</v>
      </c>
      <c r="BV5827">
        <v>215</v>
      </c>
      <c r="BW5827">
        <v>100000</v>
      </c>
      <c r="BX5827">
        <v>640</v>
      </c>
      <c r="BY5827">
        <v>3780.52</v>
      </c>
      <c r="BZ5827">
        <v>2500</v>
      </c>
      <c r="CA5827">
        <v>200</v>
      </c>
      <c r="CB5827">
        <v>29000</v>
      </c>
      <c r="CC5827">
        <v>1085</v>
      </c>
      <c r="CD5827">
        <v>4207.62</v>
      </c>
      <c r="CE5827">
        <v>3333.33</v>
      </c>
      <c r="CF5827">
        <v>250</v>
      </c>
      <c r="CG5827">
        <v>52000</v>
      </c>
      <c r="CH5827">
        <v>668</v>
      </c>
      <c r="CI5827">
        <v>7511.49</v>
      </c>
      <c r="CJ5827">
        <v>4250</v>
      </c>
      <c r="CK5827">
        <v>75</v>
      </c>
      <c r="CL5827">
        <v>100000</v>
      </c>
      <c r="CM5827">
        <v>788</v>
      </c>
      <c r="CN5827">
        <v>1318.17</v>
      </c>
      <c r="CO5827">
        <v>833</v>
      </c>
      <c r="CP5827">
        <v>80</v>
      </c>
      <c r="CQ5827">
        <v>25000</v>
      </c>
      <c r="CR5827">
        <v>705</v>
      </c>
      <c r="CS5827">
        <v>4596.01</v>
      </c>
      <c r="CT5827">
        <v>3000</v>
      </c>
      <c r="CU5827">
        <v>75</v>
      </c>
      <c r="CV5827">
        <v>100000</v>
      </c>
      <c r="CW5827">
        <v>5746</v>
      </c>
      <c r="CX5827">
        <v>3126.57</v>
      </c>
      <c r="CY5827">
        <v>2950</v>
      </c>
      <c r="CZ5827">
        <v>250</v>
      </c>
      <c r="DA5827">
        <v>78000</v>
      </c>
      <c r="DB5827">
        <v>9</v>
      </c>
      <c r="DC5827">
        <v>3945.58</v>
      </c>
      <c r="DD5827">
        <v>1000</v>
      </c>
      <c r="DE5827">
        <v>666.67</v>
      </c>
      <c r="DF5827">
        <v>40000</v>
      </c>
      <c r="DG5827">
        <v>209</v>
      </c>
      <c r="DH5827">
        <v>3434.27</v>
      </c>
      <c r="DI5827">
        <v>1666.67</v>
      </c>
      <c r="DJ5827">
        <v>125</v>
      </c>
      <c r="DK5827">
        <v>100000</v>
      </c>
      <c r="DL5827">
        <v>67</v>
      </c>
      <c r="DM5827">
        <v>3015.1</v>
      </c>
      <c r="DN5827">
        <v>2200</v>
      </c>
      <c r="DO5827">
        <v>150</v>
      </c>
      <c r="DP5827">
        <v>14000</v>
      </c>
      <c r="DQ5827">
        <v>1576</v>
      </c>
      <c r="DR5827">
        <v>1550.09</v>
      </c>
      <c r="DS5827">
        <v>1150</v>
      </c>
      <c r="DT5827">
        <v>107.5</v>
      </c>
      <c r="DU5827">
        <v>25000</v>
      </c>
      <c r="DV5827">
        <v>23</v>
      </c>
      <c r="DW5827">
        <v>1086.81</v>
      </c>
      <c r="DX5827">
        <v>714.29</v>
      </c>
      <c r="DY5827">
        <v>215</v>
      </c>
      <c r="DZ5827">
        <v>4000</v>
      </c>
      <c r="EA5827">
        <v>29</v>
      </c>
      <c r="EB5827">
        <v>7603.29</v>
      </c>
      <c r="EC5827">
        <v>1000</v>
      </c>
      <c r="ED5827">
        <v>250</v>
      </c>
      <c r="EE5827">
        <v>36000</v>
      </c>
    </row>
    <row r="5828" spans="1:135" x14ac:dyDescent="0.3">
      <c r="A5828" t="s">
        <v>49</v>
      </c>
      <c r="B5828" t="s">
        <v>216</v>
      </c>
      <c r="C5828">
        <v>591</v>
      </c>
      <c r="D5828">
        <v>20864.740000000002</v>
      </c>
      <c r="E5828">
        <v>18000</v>
      </c>
      <c r="F5828">
        <v>1000</v>
      </c>
      <c r="G5828">
        <v>150000</v>
      </c>
      <c r="H5828">
        <v>92</v>
      </c>
      <c r="I5828">
        <v>9747.51</v>
      </c>
      <c r="J5828">
        <v>10000</v>
      </c>
      <c r="K5828">
        <v>1000</v>
      </c>
      <c r="L5828">
        <v>30000</v>
      </c>
      <c r="M5828">
        <v>131</v>
      </c>
      <c r="N5828">
        <v>11229.12</v>
      </c>
      <c r="O5828">
        <v>10000</v>
      </c>
      <c r="P5828">
        <v>1000</v>
      </c>
      <c r="Q5828">
        <v>38000</v>
      </c>
      <c r="R5828">
        <v>74</v>
      </c>
      <c r="S5828">
        <v>28366</v>
      </c>
      <c r="T5828">
        <v>20000</v>
      </c>
      <c r="U5828">
        <v>300</v>
      </c>
      <c r="V5828">
        <v>200000</v>
      </c>
      <c r="W5828">
        <v>27</v>
      </c>
      <c r="X5828">
        <v>3557.34</v>
      </c>
      <c r="Y5828">
        <v>1000</v>
      </c>
      <c r="Z5828">
        <v>700</v>
      </c>
      <c r="AA5828">
        <v>20000</v>
      </c>
      <c r="AB5828">
        <v>84</v>
      </c>
      <c r="AC5828">
        <v>11060.67</v>
      </c>
      <c r="AD5828">
        <v>5000</v>
      </c>
      <c r="AE5828">
        <v>700</v>
      </c>
      <c r="AF5828">
        <v>40000</v>
      </c>
      <c r="AG5828">
        <v>372</v>
      </c>
      <c r="AH5828">
        <v>5266.5</v>
      </c>
      <c r="AI5828">
        <v>4700</v>
      </c>
      <c r="AJ5828">
        <v>1900</v>
      </c>
      <c r="AK5828">
        <v>35000</v>
      </c>
      <c r="AL5828">
        <v>3</v>
      </c>
      <c r="AM5828">
        <v>3311.91</v>
      </c>
      <c r="AN5828">
        <v>4000</v>
      </c>
      <c r="AO5828">
        <v>500</v>
      </c>
      <c r="AP5828">
        <v>4000</v>
      </c>
      <c r="AQ5828">
        <v>29</v>
      </c>
      <c r="AR5828">
        <v>6951.41</v>
      </c>
      <c r="AS5828">
        <v>2000</v>
      </c>
      <c r="AT5828">
        <v>500</v>
      </c>
      <c r="AU5828">
        <v>70000</v>
      </c>
      <c r="AV5828">
        <v>37</v>
      </c>
      <c r="AW5828">
        <v>3876.79</v>
      </c>
      <c r="AX5828">
        <v>2200</v>
      </c>
      <c r="AY5828">
        <v>337</v>
      </c>
      <c r="AZ5828">
        <v>26600</v>
      </c>
      <c r="BA5828">
        <v>289</v>
      </c>
      <c r="BB5828">
        <v>4385.79</v>
      </c>
      <c r="BC5828">
        <v>3000</v>
      </c>
      <c r="BD5828">
        <v>640</v>
      </c>
      <c r="BE5828">
        <v>30000</v>
      </c>
      <c r="BK5828">
        <v>8</v>
      </c>
      <c r="BL5828">
        <v>17272.88</v>
      </c>
      <c r="BM5828">
        <v>4000</v>
      </c>
      <c r="BN5828">
        <v>370</v>
      </c>
      <c r="BO5828">
        <v>50000</v>
      </c>
      <c r="BQ5828" t="s">
        <v>49</v>
      </c>
      <c r="BR5828" t="s">
        <v>216</v>
      </c>
      <c r="BS5828">
        <v>591</v>
      </c>
      <c r="BT5828">
        <v>8748.65</v>
      </c>
      <c r="BU5828">
        <v>6500</v>
      </c>
      <c r="BV5828">
        <v>200</v>
      </c>
      <c r="BW5828">
        <v>62000</v>
      </c>
      <c r="BX5828">
        <v>92</v>
      </c>
      <c r="BY5828">
        <v>5297.19</v>
      </c>
      <c r="BZ5828">
        <v>3000</v>
      </c>
      <c r="CA5828">
        <v>142.86000000000001</v>
      </c>
      <c r="CB5828">
        <v>20000</v>
      </c>
      <c r="CC5828">
        <v>131</v>
      </c>
      <c r="CD5828">
        <v>4859.26</v>
      </c>
      <c r="CE5828">
        <v>3333.33</v>
      </c>
      <c r="CF5828">
        <v>250</v>
      </c>
      <c r="CG5828">
        <v>30000</v>
      </c>
      <c r="CH5828">
        <v>74</v>
      </c>
      <c r="CI5828">
        <v>13022.56</v>
      </c>
      <c r="CJ5828">
        <v>7500</v>
      </c>
      <c r="CK5828">
        <v>100</v>
      </c>
      <c r="CL5828">
        <v>80000</v>
      </c>
      <c r="CM5828">
        <v>27</v>
      </c>
      <c r="CN5828">
        <v>1571.68</v>
      </c>
      <c r="CO5828">
        <v>750</v>
      </c>
      <c r="CP5828">
        <v>140</v>
      </c>
      <c r="CQ5828">
        <v>10000</v>
      </c>
      <c r="CR5828">
        <v>84</v>
      </c>
      <c r="CS5828">
        <v>4765.51</v>
      </c>
      <c r="CT5828">
        <v>3000</v>
      </c>
      <c r="CU5828">
        <v>280</v>
      </c>
      <c r="CV5828">
        <v>20000</v>
      </c>
      <c r="CW5828">
        <v>372</v>
      </c>
      <c r="CX5828">
        <v>2412.84</v>
      </c>
      <c r="CY5828">
        <v>2000</v>
      </c>
      <c r="CZ5828">
        <v>300</v>
      </c>
      <c r="DA5828">
        <v>19000</v>
      </c>
      <c r="DB5828">
        <v>3</v>
      </c>
      <c r="DC5828">
        <v>820.06</v>
      </c>
      <c r="DD5828">
        <v>1000</v>
      </c>
      <c r="DE5828">
        <v>214.29</v>
      </c>
      <c r="DF5828">
        <v>1000</v>
      </c>
      <c r="DG5828">
        <v>29</v>
      </c>
      <c r="DH5828">
        <v>2957.11</v>
      </c>
      <c r="DI5828">
        <v>2000</v>
      </c>
      <c r="DJ5828">
        <v>250</v>
      </c>
      <c r="DK5828">
        <v>23333.33</v>
      </c>
      <c r="DL5828">
        <v>37</v>
      </c>
      <c r="DM5828">
        <v>2001.04</v>
      </c>
      <c r="DN5828">
        <v>1100</v>
      </c>
      <c r="DO5828">
        <v>333.33</v>
      </c>
      <c r="DP5828">
        <v>8000</v>
      </c>
      <c r="DQ5828">
        <v>289</v>
      </c>
      <c r="DR5828">
        <v>1752.86</v>
      </c>
      <c r="DS5828">
        <v>1450</v>
      </c>
      <c r="DT5828">
        <v>72.22</v>
      </c>
      <c r="DU5828">
        <v>23000</v>
      </c>
      <c r="EA5828">
        <v>8</v>
      </c>
      <c r="EB5828">
        <v>6022.05</v>
      </c>
      <c r="EC5828">
        <v>1500</v>
      </c>
      <c r="ED5828">
        <v>185</v>
      </c>
      <c r="EE5828">
        <v>16666.669999999998</v>
      </c>
    </row>
    <row r="5829" spans="1:135" x14ac:dyDescent="0.3">
      <c r="A5829" t="s">
        <v>36</v>
      </c>
      <c r="B5829" t="s">
        <v>365</v>
      </c>
      <c r="BQ5829" t="s">
        <v>36</v>
      </c>
      <c r="BR5829" t="s">
        <v>365</v>
      </c>
    </row>
    <row r="5830" spans="1:135" x14ac:dyDescent="0.3">
      <c r="A5830" t="s">
        <v>33</v>
      </c>
      <c r="B5830" t="s">
        <v>365</v>
      </c>
      <c r="BQ5830" t="s">
        <v>33</v>
      </c>
      <c r="BR5830" t="s">
        <v>365</v>
      </c>
    </row>
    <row r="5832" spans="1:135" x14ac:dyDescent="0.3">
      <c r="A5832" t="s">
        <v>1911</v>
      </c>
      <c r="BQ5832" t="s">
        <v>1912</v>
      </c>
    </row>
    <row r="5833" spans="1:135" x14ac:dyDescent="0.3">
      <c r="A5833" t="s">
        <v>44</v>
      </c>
      <c r="B5833" t="s">
        <v>388</v>
      </c>
      <c r="C5833" t="s">
        <v>1777</v>
      </c>
      <c r="D5833" t="s">
        <v>1778</v>
      </c>
      <c r="E5833" t="s">
        <v>1779</v>
      </c>
      <c r="F5833" t="s">
        <v>1780</v>
      </c>
      <c r="G5833" t="s">
        <v>1781</v>
      </c>
      <c r="H5833" t="s">
        <v>1782</v>
      </c>
      <c r="I5833" t="s">
        <v>1783</v>
      </c>
      <c r="J5833" t="s">
        <v>1784</v>
      </c>
      <c r="K5833" t="s">
        <v>1785</v>
      </c>
      <c r="L5833" t="s">
        <v>1786</v>
      </c>
      <c r="M5833" t="s">
        <v>1787</v>
      </c>
      <c r="N5833" t="s">
        <v>1788</v>
      </c>
      <c r="O5833" t="s">
        <v>1789</v>
      </c>
      <c r="P5833" t="s">
        <v>1790</v>
      </c>
      <c r="Q5833" t="s">
        <v>1791</v>
      </c>
      <c r="R5833" t="s">
        <v>1792</v>
      </c>
      <c r="S5833" t="s">
        <v>1793</v>
      </c>
      <c r="T5833" t="s">
        <v>1794</v>
      </c>
      <c r="U5833" t="s">
        <v>1795</v>
      </c>
      <c r="V5833" t="s">
        <v>1796</v>
      </c>
      <c r="W5833" t="s">
        <v>1797</v>
      </c>
      <c r="X5833" t="s">
        <v>1798</v>
      </c>
      <c r="Y5833" t="s">
        <v>1799</v>
      </c>
      <c r="Z5833" t="s">
        <v>1800</v>
      </c>
      <c r="AA5833" t="s">
        <v>1801</v>
      </c>
      <c r="AB5833" t="s">
        <v>1802</v>
      </c>
      <c r="AC5833" t="s">
        <v>1803</v>
      </c>
      <c r="AD5833" t="s">
        <v>1804</v>
      </c>
      <c r="AE5833" t="s">
        <v>1805</v>
      </c>
      <c r="AF5833" t="s">
        <v>1806</v>
      </c>
      <c r="AG5833" t="s">
        <v>1807</v>
      </c>
      <c r="AH5833" t="s">
        <v>1808</v>
      </c>
      <c r="AI5833" t="s">
        <v>1809</v>
      </c>
      <c r="AJ5833" t="s">
        <v>1810</v>
      </c>
      <c r="AK5833" t="s">
        <v>1811</v>
      </c>
      <c r="AL5833" t="s">
        <v>1812</v>
      </c>
      <c r="AM5833" t="s">
        <v>1813</v>
      </c>
      <c r="AN5833" t="s">
        <v>1814</v>
      </c>
      <c r="AO5833" t="s">
        <v>1815</v>
      </c>
      <c r="AP5833" t="s">
        <v>1816</v>
      </c>
      <c r="AQ5833" t="s">
        <v>1817</v>
      </c>
      <c r="AR5833" t="s">
        <v>1818</v>
      </c>
      <c r="AS5833" t="s">
        <v>1819</v>
      </c>
      <c r="AT5833" t="s">
        <v>1820</v>
      </c>
      <c r="AU5833" t="s">
        <v>1821</v>
      </c>
      <c r="AV5833" t="s">
        <v>1822</v>
      </c>
      <c r="AW5833" t="s">
        <v>1823</v>
      </c>
      <c r="AX5833" t="s">
        <v>1824</v>
      </c>
      <c r="AY5833" t="s">
        <v>1825</v>
      </c>
      <c r="AZ5833" t="s">
        <v>1826</v>
      </c>
      <c r="BA5833" t="s">
        <v>1827</v>
      </c>
      <c r="BB5833" t="s">
        <v>1828</v>
      </c>
      <c r="BC5833" t="s">
        <v>1829</v>
      </c>
      <c r="BD5833" t="s">
        <v>1830</v>
      </c>
      <c r="BE5833" t="s">
        <v>1831</v>
      </c>
      <c r="BF5833" t="s">
        <v>1832</v>
      </c>
      <c r="BG5833" t="s">
        <v>1833</v>
      </c>
      <c r="BH5833" t="s">
        <v>1834</v>
      </c>
      <c r="BI5833" t="s">
        <v>1835</v>
      </c>
      <c r="BJ5833" t="s">
        <v>1836</v>
      </c>
      <c r="BK5833" t="s">
        <v>1837</v>
      </c>
      <c r="BL5833" t="s">
        <v>1838</v>
      </c>
      <c r="BM5833" t="s">
        <v>1839</v>
      </c>
      <c r="BN5833" t="s">
        <v>1840</v>
      </c>
      <c r="BO5833" t="s">
        <v>1841</v>
      </c>
      <c r="BQ5833" t="s">
        <v>44</v>
      </c>
      <c r="BR5833" t="s">
        <v>388</v>
      </c>
      <c r="BS5833" t="s">
        <v>1842</v>
      </c>
      <c r="BT5833" t="s">
        <v>1843</v>
      </c>
      <c r="BU5833" t="s">
        <v>1844</v>
      </c>
      <c r="BV5833" t="s">
        <v>1845</v>
      </c>
      <c r="BW5833" t="s">
        <v>1846</v>
      </c>
      <c r="BX5833" t="s">
        <v>1847</v>
      </c>
      <c r="BY5833" t="s">
        <v>1848</v>
      </c>
      <c r="BZ5833" t="s">
        <v>1849</v>
      </c>
      <c r="CA5833" t="s">
        <v>1850</v>
      </c>
      <c r="CB5833" t="s">
        <v>1851</v>
      </c>
      <c r="CC5833" t="s">
        <v>1852</v>
      </c>
      <c r="CD5833" t="s">
        <v>1853</v>
      </c>
      <c r="CE5833" t="s">
        <v>1854</v>
      </c>
      <c r="CF5833" t="s">
        <v>1855</v>
      </c>
      <c r="CG5833" t="s">
        <v>1856</v>
      </c>
      <c r="CH5833" t="s">
        <v>1857</v>
      </c>
      <c r="CI5833" t="s">
        <v>1858</v>
      </c>
      <c r="CJ5833" t="s">
        <v>1859</v>
      </c>
      <c r="CK5833" t="s">
        <v>1860</v>
      </c>
      <c r="CL5833" t="s">
        <v>1861</v>
      </c>
      <c r="CM5833" t="s">
        <v>1862</v>
      </c>
      <c r="CN5833" t="s">
        <v>1863</v>
      </c>
      <c r="CO5833" t="s">
        <v>1864</v>
      </c>
      <c r="CP5833" t="s">
        <v>1865</v>
      </c>
      <c r="CQ5833" t="s">
        <v>1866</v>
      </c>
      <c r="CR5833" t="s">
        <v>1867</v>
      </c>
      <c r="CS5833" t="s">
        <v>1868</v>
      </c>
      <c r="CT5833" t="s">
        <v>1869</v>
      </c>
      <c r="CU5833" t="s">
        <v>1870</v>
      </c>
      <c r="CV5833" t="s">
        <v>1871</v>
      </c>
      <c r="CW5833" t="s">
        <v>1872</v>
      </c>
      <c r="CX5833" t="s">
        <v>1873</v>
      </c>
      <c r="CY5833" t="s">
        <v>1874</v>
      </c>
      <c r="CZ5833" t="s">
        <v>1875</v>
      </c>
      <c r="DA5833" t="s">
        <v>1876</v>
      </c>
      <c r="DB5833" t="s">
        <v>1877</v>
      </c>
      <c r="DC5833" t="s">
        <v>1878</v>
      </c>
      <c r="DD5833" t="s">
        <v>1879</v>
      </c>
      <c r="DE5833" t="s">
        <v>1880</v>
      </c>
      <c r="DF5833" t="s">
        <v>1881</v>
      </c>
      <c r="DG5833" t="s">
        <v>1882</v>
      </c>
      <c r="DH5833" t="s">
        <v>1883</v>
      </c>
      <c r="DI5833" t="s">
        <v>1884</v>
      </c>
      <c r="DJ5833" t="s">
        <v>1885</v>
      </c>
      <c r="DK5833" t="s">
        <v>1886</v>
      </c>
      <c r="DL5833" t="s">
        <v>1887</v>
      </c>
      <c r="DM5833" t="s">
        <v>1888</v>
      </c>
      <c r="DN5833" t="s">
        <v>1889</v>
      </c>
      <c r="DO5833" t="s">
        <v>1890</v>
      </c>
      <c r="DP5833" t="s">
        <v>1891</v>
      </c>
      <c r="DQ5833" t="s">
        <v>1892</v>
      </c>
      <c r="DR5833" t="s">
        <v>1893</v>
      </c>
      <c r="DS5833" t="s">
        <v>1894</v>
      </c>
      <c r="DT5833" t="s">
        <v>1895</v>
      </c>
      <c r="DU5833" t="s">
        <v>1896</v>
      </c>
      <c r="DV5833" t="s">
        <v>1897</v>
      </c>
      <c r="DW5833" t="s">
        <v>1898</v>
      </c>
      <c r="DX5833" t="s">
        <v>1899</v>
      </c>
      <c r="DY5833" t="s">
        <v>1900</v>
      </c>
      <c r="DZ5833" t="s">
        <v>1901</v>
      </c>
      <c r="EA5833" t="s">
        <v>1902</v>
      </c>
      <c r="EB5833" t="s">
        <v>1903</v>
      </c>
      <c r="EC5833" t="s">
        <v>1904</v>
      </c>
      <c r="ED5833" t="s">
        <v>1905</v>
      </c>
      <c r="EE5833" t="s">
        <v>1906</v>
      </c>
    </row>
    <row r="5834" spans="1:135" x14ac:dyDescent="0.3">
      <c r="A5834" t="s">
        <v>35</v>
      </c>
      <c r="B5834" t="s">
        <v>389</v>
      </c>
      <c r="C5834">
        <v>818</v>
      </c>
      <c r="D5834">
        <v>21425.51</v>
      </c>
      <c r="E5834">
        <v>18000</v>
      </c>
      <c r="F5834">
        <v>1000</v>
      </c>
      <c r="G5834">
        <v>150000</v>
      </c>
      <c r="H5834">
        <v>105</v>
      </c>
      <c r="I5834">
        <v>10964.55</v>
      </c>
      <c r="J5834">
        <v>10000</v>
      </c>
      <c r="K5834">
        <v>500</v>
      </c>
      <c r="L5834">
        <v>30000</v>
      </c>
      <c r="M5834">
        <v>140</v>
      </c>
      <c r="N5834">
        <v>9378.8700000000008</v>
      </c>
      <c r="O5834">
        <v>8000</v>
      </c>
      <c r="P5834">
        <v>1400</v>
      </c>
      <c r="Q5834">
        <v>40000</v>
      </c>
      <c r="R5834">
        <v>87</v>
      </c>
      <c r="S5834">
        <v>16411.599999999999</v>
      </c>
      <c r="T5834">
        <v>15000</v>
      </c>
      <c r="U5834">
        <v>500</v>
      </c>
      <c r="V5834">
        <v>200000</v>
      </c>
      <c r="W5834">
        <v>122</v>
      </c>
      <c r="X5834">
        <v>2959.85</v>
      </c>
      <c r="Y5834">
        <v>1000</v>
      </c>
      <c r="Z5834">
        <v>330</v>
      </c>
      <c r="AA5834">
        <v>22000</v>
      </c>
      <c r="AB5834">
        <v>130</v>
      </c>
      <c r="AC5834">
        <v>8183.96</v>
      </c>
      <c r="AD5834">
        <v>5000</v>
      </c>
      <c r="AE5834">
        <v>300</v>
      </c>
      <c r="AF5834">
        <v>40000</v>
      </c>
      <c r="AG5834">
        <v>1064</v>
      </c>
      <c r="AH5834">
        <v>5406.86</v>
      </c>
      <c r="AI5834">
        <v>4300</v>
      </c>
      <c r="AJ5834">
        <v>1100</v>
      </c>
      <c r="AK5834">
        <v>78000</v>
      </c>
      <c r="AL5834">
        <v>6</v>
      </c>
      <c r="AM5834">
        <v>8772.93</v>
      </c>
      <c r="AN5834">
        <v>2000</v>
      </c>
      <c r="AO5834">
        <v>500</v>
      </c>
      <c r="AP5834">
        <v>70000</v>
      </c>
      <c r="AQ5834">
        <v>41</v>
      </c>
      <c r="AR5834">
        <v>7421.13</v>
      </c>
      <c r="AS5834">
        <v>3000</v>
      </c>
      <c r="AT5834">
        <v>500</v>
      </c>
      <c r="AU5834">
        <v>30000</v>
      </c>
      <c r="AV5834">
        <v>24</v>
      </c>
      <c r="AW5834">
        <v>4353.58</v>
      </c>
      <c r="AX5834">
        <v>2200</v>
      </c>
      <c r="AY5834">
        <v>337</v>
      </c>
      <c r="AZ5834">
        <v>25000</v>
      </c>
      <c r="BA5834">
        <v>362</v>
      </c>
      <c r="BB5834">
        <v>3618.64</v>
      </c>
      <c r="BC5834">
        <v>2760</v>
      </c>
      <c r="BD5834">
        <v>600</v>
      </c>
      <c r="BE5834">
        <v>22000</v>
      </c>
      <c r="BF5834">
        <v>2</v>
      </c>
      <c r="BG5834">
        <v>3000</v>
      </c>
      <c r="BH5834">
        <v>3000</v>
      </c>
      <c r="BI5834">
        <v>3000</v>
      </c>
      <c r="BJ5834">
        <v>3000</v>
      </c>
      <c r="BK5834">
        <v>12</v>
      </c>
      <c r="BL5834">
        <v>7402.3</v>
      </c>
      <c r="BM5834">
        <v>1800</v>
      </c>
      <c r="BN5834">
        <v>370</v>
      </c>
      <c r="BO5834">
        <v>70000</v>
      </c>
      <c r="BQ5834" t="s">
        <v>35</v>
      </c>
      <c r="BR5834" t="s">
        <v>389</v>
      </c>
      <c r="BS5834">
        <v>818</v>
      </c>
      <c r="BT5834">
        <v>9123.74</v>
      </c>
      <c r="BU5834">
        <v>6500</v>
      </c>
      <c r="BV5834">
        <v>200</v>
      </c>
      <c r="BW5834">
        <v>62000</v>
      </c>
      <c r="BX5834">
        <v>105</v>
      </c>
      <c r="BY5834">
        <v>5871.38</v>
      </c>
      <c r="BZ5834">
        <v>4000</v>
      </c>
      <c r="CA5834">
        <v>300</v>
      </c>
      <c r="CB5834">
        <v>25000</v>
      </c>
      <c r="CC5834">
        <v>140</v>
      </c>
      <c r="CD5834">
        <v>3874.05</v>
      </c>
      <c r="CE5834">
        <v>3000</v>
      </c>
      <c r="CF5834">
        <v>285.70999999999998</v>
      </c>
      <c r="CG5834">
        <v>20000</v>
      </c>
      <c r="CH5834">
        <v>87</v>
      </c>
      <c r="CI5834">
        <v>7154.06</v>
      </c>
      <c r="CJ5834">
        <v>5000</v>
      </c>
      <c r="CK5834">
        <v>125</v>
      </c>
      <c r="CL5834">
        <v>66666.67</v>
      </c>
      <c r="CM5834">
        <v>122</v>
      </c>
      <c r="CN5834">
        <v>1349.24</v>
      </c>
      <c r="CO5834">
        <v>625</v>
      </c>
      <c r="CP5834">
        <v>120</v>
      </c>
      <c r="CQ5834">
        <v>11000</v>
      </c>
      <c r="CR5834">
        <v>130</v>
      </c>
      <c r="CS5834">
        <v>4274.46</v>
      </c>
      <c r="CT5834">
        <v>3000</v>
      </c>
      <c r="CU5834">
        <v>100</v>
      </c>
      <c r="CV5834">
        <v>13333.33</v>
      </c>
      <c r="CW5834">
        <v>1064</v>
      </c>
      <c r="CX5834">
        <v>3188.8</v>
      </c>
      <c r="CY5834">
        <v>2760</v>
      </c>
      <c r="CZ5834">
        <v>383.33</v>
      </c>
      <c r="DA5834">
        <v>78000</v>
      </c>
      <c r="DB5834">
        <v>6</v>
      </c>
      <c r="DC5834">
        <v>5789.1</v>
      </c>
      <c r="DD5834">
        <v>666.67</v>
      </c>
      <c r="DE5834">
        <v>214.29</v>
      </c>
      <c r="DF5834">
        <v>40000</v>
      </c>
      <c r="DG5834">
        <v>41</v>
      </c>
      <c r="DH5834">
        <v>3361.88</v>
      </c>
      <c r="DI5834">
        <v>1500</v>
      </c>
      <c r="DJ5834">
        <v>200</v>
      </c>
      <c r="DK5834">
        <v>15000</v>
      </c>
      <c r="DL5834">
        <v>24</v>
      </c>
      <c r="DM5834">
        <v>1558.15</v>
      </c>
      <c r="DN5834">
        <v>1100</v>
      </c>
      <c r="DO5834">
        <v>337</v>
      </c>
      <c r="DP5834">
        <v>6600</v>
      </c>
      <c r="DQ5834">
        <v>362</v>
      </c>
      <c r="DR5834">
        <v>1624.19</v>
      </c>
      <c r="DS5834">
        <v>1333.33</v>
      </c>
      <c r="DT5834">
        <v>107.5</v>
      </c>
      <c r="DU5834">
        <v>10000</v>
      </c>
      <c r="DV5834">
        <v>2</v>
      </c>
      <c r="DW5834">
        <v>1250</v>
      </c>
      <c r="DX5834">
        <v>1000</v>
      </c>
      <c r="DY5834">
        <v>1000</v>
      </c>
      <c r="DZ5834">
        <v>1500</v>
      </c>
      <c r="EA5834">
        <v>12</v>
      </c>
      <c r="EB5834">
        <v>4591.78</v>
      </c>
      <c r="EC5834">
        <v>750</v>
      </c>
      <c r="ED5834">
        <v>185</v>
      </c>
      <c r="EE5834">
        <v>32000</v>
      </c>
    </row>
    <row r="5835" spans="1:135" x14ac:dyDescent="0.3">
      <c r="A5835" t="s">
        <v>35</v>
      </c>
      <c r="B5835" t="s">
        <v>390</v>
      </c>
      <c r="C5835">
        <v>332</v>
      </c>
      <c r="D5835">
        <v>21288.41</v>
      </c>
      <c r="E5835">
        <v>16000</v>
      </c>
      <c r="F5835">
        <v>3000</v>
      </c>
      <c r="G5835">
        <v>100000</v>
      </c>
      <c r="H5835">
        <v>55</v>
      </c>
      <c r="I5835">
        <v>7741.52</v>
      </c>
      <c r="J5835">
        <v>8000</v>
      </c>
      <c r="K5835">
        <v>1000</v>
      </c>
      <c r="L5835">
        <v>30000</v>
      </c>
      <c r="M5835">
        <v>67</v>
      </c>
      <c r="N5835">
        <v>9983.1200000000008</v>
      </c>
      <c r="O5835">
        <v>7000</v>
      </c>
      <c r="P5835">
        <v>1000</v>
      </c>
      <c r="Q5835">
        <v>52000</v>
      </c>
      <c r="R5835">
        <v>47</v>
      </c>
      <c r="S5835">
        <v>20745.900000000001</v>
      </c>
      <c r="T5835">
        <v>20000</v>
      </c>
      <c r="U5835">
        <v>700</v>
      </c>
      <c r="V5835">
        <v>70000</v>
      </c>
      <c r="W5835">
        <v>43</v>
      </c>
      <c r="X5835">
        <v>1979.71</v>
      </c>
      <c r="Y5835">
        <v>1300</v>
      </c>
      <c r="Z5835">
        <v>375</v>
      </c>
      <c r="AA5835">
        <v>10000</v>
      </c>
      <c r="AB5835">
        <v>21</v>
      </c>
      <c r="AC5835">
        <v>4654.8</v>
      </c>
      <c r="AD5835">
        <v>5000</v>
      </c>
      <c r="AE5835">
        <v>700</v>
      </c>
      <c r="AF5835">
        <v>15000</v>
      </c>
      <c r="AG5835">
        <v>374</v>
      </c>
      <c r="AH5835">
        <v>7204.63</v>
      </c>
      <c r="AI5835">
        <v>5700</v>
      </c>
      <c r="AJ5835">
        <v>2000</v>
      </c>
      <c r="AK5835">
        <v>41000</v>
      </c>
      <c r="AL5835">
        <v>1</v>
      </c>
      <c r="AM5835">
        <v>2000</v>
      </c>
      <c r="AN5835">
        <v>2000</v>
      </c>
      <c r="AO5835">
        <v>2000</v>
      </c>
      <c r="AP5835">
        <v>2000</v>
      </c>
      <c r="AQ5835">
        <v>10</v>
      </c>
      <c r="AR5835">
        <v>4972.07</v>
      </c>
      <c r="AS5835">
        <v>2000</v>
      </c>
      <c r="AT5835">
        <v>500</v>
      </c>
      <c r="AU5835">
        <v>70000</v>
      </c>
      <c r="AV5835">
        <v>2</v>
      </c>
      <c r="AW5835">
        <v>4942.71</v>
      </c>
      <c r="AX5835">
        <v>6600</v>
      </c>
      <c r="AY5835">
        <v>2200</v>
      </c>
      <c r="AZ5835">
        <v>6600</v>
      </c>
      <c r="BA5835">
        <v>119</v>
      </c>
      <c r="BB5835">
        <v>3633.2</v>
      </c>
      <c r="BC5835">
        <v>2850</v>
      </c>
      <c r="BD5835">
        <v>600</v>
      </c>
      <c r="BE5835">
        <v>13000</v>
      </c>
      <c r="BF5835">
        <v>4</v>
      </c>
      <c r="BG5835">
        <v>1069.01</v>
      </c>
      <c r="BH5835">
        <v>500</v>
      </c>
      <c r="BI5835">
        <v>500</v>
      </c>
      <c r="BJ5835">
        <v>8000</v>
      </c>
      <c r="BK5835">
        <v>2</v>
      </c>
      <c r="BL5835">
        <v>2266.2399999999998</v>
      </c>
      <c r="BM5835">
        <v>3000</v>
      </c>
      <c r="BN5835">
        <v>1500</v>
      </c>
      <c r="BO5835">
        <v>3000</v>
      </c>
      <c r="BQ5835" t="s">
        <v>35</v>
      </c>
      <c r="BR5835" t="s">
        <v>390</v>
      </c>
      <c r="BS5835">
        <v>332</v>
      </c>
      <c r="BT5835">
        <v>12280.19</v>
      </c>
      <c r="BU5835">
        <v>8500</v>
      </c>
      <c r="BV5835">
        <v>1000</v>
      </c>
      <c r="BW5835">
        <v>90000</v>
      </c>
      <c r="BX5835">
        <v>55</v>
      </c>
      <c r="BY5835">
        <v>5206.7299999999996</v>
      </c>
      <c r="BZ5835">
        <v>4900</v>
      </c>
      <c r="CA5835">
        <v>600</v>
      </c>
      <c r="CB5835">
        <v>25000</v>
      </c>
      <c r="CC5835">
        <v>67</v>
      </c>
      <c r="CD5835">
        <v>6568.49</v>
      </c>
      <c r="CE5835">
        <v>3500</v>
      </c>
      <c r="CF5835">
        <v>333.33</v>
      </c>
      <c r="CG5835">
        <v>52000</v>
      </c>
      <c r="CH5835">
        <v>47</v>
      </c>
      <c r="CI5835">
        <v>8702.18</v>
      </c>
      <c r="CJ5835">
        <v>5000</v>
      </c>
      <c r="CK5835">
        <v>333.33</v>
      </c>
      <c r="CL5835">
        <v>25000</v>
      </c>
      <c r="CM5835">
        <v>43</v>
      </c>
      <c r="CN5835">
        <v>1292.74</v>
      </c>
      <c r="CO5835">
        <v>650</v>
      </c>
      <c r="CP5835">
        <v>125</v>
      </c>
      <c r="CQ5835">
        <v>5000</v>
      </c>
      <c r="CR5835">
        <v>21</v>
      </c>
      <c r="CS5835">
        <v>2781.08</v>
      </c>
      <c r="CT5835">
        <v>2500</v>
      </c>
      <c r="CU5835">
        <v>350</v>
      </c>
      <c r="CV5835">
        <v>6000</v>
      </c>
      <c r="CW5835">
        <v>374</v>
      </c>
      <c r="CX5835">
        <v>4177.47</v>
      </c>
      <c r="CY5835">
        <v>3333.33</v>
      </c>
      <c r="CZ5835">
        <v>333.33</v>
      </c>
      <c r="DA5835">
        <v>30000</v>
      </c>
      <c r="DB5835">
        <v>1</v>
      </c>
      <c r="DC5835">
        <v>1000</v>
      </c>
      <c r="DD5835">
        <v>1000</v>
      </c>
      <c r="DE5835">
        <v>1000</v>
      </c>
      <c r="DF5835">
        <v>1000</v>
      </c>
      <c r="DG5835">
        <v>10</v>
      </c>
      <c r="DH5835">
        <v>2004.02</v>
      </c>
      <c r="DI5835">
        <v>1000</v>
      </c>
      <c r="DJ5835">
        <v>500</v>
      </c>
      <c r="DK5835">
        <v>23333.33</v>
      </c>
      <c r="DL5835">
        <v>2</v>
      </c>
      <c r="DM5835">
        <v>2264.1999999999998</v>
      </c>
      <c r="DN5835">
        <v>3300</v>
      </c>
      <c r="DO5835">
        <v>550</v>
      </c>
      <c r="DP5835">
        <v>3300</v>
      </c>
      <c r="DQ5835">
        <v>119</v>
      </c>
      <c r="DR5835">
        <v>1830.17</v>
      </c>
      <c r="DS5835">
        <v>1800</v>
      </c>
      <c r="DT5835">
        <v>180</v>
      </c>
      <c r="DU5835">
        <v>12000</v>
      </c>
      <c r="DV5835">
        <v>4</v>
      </c>
      <c r="DW5835">
        <v>740.86</v>
      </c>
      <c r="DX5835">
        <v>500</v>
      </c>
      <c r="DY5835">
        <v>500</v>
      </c>
      <c r="DZ5835">
        <v>4000</v>
      </c>
      <c r="EA5835">
        <v>2</v>
      </c>
      <c r="EB5835">
        <v>1899.36</v>
      </c>
      <c r="EC5835">
        <v>3000</v>
      </c>
      <c r="ED5835">
        <v>750</v>
      </c>
      <c r="EE5835">
        <v>3000</v>
      </c>
    </row>
    <row r="5836" spans="1:135" x14ac:dyDescent="0.3">
      <c r="A5836" t="s">
        <v>35</v>
      </c>
      <c r="B5836" t="s">
        <v>365</v>
      </c>
      <c r="C5836">
        <v>60</v>
      </c>
      <c r="D5836">
        <v>22421.81</v>
      </c>
      <c r="E5836">
        <v>20000</v>
      </c>
      <c r="F5836">
        <v>2900</v>
      </c>
      <c r="G5836">
        <v>64000</v>
      </c>
      <c r="H5836">
        <v>6</v>
      </c>
      <c r="I5836">
        <v>7889.84</v>
      </c>
      <c r="J5836">
        <v>10000</v>
      </c>
      <c r="K5836">
        <v>4000</v>
      </c>
      <c r="L5836">
        <v>12000</v>
      </c>
      <c r="M5836">
        <v>13</v>
      </c>
      <c r="N5836">
        <v>13424.73</v>
      </c>
      <c r="O5836">
        <v>10000</v>
      </c>
      <c r="P5836">
        <v>5000</v>
      </c>
      <c r="Q5836">
        <v>46000</v>
      </c>
      <c r="R5836">
        <v>7</v>
      </c>
      <c r="S5836">
        <v>19707.66</v>
      </c>
      <c r="T5836">
        <v>15000</v>
      </c>
      <c r="U5836">
        <v>3000</v>
      </c>
      <c r="V5836">
        <v>45000</v>
      </c>
      <c r="W5836">
        <v>4</v>
      </c>
      <c r="X5836">
        <v>4538.3500000000004</v>
      </c>
      <c r="Y5836">
        <v>1416</v>
      </c>
      <c r="Z5836">
        <v>500</v>
      </c>
      <c r="AA5836">
        <v>17000</v>
      </c>
      <c r="AB5836">
        <v>3</v>
      </c>
      <c r="AC5836">
        <v>2166.67</v>
      </c>
      <c r="AD5836">
        <v>2000</v>
      </c>
      <c r="AE5836">
        <v>1500</v>
      </c>
      <c r="AF5836">
        <v>3000</v>
      </c>
      <c r="AG5836">
        <v>43</v>
      </c>
      <c r="AH5836">
        <v>6181.34</v>
      </c>
      <c r="AI5836">
        <v>6000</v>
      </c>
      <c r="AJ5836">
        <v>2000</v>
      </c>
      <c r="AK5836">
        <v>20000</v>
      </c>
      <c r="AQ5836">
        <v>3</v>
      </c>
      <c r="AR5836">
        <v>11780.12</v>
      </c>
      <c r="AS5836">
        <v>10000</v>
      </c>
      <c r="AT5836">
        <v>1000</v>
      </c>
      <c r="AU5836">
        <v>30000</v>
      </c>
      <c r="AV5836">
        <v>1</v>
      </c>
      <c r="AW5836">
        <v>33300</v>
      </c>
      <c r="AX5836">
        <v>33300</v>
      </c>
      <c r="AY5836">
        <v>33300</v>
      </c>
      <c r="AZ5836">
        <v>33300</v>
      </c>
      <c r="BA5836">
        <v>19</v>
      </c>
      <c r="BB5836">
        <v>4369.03</v>
      </c>
      <c r="BC5836">
        <v>4000</v>
      </c>
      <c r="BD5836">
        <v>860</v>
      </c>
      <c r="BE5836">
        <v>14136</v>
      </c>
      <c r="BK5836">
        <v>1</v>
      </c>
      <c r="BL5836">
        <v>1000</v>
      </c>
      <c r="BM5836">
        <v>1000</v>
      </c>
      <c r="BN5836">
        <v>1000</v>
      </c>
      <c r="BO5836">
        <v>1000</v>
      </c>
      <c r="BQ5836" t="s">
        <v>35</v>
      </c>
      <c r="BR5836" t="s">
        <v>365</v>
      </c>
      <c r="BS5836">
        <v>60</v>
      </c>
      <c r="BT5836">
        <v>6719.04</v>
      </c>
      <c r="BU5836">
        <v>6250</v>
      </c>
      <c r="BV5836">
        <v>580</v>
      </c>
      <c r="BW5836">
        <v>21333.33</v>
      </c>
      <c r="BX5836">
        <v>6</v>
      </c>
      <c r="BY5836">
        <v>2162.67</v>
      </c>
      <c r="BZ5836">
        <v>2400</v>
      </c>
      <c r="CA5836">
        <v>1000</v>
      </c>
      <c r="CB5836">
        <v>3333.33</v>
      </c>
      <c r="CC5836">
        <v>13</v>
      </c>
      <c r="CD5836">
        <v>4495.7299999999996</v>
      </c>
      <c r="CE5836">
        <v>3333.33</v>
      </c>
      <c r="CF5836">
        <v>1000</v>
      </c>
      <c r="CG5836">
        <v>11500</v>
      </c>
      <c r="CH5836">
        <v>7</v>
      </c>
      <c r="CI5836">
        <v>6749.14</v>
      </c>
      <c r="CJ5836">
        <v>3750</v>
      </c>
      <c r="CK5836">
        <v>750</v>
      </c>
      <c r="CL5836">
        <v>15000</v>
      </c>
      <c r="CM5836">
        <v>4</v>
      </c>
      <c r="CN5836">
        <v>1543.47</v>
      </c>
      <c r="CO5836">
        <v>708</v>
      </c>
      <c r="CP5836">
        <v>166.67</v>
      </c>
      <c r="CQ5836">
        <v>5666.67</v>
      </c>
      <c r="CR5836">
        <v>3</v>
      </c>
      <c r="CS5836">
        <v>572.22</v>
      </c>
      <c r="CT5836">
        <v>666.67</v>
      </c>
      <c r="CU5836">
        <v>300</v>
      </c>
      <c r="CV5836">
        <v>750</v>
      </c>
      <c r="CW5836">
        <v>43</v>
      </c>
      <c r="CX5836">
        <v>2376.33</v>
      </c>
      <c r="CY5836">
        <v>2166.67</v>
      </c>
      <c r="CZ5836">
        <v>341.17</v>
      </c>
      <c r="DA5836">
        <v>10000</v>
      </c>
      <c r="DG5836">
        <v>3</v>
      </c>
      <c r="DH5836">
        <v>3211.55</v>
      </c>
      <c r="DI5836">
        <v>3333.33</v>
      </c>
      <c r="DJ5836">
        <v>500</v>
      </c>
      <c r="DK5836">
        <v>7500</v>
      </c>
      <c r="DL5836">
        <v>1</v>
      </c>
      <c r="DM5836">
        <v>6660</v>
      </c>
      <c r="DN5836">
        <v>6660</v>
      </c>
      <c r="DO5836">
        <v>6660</v>
      </c>
      <c r="DP5836">
        <v>6660</v>
      </c>
      <c r="DQ5836">
        <v>19</v>
      </c>
      <c r="DR5836">
        <v>1380.29</v>
      </c>
      <c r="DS5836">
        <v>1285.71</v>
      </c>
      <c r="DT5836">
        <v>150</v>
      </c>
      <c r="DU5836">
        <v>2827.2</v>
      </c>
      <c r="EA5836">
        <v>1</v>
      </c>
      <c r="EB5836">
        <v>250</v>
      </c>
      <c r="EC5836">
        <v>250</v>
      </c>
      <c r="ED5836">
        <v>250</v>
      </c>
      <c r="EE5836">
        <v>250</v>
      </c>
    </row>
    <row r="5837" spans="1:135" x14ac:dyDescent="0.3">
      <c r="A5837" t="s">
        <v>37</v>
      </c>
      <c r="B5837" t="s">
        <v>389</v>
      </c>
      <c r="C5837">
        <v>1003</v>
      </c>
      <c r="D5837">
        <v>15789.46</v>
      </c>
      <c r="E5837">
        <v>12000</v>
      </c>
      <c r="F5837">
        <v>3000</v>
      </c>
      <c r="G5837">
        <v>250000</v>
      </c>
      <c r="H5837">
        <v>129</v>
      </c>
      <c r="I5837">
        <v>8285.2099999999991</v>
      </c>
      <c r="J5837">
        <v>7800</v>
      </c>
      <c r="K5837">
        <v>1000</v>
      </c>
      <c r="L5837">
        <v>30000</v>
      </c>
      <c r="M5837">
        <v>208</v>
      </c>
      <c r="N5837">
        <v>10033.120000000001</v>
      </c>
      <c r="O5837">
        <v>9000</v>
      </c>
      <c r="P5837">
        <v>1200</v>
      </c>
      <c r="Q5837">
        <v>50000</v>
      </c>
      <c r="R5837">
        <v>125</v>
      </c>
      <c r="S5837">
        <v>19793.240000000002</v>
      </c>
      <c r="T5837">
        <v>10000</v>
      </c>
      <c r="U5837">
        <v>850</v>
      </c>
      <c r="V5837">
        <v>200000</v>
      </c>
      <c r="W5837">
        <v>145</v>
      </c>
      <c r="X5837">
        <v>2017.88</v>
      </c>
      <c r="Y5837">
        <v>1000</v>
      </c>
      <c r="Z5837">
        <v>334</v>
      </c>
      <c r="AA5837">
        <v>15000</v>
      </c>
      <c r="AB5837">
        <v>229</v>
      </c>
      <c r="AC5837">
        <v>8282.1</v>
      </c>
      <c r="AD5837">
        <v>5000</v>
      </c>
      <c r="AE5837">
        <v>500</v>
      </c>
      <c r="AF5837">
        <v>80000</v>
      </c>
      <c r="AG5837">
        <v>1234</v>
      </c>
      <c r="AH5837">
        <v>4691.55</v>
      </c>
      <c r="AI5837">
        <v>3800</v>
      </c>
      <c r="AJ5837">
        <v>1500</v>
      </c>
      <c r="AK5837">
        <v>74000</v>
      </c>
      <c r="AL5837">
        <v>1</v>
      </c>
      <c r="AM5837">
        <v>4000</v>
      </c>
      <c r="AN5837">
        <v>4000</v>
      </c>
      <c r="AO5837">
        <v>4000</v>
      </c>
      <c r="AP5837">
        <v>4000</v>
      </c>
      <c r="AQ5837">
        <v>47</v>
      </c>
      <c r="AR5837">
        <v>11276.52</v>
      </c>
      <c r="AS5837">
        <v>4000</v>
      </c>
      <c r="AT5837">
        <v>500</v>
      </c>
      <c r="AU5837">
        <v>200000</v>
      </c>
      <c r="AV5837">
        <v>6</v>
      </c>
      <c r="AW5837">
        <v>3678.85</v>
      </c>
      <c r="AX5837">
        <v>2000</v>
      </c>
      <c r="AY5837">
        <v>1000</v>
      </c>
      <c r="AZ5837">
        <v>8000</v>
      </c>
      <c r="BA5837">
        <v>445</v>
      </c>
      <c r="BB5837">
        <v>3877.42</v>
      </c>
      <c r="BC5837">
        <v>2700</v>
      </c>
      <c r="BD5837">
        <v>760</v>
      </c>
      <c r="BE5837">
        <v>42000</v>
      </c>
      <c r="BF5837">
        <v>3</v>
      </c>
      <c r="BG5837">
        <v>3643.93</v>
      </c>
      <c r="BH5837">
        <v>3000</v>
      </c>
      <c r="BI5837">
        <v>2000</v>
      </c>
      <c r="BJ5837">
        <v>5000</v>
      </c>
      <c r="BK5837">
        <v>3</v>
      </c>
      <c r="BL5837">
        <v>2930.36</v>
      </c>
      <c r="BM5837">
        <v>2800</v>
      </c>
      <c r="BN5837">
        <v>1250</v>
      </c>
      <c r="BO5837">
        <v>5000</v>
      </c>
      <c r="BQ5837" t="s">
        <v>37</v>
      </c>
      <c r="BR5837" t="s">
        <v>389</v>
      </c>
      <c r="BS5837">
        <v>1003</v>
      </c>
      <c r="BT5837">
        <v>5861.82</v>
      </c>
      <c r="BU5837">
        <v>4500</v>
      </c>
      <c r="BV5837">
        <v>600</v>
      </c>
      <c r="BW5837">
        <v>100000</v>
      </c>
      <c r="BX5837">
        <v>129</v>
      </c>
      <c r="BY5837">
        <v>3070.6</v>
      </c>
      <c r="BZ5837">
        <v>2500</v>
      </c>
      <c r="CA5837">
        <v>333.33</v>
      </c>
      <c r="CB5837">
        <v>15000</v>
      </c>
      <c r="CC5837">
        <v>208</v>
      </c>
      <c r="CD5837">
        <v>3786.47</v>
      </c>
      <c r="CE5837">
        <v>2833.33</v>
      </c>
      <c r="CF5837">
        <v>400</v>
      </c>
      <c r="CG5837">
        <v>30000</v>
      </c>
      <c r="CH5837">
        <v>125</v>
      </c>
      <c r="CI5837">
        <v>6741.63</v>
      </c>
      <c r="CJ5837">
        <v>3333.33</v>
      </c>
      <c r="CK5837">
        <v>166.67</v>
      </c>
      <c r="CL5837">
        <v>100000</v>
      </c>
      <c r="CM5837">
        <v>145</v>
      </c>
      <c r="CN5837">
        <v>1247.6400000000001</v>
      </c>
      <c r="CO5837">
        <v>667</v>
      </c>
      <c r="CP5837">
        <v>80</v>
      </c>
      <c r="CQ5837">
        <v>11000</v>
      </c>
      <c r="CR5837">
        <v>229</v>
      </c>
      <c r="CS5837">
        <v>4128.38</v>
      </c>
      <c r="CT5837">
        <v>3000</v>
      </c>
      <c r="CU5837">
        <v>166.67</v>
      </c>
      <c r="CV5837">
        <v>26666.67</v>
      </c>
      <c r="CW5837">
        <v>1234</v>
      </c>
      <c r="CX5837">
        <v>2589.83</v>
      </c>
      <c r="CY5837">
        <v>2500</v>
      </c>
      <c r="CZ5837">
        <v>300</v>
      </c>
      <c r="DA5837">
        <v>37000</v>
      </c>
      <c r="DB5837">
        <v>1</v>
      </c>
      <c r="DC5837">
        <v>1333.33</v>
      </c>
      <c r="DD5837">
        <v>1333.33</v>
      </c>
      <c r="DE5837">
        <v>1333.33</v>
      </c>
      <c r="DF5837">
        <v>1333.33</v>
      </c>
      <c r="DG5837">
        <v>47</v>
      </c>
      <c r="DH5837">
        <v>6431.76</v>
      </c>
      <c r="DI5837">
        <v>3000</v>
      </c>
      <c r="DJ5837">
        <v>150</v>
      </c>
      <c r="DK5837">
        <v>100000</v>
      </c>
      <c r="DL5837">
        <v>6</v>
      </c>
      <c r="DM5837">
        <v>2644.43</v>
      </c>
      <c r="DN5837">
        <v>2000</v>
      </c>
      <c r="DO5837">
        <v>1000</v>
      </c>
      <c r="DP5837">
        <v>6600</v>
      </c>
      <c r="DQ5837">
        <v>445</v>
      </c>
      <c r="DR5837">
        <v>1477.29</v>
      </c>
      <c r="DS5837">
        <v>1160</v>
      </c>
      <c r="DT5837">
        <v>107.5</v>
      </c>
      <c r="DU5837">
        <v>21000</v>
      </c>
      <c r="DV5837">
        <v>3</v>
      </c>
      <c r="DW5837">
        <v>679.74</v>
      </c>
      <c r="DX5837">
        <v>714.29</v>
      </c>
      <c r="DY5837">
        <v>500</v>
      </c>
      <c r="DZ5837">
        <v>750</v>
      </c>
      <c r="EA5837">
        <v>3</v>
      </c>
      <c r="EB5837">
        <v>882.08</v>
      </c>
      <c r="EC5837">
        <v>1000</v>
      </c>
      <c r="ED5837">
        <v>250</v>
      </c>
      <c r="EE5837">
        <v>1400</v>
      </c>
    </row>
    <row r="5838" spans="1:135" x14ac:dyDescent="0.3">
      <c r="A5838" t="s">
        <v>37</v>
      </c>
      <c r="B5838" t="s">
        <v>390</v>
      </c>
      <c r="C5838">
        <v>573</v>
      </c>
      <c r="D5838">
        <v>17517.810000000001</v>
      </c>
      <c r="E5838">
        <v>15000</v>
      </c>
      <c r="F5838">
        <v>3000</v>
      </c>
      <c r="G5838">
        <v>100000</v>
      </c>
      <c r="H5838">
        <v>104</v>
      </c>
      <c r="I5838">
        <v>9240.2000000000007</v>
      </c>
      <c r="J5838">
        <v>8000</v>
      </c>
      <c r="K5838">
        <v>1000</v>
      </c>
      <c r="L5838">
        <v>40000</v>
      </c>
      <c r="M5838">
        <v>153</v>
      </c>
      <c r="N5838">
        <v>9513.76</v>
      </c>
      <c r="O5838">
        <v>8000</v>
      </c>
      <c r="P5838">
        <v>1500</v>
      </c>
      <c r="Q5838">
        <v>35000</v>
      </c>
      <c r="R5838">
        <v>87</v>
      </c>
      <c r="S5838">
        <v>22007.74</v>
      </c>
      <c r="T5838">
        <v>15000</v>
      </c>
      <c r="U5838">
        <v>1000</v>
      </c>
      <c r="V5838">
        <v>150000</v>
      </c>
      <c r="W5838">
        <v>79</v>
      </c>
      <c r="X5838">
        <v>2288.1799999999998</v>
      </c>
      <c r="Y5838">
        <v>1000</v>
      </c>
      <c r="Z5838">
        <v>400</v>
      </c>
      <c r="AA5838">
        <v>15000</v>
      </c>
      <c r="AB5838">
        <v>72</v>
      </c>
      <c r="AC5838">
        <v>5867.34</v>
      </c>
      <c r="AD5838">
        <v>4000</v>
      </c>
      <c r="AE5838">
        <v>500</v>
      </c>
      <c r="AF5838">
        <v>40000</v>
      </c>
      <c r="AG5838">
        <v>588</v>
      </c>
      <c r="AH5838">
        <v>5585.47</v>
      </c>
      <c r="AI5838">
        <v>5000</v>
      </c>
      <c r="AJ5838">
        <v>1200</v>
      </c>
      <c r="AK5838">
        <v>27000</v>
      </c>
      <c r="AL5838">
        <v>1</v>
      </c>
      <c r="AM5838">
        <v>4000</v>
      </c>
      <c r="AN5838">
        <v>4000</v>
      </c>
      <c r="AO5838">
        <v>4000</v>
      </c>
      <c r="AP5838">
        <v>4000</v>
      </c>
      <c r="AQ5838">
        <v>20</v>
      </c>
      <c r="AR5838">
        <v>4747.49</v>
      </c>
      <c r="AS5838">
        <v>3000</v>
      </c>
      <c r="AT5838">
        <v>900</v>
      </c>
      <c r="AU5838">
        <v>20000</v>
      </c>
      <c r="AV5838">
        <v>3</v>
      </c>
      <c r="AW5838">
        <v>7187.45</v>
      </c>
      <c r="AX5838">
        <v>5000</v>
      </c>
      <c r="AY5838">
        <v>4000</v>
      </c>
      <c r="AZ5838">
        <v>10000</v>
      </c>
      <c r="BA5838">
        <v>209</v>
      </c>
      <c r="BB5838">
        <v>3870.9</v>
      </c>
      <c r="BC5838">
        <v>2900</v>
      </c>
      <c r="BD5838">
        <v>690</v>
      </c>
      <c r="BE5838">
        <v>42000</v>
      </c>
      <c r="BF5838">
        <v>1</v>
      </c>
      <c r="BG5838">
        <v>7000</v>
      </c>
      <c r="BH5838">
        <v>7000</v>
      </c>
      <c r="BI5838">
        <v>7000</v>
      </c>
      <c r="BJ5838">
        <v>7000</v>
      </c>
      <c r="BK5838">
        <v>3</v>
      </c>
      <c r="BL5838">
        <v>13371.29</v>
      </c>
      <c r="BM5838">
        <v>20000</v>
      </c>
      <c r="BN5838">
        <v>800</v>
      </c>
      <c r="BO5838">
        <v>56000</v>
      </c>
      <c r="BQ5838" t="s">
        <v>37</v>
      </c>
      <c r="BR5838" t="s">
        <v>390</v>
      </c>
      <c r="BS5838">
        <v>573</v>
      </c>
      <c r="BT5838">
        <v>7231.04</v>
      </c>
      <c r="BU5838">
        <v>5333.33</v>
      </c>
      <c r="BV5838">
        <v>428.57</v>
      </c>
      <c r="BW5838">
        <v>46000</v>
      </c>
      <c r="BX5838">
        <v>104</v>
      </c>
      <c r="BY5838">
        <v>4949.97</v>
      </c>
      <c r="BZ5838">
        <v>3750</v>
      </c>
      <c r="CA5838">
        <v>600</v>
      </c>
      <c r="CB5838">
        <v>29000</v>
      </c>
      <c r="CC5838">
        <v>153</v>
      </c>
      <c r="CD5838">
        <v>4623.37</v>
      </c>
      <c r="CE5838">
        <v>3333.33</v>
      </c>
      <c r="CF5838">
        <v>666.67</v>
      </c>
      <c r="CG5838">
        <v>30000</v>
      </c>
      <c r="CH5838">
        <v>87</v>
      </c>
      <c r="CI5838">
        <v>11503.44</v>
      </c>
      <c r="CJ5838">
        <v>5000</v>
      </c>
      <c r="CK5838">
        <v>250</v>
      </c>
      <c r="CL5838">
        <v>70000</v>
      </c>
      <c r="CM5838">
        <v>79</v>
      </c>
      <c r="CN5838">
        <v>1098.6199999999999</v>
      </c>
      <c r="CO5838">
        <v>666.67</v>
      </c>
      <c r="CP5838">
        <v>125</v>
      </c>
      <c r="CQ5838">
        <v>7000</v>
      </c>
      <c r="CR5838">
        <v>72</v>
      </c>
      <c r="CS5838">
        <v>3593.68</v>
      </c>
      <c r="CT5838">
        <v>2500</v>
      </c>
      <c r="CU5838">
        <v>250</v>
      </c>
      <c r="CV5838">
        <v>40000</v>
      </c>
      <c r="CW5838">
        <v>588</v>
      </c>
      <c r="CX5838">
        <v>2858.22</v>
      </c>
      <c r="CY5838">
        <v>2700</v>
      </c>
      <c r="CZ5838">
        <v>366.67</v>
      </c>
      <c r="DA5838">
        <v>12000</v>
      </c>
      <c r="DB5838">
        <v>1</v>
      </c>
      <c r="DC5838">
        <v>4000</v>
      </c>
      <c r="DD5838">
        <v>4000</v>
      </c>
      <c r="DE5838">
        <v>4000</v>
      </c>
      <c r="DF5838">
        <v>4000</v>
      </c>
      <c r="DG5838">
        <v>20</v>
      </c>
      <c r="DH5838">
        <v>3002.71</v>
      </c>
      <c r="DI5838">
        <v>3000</v>
      </c>
      <c r="DJ5838">
        <v>300</v>
      </c>
      <c r="DK5838">
        <v>10000</v>
      </c>
      <c r="DL5838">
        <v>3</v>
      </c>
      <c r="DM5838">
        <v>2075.89</v>
      </c>
      <c r="DN5838">
        <v>2000</v>
      </c>
      <c r="DO5838">
        <v>1666.67</v>
      </c>
      <c r="DP5838">
        <v>2500</v>
      </c>
      <c r="DQ5838">
        <v>209</v>
      </c>
      <c r="DR5838">
        <v>1739.6</v>
      </c>
      <c r="DS5838">
        <v>1600</v>
      </c>
      <c r="DT5838">
        <v>133.33000000000001</v>
      </c>
      <c r="DU5838">
        <v>15000</v>
      </c>
      <c r="DV5838">
        <v>1</v>
      </c>
      <c r="DW5838">
        <v>3500</v>
      </c>
      <c r="DX5838">
        <v>3500</v>
      </c>
      <c r="DY5838">
        <v>3500</v>
      </c>
      <c r="DZ5838">
        <v>3500</v>
      </c>
      <c r="EA5838">
        <v>3</v>
      </c>
      <c r="EB5838">
        <v>8873.74</v>
      </c>
      <c r="EC5838">
        <v>14000</v>
      </c>
      <c r="ED5838">
        <v>800</v>
      </c>
      <c r="EE5838">
        <v>20000</v>
      </c>
    </row>
    <row r="5839" spans="1:135" x14ac:dyDescent="0.3">
      <c r="A5839" t="s">
        <v>37</v>
      </c>
      <c r="B5839" t="s">
        <v>365</v>
      </c>
      <c r="C5839">
        <v>126</v>
      </c>
      <c r="D5839">
        <v>22300.080000000002</v>
      </c>
      <c r="E5839">
        <v>20000</v>
      </c>
      <c r="F5839">
        <v>4000</v>
      </c>
      <c r="G5839">
        <v>100000</v>
      </c>
      <c r="H5839">
        <v>18</v>
      </c>
      <c r="I5839">
        <v>12518.88</v>
      </c>
      <c r="J5839">
        <v>10000</v>
      </c>
      <c r="K5839">
        <v>4000</v>
      </c>
      <c r="L5839">
        <v>60000</v>
      </c>
      <c r="M5839">
        <v>27</v>
      </c>
      <c r="N5839">
        <v>10312.620000000001</v>
      </c>
      <c r="O5839">
        <v>8000</v>
      </c>
      <c r="P5839">
        <v>2000</v>
      </c>
      <c r="Q5839">
        <v>30000</v>
      </c>
      <c r="R5839">
        <v>14</v>
      </c>
      <c r="S5839">
        <v>26140.78</v>
      </c>
      <c r="T5839">
        <v>20000</v>
      </c>
      <c r="U5839">
        <v>2000</v>
      </c>
      <c r="V5839">
        <v>90000</v>
      </c>
      <c r="W5839">
        <v>19</v>
      </c>
      <c r="X5839">
        <v>1301.6300000000001</v>
      </c>
      <c r="Y5839">
        <v>1300</v>
      </c>
      <c r="Z5839">
        <v>416</v>
      </c>
      <c r="AA5839">
        <v>2000</v>
      </c>
      <c r="AB5839">
        <v>6</v>
      </c>
      <c r="AC5839">
        <v>3290.48</v>
      </c>
      <c r="AD5839">
        <v>1000</v>
      </c>
      <c r="AE5839">
        <v>300</v>
      </c>
      <c r="AF5839">
        <v>10000</v>
      </c>
      <c r="AG5839">
        <v>88</v>
      </c>
      <c r="AH5839">
        <v>5084.47</v>
      </c>
      <c r="AI5839">
        <v>5000</v>
      </c>
      <c r="AJ5839">
        <v>1800</v>
      </c>
      <c r="AK5839">
        <v>13000</v>
      </c>
      <c r="AQ5839">
        <v>4</v>
      </c>
      <c r="AR5839">
        <v>22232.52</v>
      </c>
      <c r="AS5839">
        <v>3000</v>
      </c>
      <c r="AT5839">
        <v>2000</v>
      </c>
      <c r="AU5839">
        <v>100000</v>
      </c>
      <c r="AV5839">
        <v>4</v>
      </c>
      <c r="AW5839">
        <v>9819.8700000000008</v>
      </c>
      <c r="AX5839">
        <v>12000</v>
      </c>
      <c r="AY5839">
        <v>4000</v>
      </c>
      <c r="AZ5839">
        <v>13260</v>
      </c>
      <c r="BA5839">
        <v>37</v>
      </c>
      <c r="BB5839">
        <v>2806.9</v>
      </c>
      <c r="BC5839">
        <v>2500</v>
      </c>
      <c r="BD5839">
        <v>800</v>
      </c>
      <c r="BE5839">
        <v>9500</v>
      </c>
      <c r="BK5839">
        <v>1</v>
      </c>
      <c r="BL5839">
        <v>4000</v>
      </c>
      <c r="BM5839">
        <v>4000</v>
      </c>
      <c r="BN5839">
        <v>4000</v>
      </c>
      <c r="BO5839">
        <v>4000</v>
      </c>
      <c r="BQ5839" t="s">
        <v>37</v>
      </c>
      <c r="BR5839" t="s">
        <v>365</v>
      </c>
      <c r="BS5839">
        <v>126</v>
      </c>
      <c r="BT5839">
        <v>7374.47</v>
      </c>
      <c r="BU5839">
        <v>6000</v>
      </c>
      <c r="BV5839">
        <v>1000</v>
      </c>
      <c r="BW5839">
        <v>33333.33</v>
      </c>
      <c r="BX5839">
        <v>18</v>
      </c>
      <c r="BY5839">
        <v>5019.08</v>
      </c>
      <c r="BZ5839">
        <v>4500</v>
      </c>
      <c r="CA5839">
        <v>1000</v>
      </c>
      <c r="CB5839">
        <v>15000</v>
      </c>
      <c r="CC5839">
        <v>27</v>
      </c>
      <c r="CD5839">
        <v>3213.22</v>
      </c>
      <c r="CE5839">
        <v>2666.67</v>
      </c>
      <c r="CF5839">
        <v>666.67</v>
      </c>
      <c r="CG5839">
        <v>7500</v>
      </c>
      <c r="CH5839">
        <v>14</v>
      </c>
      <c r="CI5839">
        <v>8198.2900000000009</v>
      </c>
      <c r="CJ5839">
        <v>5000</v>
      </c>
      <c r="CK5839">
        <v>666.67</v>
      </c>
      <c r="CL5839">
        <v>45000</v>
      </c>
      <c r="CM5839">
        <v>19</v>
      </c>
      <c r="CN5839">
        <v>511.91</v>
      </c>
      <c r="CO5839">
        <v>400</v>
      </c>
      <c r="CP5839">
        <v>150</v>
      </c>
      <c r="CQ5839">
        <v>1000</v>
      </c>
      <c r="CR5839">
        <v>6</v>
      </c>
      <c r="CS5839">
        <v>1557.7</v>
      </c>
      <c r="CT5839">
        <v>500</v>
      </c>
      <c r="CU5839">
        <v>75</v>
      </c>
      <c r="CV5839">
        <v>5000</v>
      </c>
      <c r="CW5839">
        <v>88</v>
      </c>
      <c r="CX5839">
        <v>2088.62</v>
      </c>
      <c r="CY5839">
        <v>2100</v>
      </c>
      <c r="CZ5839">
        <v>342.86</v>
      </c>
      <c r="DA5839">
        <v>6500</v>
      </c>
      <c r="DG5839">
        <v>4</v>
      </c>
      <c r="DH5839">
        <v>10239.6</v>
      </c>
      <c r="DI5839">
        <v>1000</v>
      </c>
      <c r="DJ5839">
        <v>1000</v>
      </c>
      <c r="DK5839">
        <v>50000</v>
      </c>
      <c r="DL5839">
        <v>4</v>
      </c>
      <c r="DM5839">
        <v>4701.91</v>
      </c>
      <c r="DN5839">
        <v>6000</v>
      </c>
      <c r="DO5839">
        <v>2000</v>
      </c>
      <c r="DP5839">
        <v>6630</v>
      </c>
      <c r="DQ5839">
        <v>37</v>
      </c>
      <c r="DR5839">
        <v>941.68</v>
      </c>
      <c r="DS5839">
        <v>687.5</v>
      </c>
      <c r="DT5839">
        <v>164</v>
      </c>
      <c r="DU5839">
        <v>3850</v>
      </c>
      <c r="EA5839">
        <v>1</v>
      </c>
      <c r="EB5839">
        <v>1333.33</v>
      </c>
      <c r="EC5839">
        <v>1333.33</v>
      </c>
      <c r="ED5839">
        <v>1333.33</v>
      </c>
      <c r="EE5839">
        <v>1333.33</v>
      </c>
    </row>
    <row r="5840" spans="1:135" x14ac:dyDescent="0.3">
      <c r="A5840" t="s">
        <v>36</v>
      </c>
      <c r="B5840" t="s">
        <v>389</v>
      </c>
      <c r="C5840">
        <v>568</v>
      </c>
      <c r="D5840">
        <v>14017.85</v>
      </c>
      <c r="E5840">
        <v>10000</v>
      </c>
      <c r="F5840">
        <v>1100</v>
      </c>
      <c r="G5840">
        <v>180000</v>
      </c>
      <c r="H5840">
        <v>106</v>
      </c>
      <c r="I5840">
        <v>7261.14</v>
      </c>
      <c r="J5840">
        <v>5000</v>
      </c>
      <c r="K5840">
        <v>800</v>
      </c>
      <c r="L5840">
        <v>30000</v>
      </c>
      <c r="M5840">
        <v>208</v>
      </c>
      <c r="N5840">
        <v>8212.08</v>
      </c>
      <c r="O5840">
        <v>6000</v>
      </c>
      <c r="P5840">
        <v>1000</v>
      </c>
      <c r="Q5840">
        <v>35000</v>
      </c>
      <c r="R5840">
        <v>110</v>
      </c>
      <c r="S5840">
        <v>10790.05</v>
      </c>
      <c r="T5840">
        <v>5000</v>
      </c>
      <c r="U5840">
        <v>300</v>
      </c>
      <c r="V5840">
        <v>50000</v>
      </c>
      <c r="W5840">
        <v>76</v>
      </c>
      <c r="X5840">
        <v>3114.03</v>
      </c>
      <c r="Y5840">
        <v>2000</v>
      </c>
      <c r="Z5840">
        <v>900</v>
      </c>
      <c r="AA5840">
        <v>50000</v>
      </c>
      <c r="AB5840">
        <v>137</v>
      </c>
      <c r="AC5840">
        <v>16782.439999999999</v>
      </c>
      <c r="AD5840">
        <v>5000</v>
      </c>
      <c r="AE5840">
        <v>1000</v>
      </c>
      <c r="AF5840">
        <v>108000</v>
      </c>
      <c r="AG5840">
        <v>709</v>
      </c>
      <c r="AH5840">
        <v>4880.29</v>
      </c>
      <c r="AI5840">
        <v>3872</v>
      </c>
      <c r="AJ5840">
        <v>1250</v>
      </c>
      <c r="AK5840">
        <v>22000</v>
      </c>
      <c r="AQ5840">
        <v>20</v>
      </c>
      <c r="AR5840">
        <v>6285.48</v>
      </c>
      <c r="AS5840">
        <v>5000</v>
      </c>
      <c r="AT5840">
        <v>500</v>
      </c>
      <c r="AU5840">
        <v>20000</v>
      </c>
      <c r="AV5840">
        <v>44</v>
      </c>
      <c r="AW5840">
        <v>4830.0200000000004</v>
      </c>
      <c r="AX5840">
        <v>5000</v>
      </c>
      <c r="AY5840">
        <v>300</v>
      </c>
      <c r="AZ5840">
        <v>26600</v>
      </c>
      <c r="BA5840">
        <v>352</v>
      </c>
      <c r="BB5840">
        <v>4505.5600000000004</v>
      </c>
      <c r="BC5840">
        <v>3000</v>
      </c>
      <c r="BD5840">
        <v>640</v>
      </c>
      <c r="BE5840">
        <v>25000</v>
      </c>
      <c r="BF5840">
        <v>4</v>
      </c>
      <c r="BG5840">
        <v>1137.3800000000001</v>
      </c>
      <c r="BH5840">
        <v>860</v>
      </c>
      <c r="BI5840">
        <v>500</v>
      </c>
      <c r="BJ5840">
        <v>2000</v>
      </c>
      <c r="BK5840">
        <v>6</v>
      </c>
      <c r="BL5840">
        <v>48706.69</v>
      </c>
      <c r="BM5840">
        <v>3500</v>
      </c>
      <c r="BN5840">
        <v>500</v>
      </c>
      <c r="BO5840">
        <v>108000</v>
      </c>
      <c r="BQ5840" t="s">
        <v>36</v>
      </c>
      <c r="BR5840" t="s">
        <v>389</v>
      </c>
      <c r="BS5840">
        <v>568</v>
      </c>
      <c r="BT5840">
        <v>6364.1</v>
      </c>
      <c r="BU5840">
        <v>3750</v>
      </c>
      <c r="BV5840">
        <v>275</v>
      </c>
      <c r="BW5840">
        <v>90000</v>
      </c>
      <c r="BX5840">
        <v>106</v>
      </c>
      <c r="BY5840">
        <v>3810.14</v>
      </c>
      <c r="BZ5840">
        <v>2000</v>
      </c>
      <c r="CA5840">
        <v>142.86000000000001</v>
      </c>
      <c r="CB5840">
        <v>20000</v>
      </c>
      <c r="CC5840">
        <v>208</v>
      </c>
      <c r="CD5840">
        <v>3713.8</v>
      </c>
      <c r="CE5840">
        <v>3000</v>
      </c>
      <c r="CF5840">
        <v>250</v>
      </c>
      <c r="CG5840">
        <v>12000</v>
      </c>
      <c r="CH5840">
        <v>110</v>
      </c>
      <c r="CI5840">
        <v>4946.6899999999996</v>
      </c>
      <c r="CJ5840">
        <v>2500</v>
      </c>
      <c r="CK5840">
        <v>100</v>
      </c>
      <c r="CL5840">
        <v>25000</v>
      </c>
      <c r="CM5840">
        <v>76</v>
      </c>
      <c r="CN5840">
        <v>1479.37</v>
      </c>
      <c r="CO5840">
        <v>833</v>
      </c>
      <c r="CP5840">
        <v>166.67</v>
      </c>
      <c r="CQ5840">
        <v>25000</v>
      </c>
      <c r="CR5840">
        <v>137</v>
      </c>
      <c r="CS5840">
        <v>9029.68</v>
      </c>
      <c r="CT5840">
        <v>3750</v>
      </c>
      <c r="CU5840">
        <v>222.22</v>
      </c>
      <c r="CV5840">
        <v>100000</v>
      </c>
      <c r="CW5840">
        <v>709</v>
      </c>
      <c r="CX5840">
        <v>2744.83</v>
      </c>
      <c r="CY5840">
        <v>2500</v>
      </c>
      <c r="CZ5840">
        <v>275</v>
      </c>
      <c r="DA5840">
        <v>15000</v>
      </c>
      <c r="DG5840">
        <v>20</v>
      </c>
      <c r="DH5840">
        <v>4190.78</v>
      </c>
      <c r="DI5840">
        <v>5000</v>
      </c>
      <c r="DJ5840">
        <v>250</v>
      </c>
      <c r="DK5840">
        <v>8000</v>
      </c>
      <c r="DL5840">
        <v>44</v>
      </c>
      <c r="DM5840">
        <v>2312.4499999999998</v>
      </c>
      <c r="DN5840">
        <v>1600</v>
      </c>
      <c r="DO5840">
        <v>150</v>
      </c>
      <c r="DP5840">
        <v>6660</v>
      </c>
      <c r="DQ5840">
        <v>352</v>
      </c>
      <c r="DR5840">
        <v>1679.9</v>
      </c>
      <c r="DS5840">
        <v>1666.67</v>
      </c>
      <c r="DT5840">
        <v>72.22</v>
      </c>
      <c r="DU5840">
        <v>10000</v>
      </c>
      <c r="DV5840">
        <v>4</v>
      </c>
      <c r="DW5840">
        <v>527.47</v>
      </c>
      <c r="DX5840">
        <v>550</v>
      </c>
      <c r="DY5840">
        <v>215</v>
      </c>
      <c r="DZ5840">
        <v>666.67</v>
      </c>
      <c r="EA5840">
        <v>6</v>
      </c>
      <c r="EB5840">
        <v>16649.939999999999</v>
      </c>
      <c r="EC5840">
        <v>3500</v>
      </c>
      <c r="ED5840">
        <v>250</v>
      </c>
      <c r="EE5840">
        <v>36000</v>
      </c>
    </row>
    <row r="5841" spans="1:135" x14ac:dyDescent="0.3">
      <c r="A5841" t="s">
        <v>36</v>
      </c>
      <c r="B5841" t="s">
        <v>390</v>
      </c>
      <c r="C5841">
        <v>189</v>
      </c>
      <c r="D5841">
        <v>18579.95</v>
      </c>
      <c r="E5841">
        <v>13000</v>
      </c>
      <c r="F5841">
        <v>3000</v>
      </c>
      <c r="G5841">
        <v>72000</v>
      </c>
      <c r="H5841">
        <v>55</v>
      </c>
      <c r="I5841">
        <v>5562.2</v>
      </c>
      <c r="J5841">
        <v>4500</v>
      </c>
      <c r="K5841">
        <v>1500</v>
      </c>
      <c r="L5841">
        <v>16000</v>
      </c>
      <c r="M5841">
        <v>110</v>
      </c>
      <c r="N5841">
        <v>11618.88</v>
      </c>
      <c r="O5841">
        <v>7000</v>
      </c>
      <c r="P5841">
        <v>1500</v>
      </c>
      <c r="Q5841">
        <v>33000</v>
      </c>
      <c r="R5841">
        <v>61</v>
      </c>
      <c r="S5841">
        <v>25638.5</v>
      </c>
      <c r="T5841">
        <v>25000</v>
      </c>
      <c r="U5841">
        <v>400</v>
      </c>
      <c r="V5841">
        <v>100000</v>
      </c>
      <c r="W5841">
        <v>24</v>
      </c>
      <c r="X5841">
        <v>3528.33</v>
      </c>
      <c r="Y5841">
        <v>3000</v>
      </c>
      <c r="Z5841">
        <v>400</v>
      </c>
      <c r="AA5841">
        <v>20000</v>
      </c>
      <c r="AB5841">
        <v>24</v>
      </c>
      <c r="AC5841">
        <v>4124.1400000000003</v>
      </c>
      <c r="AD5841">
        <v>3000</v>
      </c>
      <c r="AE5841">
        <v>1000</v>
      </c>
      <c r="AF5841">
        <v>30000</v>
      </c>
      <c r="AG5841">
        <v>291</v>
      </c>
      <c r="AH5841">
        <v>6465.03</v>
      </c>
      <c r="AI5841">
        <v>5000</v>
      </c>
      <c r="AJ5841">
        <v>1600</v>
      </c>
      <c r="AK5841">
        <v>20000</v>
      </c>
      <c r="AQ5841">
        <v>9</v>
      </c>
      <c r="AR5841">
        <v>5355.54</v>
      </c>
      <c r="AS5841">
        <v>5000</v>
      </c>
      <c r="AT5841">
        <v>500</v>
      </c>
      <c r="AU5841">
        <v>10000</v>
      </c>
      <c r="AV5841">
        <v>17</v>
      </c>
      <c r="AW5841">
        <v>4319.1000000000004</v>
      </c>
      <c r="AX5841">
        <v>3000</v>
      </c>
      <c r="AY5841">
        <v>2000</v>
      </c>
      <c r="AZ5841">
        <v>20000</v>
      </c>
      <c r="BA5841">
        <v>110</v>
      </c>
      <c r="BB5841">
        <v>4306.51</v>
      </c>
      <c r="BC5841">
        <v>2800</v>
      </c>
      <c r="BD5841">
        <v>750</v>
      </c>
      <c r="BE5841">
        <v>90000</v>
      </c>
      <c r="BF5841">
        <v>6</v>
      </c>
      <c r="BG5841">
        <v>3087.4</v>
      </c>
      <c r="BH5841">
        <v>3000</v>
      </c>
      <c r="BI5841">
        <v>1000</v>
      </c>
      <c r="BJ5841">
        <v>6000</v>
      </c>
      <c r="BK5841">
        <v>2</v>
      </c>
      <c r="BL5841">
        <v>8584.49</v>
      </c>
      <c r="BM5841">
        <v>10000</v>
      </c>
      <c r="BN5841">
        <v>4400</v>
      </c>
      <c r="BO5841">
        <v>10000</v>
      </c>
      <c r="BQ5841" t="s">
        <v>36</v>
      </c>
      <c r="BR5841" t="s">
        <v>390</v>
      </c>
      <c r="BS5841">
        <v>189</v>
      </c>
      <c r="BT5841">
        <v>6893.86</v>
      </c>
      <c r="BU5841">
        <v>5000</v>
      </c>
      <c r="BV5841">
        <v>750</v>
      </c>
      <c r="BW5841">
        <v>40000</v>
      </c>
      <c r="BX5841">
        <v>55</v>
      </c>
      <c r="BY5841">
        <v>3498.47</v>
      </c>
      <c r="BZ5841">
        <v>2500</v>
      </c>
      <c r="CA5841">
        <v>300</v>
      </c>
      <c r="CB5841">
        <v>12000</v>
      </c>
      <c r="CC5841">
        <v>110</v>
      </c>
      <c r="CD5841">
        <v>6791.31</v>
      </c>
      <c r="CE5841">
        <v>5000</v>
      </c>
      <c r="CF5841">
        <v>333.33</v>
      </c>
      <c r="CG5841">
        <v>23000</v>
      </c>
      <c r="CH5841">
        <v>61</v>
      </c>
      <c r="CI5841">
        <v>14839.13</v>
      </c>
      <c r="CJ5841">
        <v>10000</v>
      </c>
      <c r="CK5841">
        <v>166.67</v>
      </c>
      <c r="CL5841">
        <v>70000</v>
      </c>
      <c r="CM5841">
        <v>24</v>
      </c>
      <c r="CN5841">
        <v>2390.92</v>
      </c>
      <c r="CO5841">
        <v>3000</v>
      </c>
      <c r="CP5841">
        <v>100</v>
      </c>
      <c r="CQ5841">
        <v>20000</v>
      </c>
      <c r="CR5841">
        <v>24</v>
      </c>
      <c r="CS5841">
        <v>2345.6799999999998</v>
      </c>
      <c r="CT5841">
        <v>875</v>
      </c>
      <c r="CU5841">
        <v>333.33</v>
      </c>
      <c r="CV5841">
        <v>15000</v>
      </c>
      <c r="CW5841">
        <v>291</v>
      </c>
      <c r="CX5841">
        <v>3446.41</v>
      </c>
      <c r="CY5841">
        <v>2700</v>
      </c>
      <c r="CZ5841">
        <v>308.33</v>
      </c>
      <c r="DA5841">
        <v>16500</v>
      </c>
      <c r="DG5841">
        <v>9</v>
      </c>
      <c r="DH5841">
        <v>5173.68</v>
      </c>
      <c r="DI5841">
        <v>5000</v>
      </c>
      <c r="DJ5841">
        <v>125</v>
      </c>
      <c r="DK5841">
        <v>10000</v>
      </c>
      <c r="DL5841">
        <v>17</v>
      </c>
      <c r="DM5841">
        <v>2261.56</v>
      </c>
      <c r="DN5841">
        <v>1250</v>
      </c>
      <c r="DO5841">
        <v>333.33</v>
      </c>
      <c r="DP5841">
        <v>8000</v>
      </c>
      <c r="DQ5841">
        <v>110</v>
      </c>
      <c r="DR5841">
        <v>1683</v>
      </c>
      <c r="DS5841">
        <v>2000</v>
      </c>
      <c r="DT5841">
        <v>172</v>
      </c>
      <c r="DU5841">
        <v>18000</v>
      </c>
      <c r="DV5841">
        <v>6</v>
      </c>
      <c r="DW5841">
        <v>1599.94</v>
      </c>
      <c r="DX5841">
        <v>1500</v>
      </c>
      <c r="DY5841">
        <v>1000</v>
      </c>
      <c r="DZ5841">
        <v>3000</v>
      </c>
      <c r="EA5841">
        <v>2</v>
      </c>
      <c r="EB5841">
        <v>3046.86</v>
      </c>
      <c r="EC5841">
        <v>3333.33</v>
      </c>
      <c r="ED5841">
        <v>2200</v>
      </c>
      <c r="EE5841">
        <v>3333.33</v>
      </c>
    </row>
    <row r="5842" spans="1:135" x14ac:dyDescent="0.3">
      <c r="A5842" t="s">
        <v>36</v>
      </c>
      <c r="B5842" t="s">
        <v>365</v>
      </c>
      <c r="C5842">
        <v>47</v>
      </c>
      <c r="D5842">
        <v>19327.14</v>
      </c>
      <c r="E5842">
        <v>20000</v>
      </c>
      <c r="F5842">
        <v>3100</v>
      </c>
      <c r="G5842">
        <v>60000</v>
      </c>
      <c r="H5842">
        <v>11</v>
      </c>
      <c r="I5842">
        <v>4317.3100000000004</v>
      </c>
      <c r="J5842">
        <v>5000</v>
      </c>
      <c r="K5842">
        <v>1500</v>
      </c>
      <c r="L5842">
        <v>8000</v>
      </c>
      <c r="M5842">
        <v>19</v>
      </c>
      <c r="N5842">
        <v>15294.76</v>
      </c>
      <c r="O5842">
        <v>10000</v>
      </c>
      <c r="P5842">
        <v>2000</v>
      </c>
      <c r="Q5842">
        <v>41000</v>
      </c>
      <c r="R5842">
        <v>6</v>
      </c>
      <c r="S5842">
        <v>15014.98</v>
      </c>
      <c r="T5842">
        <v>20000</v>
      </c>
      <c r="U5842">
        <v>2000</v>
      </c>
      <c r="V5842">
        <v>20000</v>
      </c>
      <c r="W5842">
        <v>4</v>
      </c>
      <c r="X5842">
        <v>2812.51</v>
      </c>
      <c r="Y5842">
        <v>2000</v>
      </c>
      <c r="Z5842">
        <v>1000</v>
      </c>
      <c r="AA5842">
        <v>5000</v>
      </c>
      <c r="AB5842">
        <v>3</v>
      </c>
      <c r="AC5842">
        <v>7148.38</v>
      </c>
      <c r="AD5842">
        <v>9000</v>
      </c>
      <c r="AE5842">
        <v>2000</v>
      </c>
      <c r="AF5842">
        <v>9000</v>
      </c>
      <c r="AG5842">
        <v>41</v>
      </c>
      <c r="AH5842">
        <v>6746.25</v>
      </c>
      <c r="AI5842">
        <v>6000</v>
      </c>
      <c r="AJ5842">
        <v>1700</v>
      </c>
      <c r="AK5842">
        <v>17400</v>
      </c>
      <c r="AQ5842">
        <v>1</v>
      </c>
      <c r="AR5842">
        <v>10000</v>
      </c>
      <c r="AS5842">
        <v>10000</v>
      </c>
      <c r="AT5842">
        <v>10000</v>
      </c>
      <c r="AU5842">
        <v>10000</v>
      </c>
      <c r="AV5842">
        <v>3</v>
      </c>
      <c r="AW5842">
        <v>3171.12</v>
      </c>
      <c r="AX5842">
        <v>8866</v>
      </c>
      <c r="AY5842">
        <v>1500</v>
      </c>
      <c r="AZ5842">
        <v>15340</v>
      </c>
      <c r="BA5842">
        <v>35</v>
      </c>
      <c r="BB5842">
        <v>3016.94</v>
      </c>
      <c r="BC5842">
        <v>2090</v>
      </c>
      <c r="BD5842">
        <v>800</v>
      </c>
      <c r="BE5842">
        <v>30000</v>
      </c>
      <c r="BK5842">
        <v>1</v>
      </c>
      <c r="BL5842">
        <v>3000</v>
      </c>
      <c r="BM5842">
        <v>3000</v>
      </c>
      <c r="BN5842">
        <v>3000</v>
      </c>
      <c r="BO5842">
        <v>3000</v>
      </c>
      <c r="BQ5842" t="s">
        <v>36</v>
      </c>
      <c r="BR5842" t="s">
        <v>365</v>
      </c>
      <c r="BS5842">
        <v>47</v>
      </c>
      <c r="BT5842">
        <v>6200.66</v>
      </c>
      <c r="BU5842">
        <v>5250</v>
      </c>
      <c r="BV5842">
        <v>875</v>
      </c>
      <c r="BW5842">
        <v>16666.669999999998</v>
      </c>
      <c r="BX5842">
        <v>11</v>
      </c>
      <c r="BY5842">
        <v>1142.0999999999999</v>
      </c>
      <c r="BZ5842">
        <v>1000</v>
      </c>
      <c r="CA5842">
        <v>500</v>
      </c>
      <c r="CB5842">
        <v>2166.67</v>
      </c>
      <c r="CC5842">
        <v>19</v>
      </c>
      <c r="CD5842">
        <v>4043.42</v>
      </c>
      <c r="CE5842">
        <v>2500</v>
      </c>
      <c r="CF5842">
        <v>750</v>
      </c>
      <c r="CG5842">
        <v>10000</v>
      </c>
      <c r="CH5842">
        <v>6</v>
      </c>
      <c r="CI5842">
        <v>7161.87</v>
      </c>
      <c r="CJ5842">
        <v>10000</v>
      </c>
      <c r="CK5842">
        <v>1000</v>
      </c>
      <c r="CL5842">
        <v>10000</v>
      </c>
      <c r="CM5842">
        <v>4</v>
      </c>
      <c r="CN5842">
        <v>712.06</v>
      </c>
      <c r="CO5842">
        <v>400</v>
      </c>
      <c r="CP5842">
        <v>250</v>
      </c>
      <c r="CQ5842">
        <v>1250</v>
      </c>
      <c r="CR5842">
        <v>3</v>
      </c>
      <c r="CS5842">
        <v>2432.73</v>
      </c>
      <c r="CT5842">
        <v>3000</v>
      </c>
      <c r="CU5842">
        <v>1000</v>
      </c>
      <c r="CV5842">
        <v>3000</v>
      </c>
      <c r="CW5842">
        <v>41</v>
      </c>
      <c r="CX5842">
        <v>2178.5</v>
      </c>
      <c r="CY5842">
        <v>1500</v>
      </c>
      <c r="CZ5842">
        <v>400</v>
      </c>
      <c r="DA5842">
        <v>6500</v>
      </c>
      <c r="DG5842">
        <v>1</v>
      </c>
      <c r="DH5842">
        <v>3333.33</v>
      </c>
      <c r="DI5842">
        <v>3333.33</v>
      </c>
      <c r="DJ5842">
        <v>3333.33</v>
      </c>
      <c r="DK5842">
        <v>3333.33</v>
      </c>
      <c r="DL5842">
        <v>3</v>
      </c>
      <c r="DM5842">
        <v>795.94</v>
      </c>
      <c r="DN5842">
        <v>1773.2</v>
      </c>
      <c r="DO5842">
        <v>500</v>
      </c>
      <c r="DP5842">
        <v>3068</v>
      </c>
      <c r="DQ5842">
        <v>35</v>
      </c>
      <c r="DR5842">
        <v>941.96</v>
      </c>
      <c r="DS5842">
        <v>420</v>
      </c>
      <c r="DT5842">
        <v>122.86</v>
      </c>
      <c r="DU5842">
        <v>6000</v>
      </c>
      <c r="EA5842">
        <v>1</v>
      </c>
      <c r="EB5842">
        <v>1000</v>
      </c>
      <c r="EC5842">
        <v>1000</v>
      </c>
      <c r="ED5842">
        <v>1000</v>
      </c>
      <c r="EE5842">
        <v>1000</v>
      </c>
    </row>
    <row r="5843" spans="1:135" x14ac:dyDescent="0.3">
      <c r="A5843" t="s">
        <v>34</v>
      </c>
      <c r="B5843" t="s">
        <v>389</v>
      </c>
      <c r="C5843">
        <v>492</v>
      </c>
      <c r="D5843">
        <v>12811.89</v>
      </c>
      <c r="E5843">
        <v>10000</v>
      </c>
      <c r="F5843">
        <v>860</v>
      </c>
      <c r="G5843">
        <v>122000</v>
      </c>
      <c r="H5843">
        <v>93</v>
      </c>
      <c r="I5843">
        <v>5330.83</v>
      </c>
      <c r="J5843">
        <v>5000</v>
      </c>
      <c r="K5843">
        <v>700</v>
      </c>
      <c r="L5843">
        <v>30000</v>
      </c>
      <c r="M5843">
        <v>137</v>
      </c>
      <c r="N5843">
        <v>9906.57</v>
      </c>
      <c r="O5843">
        <v>8900</v>
      </c>
      <c r="P5843">
        <v>1000</v>
      </c>
      <c r="Q5843">
        <v>45000</v>
      </c>
      <c r="R5843">
        <v>51</v>
      </c>
      <c r="S5843">
        <v>17889.150000000001</v>
      </c>
      <c r="T5843">
        <v>5000</v>
      </c>
      <c r="U5843">
        <v>1000</v>
      </c>
      <c r="V5843">
        <v>200000</v>
      </c>
      <c r="W5843">
        <v>29</v>
      </c>
      <c r="X5843">
        <v>1698.11</v>
      </c>
      <c r="Y5843">
        <v>1500</v>
      </c>
      <c r="Z5843">
        <v>830</v>
      </c>
      <c r="AA5843">
        <v>5000</v>
      </c>
      <c r="AB5843">
        <v>119</v>
      </c>
      <c r="AC5843">
        <v>9325.5499999999993</v>
      </c>
      <c r="AD5843">
        <v>5000</v>
      </c>
      <c r="AE5843">
        <v>650</v>
      </c>
      <c r="AF5843">
        <v>50000</v>
      </c>
      <c r="AG5843">
        <v>688</v>
      </c>
      <c r="AH5843">
        <v>5310.67</v>
      </c>
      <c r="AI5843">
        <v>4200</v>
      </c>
      <c r="AJ5843">
        <v>2000</v>
      </c>
      <c r="AK5843">
        <v>35000</v>
      </c>
      <c r="AL5843">
        <v>1</v>
      </c>
      <c r="AM5843">
        <v>2000</v>
      </c>
      <c r="AN5843">
        <v>2000</v>
      </c>
      <c r="AO5843">
        <v>2000</v>
      </c>
      <c r="AP5843">
        <v>2000</v>
      </c>
      <c r="AQ5843">
        <v>42</v>
      </c>
      <c r="AR5843">
        <v>4357.24</v>
      </c>
      <c r="AS5843">
        <v>3600</v>
      </c>
      <c r="AT5843">
        <v>500</v>
      </c>
      <c r="AU5843">
        <v>50000</v>
      </c>
      <c r="AV5843">
        <v>32</v>
      </c>
      <c r="AW5843">
        <v>8430.7199999999993</v>
      </c>
      <c r="AX5843">
        <v>6600</v>
      </c>
      <c r="AY5843">
        <v>800</v>
      </c>
      <c r="AZ5843">
        <v>20000</v>
      </c>
      <c r="BA5843">
        <v>322</v>
      </c>
      <c r="BB5843">
        <v>5499.88</v>
      </c>
      <c r="BC5843">
        <v>4000</v>
      </c>
      <c r="BD5843">
        <v>800</v>
      </c>
      <c r="BE5843">
        <v>30000</v>
      </c>
      <c r="BK5843">
        <v>9</v>
      </c>
      <c r="BL5843">
        <v>13027.75</v>
      </c>
      <c r="BM5843">
        <v>3000</v>
      </c>
      <c r="BN5843">
        <v>1200</v>
      </c>
      <c r="BO5843">
        <v>50000</v>
      </c>
      <c r="BQ5843" t="s">
        <v>34</v>
      </c>
      <c r="BR5843" t="s">
        <v>389</v>
      </c>
      <c r="BS5843">
        <v>492</v>
      </c>
      <c r="BT5843">
        <v>5556.5</v>
      </c>
      <c r="BU5843">
        <v>3750</v>
      </c>
      <c r="BV5843">
        <v>215</v>
      </c>
      <c r="BW5843">
        <v>50000</v>
      </c>
      <c r="BX5843">
        <v>93</v>
      </c>
      <c r="BY5843">
        <v>2317.5300000000002</v>
      </c>
      <c r="BZ5843">
        <v>1500</v>
      </c>
      <c r="CA5843">
        <v>250</v>
      </c>
      <c r="CB5843">
        <v>15000</v>
      </c>
      <c r="CC5843">
        <v>137</v>
      </c>
      <c r="CD5843">
        <v>3884.72</v>
      </c>
      <c r="CE5843">
        <v>3500</v>
      </c>
      <c r="CF5843">
        <v>250</v>
      </c>
      <c r="CG5843">
        <v>22500</v>
      </c>
      <c r="CH5843">
        <v>51</v>
      </c>
      <c r="CI5843">
        <v>6915.98</v>
      </c>
      <c r="CJ5843">
        <v>2000</v>
      </c>
      <c r="CK5843">
        <v>250</v>
      </c>
      <c r="CL5843">
        <v>100000</v>
      </c>
      <c r="CM5843">
        <v>29</v>
      </c>
      <c r="CN5843">
        <v>1280.3399999999999</v>
      </c>
      <c r="CO5843">
        <v>1000</v>
      </c>
      <c r="CP5843">
        <v>200</v>
      </c>
      <c r="CQ5843">
        <v>5000</v>
      </c>
      <c r="CR5843">
        <v>119</v>
      </c>
      <c r="CS5843">
        <v>4562.1899999999996</v>
      </c>
      <c r="CT5843">
        <v>3000</v>
      </c>
      <c r="CU5843">
        <v>500</v>
      </c>
      <c r="CV5843">
        <v>50000</v>
      </c>
      <c r="CW5843">
        <v>688</v>
      </c>
      <c r="CX5843">
        <v>2985.28</v>
      </c>
      <c r="CY5843">
        <v>2760</v>
      </c>
      <c r="CZ5843">
        <v>250</v>
      </c>
      <c r="DA5843">
        <v>17500</v>
      </c>
      <c r="DB5843">
        <v>1</v>
      </c>
      <c r="DC5843">
        <v>1000</v>
      </c>
      <c r="DD5843">
        <v>1000</v>
      </c>
      <c r="DE5843">
        <v>1000</v>
      </c>
      <c r="DF5843">
        <v>1000</v>
      </c>
      <c r="DG5843">
        <v>42</v>
      </c>
      <c r="DH5843">
        <v>2193</v>
      </c>
      <c r="DI5843">
        <v>2000</v>
      </c>
      <c r="DJ5843">
        <v>150</v>
      </c>
      <c r="DK5843">
        <v>16666.669999999998</v>
      </c>
      <c r="DL5843">
        <v>32</v>
      </c>
      <c r="DM5843">
        <v>3246.1</v>
      </c>
      <c r="DN5843">
        <v>3000</v>
      </c>
      <c r="DO5843">
        <v>400</v>
      </c>
      <c r="DP5843">
        <v>6600</v>
      </c>
      <c r="DQ5843">
        <v>322</v>
      </c>
      <c r="DR5843">
        <v>2013.36</v>
      </c>
      <c r="DS5843">
        <v>2000</v>
      </c>
      <c r="DT5843">
        <v>107.5</v>
      </c>
      <c r="DU5843">
        <v>25000</v>
      </c>
      <c r="EA5843">
        <v>9</v>
      </c>
      <c r="EB5843">
        <v>4129.2299999999996</v>
      </c>
      <c r="EC5843">
        <v>1500</v>
      </c>
      <c r="ED5843">
        <v>300</v>
      </c>
      <c r="EE5843">
        <v>16666.669999999998</v>
      </c>
    </row>
    <row r="5844" spans="1:135" x14ac:dyDescent="0.3">
      <c r="A5844" t="s">
        <v>34</v>
      </c>
      <c r="B5844" t="s">
        <v>390</v>
      </c>
      <c r="C5844">
        <v>221</v>
      </c>
      <c r="D5844">
        <v>18192.52</v>
      </c>
      <c r="E5844">
        <v>15000</v>
      </c>
      <c r="F5844">
        <v>1000</v>
      </c>
      <c r="G5844">
        <v>100600</v>
      </c>
      <c r="H5844">
        <v>30</v>
      </c>
      <c r="I5844">
        <v>7704.39</v>
      </c>
      <c r="J5844">
        <v>7000</v>
      </c>
      <c r="K5844">
        <v>1800</v>
      </c>
      <c r="L5844">
        <v>20000</v>
      </c>
      <c r="M5844">
        <v>78</v>
      </c>
      <c r="N5844">
        <v>12422.56</v>
      </c>
      <c r="O5844">
        <v>9500</v>
      </c>
      <c r="P5844">
        <v>900</v>
      </c>
      <c r="Q5844">
        <v>60000</v>
      </c>
      <c r="R5844">
        <v>33</v>
      </c>
      <c r="S5844">
        <v>21865.11</v>
      </c>
      <c r="T5844">
        <v>10000</v>
      </c>
      <c r="U5844">
        <v>300</v>
      </c>
      <c r="V5844">
        <v>100000</v>
      </c>
      <c r="W5844">
        <v>16</v>
      </c>
      <c r="X5844">
        <v>3790.86</v>
      </c>
      <c r="Y5844">
        <v>2000</v>
      </c>
      <c r="Z5844">
        <v>700</v>
      </c>
      <c r="AA5844">
        <v>18000</v>
      </c>
      <c r="AB5844">
        <v>17</v>
      </c>
      <c r="AC5844">
        <v>2910.85</v>
      </c>
      <c r="AD5844">
        <v>2000</v>
      </c>
      <c r="AE5844">
        <v>500</v>
      </c>
      <c r="AF5844">
        <v>25000</v>
      </c>
      <c r="AG5844">
        <v>323</v>
      </c>
      <c r="AH5844">
        <v>6899.65</v>
      </c>
      <c r="AI5844">
        <v>5700</v>
      </c>
      <c r="AJ5844">
        <v>1600</v>
      </c>
      <c r="AK5844">
        <v>30000</v>
      </c>
      <c r="AL5844">
        <v>3</v>
      </c>
      <c r="AM5844">
        <v>5840.71</v>
      </c>
      <c r="AN5844">
        <v>7000</v>
      </c>
      <c r="AO5844">
        <v>4000</v>
      </c>
      <c r="AP5844">
        <v>7000</v>
      </c>
      <c r="AQ5844">
        <v>12</v>
      </c>
      <c r="AR5844">
        <v>6482.3</v>
      </c>
      <c r="AS5844">
        <v>5000</v>
      </c>
      <c r="AT5844">
        <v>500</v>
      </c>
      <c r="AU5844">
        <v>35000</v>
      </c>
      <c r="AV5844">
        <v>4</v>
      </c>
      <c r="AW5844">
        <v>2536.0500000000002</v>
      </c>
      <c r="AX5844">
        <v>2200</v>
      </c>
      <c r="AY5844">
        <v>2000</v>
      </c>
      <c r="AZ5844">
        <v>6600</v>
      </c>
      <c r="BA5844">
        <v>106</v>
      </c>
      <c r="BB5844">
        <v>5556.56</v>
      </c>
      <c r="BC5844">
        <v>4700</v>
      </c>
      <c r="BD5844">
        <v>600</v>
      </c>
      <c r="BE5844">
        <v>16000</v>
      </c>
      <c r="BF5844">
        <v>2</v>
      </c>
      <c r="BG5844">
        <v>1000</v>
      </c>
      <c r="BH5844">
        <v>1000</v>
      </c>
      <c r="BI5844">
        <v>1000</v>
      </c>
      <c r="BJ5844">
        <v>1000</v>
      </c>
      <c r="BK5844">
        <v>1</v>
      </c>
      <c r="BL5844">
        <v>50000</v>
      </c>
      <c r="BM5844">
        <v>50000</v>
      </c>
      <c r="BN5844">
        <v>50000</v>
      </c>
      <c r="BO5844">
        <v>50000</v>
      </c>
      <c r="BQ5844" t="s">
        <v>34</v>
      </c>
      <c r="BR5844" t="s">
        <v>390</v>
      </c>
      <c r="BS5844">
        <v>221</v>
      </c>
      <c r="BT5844">
        <v>8580.0400000000009</v>
      </c>
      <c r="BU5844">
        <v>6666.67</v>
      </c>
      <c r="BV5844">
        <v>300</v>
      </c>
      <c r="BW5844">
        <v>40000</v>
      </c>
      <c r="BX5844">
        <v>30</v>
      </c>
      <c r="BY5844">
        <v>3723.92</v>
      </c>
      <c r="BZ5844">
        <v>2500</v>
      </c>
      <c r="CA5844">
        <v>750</v>
      </c>
      <c r="CB5844">
        <v>11000</v>
      </c>
      <c r="CC5844">
        <v>78</v>
      </c>
      <c r="CD5844">
        <v>6258.61</v>
      </c>
      <c r="CE5844">
        <v>5000</v>
      </c>
      <c r="CF5844">
        <v>250</v>
      </c>
      <c r="CG5844">
        <v>40000</v>
      </c>
      <c r="CH5844">
        <v>33</v>
      </c>
      <c r="CI5844">
        <v>13330.62</v>
      </c>
      <c r="CJ5844">
        <v>3333.33</v>
      </c>
      <c r="CK5844">
        <v>75</v>
      </c>
      <c r="CL5844">
        <v>80000</v>
      </c>
      <c r="CM5844">
        <v>16</v>
      </c>
      <c r="CN5844">
        <v>2108.4</v>
      </c>
      <c r="CO5844">
        <v>1250</v>
      </c>
      <c r="CP5844">
        <v>280</v>
      </c>
      <c r="CQ5844">
        <v>10000</v>
      </c>
      <c r="CR5844">
        <v>17</v>
      </c>
      <c r="CS5844">
        <v>2012.8</v>
      </c>
      <c r="CT5844">
        <v>1000</v>
      </c>
      <c r="CU5844">
        <v>214.29</v>
      </c>
      <c r="CV5844">
        <v>10000</v>
      </c>
      <c r="CW5844">
        <v>323</v>
      </c>
      <c r="CX5844">
        <v>3667.61</v>
      </c>
      <c r="CY5844">
        <v>3250</v>
      </c>
      <c r="CZ5844">
        <v>357.14</v>
      </c>
      <c r="DA5844">
        <v>30000</v>
      </c>
      <c r="DB5844">
        <v>3</v>
      </c>
      <c r="DC5844">
        <v>2652.66</v>
      </c>
      <c r="DD5844">
        <v>1750</v>
      </c>
      <c r="DE5844">
        <v>1000</v>
      </c>
      <c r="DF5844">
        <v>7000</v>
      </c>
      <c r="DG5844">
        <v>12</v>
      </c>
      <c r="DH5844">
        <v>3027.33</v>
      </c>
      <c r="DI5844">
        <v>2333.33</v>
      </c>
      <c r="DJ5844">
        <v>250</v>
      </c>
      <c r="DK5844">
        <v>20000</v>
      </c>
      <c r="DL5844">
        <v>4</v>
      </c>
      <c r="DM5844">
        <v>2235.54</v>
      </c>
      <c r="DN5844">
        <v>2200</v>
      </c>
      <c r="DO5844">
        <v>866.67</v>
      </c>
      <c r="DP5844">
        <v>6600</v>
      </c>
      <c r="DQ5844">
        <v>106</v>
      </c>
      <c r="DR5844">
        <v>2314.11</v>
      </c>
      <c r="DS5844">
        <v>2000</v>
      </c>
      <c r="DT5844">
        <v>150</v>
      </c>
      <c r="DU5844">
        <v>12000</v>
      </c>
      <c r="DV5844">
        <v>2</v>
      </c>
      <c r="DW5844">
        <v>1000</v>
      </c>
      <c r="DX5844">
        <v>1000</v>
      </c>
      <c r="DY5844">
        <v>1000</v>
      </c>
      <c r="DZ5844">
        <v>1000</v>
      </c>
      <c r="EA5844">
        <v>1</v>
      </c>
      <c r="EB5844">
        <v>16666.669999999998</v>
      </c>
      <c r="EC5844">
        <v>16666.669999999998</v>
      </c>
      <c r="ED5844">
        <v>16666.669999999998</v>
      </c>
      <c r="EE5844">
        <v>16666.669999999998</v>
      </c>
    </row>
    <row r="5845" spans="1:135" x14ac:dyDescent="0.3">
      <c r="A5845" t="s">
        <v>34</v>
      </c>
      <c r="B5845" t="s">
        <v>365</v>
      </c>
      <c r="C5845">
        <v>42</v>
      </c>
      <c r="D5845">
        <v>21921.08</v>
      </c>
      <c r="E5845">
        <v>15000</v>
      </c>
      <c r="F5845">
        <v>3000</v>
      </c>
      <c r="G5845">
        <v>63500</v>
      </c>
      <c r="H5845">
        <v>6</v>
      </c>
      <c r="I5845">
        <v>9647.74</v>
      </c>
      <c r="J5845">
        <v>8000</v>
      </c>
      <c r="K5845">
        <v>5000</v>
      </c>
      <c r="L5845">
        <v>25000</v>
      </c>
      <c r="M5845">
        <v>13</v>
      </c>
      <c r="N5845">
        <v>8242.56</v>
      </c>
      <c r="O5845">
        <v>8000</v>
      </c>
      <c r="P5845">
        <v>1000</v>
      </c>
      <c r="Q5845">
        <v>20000</v>
      </c>
      <c r="R5845">
        <v>5</v>
      </c>
      <c r="S5845">
        <v>19545.71</v>
      </c>
      <c r="T5845">
        <v>8000</v>
      </c>
      <c r="U5845">
        <v>1000</v>
      </c>
      <c r="V5845">
        <v>65000</v>
      </c>
      <c r="W5845">
        <v>4</v>
      </c>
      <c r="X5845">
        <v>1010.8</v>
      </c>
      <c r="Y5845">
        <v>833</v>
      </c>
      <c r="Z5845">
        <v>500</v>
      </c>
      <c r="AA5845">
        <v>2080</v>
      </c>
      <c r="AG5845">
        <v>41</v>
      </c>
      <c r="AH5845">
        <v>5326.02</v>
      </c>
      <c r="AI5845">
        <v>5000</v>
      </c>
      <c r="AJ5845">
        <v>1900</v>
      </c>
      <c r="AK5845">
        <v>27200</v>
      </c>
      <c r="AQ5845">
        <v>1</v>
      </c>
      <c r="AR5845">
        <v>5000</v>
      </c>
      <c r="AS5845">
        <v>5000</v>
      </c>
      <c r="AT5845">
        <v>5000</v>
      </c>
      <c r="AU5845">
        <v>5000</v>
      </c>
      <c r="BA5845">
        <v>21</v>
      </c>
      <c r="BB5845">
        <v>5931.24</v>
      </c>
      <c r="BC5845">
        <v>5000</v>
      </c>
      <c r="BD5845">
        <v>2000</v>
      </c>
      <c r="BE5845">
        <v>12000</v>
      </c>
      <c r="BQ5845" t="s">
        <v>34</v>
      </c>
      <c r="BR5845" t="s">
        <v>365</v>
      </c>
      <c r="BS5845">
        <v>42</v>
      </c>
      <c r="BT5845">
        <v>7781.59</v>
      </c>
      <c r="BU5845">
        <v>6000</v>
      </c>
      <c r="BV5845">
        <v>1500</v>
      </c>
      <c r="BW5845">
        <v>31750</v>
      </c>
      <c r="BX5845">
        <v>6</v>
      </c>
      <c r="BY5845">
        <v>2908.47</v>
      </c>
      <c r="BZ5845">
        <v>2000</v>
      </c>
      <c r="CA5845">
        <v>833.33</v>
      </c>
      <c r="CB5845">
        <v>10000</v>
      </c>
      <c r="CC5845">
        <v>13</v>
      </c>
      <c r="CD5845">
        <v>3141.73</v>
      </c>
      <c r="CE5845">
        <v>3333.33</v>
      </c>
      <c r="CF5845">
        <v>333.33</v>
      </c>
      <c r="CG5845">
        <v>6666.67</v>
      </c>
      <c r="CH5845">
        <v>5</v>
      </c>
      <c r="CI5845">
        <v>7007.38</v>
      </c>
      <c r="CJ5845">
        <v>4000</v>
      </c>
      <c r="CK5845">
        <v>500</v>
      </c>
      <c r="CL5845">
        <v>21666.67</v>
      </c>
      <c r="CM5845">
        <v>4</v>
      </c>
      <c r="CN5845">
        <v>399.77</v>
      </c>
      <c r="CO5845">
        <v>416.5</v>
      </c>
      <c r="CP5845">
        <v>125</v>
      </c>
      <c r="CQ5845">
        <v>1000</v>
      </c>
      <c r="CW5845">
        <v>41</v>
      </c>
      <c r="CX5845">
        <v>1895.89</v>
      </c>
      <c r="CY5845">
        <v>1366.67</v>
      </c>
      <c r="CZ5845">
        <v>316.67</v>
      </c>
      <c r="DA5845">
        <v>13600</v>
      </c>
      <c r="DG5845">
        <v>1</v>
      </c>
      <c r="DH5845">
        <v>1666.67</v>
      </c>
      <c r="DI5845">
        <v>1666.67</v>
      </c>
      <c r="DJ5845">
        <v>1666.67</v>
      </c>
      <c r="DK5845">
        <v>1666.67</v>
      </c>
      <c r="DQ5845">
        <v>21</v>
      </c>
      <c r="DR5845">
        <v>1781.6</v>
      </c>
      <c r="DS5845">
        <v>1433.33</v>
      </c>
      <c r="DT5845">
        <v>400</v>
      </c>
      <c r="DU5845">
        <v>4600</v>
      </c>
    </row>
    <row r="5846" spans="1:135" x14ac:dyDescent="0.3">
      <c r="A5846" t="s">
        <v>33</v>
      </c>
      <c r="B5846" t="s">
        <v>389</v>
      </c>
      <c r="C5846">
        <v>490</v>
      </c>
      <c r="D5846">
        <v>14270.42</v>
      </c>
      <c r="E5846">
        <v>12000</v>
      </c>
      <c r="F5846">
        <v>3000</v>
      </c>
      <c r="G5846">
        <v>70000</v>
      </c>
      <c r="H5846">
        <v>42</v>
      </c>
      <c r="I5846">
        <v>8612.0300000000007</v>
      </c>
      <c r="J5846">
        <v>7000</v>
      </c>
      <c r="K5846">
        <v>2000</v>
      </c>
      <c r="L5846">
        <v>50000</v>
      </c>
      <c r="M5846">
        <v>74</v>
      </c>
      <c r="N5846">
        <v>8094.99</v>
      </c>
      <c r="O5846">
        <v>7000</v>
      </c>
      <c r="P5846">
        <v>1500</v>
      </c>
      <c r="Q5846">
        <v>20000</v>
      </c>
      <c r="R5846">
        <v>69</v>
      </c>
      <c r="S5846">
        <v>20105.63</v>
      </c>
      <c r="T5846">
        <v>17000</v>
      </c>
      <c r="U5846">
        <v>1000</v>
      </c>
      <c r="V5846">
        <v>100000</v>
      </c>
      <c r="W5846">
        <v>133</v>
      </c>
      <c r="X5846">
        <v>2780.32</v>
      </c>
      <c r="Y5846">
        <v>2000</v>
      </c>
      <c r="Z5846">
        <v>500</v>
      </c>
      <c r="AA5846">
        <v>17000</v>
      </c>
      <c r="AB5846">
        <v>89</v>
      </c>
      <c r="AC5846">
        <v>8972.86</v>
      </c>
      <c r="AD5846">
        <v>5000</v>
      </c>
      <c r="AE5846">
        <v>1000</v>
      </c>
      <c r="AF5846">
        <v>40000</v>
      </c>
      <c r="AG5846">
        <v>546</v>
      </c>
      <c r="AH5846">
        <v>4865.6099999999997</v>
      </c>
      <c r="AI5846">
        <v>4000</v>
      </c>
      <c r="AJ5846">
        <v>2000</v>
      </c>
      <c r="AK5846">
        <v>21000</v>
      </c>
      <c r="AQ5846">
        <v>15</v>
      </c>
      <c r="AR5846">
        <v>2995.48</v>
      </c>
      <c r="AS5846">
        <v>2000</v>
      </c>
      <c r="AT5846">
        <v>2000</v>
      </c>
      <c r="AU5846">
        <v>5000</v>
      </c>
      <c r="AV5846">
        <v>6</v>
      </c>
      <c r="AW5846">
        <v>10659.44</v>
      </c>
      <c r="AX5846">
        <v>2000</v>
      </c>
      <c r="AY5846">
        <v>400</v>
      </c>
      <c r="AZ5846">
        <v>70000</v>
      </c>
      <c r="BA5846">
        <v>146</v>
      </c>
      <c r="BB5846">
        <v>4026.64</v>
      </c>
      <c r="BC5846">
        <v>2700</v>
      </c>
      <c r="BD5846">
        <v>760</v>
      </c>
      <c r="BE5846">
        <v>26000</v>
      </c>
      <c r="BF5846">
        <v>1</v>
      </c>
      <c r="BG5846">
        <v>2000</v>
      </c>
      <c r="BH5846">
        <v>2000</v>
      </c>
      <c r="BI5846">
        <v>2000</v>
      </c>
      <c r="BJ5846">
        <v>2000</v>
      </c>
      <c r="BQ5846" t="s">
        <v>33</v>
      </c>
      <c r="BR5846" t="s">
        <v>389</v>
      </c>
      <c r="BS5846">
        <v>490</v>
      </c>
      <c r="BT5846">
        <v>5765.86</v>
      </c>
      <c r="BU5846">
        <v>5000</v>
      </c>
      <c r="BV5846">
        <v>800</v>
      </c>
      <c r="BW5846">
        <v>27500</v>
      </c>
      <c r="BX5846">
        <v>42</v>
      </c>
      <c r="BY5846">
        <v>3299.15</v>
      </c>
      <c r="BZ5846">
        <v>2500</v>
      </c>
      <c r="CA5846">
        <v>333.33</v>
      </c>
      <c r="CB5846">
        <v>12500</v>
      </c>
      <c r="CC5846">
        <v>74</v>
      </c>
      <c r="CD5846">
        <v>3612.75</v>
      </c>
      <c r="CE5846">
        <v>3000</v>
      </c>
      <c r="CF5846">
        <v>666.67</v>
      </c>
      <c r="CG5846">
        <v>16500</v>
      </c>
      <c r="CH5846">
        <v>69</v>
      </c>
      <c r="CI5846">
        <v>8305.92</v>
      </c>
      <c r="CJ5846">
        <v>6250</v>
      </c>
      <c r="CK5846">
        <v>666.67</v>
      </c>
      <c r="CL5846">
        <v>50000</v>
      </c>
      <c r="CM5846">
        <v>133</v>
      </c>
      <c r="CN5846">
        <v>1456.11</v>
      </c>
      <c r="CO5846">
        <v>1000</v>
      </c>
      <c r="CP5846">
        <v>200</v>
      </c>
      <c r="CQ5846">
        <v>12000</v>
      </c>
      <c r="CR5846">
        <v>89</v>
      </c>
      <c r="CS5846">
        <v>4071.72</v>
      </c>
      <c r="CT5846">
        <v>3000</v>
      </c>
      <c r="CU5846">
        <v>500</v>
      </c>
      <c r="CV5846">
        <v>15000</v>
      </c>
      <c r="CW5846">
        <v>546</v>
      </c>
      <c r="CX5846">
        <v>3137.58</v>
      </c>
      <c r="CY5846">
        <v>3100</v>
      </c>
      <c r="CZ5846">
        <v>375</v>
      </c>
      <c r="DA5846">
        <v>10500</v>
      </c>
      <c r="DG5846">
        <v>15</v>
      </c>
      <c r="DH5846">
        <v>1305.42</v>
      </c>
      <c r="DI5846">
        <v>1000</v>
      </c>
      <c r="DJ5846">
        <v>666.67</v>
      </c>
      <c r="DK5846">
        <v>2500</v>
      </c>
      <c r="DL5846">
        <v>6</v>
      </c>
      <c r="DM5846">
        <v>3035.49</v>
      </c>
      <c r="DN5846">
        <v>2000</v>
      </c>
      <c r="DO5846">
        <v>200</v>
      </c>
      <c r="DP5846">
        <v>14000</v>
      </c>
      <c r="DQ5846">
        <v>146</v>
      </c>
      <c r="DR5846">
        <v>1633.85</v>
      </c>
      <c r="DS5846">
        <v>1250</v>
      </c>
      <c r="DT5846">
        <v>114.29</v>
      </c>
      <c r="DU5846">
        <v>23000</v>
      </c>
      <c r="DV5846">
        <v>1</v>
      </c>
      <c r="DW5846">
        <v>2000</v>
      </c>
      <c r="DX5846">
        <v>2000</v>
      </c>
      <c r="DY5846">
        <v>2000</v>
      </c>
      <c r="DZ5846">
        <v>2000</v>
      </c>
    </row>
    <row r="5847" spans="1:135" x14ac:dyDescent="0.3">
      <c r="A5847" t="s">
        <v>33</v>
      </c>
      <c r="B5847" t="s">
        <v>390</v>
      </c>
      <c r="C5847">
        <v>338</v>
      </c>
      <c r="D5847">
        <v>17936.12</v>
      </c>
      <c r="E5847">
        <v>15000</v>
      </c>
      <c r="F5847">
        <v>4600</v>
      </c>
      <c r="G5847">
        <v>200000</v>
      </c>
      <c r="H5847">
        <v>27</v>
      </c>
      <c r="I5847">
        <v>8509.94</v>
      </c>
      <c r="J5847">
        <v>8000</v>
      </c>
      <c r="K5847">
        <v>2000</v>
      </c>
      <c r="L5847">
        <v>18000</v>
      </c>
      <c r="M5847">
        <v>49</v>
      </c>
      <c r="N5847">
        <v>9635.11</v>
      </c>
      <c r="O5847">
        <v>7000</v>
      </c>
      <c r="P5847">
        <v>2000</v>
      </c>
      <c r="Q5847">
        <v>40000</v>
      </c>
      <c r="R5847">
        <v>60</v>
      </c>
      <c r="S5847">
        <v>24355.41</v>
      </c>
      <c r="T5847">
        <v>20000</v>
      </c>
      <c r="U5847">
        <v>1000</v>
      </c>
      <c r="V5847">
        <v>100000</v>
      </c>
      <c r="W5847">
        <v>88</v>
      </c>
      <c r="X5847">
        <v>3129.38</v>
      </c>
      <c r="Y5847">
        <v>2500</v>
      </c>
      <c r="Z5847">
        <v>800</v>
      </c>
      <c r="AA5847">
        <v>20000</v>
      </c>
      <c r="AB5847">
        <v>15</v>
      </c>
      <c r="AC5847">
        <v>7022.15</v>
      </c>
      <c r="AD5847">
        <v>6000</v>
      </c>
      <c r="AE5847">
        <v>500</v>
      </c>
      <c r="AF5847">
        <v>15000</v>
      </c>
      <c r="AG5847">
        <v>315</v>
      </c>
      <c r="AH5847">
        <v>5914.71</v>
      </c>
      <c r="AI5847">
        <v>5500</v>
      </c>
      <c r="AJ5847">
        <v>1300</v>
      </c>
      <c r="AK5847">
        <v>18000</v>
      </c>
      <c r="AQ5847">
        <v>23</v>
      </c>
      <c r="AR5847">
        <v>2563.21</v>
      </c>
      <c r="AS5847">
        <v>2000</v>
      </c>
      <c r="AT5847">
        <v>1000</v>
      </c>
      <c r="AU5847">
        <v>6000</v>
      </c>
      <c r="BA5847">
        <v>73</v>
      </c>
      <c r="BB5847">
        <v>3850.27</v>
      </c>
      <c r="BC5847">
        <v>2700</v>
      </c>
      <c r="BD5847">
        <v>600</v>
      </c>
      <c r="BE5847">
        <v>20000</v>
      </c>
      <c r="BQ5847" t="s">
        <v>33</v>
      </c>
      <c r="BR5847" t="s">
        <v>390</v>
      </c>
      <c r="BS5847">
        <v>338</v>
      </c>
      <c r="BT5847">
        <v>7730.94</v>
      </c>
      <c r="BU5847">
        <v>6000</v>
      </c>
      <c r="BV5847">
        <v>1000</v>
      </c>
      <c r="BW5847">
        <v>66666.67</v>
      </c>
      <c r="BX5847">
        <v>27</v>
      </c>
      <c r="BY5847">
        <v>3185.67</v>
      </c>
      <c r="BZ5847">
        <v>3333.33</v>
      </c>
      <c r="CA5847">
        <v>400</v>
      </c>
      <c r="CB5847">
        <v>9000</v>
      </c>
      <c r="CC5847">
        <v>49</v>
      </c>
      <c r="CD5847">
        <v>4669.66</v>
      </c>
      <c r="CE5847">
        <v>3500</v>
      </c>
      <c r="CF5847">
        <v>900</v>
      </c>
      <c r="CG5847">
        <v>20000</v>
      </c>
      <c r="CH5847">
        <v>60</v>
      </c>
      <c r="CI5847">
        <v>9686.85</v>
      </c>
      <c r="CJ5847">
        <v>7500</v>
      </c>
      <c r="CK5847">
        <v>500</v>
      </c>
      <c r="CL5847">
        <v>50000</v>
      </c>
      <c r="CM5847">
        <v>88</v>
      </c>
      <c r="CN5847">
        <v>1497.53</v>
      </c>
      <c r="CO5847">
        <v>1000</v>
      </c>
      <c r="CP5847">
        <v>250</v>
      </c>
      <c r="CQ5847">
        <v>15000</v>
      </c>
      <c r="CR5847">
        <v>15</v>
      </c>
      <c r="CS5847">
        <v>3119.8</v>
      </c>
      <c r="CT5847">
        <v>3000</v>
      </c>
      <c r="CU5847">
        <v>500</v>
      </c>
      <c r="CV5847">
        <v>7500</v>
      </c>
      <c r="CW5847">
        <v>315</v>
      </c>
      <c r="CX5847">
        <v>3269.66</v>
      </c>
      <c r="CY5847">
        <v>3250</v>
      </c>
      <c r="CZ5847">
        <v>500</v>
      </c>
      <c r="DA5847">
        <v>10000</v>
      </c>
      <c r="DG5847">
        <v>23</v>
      </c>
      <c r="DH5847">
        <v>1502.04</v>
      </c>
      <c r="DI5847">
        <v>1000</v>
      </c>
      <c r="DJ5847">
        <v>500</v>
      </c>
      <c r="DK5847">
        <v>3000</v>
      </c>
      <c r="DQ5847">
        <v>73</v>
      </c>
      <c r="DR5847">
        <v>1595.08</v>
      </c>
      <c r="DS5847">
        <v>1350</v>
      </c>
      <c r="DT5847">
        <v>172</v>
      </c>
      <c r="DU5847">
        <v>5300</v>
      </c>
    </row>
    <row r="5848" spans="1:135" x14ac:dyDescent="0.3">
      <c r="A5848" t="s">
        <v>33</v>
      </c>
      <c r="B5848" t="s">
        <v>365</v>
      </c>
      <c r="C5848">
        <v>82</v>
      </c>
      <c r="D5848">
        <v>18420.099999999999</v>
      </c>
      <c r="E5848">
        <v>20000</v>
      </c>
      <c r="F5848">
        <v>3000</v>
      </c>
      <c r="G5848">
        <v>50000</v>
      </c>
      <c r="H5848">
        <v>5</v>
      </c>
      <c r="I5848">
        <v>9091.7800000000007</v>
      </c>
      <c r="J5848">
        <v>6500</v>
      </c>
      <c r="K5848">
        <v>5000</v>
      </c>
      <c r="L5848">
        <v>15000</v>
      </c>
      <c r="M5848">
        <v>10</v>
      </c>
      <c r="N5848">
        <v>9901.4699999999993</v>
      </c>
      <c r="O5848">
        <v>8000</v>
      </c>
      <c r="P5848">
        <v>3000</v>
      </c>
      <c r="Q5848">
        <v>20000</v>
      </c>
      <c r="R5848">
        <v>10</v>
      </c>
      <c r="S5848">
        <v>27078.74</v>
      </c>
      <c r="T5848">
        <v>27000</v>
      </c>
      <c r="U5848">
        <v>3000</v>
      </c>
      <c r="V5848">
        <v>50000</v>
      </c>
      <c r="W5848">
        <v>35</v>
      </c>
      <c r="X5848">
        <v>3200.91</v>
      </c>
      <c r="Y5848">
        <v>3000</v>
      </c>
      <c r="Z5848">
        <v>1200</v>
      </c>
      <c r="AA5848">
        <v>10000</v>
      </c>
      <c r="AB5848">
        <v>2</v>
      </c>
      <c r="AC5848">
        <v>7031.41</v>
      </c>
      <c r="AD5848">
        <v>10000</v>
      </c>
      <c r="AE5848">
        <v>3000</v>
      </c>
      <c r="AF5848">
        <v>10000</v>
      </c>
      <c r="AG5848">
        <v>57</v>
      </c>
      <c r="AH5848">
        <v>6594.25</v>
      </c>
      <c r="AI5848">
        <v>6000</v>
      </c>
      <c r="AJ5848">
        <v>1000</v>
      </c>
      <c r="AK5848">
        <v>23000</v>
      </c>
      <c r="AQ5848">
        <v>9</v>
      </c>
      <c r="AR5848">
        <v>2323.34</v>
      </c>
      <c r="AS5848">
        <v>2000</v>
      </c>
      <c r="AT5848">
        <v>2000</v>
      </c>
      <c r="AU5848">
        <v>3000</v>
      </c>
      <c r="BA5848">
        <v>17</v>
      </c>
      <c r="BB5848">
        <v>2698.51</v>
      </c>
      <c r="BC5848">
        <v>2000</v>
      </c>
      <c r="BD5848">
        <v>800</v>
      </c>
      <c r="BE5848">
        <v>10000</v>
      </c>
      <c r="BQ5848" t="s">
        <v>33</v>
      </c>
      <c r="BR5848" t="s">
        <v>365</v>
      </c>
      <c r="BS5848">
        <v>82</v>
      </c>
      <c r="BT5848">
        <v>5793.87</v>
      </c>
      <c r="BU5848">
        <v>5000</v>
      </c>
      <c r="BV5848">
        <v>1500</v>
      </c>
      <c r="BW5848">
        <v>17500</v>
      </c>
      <c r="BX5848">
        <v>5</v>
      </c>
      <c r="BY5848">
        <v>3056.2</v>
      </c>
      <c r="BZ5848">
        <v>2500</v>
      </c>
      <c r="CA5848">
        <v>2000</v>
      </c>
      <c r="CB5848">
        <v>5000</v>
      </c>
      <c r="CC5848">
        <v>10</v>
      </c>
      <c r="CD5848">
        <v>3045.46</v>
      </c>
      <c r="CE5848">
        <v>2333.33</v>
      </c>
      <c r="CF5848">
        <v>1333.33</v>
      </c>
      <c r="CG5848">
        <v>6666.67</v>
      </c>
      <c r="CH5848">
        <v>10</v>
      </c>
      <c r="CI5848">
        <v>8775.39</v>
      </c>
      <c r="CJ5848">
        <v>10000</v>
      </c>
      <c r="CK5848">
        <v>1000</v>
      </c>
      <c r="CL5848">
        <v>16666.669999999998</v>
      </c>
      <c r="CM5848">
        <v>35</v>
      </c>
      <c r="CN5848">
        <v>1142.56</v>
      </c>
      <c r="CO5848">
        <v>1000</v>
      </c>
      <c r="CP5848">
        <v>300</v>
      </c>
      <c r="CQ5848">
        <v>2500</v>
      </c>
      <c r="CR5848">
        <v>2</v>
      </c>
      <c r="CS5848">
        <v>2555.85</v>
      </c>
      <c r="CT5848">
        <v>3333.33</v>
      </c>
      <c r="CU5848">
        <v>1500</v>
      </c>
      <c r="CV5848">
        <v>3333.33</v>
      </c>
      <c r="CW5848">
        <v>57</v>
      </c>
      <c r="CX5848">
        <v>2706.69</v>
      </c>
      <c r="CY5848">
        <v>2000</v>
      </c>
      <c r="CZ5848">
        <v>500</v>
      </c>
      <c r="DA5848">
        <v>11500</v>
      </c>
      <c r="DG5848">
        <v>9</v>
      </c>
      <c r="DH5848">
        <v>1161.67</v>
      </c>
      <c r="DI5848">
        <v>1000</v>
      </c>
      <c r="DJ5848">
        <v>1000</v>
      </c>
      <c r="DK5848">
        <v>1500</v>
      </c>
      <c r="DQ5848">
        <v>17</v>
      </c>
      <c r="DR5848">
        <v>952.12</v>
      </c>
      <c r="DS5848">
        <v>650</v>
      </c>
      <c r="DT5848">
        <v>160</v>
      </c>
      <c r="DU5848">
        <v>3333.33</v>
      </c>
    </row>
    <row r="5849" spans="1:135" x14ac:dyDescent="0.3">
      <c r="A5849" t="s">
        <v>49</v>
      </c>
      <c r="B5849" t="s">
        <v>389</v>
      </c>
      <c r="C5849">
        <v>3371</v>
      </c>
      <c r="D5849">
        <v>16771.72</v>
      </c>
      <c r="E5849">
        <v>12000</v>
      </c>
      <c r="F5849">
        <v>860</v>
      </c>
      <c r="G5849">
        <v>250000</v>
      </c>
      <c r="H5849">
        <v>475</v>
      </c>
      <c r="I5849">
        <v>8045.33</v>
      </c>
      <c r="J5849">
        <v>6000</v>
      </c>
      <c r="K5849">
        <v>500</v>
      </c>
      <c r="L5849">
        <v>50000</v>
      </c>
      <c r="M5849">
        <v>767</v>
      </c>
      <c r="N5849">
        <v>9321.6200000000008</v>
      </c>
      <c r="O5849">
        <v>8000</v>
      </c>
      <c r="P5849">
        <v>1000</v>
      </c>
      <c r="Q5849">
        <v>50000</v>
      </c>
      <c r="R5849">
        <v>442</v>
      </c>
      <c r="S5849">
        <v>17549.14</v>
      </c>
      <c r="T5849">
        <v>10000</v>
      </c>
      <c r="U5849">
        <v>300</v>
      </c>
      <c r="V5849">
        <v>200000</v>
      </c>
      <c r="W5849">
        <v>505</v>
      </c>
      <c r="X5849">
        <v>2467.2199999999998</v>
      </c>
      <c r="Y5849">
        <v>1500</v>
      </c>
      <c r="Z5849">
        <v>330</v>
      </c>
      <c r="AA5849">
        <v>50000</v>
      </c>
      <c r="AB5849">
        <v>704</v>
      </c>
      <c r="AC5849">
        <v>9699.82</v>
      </c>
      <c r="AD5849">
        <v>5000</v>
      </c>
      <c r="AE5849">
        <v>300</v>
      </c>
      <c r="AF5849">
        <v>108000</v>
      </c>
      <c r="AG5849">
        <v>4241</v>
      </c>
      <c r="AH5849">
        <v>5056.43</v>
      </c>
      <c r="AI5849">
        <v>4000</v>
      </c>
      <c r="AJ5849">
        <v>1100</v>
      </c>
      <c r="AK5849">
        <v>78000</v>
      </c>
      <c r="AL5849">
        <v>8</v>
      </c>
      <c r="AM5849">
        <v>8212.07</v>
      </c>
      <c r="AN5849">
        <v>2000</v>
      </c>
      <c r="AO5849">
        <v>500</v>
      </c>
      <c r="AP5849">
        <v>70000</v>
      </c>
      <c r="AQ5849">
        <v>165</v>
      </c>
      <c r="AR5849">
        <v>6972.35</v>
      </c>
      <c r="AS5849">
        <v>4000</v>
      </c>
      <c r="AT5849">
        <v>500</v>
      </c>
      <c r="AU5849">
        <v>200000</v>
      </c>
      <c r="AV5849">
        <v>112</v>
      </c>
      <c r="AW5849">
        <v>6358.8</v>
      </c>
      <c r="AX5849">
        <v>5000</v>
      </c>
      <c r="AY5849">
        <v>300</v>
      </c>
      <c r="AZ5849">
        <v>70000</v>
      </c>
      <c r="BA5849">
        <v>1627</v>
      </c>
      <c r="BB5849">
        <v>4370.1499999999996</v>
      </c>
      <c r="BC5849">
        <v>3000</v>
      </c>
      <c r="BD5849">
        <v>600</v>
      </c>
      <c r="BE5849">
        <v>42000</v>
      </c>
      <c r="BF5849">
        <v>10</v>
      </c>
      <c r="BG5849">
        <v>2817.52</v>
      </c>
      <c r="BH5849">
        <v>3000</v>
      </c>
      <c r="BI5849">
        <v>500</v>
      </c>
      <c r="BJ5849">
        <v>5000</v>
      </c>
      <c r="BK5849">
        <v>30</v>
      </c>
      <c r="BL5849">
        <v>17928.849999999999</v>
      </c>
      <c r="BM5849">
        <v>2500</v>
      </c>
      <c r="BN5849">
        <v>370</v>
      </c>
      <c r="BO5849">
        <v>108000</v>
      </c>
      <c r="BQ5849" t="s">
        <v>49</v>
      </c>
      <c r="BR5849" t="s">
        <v>389</v>
      </c>
      <c r="BS5849">
        <v>3371</v>
      </c>
      <c r="BT5849">
        <v>6918.84</v>
      </c>
      <c r="BU5849">
        <v>5000</v>
      </c>
      <c r="BV5849">
        <v>200</v>
      </c>
      <c r="BW5849">
        <v>100000</v>
      </c>
      <c r="BX5849">
        <v>475</v>
      </c>
      <c r="BY5849">
        <v>3697.32</v>
      </c>
      <c r="BZ5849">
        <v>2500</v>
      </c>
      <c r="CA5849">
        <v>142.86000000000001</v>
      </c>
      <c r="CB5849">
        <v>25000</v>
      </c>
      <c r="CC5849">
        <v>767</v>
      </c>
      <c r="CD5849">
        <v>3789.16</v>
      </c>
      <c r="CE5849">
        <v>3000</v>
      </c>
      <c r="CF5849">
        <v>250</v>
      </c>
      <c r="CG5849">
        <v>30000</v>
      </c>
      <c r="CH5849">
        <v>442</v>
      </c>
      <c r="CI5849">
        <v>6917.88</v>
      </c>
      <c r="CJ5849">
        <v>3500</v>
      </c>
      <c r="CK5849">
        <v>100</v>
      </c>
      <c r="CL5849">
        <v>100000</v>
      </c>
      <c r="CM5849">
        <v>505</v>
      </c>
      <c r="CN5849">
        <v>1350.87</v>
      </c>
      <c r="CO5849">
        <v>830</v>
      </c>
      <c r="CP5849">
        <v>80</v>
      </c>
      <c r="CQ5849">
        <v>25000</v>
      </c>
      <c r="CR5849">
        <v>704</v>
      </c>
      <c r="CS5849">
        <v>4883.18</v>
      </c>
      <c r="CT5849">
        <v>3000</v>
      </c>
      <c r="CU5849">
        <v>100</v>
      </c>
      <c r="CV5849">
        <v>100000</v>
      </c>
      <c r="CW5849">
        <v>4241</v>
      </c>
      <c r="CX5849">
        <v>2929.93</v>
      </c>
      <c r="CY5849">
        <v>2750</v>
      </c>
      <c r="CZ5849">
        <v>250</v>
      </c>
      <c r="DA5849">
        <v>78000</v>
      </c>
      <c r="DB5849">
        <v>8</v>
      </c>
      <c r="DC5849">
        <v>5341.04</v>
      </c>
      <c r="DD5849">
        <v>666.67</v>
      </c>
      <c r="DE5849">
        <v>214.29</v>
      </c>
      <c r="DF5849">
        <v>40000</v>
      </c>
      <c r="DG5849">
        <v>165</v>
      </c>
      <c r="DH5849">
        <v>3650.9</v>
      </c>
      <c r="DI5849">
        <v>2000</v>
      </c>
      <c r="DJ5849">
        <v>150</v>
      </c>
      <c r="DK5849">
        <v>100000</v>
      </c>
      <c r="DL5849">
        <v>112</v>
      </c>
      <c r="DM5849">
        <v>2518.46</v>
      </c>
      <c r="DN5849">
        <v>2000</v>
      </c>
      <c r="DO5849">
        <v>150</v>
      </c>
      <c r="DP5849">
        <v>14000</v>
      </c>
      <c r="DQ5849">
        <v>1627</v>
      </c>
      <c r="DR5849">
        <v>1707.49</v>
      </c>
      <c r="DS5849">
        <v>1500</v>
      </c>
      <c r="DT5849">
        <v>72.22</v>
      </c>
      <c r="DU5849">
        <v>25000</v>
      </c>
      <c r="DV5849">
        <v>10</v>
      </c>
      <c r="DW5849">
        <v>1043.22</v>
      </c>
      <c r="DX5849">
        <v>750</v>
      </c>
      <c r="DY5849">
        <v>215</v>
      </c>
      <c r="DZ5849">
        <v>2000</v>
      </c>
      <c r="EA5849">
        <v>30</v>
      </c>
      <c r="EB5849">
        <v>6695.06</v>
      </c>
      <c r="EC5849">
        <v>1000</v>
      </c>
      <c r="ED5849">
        <v>185</v>
      </c>
      <c r="EE5849">
        <v>36000</v>
      </c>
    </row>
    <row r="5850" spans="1:135" x14ac:dyDescent="0.3">
      <c r="A5850" t="s">
        <v>49</v>
      </c>
      <c r="B5850" t="s">
        <v>390</v>
      </c>
      <c r="C5850">
        <v>1653</v>
      </c>
      <c r="D5850">
        <v>18610.759999999998</v>
      </c>
      <c r="E5850">
        <v>15000</v>
      </c>
      <c r="F5850">
        <v>1000</v>
      </c>
      <c r="G5850">
        <v>200000</v>
      </c>
      <c r="H5850">
        <v>271</v>
      </c>
      <c r="I5850">
        <v>8224.99</v>
      </c>
      <c r="J5850">
        <v>8000</v>
      </c>
      <c r="K5850">
        <v>1000</v>
      </c>
      <c r="L5850">
        <v>40000</v>
      </c>
      <c r="M5850">
        <v>457</v>
      </c>
      <c r="N5850">
        <v>10397.129999999999</v>
      </c>
      <c r="O5850">
        <v>8000</v>
      </c>
      <c r="P5850">
        <v>900</v>
      </c>
      <c r="Q5850">
        <v>60000</v>
      </c>
      <c r="R5850">
        <v>288</v>
      </c>
      <c r="S5850">
        <v>22604.67</v>
      </c>
      <c r="T5850">
        <v>17000</v>
      </c>
      <c r="U5850">
        <v>300</v>
      </c>
      <c r="V5850">
        <v>150000</v>
      </c>
      <c r="W5850">
        <v>250</v>
      </c>
      <c r="X5850">
        <v>2750.91</v>
      </c>
      <c r="Y5850">
        <v>2000</v>
      </c>
      <c r="Z5850">
        <v>375</v>
      </c>
      <c r="AA5850">
        <v>20000</v>
      </c>
      <c r="AB5850">
        <v>149</v>
      </c>
      <c r="AC5850">
        <v>5407.95</v>
      </c>
      <c r="AD5850">
        <v>4000</v>
      </c>
      <c r="AE5850">
        <v>500</v>
      </c>
      <c r="AF5850">
        <v>40000</v>
      </c>
      <c r="AG5850">
        <v>1891</v>
      </c>
      <c r="AH5850">
        <v>6289.19</v>
      </c>
      <c r="AI5850">
        <v>5200</v>
      </c>
      <c r="AJ5850">
        <v>1200</v>
      </c>
      <c r="AK5850">
        <v>41000</v>
      </c>
      <c r="AL5850">
        <v>5</v>
      </c>
      <c r="AM5850">
        <v>3710.77</v>
      </c>
      <c r="AN5850">
        <v>4000</v>
      </c>
      <c r="AO5850">
        <v>2000</v>
      </c>
      <c r="AP5850">
        <v>7000</v>
      </c>
      <c r="AQ5850">
        <v>74</v>
      </c>
      <c r="AR5850">
        <v>4601.5</v>
      </c>
      <c r="AS5850">
        <v>2000</v>
      </c>
      <c r="AT5850">
        <v>500</v>
      </c>
      <c r="AU5850">
        <v>70000</v>
      </c>
      <c r="AV5850">
        <v>26</v>
      </c>
      <c r="AW5850">
        <v>4539.62</v>
      </c>
      <c r="AX5850">
        <v>2600</v>
      </c>
      <c r="AY5850">
        <v>2000</v>
      </c>
      <c r="AZ5850">
        <v>20000</v>
      </c>
      <c r="BA5850">
        <v>617</v>
      </c>
      <c r="BB5850">
        <v>4284.8500000000004</v>
      </c>
      <c r="BC5850">
        <v>3000</v>
      </c>
      <c r="BD5850">
        <v>600</v>
      </c>
      <c r="BE5850">
        <v>90000</v>
      </c>
      <c r="BF5850">
        <v>13</v>
      </c>
      <c r="BG5850">
        <v>1847.72</v>
      </c>
      <c r="BH5850">
        <v>500</v>
      </c>
      <c r="BI5850">
        <v>500</v>
      </c>
      <c r="BJ5850">
        <v>8000</v>
      </c>
      <c r="BK5850">
        <v>8</v>
      </c>
      <c r="BL5850">
        <v>19021.43</v>
      </c>
      <c r="BM5850">
        <v>3000</v>
      </c>
      <c r="BN5850">
        <v>800</v>
      </c>
      <c r="BO5850">
        <v>56000</v>
      </c>
      <c r="BQ5850" t="s">
        <v>49</v>
      </c>
      <c r="BR5850" t="s">
        <v>390</v>
      </c>
      <c r="BS5850">
        <v>1653</v>
      </c>
      <c r="BT5850">
        <v>8657.2800000000007</v>
      </c>
      <c r="BU5850">
        <v>6000</v>
      </c>
      <c r="BV5850">
        <v>300</v>
      </c>
      <c r="BW5850">
        <v>90000</v>
      </c>
      <c r="BX5850">
        <v>271</v>
      </c>
      <c r="BY5850">
        <v>4543.66</v>
      </c>
      <c r="BZ5850">
        <v>3500</v>
      </c>
      <c r="CA5850">
        <v>300</v>
      </c>
      <c r="CB5850">
        <v>29000</v>
      </c>
      <c r="CC5850">
        <v>457</v>
      </c>
      <c r="CD5850">
        <v>5578.01</v>
      </c>
      <c r="CE5850">
        <v>3500</v>
      </c>
      <c r="CF5850">
        <v>250</v>
      </c>
      <c r="CG5850">
        <v>52000</v>
      </c>
      <c r="CH5850">
        <v>288</v>
      </c>
      <c r="CI5850">
        <v>11130.99</v>
      </c>
      <c r="CJ5850">
        <v>6000</v>
      </c>
      <c r="CK5850">
        <v>75</v>
      </c>
      <c r="CL5850">
        <v>80000</v>
      </c>
      <c r="CM5850">
        <v>250</v>
      </c>
      <c r="CN5850">
        <v>1395.15</v>
      </c>
      <c r="CO5850">
        <v>1000</v>
      </c>
      <c r="CP5850">
        <v>100</v>
      </c>
      <c r="CQ5850">
        <v>20000</v>
      </c>
      <c r="CR5850">
        <v>149</v>
      </c>
      <c r="CS5850">
        <v>3185.92</v>
      </c>
      <c r="CT5850">
        <v>2500</v>
      </c>
      <c r="CU5850">
        <v>214.29</v>
      </c>
      <c r="CV5850">
        <v>40000</v>
      </c>
      <c r="CW5850">
        <v>1891</v>
      </c>
      <c r="CX5850">
        <v>3400.14</v>
      </c>
      <c r="CY5850">
        <v>3000</v>
      </c>
      <c r="CZ5850">
        <v>308.33</v>
      </c>
      <c r="DA5850">
        <v>30000</v>
      </c>
      <c r="DB5850">
        <v>5</v>
      </c>
      <c r="DC5850">
        <v>2100.94</v>
      </c>
      <c r="DD5850">
        <v>1000</v>
      </c>
      <c r="DE5850">
        <v>1000</v>
      </c>
      <c r="DF5850">
        <v>7000</v>
      </c>
      <c r="DG5850">
        <v>74</v>
      </c>
      <c r="DH5850">
        <v>2664.85</v>
      </c>
      <c r="DI5850">
        <v>1500</v>
      </c>
      <c r="DJ5850">
        <v>125</v>
      </c>
      <c r="DK5850">
        <v>23333.33</v>
      </c>
      <c r="DL5850">
        <v>26</v>
      </c>
      <c r="DM5850">
        <v>2198.1999999999998</v>
      </c>
      <c r="DN5850">
        <v>2000</v>
      </c>
      <c r="DO5850">
        <v>333.33</v>
      </c>
      <c r="DP5850">
        <v>8000</v>
      </c>
      <c r="DQ5850">
        <v>617</v>
      </c>
      <c r="DR5850">
        <v>1873.33</v>
      </c>
      <c r="DS5850">
        <v>2000</v>
      </c>
      <c r="DT5850">
        <v>133.33000000000001</v>
      </c>
      <c r="DU5850">
        <v>18000</v>
      </c>
      <c r="DV5850">
        <v>13</v>
      </c>
      <c r="DW5850">
        <v>1101.71</v>
      </c>
      <c r="DX5850">
        <v>500</v>
      </c>
      <c r="DY5850">
        <v>500</v>
      </c>
      <c r="DZ5850">
        <v>4000</v>
      </c>
      <c r="EA5850">
        <v>8</v>
      </c>
      <c r="EB5850">
        <v>8896.16</v>
      </c>
      <c r="EC5850">
        <v>3000</v>
      </c>
      <c r="ED5850">
        <v>750</v>
      </c>
      <c r="EE5850">
        <v>20000</v>
      </c>
    </row>
    <row r="5851" spans="1:135" x14ac:dyDescent="0.3">
      <c r="A5851" t="s">
        <v>49</v>
      </c>
      <c r="B5851" t="s">
        <v>365</v>
      </c>
      <c r="C5851">
        <v>357</v>
      </c>
      <c r="D5851">
        <v>21177.78</v>
      </c>
      <c r="E5851">
        <v>20000</v>
      </c>
      <c r="F5851">
        <v>2900</v>
      </c>
      <c r="G5851">
        <v>100000</v>
      </c>
      <c r="H5851">
        <v>46</v>
      </c>
      <c r="I5851">
        <v>9582.31</v>
      </c>
      <c r="J5851">
        <v>8000</v>
      </c>
      <c r="K5851">
        <v>1500</v>
      </c>
      <c r="L5851">
        <v>60000</v>
      </c>
      <c r="M5851">
        <v>82</v>
      </c>
      <c r="N5851">
        <v>11399.39</v>
      </c>
      <c r="O5851">
        <v>10000</v>
      </c>
      <c r="P5851">
        <v>1000</v>
      </c>
      <c r="Q5851">
        <v>46000</v>
      </c>
      <c r="R5851">
        <v>42</v>
      </c>
      <c r="S5851">
        <v>23047.72</v>
      </c>
      <c r="T5851">
        <v>20000</v>
      </c>
      <c r="U5851">
        <v>1000</v>
      </c>
      <c r="V5851">
        <v>90000</v>
      </c>
      <c r="W5851">
        <v>66</v>
      </c>
      <c r="X5851">
        <v>2543.48</v>
      </c>
      <c r="Y5851">
        <v>2000</v>
      </c>
      <c r="Z5851">
        <v>416</v>
      </c>
      <c r="AA5851">
        <v>17000</v>
      </c>
      <c r="AB5851">
        <v>14</v>
      </c>
      <c r="AC5851">
        <v>4327.83</v>
      </c>
      <c r="AD5851">
        <v>3000</v>
      </c>
      <c r="AE5851">
        <v>300</v>
      </c>
      <c r="AF5851">
        <v>10000</v>
      </c>
      <c r="AG5851">
        <v>270</v>
      </c>
      <c r="AH5851">
        <v>5771.74</v>
      </c>
      <c r="AI5851">
        <v>5500</v>
      </c>
      <c r="AJ5851">
        <v>1000</v>
      </c>
      <c r="AK5851">
        <v>27200</v>
      </c>
      <c r="AQ5851">
        <v>18</v>
      </c>
      <c r="AR5851">
        <v>8734.7900000000009</v>
      </c>
      <c r="AS5851">
        <v>3000</v>
      </c>
      <c r="AT5851">
        <v>1000</v>
      </c>
      <c r="AU5851">
        <v>100000</v>
      </c>
      <c r="AV5851">
        <v>8</v>
      </c>
      <c r="AW5851">
        <v>12520.37</v>
      </c>
      <c r="AX5851">
        <v>12000</v>
      </c>
      <c r="AY5851">
        <v>1500</v>
      </c>
      <c r="AZ5851">
        <v>33300</v>
      </c>
      <c r="BA5851">
        <v>129</v>
      </c>
      <c r="BB5851">
        <v>3824.48</v>
      </c>
      <c r="BC5851">
        <v>2517</v>
      </c>
      <c r="BD5851">
        <v>800</v>
      </c>
      <c r="BE5851">
        <v>30000</v>
      </c>
      <c r="BK5851">
        <v>3</v>
      </c>
      <c r="BL5851">
        <v>2381.16</v>
      </c>
      <c r="BM5851">
        <v>3000</v>
      </c>
      <c r="BN5851">
        <v>1000</v>
      </c>
      <c r="BO5851">
        <v>4000</v>
      </c>
      <c r="BQ5851" t="s">
        <v>49</v>
      </c>
      <c r="BR5851" t="s">
        <v>365</v>
      </c>
      <c r="BS5851">
        <v>357</v>
      </c>
      <c r="BT5851">
        <v>6870.73</v>
      </c>
      <c r="BU5851">
        <v>5333.33</v>
      </c>
      <c r="BV5851">
        <v>580</v>
      </c>
      <c r="BW5851">
        <v>33333.33</v>
      </c>
      <c r="BX5851">
        <v>46</v>
      </c>
      <c r="BY5851">
        <v>3391.52</v>
      </c>
      <c r="BZ5851">
        <v>2500</v>
      </c>
      <c r="CA5851">
        <v>500</v>
      </c>
      <c r="CB5851">
        <v>15000</v>
      </c>
      <c r="CC5851">
        <v>82</v>
      </c>
      <c r="CD5851">
        <v>3574.63</v>
      </c>
      <c r="CE5851">
        <v>2666.67</v>
      </c>
      <c r="CF5851">
        <v>333.33</v>
      </c>
      <c r="CG5851">
        <v>11500</v>
      </c>
      <c r="CH5851">
        <v>42</v>
      </c>
      <c r="CI5851">
        <v>7801.21</v>
      </c>
      <c r="CJ5851">
        <v>5000</v>
      </c>
      <c r="CK5851">
        <v>500</v>
      </c>
      <c r="CL5851">
        <v>45000</v>
      </c>
      <c r="CM5851">
        <v>66</v>
      </c>
      <c r="CN5851">
        <v>908.24</v>
      </c>
      <c r="CO5851">
        <v>750</v>
      </c>
      <c r="CP5851">
        <v>125</v>
      </c>
      <c r="CQ5851">
        <v>5666.67</v>
      </c>
      <c r="CR5851">
        <v>14</v>
      </c>
      <c r="CS5851">
        <v>1746.19</v>
      </c>
      <c r="CT5851">
        <v>1500</v>
      </c>
      <c r="CU5851">
        <v>75</v>
      </c>
      <c r="CV5851">
        <v>5000</v>
      </c>
      <c r="CW5851">
        <v>270</v>
      </c>
      <c r="CX5851">
        <v>2217.27</v>
      </c>
      <c r="CY5851">
        <v>1750</v>
      </c>
      <c r="CZ5851">
        <v>316.67</v>
      </c>
      <c r="DA5851">
        <v>13600</v>
      </c>
      <c r="DG5851">
        <v>18</v>
      </c>
      <c r="DH5851">
        <v>3607.22</v>
      </c>
      <c r="DI5851">
        <v>1000</v>
      </c>
      <c r="DJ5851">
        <v>500</v>
      </c>
      <c r="DK5851">
        <v>50000</v>
      </c>
      <c r="DL5851">
        <v>8</v>
      </c>
      <c r="DM5851">
        <v>4128.04</v>
      </c>
      <c r="DN5851">
        <v>6000</v>
      </c>
      <c r="DO5851">
        <v>500</v>
      </c>
      <c r="DP5851">
        <v>6660</v>
      </c>
      <c r="DQ5851">
        <v>129</v>
      </c>
      <c r="DR5851">
        <v>1211.3900000000001</v>
      </c>
      <c r="DS5851">
        <v>940</v>
      </c>
      <c r="DT5851">
        <v>122.86</v>
      </c>
      <c r="DU5851">
        <v>6000</v>
      </c>
      <c r="EA5851">
        <v>3</v>
      </c>
      <c r="EB5851">
        <v>752.68</v>
      </c>
      <c r="EC5851">
        <v>1000</v>
      </c>
      <c r="ED5851">
        <v>250</v>
      </c>
      <c r="EE5851">
        <v>1333.33</v>
      </c>
    </row>
    <row r="5853" spans="1:135" x14ac:dyDescent="0.3">
      <c r="A5853" t="s">
        <v>1913</v>
      </c>
      <c r="BQ5853" t="s">
        <v>1914</v>
      </c>
    </row>
    <row r="5854" spans="1:135" x14ac:dyDescent="0.3">
      <c r="A5854" t="s">
        <v>44</v>
      </c>
      <c r="B5854" t="s">
        <v>361</v>
      </c>
      <c r="C5854" t="s">
        <v>1777</v>
      </c>
      <c r="D5854" t="s">
        <v>1778</v>
      </c>
      <c r="E5854" t="s">
        <v>1779</v>
      </c>
      <c r="F5854" t="s">
        <v>1780</v>
      </c>
      <c r="G5854" t="s">
        <v>1781</v>
      </c>
      <c r="H5854" t="s">
        <v>1782</v>
      </c>
      <c r="I5854" t="s">
        <v>1783</v>
      </c>
      <c r="J5854" t="s">
        <v>1784</v>
      </c>
      <c r="K5854" t="s">
        <v>1785</v>
      </c>
      <c r="L5854" t="s">
        <v>1786</v>
      </c>
      <c r="M5854" t="s">
        <v>1787</v>
      </c>
      <c r="N5854" t="s">
        <v>1788</v>
      </c>
      <c r="O5854" t="s">
        <v>1789</v>
      </c>
      <c r="P5854" t="s">
        <v>1790</v>
      </c>
      <c r="Q5854" t="s">
        <v>1791</v>
      </c>
      <c r="R5854" t="s">
        <v>1792</v>
      </c>
      <c r="S5854" t="s">
        <v>1793</v>
      </c>
      <c r="T5854" t="s">
        <v>1794</v>
      </c>
      <c r="U5854" t="s">
        <v>1795</v>
      </c>
      <c r="V5854" t="s">
        <v>1796</v>
      </c>
      <c r="W5854" t="s">
        <v>1797</v>
      </c>
      <c r="X5854" t="s">
        <v>1798</v>
      </c>
      <c r="Y5854" t="s">
        <v>1799</v>
      </c>
      <c r="Z5854" t="s">
        <v>1800</v>
      </c>
      <c r="AA5854" t="s">
        <v>1801</v>
      </c>
      <c r="AB5854" t="s">
        <v>1802</v>
      </c>
      <c r="AC5854" t="s">
        <v>1803</v>
      </c>
      <c r="AD5854" t="s">
        <v>1804</v>
      </c>
      <c r="AE5854" t="s">
        <v>1805</v>
      </c>
      <c r="AF5854" t="s">
        <v>1806</v>
      </c>
      <c r="AG5854" t="s">
        <v>1807</v>
      </c>
      <c r="AH5854" t="s">
        <v>1808</v>
      </c>
      <c r="AI5854" t="s">
        <v>1809</v>
      </c>
      <c r="AJ5854" t="s">
        <v>1810</v>
      </c>
      <c r="AK5854" t="s">
        <v>1811</v>
      </c>
      <c r="AL5854" t="s">
        <v>1812</v>
      </c>
      <c r="AM5854" t="s">
        <v>1813</v>
      </c>
      <c r="AN5854" t="s">
        <v>1814</v>
      </c>
      <c r="AO5854" t="s">
        <v>1815</v>
      </c>
      <c r="AP5854" t="s">
        <v>1816</v>
      </c>
      <c r="AQ5854" t="s">
        <v>1817</v>
      </c>
      <c r="AR5854" t="s">
        <v>1818</v>
      </c>
      <c r="AS5854" t="s">
        <v>1819</v>
      </c>
      <c r="AT5854" t="s">
        <v>1820</v>
      </c>
      <c r="AU5854" t="s">
        <v>1821</v>
      </c>
      <c r="AV5854" t="s">
        <v>1822</v>
      </c>
      <c r="AW5854" t="s">
        <v>1823</v>
      </c>
      <c r="AX5854" t="s">
        <v>1824</v>
      </c>
      <c r="AY5854" t="s">
        <v>1825</v>
      </c>
      <c r="AZ5854" t="s">
        <v>1826</v>
      </c>
      <c r="BA5854" t="s">
        <v>1827</v>
      </c>
      <c r="BB5854" t="s">
        <v>1828</v>
      </c>
      <c r="BC5854" t="s">
        <v>1829</v>
      </c>
      <c r="BD5854" t="s">
        <v>1830</v>
      </c>
      <c r="BE5854" t="s">
        <v>1831</v>
      </c>
      <c r="BF5854" t="s">
        <v>1832</v>
      </c>
      <c r="BG5854" t="s">
        <v>1833</v>
      </c>
      <c r="BH5854" t="s">
        <v>1834</v>
      </c>
      <c r="BI5854" t="s">
        <v>1835</v>
      </c>
      <c r="BJ5854" t="s">
        <v>1836</v>
      </c>
      <c r="BK5854" t="s">
        <v>1837</v>
      </c>
      <c r="BL5854" t="s">
        <v>1838</v>
      </c>
      <c r="BM5854" t="s">
        <v>1839</v>
      </c>
      <c r="BN5854" t="s">
        <v>1840</v>
      </c>
      <c r="BO5854" t="s">
        <v>1841</v>
      </c>
      <c r="BQ5854" t="s">
        <v>44</v>
      </c>
      <c r="BR5854" t="s">
        <v>361</v>
      </c>
      <c r="BS5854" t="s">
        <v>1842</v>
      </c>
      <c r="BT5854" t="s">
        <v>1843</v>
      </c>
      <c r="BU5854" t="s">
        <v>1844</v>
      </c>
      <c r="BV5854" t="s">
        <v>1845</v>
      </c>
      <c r="BW5854" t="s">
        <v>1846</v>
      </c>
      <c r="BX5854" t="s">
        <v>1847</v>
      </c>
      <c r="BY5854" t="s">
        <v>1848</v>
      </c>
      <c r="BZ5854" t="s">
        <v>1849</v>
      </c>
      <c r="CA5854" t="s">
        <v>1850</v>
      </c>
      <c r="CB5854" t="s">
        <v>1851</v>
      </c>
      <c r="CC5854" t="s">
        <v>1852</v>
      </c>
      <c r="CD5854" t="s">
        <v>1853</v>
      </c>
      <c r="CE5854" t="s">
        <v>1854</v>
      </c>
      <c r="CF5854" t="s">
        <v>1855</v>
      </c>
      <c r="CG5854" t="s">
        <v>1856</v>
      </c>
      <c r="CH5854" t="s">
        <v>1857</v>
      </c>
      <c r="CI5854" t="s">
        <v>1858</v>
      </c>
      <c r="CJ5854" t="s">
        <v>1859</v>
      </c>
      <c r="CK5854" t="s">
        <v>1860</v>
      </c>
      <c r="CL5854" t="s">
        <v>1861</v>
      </c>
      <c r="CM5854" t="s">
        <v>1862</v>
      </c>
      <c r="CN5854" t="s">
        <v>1863</v>
      </c>
      <c r="CO5854" t="s">
        <v>1864</v>
      </c>
      <c r="CP5854" t="s">
        <v>1865</v>
      </c>
      <c r="CQ5854" t="s">
        <v>1866</v>
      </c>
      <c r="CR5854" t="s">
        <v>1867</v>
      </c>
      <c r="CS5854" t="s">
        <v>1868</v>
      </c>
      <c r="CT5854" t="s">
        <v>1869</v>
      </c>
      <c r="CU5854" t="s">
        <v>1870</v>
      </c>
      <c r="CV5854" t="s">
        <v>1871</v>
      </c>
      <c r="CW5854" t="s">
        <v>1872</v>
      </c>
      <c r="CX5854" t="s">
        <v>1873</v>
      </c>
      <c r="CY5854" t="s">
        <v>1874</v>
      </c>
      <c r="CZ5854" t="s">
        <v>1875</v>
      </c>
      <c r="DA5854" t="s">
        <v>1876</v>
      </c>
      <c r="DB5854" t="s">
        <v>1877</v>
      </c>
      <c r="DC5854" t="s">
        <v>1878</v>
      </c>
      <c r="DD5854" t="s">
        <v>1879</v>
      </c>
      <c r="DE5854" t="s">
        <v>1880</v>
      </c>
      <c r="DF5854" t="s">
        <v>1881</v>
      </c>
      <c r="DG5854" t="s">
        <v>1882</v>
      </c>
      <c r="DH5854" t="s">
        <v>1883</v>
      </c>
      <c r="DI5854" t="s">
        <v>1884</v>
      </c>
      <c r="DJ5854" t="s">
        <v>1885</v>
      </c>
      <c r="DK5854" t="s">
        <v>1886</v>
      </c>
      <c r="DL5854" t="s">
        <v>1887</v>
      </c>
      <c r="DM5854" t="s">
        <v>1888</v>
      </c>
      <c r="DN5854" t="s">
        <v>1889</v>
      </c>
      <c r="DO5854" t="s">
        <v>1890</v>
      </c>
      <c r="DP5854" t="s">
        <v>1891</v>
      </c>
      <c r="DQ5854" t="s">
        <v>1892</v>
      </c>
      <c r="DR5854" t="s">
        <v>1893</v>
      </c>
      <c r="DS5854" t="s">
        <v>1894</v>
      </c>
      <c r="DT5854" t="s">
        <v>1895</v>
      </c>
      <c r="DU5854" t="s">
        <v>1896</v>
      </c>
      <c r="DV5854" t="s">
        <v>1897</v>
      </c>
      <c r="DW5854" t="s">
        <v>1898</v>
      </c>
      <c r="DX5854" t="s">
        <v>1899</v>
      </c>
      <c r="DY5854" t="s">
        <v>1900</v>
      </c>
      <c r="DZ5854" t="s">
        <v>1901</v>
      </c>
      <c r="EA5854" t="s">
        <v>1902</v>
      </c>
      <c r="EB5854" t="s">
        <v>1903</v>
      </c>
      <c r="EC5854" t="s">
        <v>1904</v>
      </c>
      <c r="ED5854" t="s">
        <v>1905</v>
      </c>
      <c r="EE5854" t="s">
        <v>1906</v>
      </c>
    </row>
    <row r="5855" spans="1:135" x14ac:dyDescent="0.3">
      <c r="A5855" t="s">
        <v>35</v>
      </c>
      <c r="B5855" t="s">
        <v>339</v>
      </c>
      <c r="C5855">
        <v>228</v>
      </c>
      <c r="D5855">
        <v>13821.61</v>
      </c>
      <c r="E5855">
        <v>10000</v>
      </c>
      <c r="F5855">
        <v>1000</v>
      </c>
      <c r="G5855">
        <v>43000</v>
      </c>
      <c r="H5855">
        <v>38</v>
      </c>
      <c r="I5855">
        <v>8851.31</v>
      </c>
      <c r="J5855">
        <v>5000</v>
      </c>
      <c r="K5855">
        <v>900</v>
      </c>
      <c r="L5855">
        <v>25000</v>
      </c>
      <c r="M5855">
        <v>51</v>
      </c>
      <c r="N5855">
        <v>9141.15</v>
      </c>
      <c r="O5855">
        <v>6000</v>
      </c>
      <c r="P5855">
        <v>1000</v>
      </c>
      <c r="Q5855">
        <v>40000</v>
      </c>
      <c r="R5855">
        <v>32</v>
      </c>
      <c r="S5855">
        <v>14184.94</v>
      </c>
      <c r="T5855">
        <v>15000</v>
      </c>
      <c r="U5855">
        <v>500</v>
      </c>
      <c r="V5855">
        <v>50000</v>
      </c>
      <c r="W5855">
        <v>63</v>
      </c>
      <c r="X5855">
        <v>1587.86</v>
      </c>
      <c r="Y5855">
        <v>1000</v>
      </c>
      <c r="Z5855">
        <v>350</v>
      </c>
      <c r="AA5855">
        <v>12000</v>
      </c>
      <c r="AB5855">
        <v>52</v>
      </c>
      <c r="AC5855">
        <v>5364.73</v>
      </c>
      <c r="AD5855">
        <v>3000</v>
      </c>
      <c r="AE5855">
        <v>300</v>
      </c>
      <c r="AF5855">
        <v>37000</v>
      </c>
      <c r="AG5855">
        <v>628</v>
      </c>
      <c r="AH5855">
        <v>5828.45</v>
      </c>
      <c r="AI5855">
        <v>4500</v>
      </c>
      <c r="AJ5855">
        <v>2000</v>
      </c>
      <c r="AK5855">
        <v>22000</v>
      </c>
      <c r="AL5855">
        <v>5</v>
      </c>
      <c r="AM5855">
        <v>6070.44</v>
      </c>
      <c r="AN5855">
        <v>2000</v>
      </c>
      <c r="AO5855">
        <v>1500</v>
      </c>
      <c r="AP5855">
        <v>70000</v>
      </c>
      <c r="AQ5855">
        <v>19</v>
      </c>
      <c r="AR5855">
        <v>9915.7999999999993</v>
      </c>
      <c r="AS5855">
        <v>5000</v>
      </c>
      <c r="AT5855">
        <v>800</v>
      </c>
      <c r="AU5855">
        <v>30000</v>
      </c>
      <c r="AV5855">
        <v>8</v>
      </c>
      <c r="AW5855">
        <v>1784.87</v>
      </c>
      <c r="AX5855">
        <v>2200</v>
      </c>
      <c r="AY5855">
        <v>337</v>
      </c>
      <c r="AZ5855">
        <v>6600</v>
      </c>
      <c r="BA5855">
        <v>228</v>
      </c>
      <c r="BB5855">
        <v>4193.8999999999996</v>
      </c>
      <c r="BC5855">
        <v>3400</v>
      </c>
      <c r="BD5855">
        <v>860</v>
      </c>
      <c r="BE5855">
        <v>22000</v>
      </c>
      <c r="BF5855">
        <v>1</v>
      </c>
      <c r="BG5855">
        <v>1000</v>
      </c>
      <c r="BH5855">
        <v>1000</v>
      </c>
      <c r="BI5855">
        <v>1000</v>
      </c>
      <c r="BJ5855">
        <v>1000</v>
      </c>
      <c r="BK5855">
        <v>8</v>
      </c>
      <c r="BL5855">
        <v>9246.41</v>
      </c>
      <c r="BM5855">
        <v>1250</v>
      </c>
      <c r="BN5855">
        <v>370</v>
      </c>
      <c r="BO5855">
        <v>70000</v>
      </c>
      <c r="BQ5855" t="s">
        <v>35</v>
      </c>
      <c r="BR5855" t="s">
        <v>339</v>
      </c>
      <c r="BS5855">
        <v>228</v>
      </c>
      <c r="BT5855">
        <v>5888.91</v>
      </c>
      <c r="BU5855">
        <v>3750</v>
      </c>
      <c r="BV5855">
        <v>200</v>
      </c>
      <c r="BW5855">
        <v>40000</v>
      </c>
      <c r="BX5855">
        <v>38</v>
      </c>
      <c r="BY5855">
        <v>4326.34</v>
      </c>
      <c r="BZ5855">
        <v>1750</v>
      </c>
      <c r="CA5855">
        <v>300</v>
      </c>
      <c r="CB5855">
        <v>25000</v>
      </c>
      <c r="CC5855">
        <v>51</v>
      </c>
      <c r="CD5855">
        <v>3198.49</v>
      </c>
      <c r="CE5855">
        <v>3000</v>
      </c>
      <c r="CF5855">
        <v>285.70999999999998</v>
      </c>
      <c r="CG5855">
        <v>12666.67</v>
      </c>
      <c r="CH5855">
        <v>32</v>
      </c>
      <c r="CI5855">
        <v>5283.17</v>
      </c>
      <c r="CJ5855">
        <v>3750</v>
      </c>
      <c r="CK5855">
        <v>125</v>
      </c>
      <c r="CL5855">
        <v>16666.669999999998</v>
      </c>
      <c r="CM5855">
        <v>63</v>
      </c>
      <c r="CN5855">
        <v>711.46</v>
      </c>
      <c r="CO5855">
        <v>450</v>
      </c>
      <c r="CP5855">
        <v>120</v>
      </c>
      <c r="CQ5855">
        <v>3000</v>
      </c>
      <c r="CR5855">
        <v>52</v>
      </c>
      <c r="CS5855">
        <v>3066.95</v>
      </c>
      <c r="CT5855">
        <v>2500</v>
      </c>
      <c r="CU5855">
        <v>100</v>
      </c>
      <c r="CV5855">
        <v>12333.33</v>
      </c>
      <c r="CW5855">
        <v>628</v>
      </c>
      <c r="CX5855">
        <v>3263.21</v>
      </c>
      <c r="CY5855">
        <v>2750</v>
      </c>
      <c r="CZ5855">
        <v>333.33</v>
      </c>
      <c r="DA5855">
        <v>20000</v>
      </c>
      <c r="DB5855">
        <v>5</v>
      </c>
      <c r="DC5855">
        <v>3854</v>
      </c>
      <c r="DD5855">
        <v>1000</v>
      </c>
      <c r="DE5855">
        <v>214.29</v>
      </c>
      <c r="DF5855">
        <v>40000</v>
      </c>
      <c r="DG5855">
        <v>19</v>
      </c>
      <c r="DH5855">
        <v>4482.37</v>
      </c>
      <c r="DI5855">
        <v>1666.67</v>
      </c>
      <c r="DJ5855">
        <v>666.67</v>
      </c>
      <c r="DK5855">
        <v>15000</v>
      </c>
      <c r="DL5855">
        <v>8</v>
      </c>
      <c r="DM5855">
        <v>947.23</v>
      </c>
      <c r="DN5855">
        <v>440</v>
      </c>
      <c r="DO5855">
        <v>337</v>
      </c>
      <c r="DP5855">
        <v>6600</v>
      </c>
      <c r="DQ5855">
        <v>228</v>
      </c>
      <c r="DR5855">
        <v>2058.89</v>
      </c>
      <c r="DS5855">
        <v>1666.67</v>
      </c>
      <c r="DT5855">
        <v>107.5</v>
      </c>
      <c r="DU5855">
        <v>12000</v>
      </c>
      <c r="DV5855">
        <v>1</v>
      </c>
      <c r="DW5855">
        <v>500</v>
      </c>
      <c r="DX5855">
        <v>500</v>
      </c>
      <c r="DY5855">
        <v>500</v>
      </c>
      <c r="DZ5855">
        <v>500</v>
      </c>
      <c r="EA5855">
        <v>8</v>
      </c>
      <c r="EB5855">
        <v>5886.69</v>
      </c>
      <c r="EC5855">
        <v>416.67</v>
      </c>
      <c r="ED5855">
        <v>185</v>
      </c>
      <c r="EE5855">
        <v>32000</v>
      </c>
    </row>
    <row r="5856" spans="1:135" x14ac:dyDescent="0.3">
      <c r="A5856" t="s">
        <v>35</v>
      </c>
      <c r="B5856" t="s">
        <v>340</v>
      </c>
      <c r="C5856">
        <v>954</v>
      </c>
      <c r="D5856">
        <v>23100.09</v>
      </c>
      <c r="E5856">
        <v>20000</v>
      </c>
      <c r="F5856">
        <v>1490</v>
      </c>
      <c r="G5856">
        <v>120000</v>
      </c>
      <c r="H5856">
        <v>125</v>
      </c>
      <c r="I5856">
        <v>9996.16</v>
      </c>
      <c r="J5856">
        <v>10000</v>
      </c>
      <c r="K5856">
        <v>500</v>
      </c>
      <c r="L5856">
        <v>30000</v>
      </c>
      <c r="M5856">
        <v>167</v>
      </c>
      <c r="N5856">
        <v>10108.200000000001</v>
      </c>
      <c r="O5856">
        <v>8000</v>
      </c>
      <c r="P5856">
        <v>1400</v>
      </c>
      <c r="Q5856">
        <v>52000</v>
      </c>
      <c r="R5856">
        <v>109</v>
      </c>
      <c r="S5856">
        <v>19458</v>
      </c>
      <c r="T5856">
        <v>17000</v>
      </c>
      <c r="U5856">
        <v>650</v>
      </c>
      <c r="V5856">
        <v>200000</v>
      </c>
      <c r="W5856">
        <v>105</v>
      </c>
      <c r="X5856">
        <v>3432.67</v>
      </c>
      <c r="Y5856">
        <v>1200</v>
      </c>
      <c r="Z5856">
        <v>330</v>
      </c>
      <c r="AA5856">
        <v>22000</v>
      </c>
      <c r="AB5856">
        <v>101</v>
      </c>
      <c r="AC5856">
        <v>8604.39</v>
      </c>
      <c r="AD5856">
        <v>5500</v>
      </c>
      <c r="AE5856">
        <v>500</v>
      </c>
      <c r="AF5856">
        <v>40000</v>
      </c>
      <c r="AG5856">
        <v>845</v>
      </c>
      <c r="AH5856">
        <v>5842.76</v>
      </c>
      <c r="AI5856">
        <v>4700</v>
      </c>
      <c r="AJ5856">
        <v>1100</v>
      </c>
      <c r="AK5856">
        <v>78000</v>
      </c>
      <c r="AL5856">
        <v>2</v>
      </c>
      <c r="AM5856">
        <v>1056.04</v>
      </c>
      <c r="AN5856">
        <v>1500</v>
      </c>
      <c r="AO5856">
        <v>500</v>
      </c>
      <c r="AP5856">
        <v>1500</v>
      </c>
      <c r="AQ5856">
        <v>35</v>
      </c>
      <c r="AR5856">
        <v>4343.6899999999996</v>
      </c>
      <c r="AS5856">
        <v>1500</v>
      </c>
      <c r="AT5856">
        <v>500</v>
      </c>
      <c r="AU5856">
        <v>70000</v>
      </c>
      <c r="AV5856">
        <v>18</v>
      </c>
      <c r="AW5856">
        <v>6604.51</v>
      </c>
      <c r="AX5856">
        <v>4600</v>
      </c>
      <c r="AY5856">
        <v>1500</v>
      </c>
      <c r="AZ5856">
        <v>33300</v>
      </c>
      <c r="BA5856">
        <v>265</v>
      </c>
      <c r="BB5856">
        <v>3241.34</v>
      </c>
      <c r="BC5856">
        <v>2200</v>
      </c>
      <c r="BD5856">
        <v>600</v>
      </c>
      <c r="BE5856">
        <v>20720</v>
      </c>
      <c r="BF5856">
        <v>5</v>
      </c>
      <c r="BG5856">
        <v>1333.64</v>
      </c>
      <c r="BH5856">
        <v>500</v>
      </c>
      <c r="BI5856">
        <v>500</v>
      </c>
      <c r="BJ5856">
        <v>8000</v>
      </c>
      <c r="BK5856">
        <v>7</v>
      </c>
      <c r="BL5856">
        <v>2487.1799999999998</v>
      </c>
      <c r="BM5856">
        <v>1800</v>
      </c>
      <c r="BN5856">
        <v>1500</v>
      </c>
      <c r="BO5856">
        <v>4000</v>
      </c>
      <c r="BQ5856" t="s">
        <v>35</v>
      </c>
      <c r="BR5856" t="s">
        <v>340</v>
      </c>
      <c r="BS5856">
        <v>954</v>
      </c>
      <c r="BT5856">
        <v>10652.86</v>
      </c>
      <c r="BU5856">
        <v>7500</v>
      </c>
      <c r="BV5856">
        <v>700</v>
      </c>
      <c r="BW5856">
        <v>90000</v>
      </c>
      <c r="BX5856">
        <v>125</v>
      </c>
      <c r="BY5856">
        <v>5889.25</v>
      </c>
      <c r="BZ5856">
        <v>5000</v>
      </c>
      <c r="CA5856">
        <v>500</v>
      </c>
      <c r="CB5856">
        <v>25000</v>
      </c>
      <c r="CC5856">
        <v>167</v>
      </c>
      <c r="CD5856">
        <v>5451.29</v>
      </c>
      <c r="CE5856">
        <v>3333.33</v>
      </c>
      <c r="CF5856">
        <v>333.33</v>
      </c>
      <c r="CG5856">
        <v>52000</v>
      </c>
      <c r="CH5856">
        <v>109</v>
      </c>
      <c r="CI5856">
        <v>8482.7099999999991</v>
      </c>
      <c r="CJ5856">
        <v>5000</v>
      </c>
      <c r="CK5856">
        <v>200</v>
      </c>
      <c r="CL5856">
        <v>66666.67</v>
      </c>
      <c r="CM5856">
        <v>105</v>
      </c>
      <c r="CN5856">
        <v>1682.47</v>
      </c>
      <c r="CO5856">
        <v>833</v>
      </c>
      <c r="CP5856">
        <v>125</v>
      </c>
      <c r="CQ5856">
        <v>11000</v>
      </c>
      <c r="CR5856">
        <v>101</v>
      </c>
      <c r="CS5856">
        <v>4448.09</v>
      </c>
      <c r="CT5856">
        <v>3000</v>
      </c>
      <c r="CU5856">
        <v>250</v>
      </c>
      <c r="CV5856">
        <v>13333.33</v>
      </c>
      <c r="CW5856">
        <v>845</v>
      </c>
      <c r="CX5856">
        <v>3531.52</v>
      </c>
      <c r="CY5856">
        <v>3000</v>
      </c>
      <c r="CZ5856">
        <v>341.17</v>
      </c>
      <c r="DA5856">
        <v>78000</v>
      </c>
      <c r="DB5856">
        <v>2</v>
      </c>
      <c r="DC5856">
        <v>945.05</v>
      </c>
      <c r="DD5856">
        <v>1500</v>
      </c>
      <c r="DE5856">
        <v>250</v>
      </c>
      <c r="DF5856">
        <v>1500</v>
      </c>
      <c r="DG5856">
        <v>35</v>
      </c>
      <c r="DH5856">
        <v>1736.28</v>
      </c>
      <c r="DI5856">
        <v>1000</v>
      </c>
      <c r="DJ5856">
        <v>200</v>
      </c>
      <c r="DK5856">
        <v>23333.33</v>
      </c>
      <c r="DL5856">
        <v>18</v>
      </c>
      <c r="DM5856">
        <v>2065.06</v>
      </c>
      <c r="DN5856">
        <v>2000</v>
      </c>
      <c r="DO5856">
        <v>500</v>
      </c>
      <c r="DP5856">
        <v>6660</v>
      </c>
      <c r="DQ5856">
        <v>265</v>
      </c>
      <c r="DR5856">
        <v>1343.23</v>
      </c>
      <c r="DS5856">
        <v>1100</v>
      </c>
      <c r="DT5856">
        <v>107.5</v>
      </c>
      <c r="DU5856">
        <v>7000</v>
      </c>
      <c r="DV5856">
        <v>5</v>
      </c>
      <c r="DW5856">
        <v>833.46</v>
      </c>
      <c r="DX5856">
        <v>500</v>
      </c>
      <c r="DY5856">
        <v>500</v>
      </c>
      <c r="DZ5856">
        <v>4000</v>
      </c>
      <c r="EA5856">
        <v>7</v>
      </c>
      <c r="EB5856">
        <v>1470.91</v>
      </c>
      <c r="EC5856">
        <v>900</v>
      </c>
      <c r="ED5856">
        <v>750</v>
      </c>
      <c r="EE5856">
        <v>3000</v>
      </c>
    </row>
    <row r="5857" spans="1:135" x14ac:dyDescent="0.3">
      <c r="A5857" t="s">
        <v>35</v>
      </c>
      <c r="B5857" t="s">
        <v>365</v>
      </c>
      <c r="C5857">
        <v>28</v>
      </c>
      <c r="D5857">
        <v>21385.51</v>
      </c>
      <c r="E5857">
        <v>17000</v>
      </c>
      <c r="F5857">
        <v>5500</v>
      </c>
      <c r="G5857">
        <v>150000</v>
      </c>
      <c r="H5857">
        <v>3</v>
      </c>
      <c r="I5857">
        <v>4655.3599999999997</v>
      </c>
      <c r="J5857">
        <v>6000</v>
      </c>
      <c r="K5857">
        <v>2900</v>
      </c>
      <c r="L5857">
        <v>6000</v>
      </c>
      <c r="M5857">
        <v>2</v>
      </c>
      <c r="N5857">
        <v>9722.82</v>
      </c>
      <c r="O5857">
        <v>10000</v>
      </c>
      <c r="P5857">
        <v>2700</v>
      </c>
      <c r="Q5857">
        <v>10000</v>
      </c>
      <c r="W5857">
        <v>1</v>
      </c>
      <c r="X5857">
        <v>2500</v>
      </c>
      <c r="Y5857">
        <v>2500</v>
      </c>
      <c r="Z5857">
        <v>2500</v>
      </c>
      <c r="AA5857">
        <v>2500</v>
      </c>
      <c r="AB5857">
        <v>1</v>
      </c>
      <c r="AC5857">
        <v>12000</v>
      </c>
      <c r="AD5857">
        <v>12000</v>
      </c>
      <c r="AE5857">
        <v>12000</v>
      </c>
      <c r="AF5857">
        <v>12000</v>
      </c>
      <c r="AG5857">
        <v>8</v>
      </c>
      <c r="AH5857">
        <v>6052.8</v>
      </c>
      <c r="AI5857">
        <v>5000</v>
      </c>
      <c r="AJ5857">
        <v>3475</v>
      </c>
      <c r="AK5857">
        <v>10000</v>
      </c>
      <c r="AV5857">
        <v>1</v>
      </c>
      <c r="AW5857">
        <v>25000</v>
      </c>
      <c r="AX5857">
        <v>25000</v>
      </c>
      <c r="AY5857">
        <v>25000</v>
      </c>
      <c r="AZ5857">
        <v>25000</v>
      </c>
      <c r="BA5857">
        <v>7</v>
      </c>
      <c r="BB5857">
        <v>2258.79</v>
      </c>
      <c r="BC5857">
        <v>2800</v>
      </c>
      <c r="BD5857">
        <v>860</v>
      </c>
      <c r="BE5857">
        <v>3800</v>
      </c>
      <c r="BQ5857" t="s">
        <v>35</v>
      </c>
      <c r="BR5857" t="s">
        <v>365</v>
      </c>
      <c r="BS5857">
        <v>28</v>
      </c>
      <c r="BT5857">
        <v>6241.02</v>
      </c>
      <c r="BU5857">
        <v>5333.33</v>
      </c>
      <c r="BV5857">
        <v>1000</v>
      </c>
      <c r="BW5857">
        <v>37500</v>
      </c>
      <c r="BX5857">
        <v>3</v>
      </c>
      <c r="BY5857">
        <v>1107.22</v>
      </c>
      <c r="BZ5857">
        <v>1000</v>
      </c>
      <c r="CA5857">
        <v>600</v>
      </c>
      <c r="CB5857">
        <v>1450</v>
      </c>
      <c r="CC5857">
        <v>2</v>
      </c>
      <c r="CD5857">
        <v>3223.85</v>
      </c>
      <c r="CE5857">
        <v>3333.33</v>
      </c>
      <c r="CF5857">
        <v>450</v>
      </c>
      <c r="CG5857">
        <v>3333.33</v>
      </c>
      <c r="CM5857">
        <v>1</v>
      </c>
      <c r="CN5857">
        <v>312.5</v>
      </c>
      <c r="CO5857">
        <v>312.5</v>
      </c>
      <c r="CP5857">
        <v>312.5</v>
      </c>
      <c r="CQ5857">
        <v>312.5</v>
      </c>
      <c r="CR5857">
        <v>1</v>
      </c>
      <c r="CS5857">
        <v>3000</v>
      </c>
      <c r="CT5857">
        <v>3000</v>
      </c>
      <c r="CU5857">
        <v>3000</v>
      </c>
      <c r="CV5857">
        <v>3000</v>
      </c>
      <c r="CW5857">
        <v>8</v>
      </c>
      <c r="CX5857">
        <v>1418.84</v>
      </c>
      <c r="CY5857">
        <v>1428.57</v>
      </c>
      <c r="CZ5857">
        <v>868.75</v>
      </c>
      <c r="DA5857">
        <v>3000</v>
      </c>
      <c r="DL5857">
        <v>1</v>
      </c>
      <c r="DM5857">
        <v>5000</v>
      </c>
      <c r="DN5857">
        <v>5000</v>
      </c>
      <c r="DO5857">
        <v>5000</v>
      </c>
      <c r="DP5857">
        <v>5000</v>
      </c>
      <c r="DQ5857">
        <v>7</v>
      </c>
      <c r="DR5857">
        <v>616.13</v>
      </c>
      <c r="DS5857">
        <v>500</v>
      </c>
      <c r="DT5857">
        <v>143.33000000000001</v>
      </c>
      <c r="DU5857">
        <v>1266.67</v>
      </c>
    </row>
    <row r="5858" spans="1:135" x14ac:dyDescent="0.3">
      <c r="A5858" t="s">
        <v>37</v>
      </c>
      <c r="B5858" t="s">
        <v>339</v>
      </c>
      <c r="C5858">
        <v>323</v>
      </c>
      <c r="D5858">
        <v>13576.58</v>
      </c>
      <c r="E5858">
        <v>10000</v>
      </c>
      <c r="F5858">
        <v>3000</v>
      </c>
      <c r="G5858">
        <v>250000</v>
      </c>
      <c r="H5858">
        <v>53</v>
      </c>
      <c r="I5858">
        <v>8025.41</v>
      </c>
      <c r="J5858">
        <v>6000</v>
      </c>
      <c r="K5858">
        <v>1500</v>
      </c>
      <c r="L5858">
        <v>30000</v>
      </c>
      <c r="M5858">
        <v>75</v>
      </c>
      <c r="N5858">
        <v>8525.2099999999991</v>
      </c>
      <c r="O5858">
        <v>8000</v>
      </c>
      <c r="P5858">
        <v>2000</v>
      </c>
      <c r="Q5858">
        <v>25000</v>
      </c>
      <c r="R5858">
        <v>39</v>
      </c>
      <c r="S5858">
        <v>17342.099999999999</v>
      </c>
      <c r="T5858">
        <v>10000</v>
      </c>
      <c r="U5858">
        <v>1000</v>
      </c>
      <c r="V5858">
        <v>200000</v>
      </c>
      <c r="W5858">
        <v>84</v>
      </c>
      <c r="X5858">
        <v>1395.85</v>
      </c>
      <c r="Y5858">
        <v>1000</v>
      </c>
      <c r="Z5858">
        <v>400</v>
      </c>
      <c r="AA5858">
        <v>8000</v>
      </c>
      <c r="AB5858">
        <v>64</v>
      </c>
      <c r="AC5858">
        <v>7635.73</v>
      </c>
      <c r="AD5858">
        <v>5000</v>
      </c>
      <c r="AE5858">
        <v>300</v>
      </c>
      <c r="AF5858">
        <v>80000</v>
      </c>
      <c r="AG5858">
        <v>811</v>
      </c>
      <c r="AH5858">
        <v>5068.71</v>
      </c>
      <c r="AI5858">
        <v>4500</v>
      </c>
      <c r="AJ5858">
        <v>1200</v>
      </c>
      <c r="AK5858">
        <v>27000</v>
      </c>
      <c r="AQ5858">
        <v>21</v>
      </c>
      <c r="AR5858">
        <v>8399.86</v>
      </c>
      <c r="AS5858">
        <v>3000</v>
      </c>
      <c r="AT5858">
        <v>500</v>
      </c>
      <c r="AU5858">
        <v>100000</v>
      </c>
      <c r="AV5858">
        <v>2</v>
      </c>
      <c r="AW5858">
        <v>10063.41</v>
      </c>
      <c r="AX5858">
        <v>13260</v>
      </c>
      <c r="AY5858">
        <v>4000</v>
      </c>
      <c r="AZ5858">
        <v>13260</v>
      </c>
      <c r="BA5858">
        <v>295</v>
      </c>
      <c r="BB5858">
        <v>4218.21</v>
      </c>
      <c r="BC5858">
        <v>2960</v>
      </c>
      <c r="BD5858">
        <v>690</v>
      </c>
      <c r="BE5858">
        <v>42000</v>
      </c>
      <c r="BK5858">
        <v>3</v>
      </c>
      <c r="BL5858">
        <v>15287.72</v>
      </c>
      <c r="BM5858">
        <v>4000</v>
      </c>
      <c r="BN5858">
        <v>1250</v>
      </c>
      <c r="BO5858">
        <v>56000</v>
      </c>
      <c r="BQ5858" t="s">
        <v>37</v>
      </c>
      <c r="BR5858" t="s">
        <v>339</v>
      </c>
      <c r="BS5858">
        <v>323</v>
      </c>
      <c r="BT5858">
        <v>4129.72</v>
      </c>
      <c r="BU5858">
        <v>3333.33</v>
      </c>
      <c r="BV5858">
        <v>600</v>
      </c>
      <c r="BW5858">
        <v>50000</v>
      </c>
      <c r="BX5858">
        <v>53</v>
      </c>
      <c r="BY5858">
        <v>2770.8</v>
      </c>
      <c r="BZ5858">
        <v>2200</v>
      </c>
      <c r="CA5858">
        <v>444.44</v>
      </c>
      <c r="CB5858">
        <v>13000</v>
      </c>
      <c r="CC5858">
        <v>75</v>
      </c>
      <c r="CD5858">
        <v>2379.6</v>
      </c>
      <c r="CE5858">
        <v>2333.33</v>
      </c>
      <c r="CF5858">
        <v>428.57</v>
      </c>
      <c r="CG5858">
        <v>7000</v>
      </c>
      <c r="CH5858">
        <v>39</v>
      </c>
      <c r="CI5858">
        <v>4599</v>
      </c>
      <c r="CJ5858">
        <v>2500</v>
      </c>
      <c r="CK5858">
        <v>250</v>
      </c>
      <c r="CL5858">
        <v>50000</v>
      </c>
      <c r="CM5858">
        <v>84</v>
      </c>
      <c r="CN5858">
        <v>677.58</v>
      </c>
      <c r="CO5858">
        <v>500</v>
      </c>
      <c r="CP5858">
        <v>80</v>
      </c>
      <c r="CQ5858">
        <v>3400</v>
      </c>
      <c r="CR5858">
        <v>64</v>
      </c>
      <c r="CS5858">
        <v>3830.21</v>
      </c>
      <c r="CT5858">
        <v>2500</v>
      </c>
      <c r="CU5858">
        <v>75</v>
      </c>
      <c r="CV5858">
        <v>40000</v>
      </c>
      <c r="CW5858">
        <v>811</v>
      </c>
      <c r="CX5858">
        <v>2552.3000000000002</v>
      </c>
      <c r="CY5858">
        <v>2500</v>
      </c>
      <c r="CZ5858">
        <v>300</v>
      </c>
      <c r="DA5858">
        <v>12000</v>
      </c>
      <c r="DG5858">
        <v>21</v>
      </c>
      <c r="DH5858">
        <v>4426.37</v>
      </c>
      <c r="DI5858">
        <v>3000</v>
      </c>
      <c r="DJ5858">
        <v>250</v>
      </c>
      <c r="DK5858">
        <v>50000</v>
      </c>
      <c r="DL5858">
        <v>2</v>
      </c>
      <c r="DM5858">
        <v>5031.7</v>
      </c>
      <c r="DN5858">
        <v>6630</v>
      </c>
      <c r="DO5858">
        <v>2000</v>
      </c>
      <c r="DP5858">
        <v>6630</v>
      </c>
      <c r="DQ5858">
        <v>295</v>
      </c>
      <c r="DR5858">
        <v>1741.74</v>
      </c>
      <c r="DS5858">
        <v>1350</v>
      </c>
      <c r="DT5858">
        <v>107.5</v>
      </c>
      <c r="DU5858">
        <v>21000</v>
      </c>
      <c r="EA5858">
        <v>3</v>
      </c>
      <c r="EB5858">
        <v>3925.72</v>
      </c>
      <c r="EC5858">
        <v>1333.33</v>
      </c>
      <c r="ED5858">
        <v>250</v>
      </c>
      <c r="EE5858">
        <v>14000</v>
      </c>
    </row>
    <row r="5859" spans="1:135" x14ac:dyDescent="0.3">
      <c r="A5859" t="s">
        <v>37</v>
      </c>
      <c r="B5859" t="s">
        <v>340</v>
      </c>
      <c r="C5859">
        <v>1358</v>
      </c>
      <c r="D5859">
        <v>17690.89</v>
      </c>
      <c r="E5859">
        <v>15000</v>
      </c>
      <c r="F5859">
        <v>3000</v>
      </c>
      <c r="G5859">
        <v>100000</v>
      </c>
      <c r="H5859">
        <v>194</v>
      </c>
      <c r="I5859">
        <v>9405.39</v>
      </c>
      <c r="J5859">
        <v>8000</v>
      </c>
      <c r="K5859">
        <v>1000</v>
      </c>
      <c r="L5859">
        <v>60000</v>
      </c>
      <c r="M5859">
        <v>305</v>
      </c>
      <c r="N5859">
        <v>10157.64</v>
      </c>
      <c r="O5859">
        <v>8000</v>
      </c>
      <c r="P5859">
        <v>1200</v>
      </c>
      <c r="Q5859">
        <v>50000</v>
      </c>
      <c r="R5859">
        <v>184</v>
      </c>
      <c r="S5859">
        <v>21991.3</v>
      </c>
      <c r="T5859">
        <v>15000</v>
      </c>
      <c r="U5859">
        <v>850</v>
      </c>
      <c r="V5859">
        <v>200000</v>
      </c>
      <c r="W5859">
        <v>156</v>
      </c>
      <c r="X5859">
        <v>2357.79</v>
      </c>
      <c r="Y5859">
        <v>1000</v>
      </c>
      <c r="Z5859">
        <v>334</v>
      </c>
      <c r="AA5859">
        <v>15000</v>
      </c>
      <c r="AB5859">
        <v>240</v>
      </c>
      <c r="AC5859">
        <v>7571.09</v>
      </c>
      <c r="AD5859">
        <v>5000</v>
      </c>
      <c r="AE5859">
        <v>500</v>
      </c>
      <c r="AF5859">
        <v>50000</v>
      </c>
      <c r="AG5859">
        <v>1091</v>
      </c>
      <c r="AH5859">
        <v>4938.84</v>
      </c>
      <c r="AI5859">
        <v>4000</v>
      </c>
      <c r="AJ5859">
        <v>1500</v>
      </c>
      <c r="AK5859">
        <v>74000</v>
      </c>
      <c r="AL5859">
        <v>2</v>
      </c>
      <c r="AM5859">
        <v>4000</v>
      </c>
      <c r="AN5859">
        <v>4000</v>
      </c>
      <c r="AO5859">
        <v>4000</v>
      </c>
      <c r="AP5859">
        <v>4000</v>
      </c>
      <c r="AQ5859">
        <v>50</v>
      </c>
      <c r="AR5859">
        <v>10493.2</v>
      </c>
      <c r="AS5859">
        <v>4000</v>
      </c>
      <c r="AT5859">
        <v>500</v>
      </c>
      <c r="AU5859">
        <v>200000</v>
      </c>
      <c r="AV5859">
        <v>11</v>
      </c>
      <c r="AW5859">
        <v>5627.82</v>
      </c>
      <c r="AX5859">
        <v>5000</v>
      </c>
      <c r="AY5859">
        <v>1000</v>
      </c>
      <c r="AZ5859">
        <v>12000</v>
      </c>
      <c r="BA5859">
        <v>387</v>
      </c>
      <c r="BB5859">
        <v>3448.92</v>
      </c>
      <c r="BC5859">
        <v>2500</v>
      </c>
      <c r="BD5859">
        <v>800</v>
      </c>
      <c r="BE5859">
        <v>42000</v>
      </c>
      <c r="BF5859">
        <v>3</v>
      </c>
      <c r="BG5859">
        <v>4059.99</v>
      </c>
      <c r="BH5859">
        <v>3000</v>
      </c>
      <c r="BI5859">
        <v>2000</v>
      </c>
      <c r="BJ5859">
        <v>7000</v>
      </c>
      <c r="BK5859">
        <v>4</v>
      </c>
      <c r="BL5859">
        <v>7071.72</v>
      </c>
      <c r="BM5859">
        <v>2800</v>
      </c>
      <c r="BN5859">
        <v>800</v>
      </c>
      <c r="BO5859">
        <v>20000</v>
      </c>
      <c r="BQ5859" t="s">
        <v>37</v>
      </c>
      <c r="BR5859" t="s">
        <v>340</v>
      </c>
      <c r="BS5859">
        <v>1358</v>
      </c>
      <c r="BT5859">
        <v>7029.85</v>
      </c>
      <c r="BU5859">
        <v>5500</v>
      </c>
      <c r="BV5859">
        <v>428.57</v>
      </c>
      <c r="BW5859">
        <v>100000</v>
      </c>
      <c r="BX5859">
        <v>194</v>
      </c>
      <c r="BY5859">
        <v>4405.6000000000004</v>
      </c>
      <c r="BZ5859">
        <v>3333.33</v>
      </c>
      <c r="CA5859">
        <v>333.33</v>
      </c>
      <c r="CB5859">
        <v>29000</v>
      </c>
      <c r="CC5859">
        <v>305</v>
      </c>
      <c r="CD5859">
        <v>4525.54</v>
      </c>
      <c r="CE5859">
        <v>3333.33</v>
      </c>
      <c r="CF5859">
        <v>400</v>
      </c>
      <c r="CG5859">
        <v>30000</v>
      </c>
      <c r="CH5859">
        <v>184</v>
      </c>
      <c r="CI5859">
        <v>9695.6200000000008</v>
      </c>
      <c r="CJ5859">
        <v>5000</v>
      </c>
      <c r="CK5859">
        <v>166.67</v>
      </c>
      <c r="CL5859">
        <v>100000</v>
      </c>
      <c r="CM5859">
        <v>156</v>
      </c>
      <c r="CN5859">
        <v>1379.38</v>
      </c>
      <c r="CO5859">
        <v>700</v>
      </c>
      <c r="CP5859">
        <v>80</v>
      </c>
      <c r="CQ5859">
        <v>11000</v>
      </c>
      <c r="CR5859">
        <v>240</v>
      </c>
      <c r="CS5859">
        <v>3995.74</v>
      </c>
      <c r="CT5859">
        <v>3000</v>
      </c>
      <c r="CU5859">
        <v>220</v>
      </c>
      <c r="CV5859">
        <v>20000</v>
      </c>
      <c r="CW5859">
        <v>1091</v>
      </c>
      <c r="CX5859">
        <v>2727.87</v>
      </c>
      <c r="CY5859">
        <v>2700</v>
      </c>
      <c r="CZ5859">
        <v>314.29000000000002</v>
      </c>
      <c r="DA5859">
        <v>37000</v>
      </c>
      <c r="DB5859">
        <v>2</v>
      </c>
      <c r="DC5859">
        <v>3562.77</v>
      </c>
      <c r="DD5859">
        <v>4000</v>
      </c>
      <c r="DE5859">
        <v>1333.33</v>
      </c>
      <c r="DF5859">
        <v>4000</v>
      </c>
      <c r="DG5859">
        <v>50</v>
      </c>
      <c r="DH5859">
        <v>6078.47</v>
      </c>
      <c r="DI5859">
        <v>2500</v>
      </c>
      <c r="DJ5859">
        <v>150</v>
      </c>
      <c r="DK5859">
        <v>100000</v>
      </c>
      <c r="DL5859">
        <v>11</v>
      </c>
      <c r="DM5859">
        <v>2514.2399999999998</v>
      </c>
      <c r="DN5859">
        <v>2000</v>
      </c>
      <c r="DO5859">
        <v>1000</v>
      </c>
      <c r="DP5859">
        <v>6600</v>
      </c>
      <c r="DQ5859">
        <v>387</v>
      </c>
      <c r="DR5859">
        <v>1383.37</v>
      </c>
      <c r="DS5859">
        <v>1000</v>
      </c>
      <c r="DT5859">
        <v>107.5</v>
      </c>
      <c r="DU5859">
        <v>10500</v>
      </c>
      <c r="DV5859">
        <v>3</v>
      </c>
      <c r="DW5859">
        <v>1591.95</v>
      </c>
      <c r="DX5859">
        <v>750</v>
      </c>
      <c r="DY5859">
        <v>500</v>
      </c>
      <c r="DZ5859">
        <v>3500</v>
      </c>
      <c r="EA5859">
        <v>4</v>
      </c>
      <c r="EB5859">
        <v>6376.71</v>
      </c>
      <c r="EC5859">
        <v>1000</v>
      </c>
      <c r="ED5859">
        <v>800</v>
      </c>
      <c r="EE5859">
        <v>20000</v>
      </c>
    </row>
    <row r="5860" spans="1:135" x14ac:dyDescent="0.3">
      <c r="A5860" t="s">
        <v>37</v>
      </c>
      <c r="B5860" t="s">
        <v>365</v>
      </c>
      <c r="C5860">
        <v>21</v>
      </c>
      <c r="D5860">
        <v>20596.64</v>
      </c>
      <c r="E5860">
        <v>15000</v>
      </c>
      <c r="F5860">
        <v>5000</v>
      </c>
      <c r="G5860">
        <v>65000</v>
      </c>
      <c r="H5860">
        <v>4</v>
      </c>
      <c r="I5860">
        <v>4592.78</v>
      </c>
      <c r="J5860">
        <v>4000</v>
      </c>
      <c r="K5860">
        <v>2000</v>
      </c>
      <c r="L5860">
        <v>6500</v>
      </c>
      <c r="M5860">
        <v>8</v>
      </c>
      <c r="N5860">
        <v>9666.01</v>
      </c>
      <c r="O5860">
        <v>9000</v>
      </c>
      <c r="P5860">
        <v>4000</v>
      </c>
      <c r="Q5860">
        <v>15000</v>
      </c>
      <c r="R5860">
        <v>3</v>
      </c>
      <c r="S5860">
        <v>4666.67</v>
      </c>
      <c r="T5860">
        <v>5000</v>
      </c>
      <c r="U5860">
        <v>4000</v>
      </c>
      <c r="V5860">
        <v>5000</v>
      </c>
      <c r="W5860">
        <v>3</v>
      </c>
      <c r="X5860">
        <v>2950.85</v>
      </c>
      <c r="Y5860">
        <v>5000</v>
      </c>
      <c r="Z5860">
        <v>500</v>
      </c>
      <c r="AA5860">
        <v>5000</v>
      </c>
      <c r="AB5860">
        <v>3</v>
      </c>
      <c r="AC5860">
        <v>7429.84</v>
      </c>
      <c r="AD5860">
        <v>10000</v>
      </c>
      <c r="AE5860">
        <v>4000</v>
      </c>
      <c r="AF5860">
        <v>10000</v>
      </c>
      <c r="AG5860">
        <v>8</v>
      </c>
      <c r="AH5860">
        <v>5997.92</v>
      </c>
      <c r="AI5860">
        <v>5000</v>
      </c>
      <c r="AJ5860">
        <v>2500</v>
      </c>
      <c r="AK5860">
        <v>14000</v>
      </c>
      <c r="BA5860">
        <v>9</v>
      </c>
      <c r="BB5860">
        <v>7647.48</v>
      </c>
      <c r="BC5860">
        <v>4400</v>
      </c>
      <c r="BD5860">
        <v>1500</v>
      </c>
      <c r="BE5860">
        <v>25000</v>
      </c>
      <c r="BF5860">
        <v>1</v>
      </c>
      <c r="BG5860">
        <v>5000</v>
      </c>
      <c r="BH5860">
        <v>5000</v>
      </c>
      <c r="BI5860">
        <v>5000</v>
      </c>
      <c r="BJ5860">
        <v>5000</v>
      </c>
      <c r="BQ5860" t="s">
        <v>37</v>
      </c>
      <c r="BR5860" t="s">
        <v>365</v>
      </c>
      <c r="BS5860">
        <v>21</v>
      </c>
      <c r="BT5860">
        <v>6030.6</v>
      </c>
      <c r="BU5860">
        <v>3250</v>
      </c>
      <c r="BV5860">
        <v>833.33</v>
      </c>
      <c r="BW5860">
        <v>21666.67</v>
      </c>
      <c r="BX5860">
        <v>4</v>
      </c>
      <c r="BY5860">
        <v>1484.89</v>
      </c>
      <c r="BZ5860">
        <v>2000</v>
      </c>
      <c r="CA5860">
        <v>400</v>
      </c>
      <c r="CB5860">
        <v>2000</v>
      </c>
      <c r="CC5860">
        <v>8</v>
      </c>
      <c r="CD5860">
        <v>2358.83</v>
      </c>
      <c r="CE5860">
        <v>2250</v>
      </c>
      <c r="CF5860">
        <v>714.29</v>
      </c>
      <c r="CG5860">
        <v>3750</v>
      </c>
      <c r="CH5860">
        <v>3</v>
      </c>
      <c r="CI5860">
        <v>1069.44</v>
      </c>
      <c r="CJ5860">
        <v>1250</v>
      </c>
      <c r="CK5860">
        <v>625</v>
      </c>
      <c r="CL5860">
        <v>1333.33</v>
      </c>
      <c r="CM5860">
        <v>3</v>
      </c>
      <c r="CN5860">
        <v>767.12</v>
      </c>
      <c r="CO5860">
        <v>1250</v>
      </c>
      <c r="CP5860">
        <v>166.67</v>
      </c>
      <c r="CQ5860">
        <v>1250</v>
      </c>
      <c r="CR5860">
        <v>3</v>
      </c>
      <c r="CS5860">
        <v>3118.79</v>
      </c>
      <c r="CT5860">
        <v>5000</v>
      </c>
      <c r="CU5860">
        <v>800</v>
      </c>
      <c r="CV5860">
        <v>5000</v>
      </c>
      <c r="CW5860">
        <v>8</v>
      </c>
      <c r="CX5860">
        <v>1499.26</v>
      </c>
      <c r="CY5860">
        <v>750</v>
      </c>
      <c r="CZ5860">
        <v>500</v>
      </c>
      <c r="DA5860">
        <v>4400</v>
      </c>
      <c r="DQ5860">
        <v>9</v>
      </c>
      <c r="DR5860">
        <v>1598.48</v>
      </c>
      <c r="DS5860">
        <v>1466.67</v>
      </c>
      <c r="DT5860">
        <v>500</v>
      </c>
      <c r="DU5860">
        <v>3666.67</v>
      </c>
      <c r="DV5860">
        <v>1</v>
      </c>
      <c r="DW5860">
        <v>714.29</v>
      </c>
      <c r="DX5860">
        <v>714.29</v>
      </c>
      <c r="DY5860">
        <v>714.29</v>
      </c>
      <c r="DZ5860">
        <v>714.29</v>
      </c>
    </row>
    <row r="5861" spans="1:135" x14ac:dyDescent="0.3">
      <c r="A5861" t="s">
        <v>36</v>
      </c>
      <c r="B5861" t="s">
        <v>339</v>
      </c>
      <c r="C5861">
        <v>199</v>
      </c>
      <c r="D5861">
        <v>10277.83</v>
      </c>
      <c r="E5861">
        <v>8000</v>
      </c>
      <c r="F5861">
        <v>1100</v>
      </c>
      <c r="G5861">
        <v>60000</v>
      </c>
      <c r="H5861">
        <v>48</v>
      </c>
      <c r="I5861">
        <v>5201.49</v>
      </c>
      <c r="J5861">
        <v>5000</v>
      </c>
      <c r="K5861">
        <v>800</v>
      </c>
      <c r="L5861">
        <v>20000</v>
      </c>
      <c r="M5861">
        <v>78</v>
      </c>
      <c r="N5861">
        <v>7459.97</v>
      </c>
      <c r="O5861">
        <v>6000</v>
      </c>
      <c r="P5861">
        <v>1300</v>
      </c>
      <c r="Q5861">
        <v>20000</v>
      </c>
      <c r="R5861">
        <v>50</v>
      </c>
      <c r="S5861">
        <v>16781.509999999998</v>
      </c>
      <c r="T5861">
        <v>5000</v>
      </c>
      <c r="U5861">
        <v>500</v>
      </c>
      <c r="V5861">
        <v>75000</v>
      </c>
      <c r="W5861">
        <v>40</v>
      </c>
      <c r="X5861">
        <v>2304.73</v>
      </c>
      <c r="Y5861">
        <v>1500</v>
      </c>
      <c r="Z5861">
        <v>880</v>
      </c>
      <c r="AA5861">
        <v>12000</v>
      </c>
      <c r="AB5861">
        <v>55</v>
      </c>
      <c r="AC5861">
        <v>10628.92</v>
      </c>
      <c r="AD5861">
        <v>2500</v>
      </c>
      <c r="AE5861">
        <v>1000</v>
      </c>
      <c r="AF5861">
        <v>100000</v>
      </c>
      <c r="AG5861">
        <v>519</v>
      </c>
      <c r="AH5861">
        <v>5631.84</v>
      </c>
      <c r="AI5861">
        <v>4200</v>
      </c>
      <c r="AJ5861">
        <v>1600</v>
      </c>
      <c r="AK5861">
        <v>20000</v>
      </c>
      <c r="AQ5861">
        <v>14</v>
      </c>
      <c r="AR5861">
        <v>6223.36</v>
      </c>
      <c r="AS5861">
        <v>5000</v>
      </c>
      <c r="AT5861">
        <v>500</v>
      </c>
      <c r="AU5861">
        <v>10000</v>
      </c>
      <c r="AV5861">
        <v>25</v>
      </c>
      <c r="AW5861">
        <v>5305.87</v>
      </c>
      <c r="AX5861">
        <v>5000</v>
      </c>
      <c r="AY5861">
        <v>300</v>
      </c>
      <c r="AZ5861">
        <v>13200</v>
      </c>
      <c r="BA5861">
        <v>200</v>
      </c>
      <c r="BB5861">
        <v>4187.04</v>
      </c>
      <c r="BC5861">
        <v>2760</v>
      </c>
      <c r="BD5861">
        <v>750</v>
      </c>
      <c r="BE5861">
        <v>25000</v>
      </c>
      <c r="BF5861">
        <v>1</v>
      </c>
      <c r="BG5861">
        <v>1000</v>
      </c>
      <c r="BH5861">
        <v>1000</v>
      </c>
      <c r="BI5861">
        <v>1000</v>
      </c>
      <c r="BJ5861">
        <v>1000</v>
      </c>
      <c r="BK5861">
        <v>1</v>
      </c>
      <c r="BL5861">
        <v>10000</v>
      </c>
      <c r="BM5861">
        <v>10000</v>
      </c>
      <c r="BN5861">
        <v>10000</v>
      </c>
      <c r="BO5861">
        <v>10000</v>
      </c>
      <c r="BQ5861" t="s">
        <v>36</v>
      </c>
      <c r="BR5861" t="s">
        <v>339</v>
      </c>
      <c r="BS5861">
        <v>199</v>
      </c>
      <c r="BT5861">
        <v>3893.53</v>
      </c>
      <c r="BU5861">
        <v>3000</v>
      </c>
      <c r="BV5861">
        <v>275</v>
      </c>
      <c r="BW5861">
        <v>15000</v>
      </c>
      <c r="BX5861">
        <v>48</v>
      </c>
      <c r="BY5861">
        <v>2220.16</v>
      </c>
      <c r="BZ5861">
        <v>1000</v>
      </c>
      <c r="CA5861">
        <v>142.86000000000001</v>
      </c>
      <c r="CB5861">
        <v>10000</v>
      </c>
      <c r="CC5861">
        <v>78</v>
      </c>
      <c r="CD5861">
        <v>2935.7</v>
      </c>
      <c r="CE5861">
        <v>2500</v>
      </c>
      <c r="CF5861">
        <v>400</v>
      </c>
      <c r="CG5861">
        <v>10000</v>
      </c>
      <c r="CH5861">
        <v>50</v>
      </c>
      <c r="CI5861">
        <v>9927.76</v>
      </c>
      <c r="CJ5861">
        <v>2500</v>
      </c>
      <c r="CK5861">
        <v>166.67</v>
      </c>
      <c r="CL5861">
        <v>37500</v>
      </c>
      <c r="CM5861">
        <v>40</v>
      </c>
      <c r="CN5861">
        <v>1021.62</v>
      </c>
      <c r="CO5861">
        <v>600</v>
      </c>
      <c r="CP5861">
        <v>208.33</v>
      </c>
      <c r="CQ5861">
        <v>9100</v>
      </c>
      <c r="CR5861">
        <v>55</v>
      </c>
      <c r="CS5861">
        <v>8744.5499999999993</v>
      </c>
      <c r="CT5861">
        <v>1500</v>
      </c>
      <c r="CU5861">
        <v>222.22</v>
      </c>
      <c r="CV5861">
        <v>100000</v>
      </c>
      <c r="CW5861">
        <v>519</v>
      </c>
      <c r="CX5861">
        <v>3000.43</v>
      </c>
      <c r="CY5861">
        <v>2550</v>
      </c>
      <c r="CZ5861">
        <v>308.33</v>
      </c>
      <c r="DA5861">
        <v>15000</v>
      </c>
      <c r="DG5861">
        <v>14</v>
      </c>
      <c r="DH5861">
        <v>5683.09</v>
      </c>
      <c r="DI5861">
        <v>5000</v>
      </c>
      <c r="DJ5861">
        <v>125</v>
      </c>
      <c r="DK5861">
        <v>10000</v>
      </c>
      <c r="DL5861">
        <v>25</v>
      </c>
      <c r="DM5861">
        <v>2508.16</v>
      </c>
      <c r="DN5861">
        <v>1666.67</v>
      </c>
      <c r="DO5861">
        <v>150</v>
      </c>
      <c r="DP5861">
        <v>8000</v>
      </c>
      <c r="DQ5861">
        <v>200</v>
      </c>
      <c r="DR5861">
        <v>1568.68</v>
      </c>
      <c r="DS5861">
        <v>1250</v>
      </c>
      <c r="DT5861">
        <v>122.86</v>
      </c>
      <c r="DU5861">
        <v>6150</v>
      </c>
      <c r="DV5861">
        <v>1</v>
      </c>
      <c r="DW5861">
        <v>1000</v>
      </c>
      <c r="DX5861">
        <v>1000</v>
      </c>
      <c r="DY5861">
        <v>1000</v>
      </c>
      <c r="DZ5861">
        <v>1000</v>
      </c>
      <c r="EA5861">
        <v>1</v>
      </c>
      <c r="EB5861">
        <v>3333.33</v>
      </c>
      <c r="EC5861">
        <v>3333.33</v>
      </c>
      <c r="ED5861">
        <v>3333.33</v>
      </c>
      <c r="EE5861">
        <v>3333.33</v>
      </c>
    </row>
    <row r="5862" spans="1:135" x14ac:dyDescent="0.3">
      <c r="A5862" t="s">
        <v>36</v>
      </c>
      <c r="B5862" t="s">
        <v>340</v>
      </c>
      <c r="C5862">
        <v>568</v>
      </c>
      <c r="D5862">
        <v>17543.88</v>
      </c>
      <c r="E5862">
        <v>12000</v>
      </c>
      <c r="F5862">
        <v>1850</v>
      </c>
      <c r="G5862">
        <v>180000</v>
      </c>
      <c r="H5862">
        <v>121</v>
      </c>
      <c r="I5862">
        <v>7235.84</v>
      </c>
      <c r="J5862">
        <v>5000</v>
      </c>
      <c r="K5862">
        <v>1000</v>
      </c>
      <c r="L5862">
        <v>30000</v>
      </c>
      <c r="M5862">
        <v>249</v>
      </c>
      <c r="N5862">
        <v>10475.66</v>
      </c>
      <c r="O5862">
        <v>8000</v>
      </c>
      <c r="P5862">
        <v>1000</v>
      </c>
      <c r="Q5862">
        <v>41000</v>
      </c>
      <c r="R5862">
        <v>122</v>
      </c>
      <c r="S5862">
        <v>15414.62</v>
      </c>
      <c r="T5862">
        <v>10000</v>
      </c>
      <c r="U5862">
        <v>300</v>
      </c>
      <c r="V5862">
        <v>100000</v>
      </c>
      <c r="W5862">
        <v>62</v>
      </c>
      <c r="X5862">
        <v>3944.57</v>
      </c>
      <c r="Y5862">
        <v>2000</v>
      </c>
      <c r="Z5862">
        <v>400</v>
      </c>
      <c r="AA5862">
        <v>50000</v>
      </c>
      <c r="AB5862">
        <v>104</v>
      </c>
      <c r="AC5862">
        <v>14000.92</v>
      </c>
      <c r="AD5862">
        <v>6000</v>
      </c>
      <c r="AE5862">
        <v>1000</v>
      </c>
      <c r="AF5862">
        <v>70000</v>
      </c>
      <c r="AG5862">
        <v>506</v>
      </c>
      <c r="AH5862">
        <v>5275.75</v>
      </c>
      <c r="AI5862">
        <v>4200</v>
      </c>
      <c r="AJ5862">
        <v>1250</v>
      </c>
      <c r="AK5862">
        <v>22000</v>
      </c>
      <c r="AQ5862">
        <v>16</v>
      </c>
      <c r="AR5862">
        <v>5715.76</v>
      </c>
      <c r="AS5862">
        <v>3000</v>
      </c>
      <c r="AT5862">
        <v>500</v>
      </c>
      <c r="AU5862">
        <v>20000</v>
      </c>
      <c r="AV5862">
        <v>38</v>
      </c>
      <c r="AW5862">
        <v>3924.15</v>
      </c>
      <c r="AX5862">
        <v>2200</v>
      </c>
      <c r="AY5862">
        <v>1000</v>
      </c>
      <c r="AZ5862">
        <v>26600</v>
      </c>
      <c r="BA5862">
        <v>280</v>
      </c>
      <c r="BB5862">
        <v>4469.8999999999996</v>
      </c>
      <c r="BC5862">
        <v>3500</v>
      </c>
      <c r="BD5862">
        <v>650</v>
      </c>
      <c r="BE5862">
        <v>90000</v>
      </c>
      <c r="BF5862">
        <v>9</v>
      </c>
      <c r="BG5862">
        <v>2902.34</v>
      </c>
      <c r="BH5862">
        <v>3000</v>
      </c>
      <c r="BI5862">
        <v>500</v>
      </c>
      <c r="BJ5862">
        <v>6000</v>
      </c>
      <c r="BK5862">
        <v>7</v>
      </c>
      <c r="BL5862">
        <v>1974.78</v>
      </c>
      <c r="BM5862">
        <v>1500</v>
      </c>
      <c r="BN5862">
        <v>500</v>
      </c>
      <c r="BO5862">
        <v>4400</v>
      </c>
      <c r="BQ5862" t="s">
        <v>36</v>
      </c>
      <c r="BR5862" t="s">
        <v>340</v>
      </c>
      <c r="BS5862">
        <v>568</v>
      </c>
      <c r="BT5862">
        <v>7508.1</v>
      </c>
      <c r="BU5862">
        <v>5000</v>
      </c>
      <c r="BV5862">
        <v>500</v>
      </c>
      <c r="BW5862">
        <v>90000</v>
      </c>
      <c r="BX5862">
        <v>121</v>
      </c>
      <c r="BY5862">
        <v>4109.8100000000004</v>
      </c>
      <c r="BZ5862">
        <v>2000</v>
      </c>
      <c r="CA5862">
        <v>214.29</v>
      </c>
      <c r="CB5862">
        <v>20000</v>
      </c>
      <c r="CC5862">
        <v>249</v>
      </c>
      <c r="CD5862">
        <v>5067.1899999999996</v>
      </c>
      <c r="CE5862">
        <v>3750</v>
      </c>
      <c r="CF5862">
        <v>250</v>
      </c>
      <c r="CG5862">
        <v>23000</v>
      </c>
      <c r="CH5862">
        <v>122</v>
      </c>
      <c r="CI5862">
        <v>7579.82</v>
      </c>
      <c r="CJ5862">
        <v>3750</v>
      </c>
      <c r="CK5862">
        <v>100</v>
      </c>
      <c r="CL5862">
        <v>70000</v>
      </c>
      <c r="CM5862">
        <v>62</v>
      </c>
      <c r="CN5862">
        <v>2184.7399999999998</v>
      </c>
      <c r="CO5862">
        <v>1000</v>
      </c>
      <c r="CP5862">
        <v>100</v>
      </c>
      <c r="CQ5862">
        <v>25000</v>
      </c>
      <c r="CR5862">
        <v>104</v>
      </c>
      <c r="CS5862">
        <v>6925.82</v>
      </c>
      <c r="CT5862">
        <v>4000</v>
      </c>
      <c r="CU5862">
        <v>333.33</v>
      </c>
      <c r="CV5862">
        <v>35000</v>
      </c>
      <c r="CW5862">
        <v>506</v>
      </c>
      <c r="CX5862">
        <v>2839.77</v>
      </c>
      <c r="CY5862">
        <v>2500</v>
      </c>
      <c r="CZ5862">
        <v>275</v>
      </c>
      <c r="DA5862">
        <v>16500</v>
      </c>
      <c r="DG5862">
        <v>16</v>
      </c>
      <c r="DH5862">
        <v>2205.84</v>
      </c>
      <c r="DI5862">
        <v>1400</v>
      </c>
      <c r="DJ5862">
        <v>250</v>
      </c>
      <c r="DK5862">
        <v>6666.67</v>
      </c>
      <c r="DL5862">
        <v>38</v>
      </c>
      <c r="DM5862">
        <v>2010.13</v>
      </c>
      <c r="DN5862">
        <v>1100</v>
      </c>
      <c r="DO5862">
        <v>333.33</v>
      </c>
      <c r="DP5862">
        <v>6660</v>
      </c>
      <c r="DQ5862">
        <v>280</v>
      </c>
      <c r="DR5862">
        <v>1675.05</v>
      </c>
      <c r="DS5862">
        <v>1750</v>
      </c>
      <c r="DT5862">
        <v>72.22</v>
      </c>
      <c r="DU5862">
        <v>18000</v>
      </c>
      <c r="DV5862">
        <v>9</v>
      </c>
      <c r="DW5862">
        <v>1462.22</v>
      </c>
      <c r="DX5862">
        <v>1500</v>
      </c>
      <c r="DY5862">
        <v>215</v>
      </c>
      <c r="DZ5862">
        <v>3000</v>
      </c>
      <c r="EA5862">
        <v>7</v>
      </c>
      <c r="EB5862">
        <v>1342.67</v>
      </c>
      <c r="EC5862">
        <v>1000</v>
      </c>
      <c r="ED5862">
        <v>250</v>
      </c>
      <c r="EE5862">
        <v>3500</v>
      </c>
    </row>
    <row r="5863" spans="1:135" x14ac:dyDescent="0.3">
      <c r="A5863" t="s">
        <v>36</v>
      </c>
      <c r="B5863" t="s">
        <v>365</v>
      </c>
      <c r="C5863">
        <v>37</v>
      </c>
      <c r="D5863">
        <v>11658.55</v>
      </c>
      <c r="E5863">
        <v>10000</v>
      </c>
      <c r="F5863">
        <v>3000</v>
      </c>
      <c r="G5863">
        <v>28000</v>
      </c>
      <c r="H5863">
        <v>3</v>
      </c>
      <c r="I5863">
        <v>6000</v>
      </c>
      <c r="J5863">
        <v>4000</v>
      </c>
      <c r="K5863">
        <v>2000</v>
      </c>
      <c r="L5863">
        <v>12000</v>
      </c>
      <c r="M5863">
        <v>10</v>
      </c>
      <c r="N5863">
        <v>8650.48</v>
      </c>
      <c r="O5863">
        <v>10000</v>
      </c>
      <c r="P5863">
        <v>2000</v>
      </c>
      <c r="Q5863">
        <v>15000</v>
      </c>
      <c r="R5863">
        <v>5</v>
      </c>
      <c r="S5863">
        <v>7018.69</v>
      </c>
      <c r="T5863">
        <v>6000</v>
      </c>
      <c r="U5863">
        <v>5000</v>
      </c>
      <c r="V5863">
        <v>10000</v>
      </c>
      <c r="W5863">
        <v>2</v>
      </c>
      <c r="X5863">
        <v>2577.34</v>
      </c>
      <c r="Y5863">
        <v>5000</v>
      </c>
      <c r="Z5863">
        <v>1000</v>
      </c>
      <c r="AA5863">
        <v>5000</v>
      </c>
      <c r="AB5863">
        <v>5</v>
      </c>
      <c r="AC5863">
        <v>87636.05</v>
      </c>
      <c r="AD5863">
        <v>108000</v>
      </c>
      <c r="AE5863">
        <v>1500</v>
      </c>
      <c r="AF5863">
        <v>108000</v>
      </c>
      <c r="AG5863">
        <v>16</v>
      </c>
      <c r="AH5863">
        <v>4698.68</v>
      </c>
      <c r="AI5863">
        <v>5500</v>
      </c>
      <c r="AJ5863">
        <v>2090</v>
      </c>
      <c r="AK5863">
        <v>9000</v>
      </c>
      <c r="AV5863">
        <v>1</v>
      </c>
      <c r="AW5863">
        <v>14000</v>
      </c>
      <c r="AX5863">
        <v>14000</v>
      </c>
      <c r="AY5863">
        <v>14000</v>
      </c>
      <c r="AZ5863">
        <v>14000</v>
      </c>
      <c r="BA5863">
        <v>17</v>
      </c>
      <c r="BB5863">
        <v>2948.82</v>
      </c>
      <c r="BC5863">
        <v>2700</v>
      </c>
      <c r="BD5863">
        <v>640</v>
      </c>
      <c r="BE5863">
        <v>13000</v>
      </c>
      <c r="BK5863">
        <v>1</v>
      </c>
      <c r="BL5863">
        <v>108000</v>
      </c>
      <c r="BM5863">
        <v>108000</v>
      </c>
      <c r="BN5863">
        <v>108000</v>
      </c>
      <c r="BO5863">
        <v>108000</v>
      </c>
      <c r="BQ5863" t="s">
        <v>36</v>
      </c>
      <c r="BR5863" t="s">
        <v>365</v>
      </c>
      <c r="BS5863">
        <v>37</v>
      </c>
      <c r="BT5863">
        <v>3558.76</v>
      </c>
      <c r="BU5863">
        <v>3333.33</v>
      </c>
      <c r="BV5863">
        <v>700</v>
      </c>
      <c r="BW5863">
        <v>12000</v>
      </c>
      <c r="BX5863">
        <v>3</v>
      </c>
      <c r="BY5863">
        <v>1833.33</v>
      </c>
      <c r="BZ5863">
        <v>1000</v>
      </c>
      <c r="CA5863">
        <v>500</v>
      </c>
      <c r="CB5863">
        <v>4000</v>
      </c>
      <c r="CC5863">
        <v>10</v>
      </c>
      <c r="CD5863">
        <v>2699.49</v>
      </c>
      <c r="CE5863">
        <v>3333.33</v>
      </c>
      <c r="CF5863">
        <v>333.33</v>
      </c>
      <c r="CG5863">
        <v>3750</v>
      </c>
      <c r="CH5863">
        <v>5</v>
      </c>
      <c r="CI5863">
        <v>1776.9</v>
      </c>
      <c r="CJ5863">
        <v>2000</v>
      </c>
      <c r="CK5863">
        <v>1000</v>
      </c>
      <c r="CL5863">
        <v>2500</v>
      </c>
      <c r="CM5863">
        <v>2</v>
      </c>
      <c r="CN5863">
        <v>500</v>
      </c>
      <c r="CO5863">
        <v>500</v>
      </c>
      <c r="CP5863">
        <v>500</v>
      </c>
      <c r="CQ5863">
        <v>500</v>
      </c>
      <c r="CR5863">
        <v>5</v>
      </c>
      <c r="CS5863">
        <v>29270.080000000002</v>
      </c>
      <c r="CT5863">
        <v>36000</v>
      </c>
      <c r="CU5863">
        <v>375</v>
      </c>
      <c r="CV5863">
        <v>36000</v>
      </c>
      <c r="CW5863">
        <v>16</v>
      </c>
      <c r="CX5863">
        <v>1547.7</v>
      </c>
      <c r="CY5863">
        <v>1833.33</v>
      </c>
      <c r="CZ5863">
        <v>600</v>
      </c>
      <c r="DA5863">
        <v>3600</v>
      </c>
      <c r="DL5863">
        <v>1</v>
      </c>
      <c r="DM5863">
        <v>2333.33</v>
      </c>
      <c r="DN5863">
        <v>2333.33</v>
      </c>
      <c r="DO5863">
        <v>2333.33</v>
      </c>
      <c r="DP5863">
        <v>2333.33</v>
      </c>
      <c r="DQ5863">
        <v>17</v>
      </c>
      <c r="DR5863">
        <v>763.22</v>
      </c>
      <c r="DS5863">
        <v>592</v>
      </c>
      <c r="DT5863">
        <v>143.33000000000001</v>
      </c>
      <c r="DU5863">
        <v>2600</v>
      </c>
      <c r="EA5863">
        <v>1</v>
      </c>
      <c r="EB5863">
        <v>36000</v>
      </c>
      <c r="EC5863">
        <v>36000</v>
      </c>
      <c r="ED5863">
        <v>36000</v>
      </c>
      <c r="EE5863">
        <v>36000</v>
      </c>
    </row>
    <row r="5864" spans="1:135" x14ac:dyDescent="0.3">
      <c r="A5864" t="s">
        <v>34</v>
      </c>
      <c r="B5864" t="s">
        <v>339</v>
      </c>
      <c r="C5864">
        <v>162</v>
      </c>
      <c r="D5864">
        <v>11968.04</v>
      </c>
      <c r="E5864">
        <v>9500</v>
      </c>
      <c r="F5864">
        <v>1200</v>
      </c>
      <c r="G5864">
        <v>100600</v>
      </c>
      <c r="H5864">
        <v>32</v>
      </c>
      <c r="I5864">
        <v>5663.55</v>
      </c>
      <c r="J5864">
        <v>5000</v>
      </c>
      <c r="K5864">
        <v>1800</v>
      </c>
      <c r="L5864">
        <v>16000</v>
      </c>
      <c r="M5864">
        <v>43</v>
      </c>
      <c r="N5864">
        <v>5984.6</v>
      </c>
      <c r="O5864">
        <v>5000</v>
      </c>
      <c r="P5864">
        <v>900</v>
      </c>
      <c r="Q5864">
        <v>20000</v>
      </c>
      <c r="R5864">
        <v>22</v>
      </c>
      <c r="S5864">
        <v>13603.98</v>
      </c>
      <c r="T5864">
        <v>5000</v>
      </c>
      <c r="U5864">
        <v>1000</v>
      </c>
      <c r="V5864">
        <v>57000</v>
      </c>
      <c r="W5864">
        <v>19</v>
      </c>
      <c r="X5864">
        <v>1631.88</v>
      </c>
      <c r="Y5864">
        <v>1000</v>
      </c>
      <c r="Z5864">
        <v>500</v>
      </c>
      <c r="AA5864">
        <v>5000</v>
      </c>
      <c r="AB5864">
        <v>26</v>
      </c>
      <c r="AC5864">
        <v>3397.26</v>
      </c>
      <c r="AD5864">
        <v>2000</v>
      </c>
      <c r="AE5864">
        <v>1000</v>
      </c>
      <c r="AF5864">
        <v>30000</v>
      </c>
      <c r="AG5864">
        <v>386</v>
      </c>
      <c r="AH5864">
        <v>5724.98</v>
      </c>
      <c r="AI5864">
        <v>4500</v>
      </c>
      <c r="AJ5864">
        <v>1600</v>
      </c>
      <c r="AK5864">
        <v>27000</v>
      </c>
      <c r="AL5864">
        <v>2</v>
      </c>
      <c r="AM5864">
        <v>5500</v>
      </c>
      <c r="AN5864">
        <v>4000</v>
      </c>
      <c r="AO5864">
        <v>4000</v>
      </c>
      <c r="AP5864">
        <v>7000</v>
      </c>
      <c r="AQ5864">
        <v>18</v>
      </c>
      <c r="AR5864">
        <v>5063.58</v>
      </c>
      <c r="AS5864">
        <v>4000</v>
      </c>
      <c r="AT5864">
        <v>500</v>
      </c>
      <c r="AU5864">
        <v>50000</v>
      </c>
      <c r="AV5864">
        <v>16</v>
      </c>
      <c r="AW5864">
        <v>9617.33</v>
      </c>
      <c r="AX5864">
        <v>8000</v>
      </c>
      <c r="AY5864">
        <v>2000</v>
      </c>
      <c r="AZ5864">
        <v>19800</v>
      </c>
      <c r="BA5864">
        <v>172</v>
      </c>
      <c r="BB5864">
        <v>6080.62</v>
      </c>
      <c r="BC5864">
        <v>4500</v>
      </c>
      <c r="BD5864">
        <v>600</v>
      </c>
      <c r="BE5864">
        <v>30000</v>
      </c>
      <c r="BF5864">
        <v>1</v>
      </c>
      <c r="BG5864">
        <v>1000</v>
      </c>
      <c r="BH5864">
        <v>1000</v>
      </c>
      <c r="BI5864">
        <v>1000</v>
      </c>
      <c r="BJ5864">
        <v>1000</v>
      </c>
      <c r="BK5864">
        <v>1</v>
      </c>
      <c r="BL5864">
        <v>50000</v>
      </c>
      <c r="BM5864">
        <v>50000</v>
      </c>
      <c r="BN5864">
        <v>50000</v>
      </c>
      <c r="BO5864">
        <v>50000</v>
      </c>
      <c r="BQ5864" t="s">
        <v>34</v>
      </c>
      <c r="BR5864" t="s">
        <v>339</v>
      </c>
      <c r="BS5864">
        <v>162</v>
      </c>
      <c r="BT5864">
        <v>3822.67</v>
      </c>
      <c r="BU5864">
        <v>3000</v>
      </c>
      <c r="BV5864">
        <v>300</v>
      </c>
      <c r="BW5864">
        <v>35000</v>
      </c>
      <c r="BX5864">
        <v>32</v>
      </c>
      <c r="BY5864">
        <v>1662.15</v>
      </c>
      <c r="BZ5864">
        <v>1333.33</v>
      </c>
      <c r="CA5864">
        <v>250</v>
      </c>
      <c r="CB5864">
        <v>5333.33</v>
      </c>
      <c r="CC5864">
        <v>43</v>
      </c>
      <c r="CD5864">
        <v>2417.9499999999998</v>
      </c>
      <c r="CE5864">
        <v>2000</v>
      </c>
      <c r="CF5864">
        <v>250</v>
      </c>
      <c r="CG5864">
        <v>10000</v>
      </c>
      <c r="CH5864">
        <v>22</v>
      </c>
      <c r="CI5864">
        <v>3737.16</v>
      </c>
      <c r="CJ5864">
        <v>1666.67</v>
      </c>
      <c r="CK5864">
        <v>300</v>
      </c>
      <c r="CL5864">
        <v>14250</v>
      </c>
      <c r="CM5864">
        <v>19</v>
      </c>
      <c r="CN5864">
        <v>1143.8399999999999</v>
      </c>
      <c r="CO5864">
        <v>1000</v>
      </c>
      <c r="CP5864">
        <v>125</v>
      </c>
      <c r="CQ5864">
        <v>5000</v>
      </c>
      <c r="CR5864">
        <v>26</v>
      </c>
      <c r="CS5864">
        <v>1545.13</v>
      </c>
      <c r="CT5864">
        <v>1500</v>
      </c>
      <c r="CU5864">
        <v>214.29</v>
      </c>
      <c r="CV5864">
        <v>10000</v>
      </c>
      <c r="CW5864">
        <v>386</v>
      </c>
      <c r="CX5864">
        <v>2606.2800000000002</v>
      </c>
      <c r="CY5864">
        <v>2500</v>
      </c>
      <c r="CZ5864">
        <v>357.14</v>
      </c>
      <c r="DA5864">
        <v>11350</v>
      </c>
      <c r="DB5864">
        <v>2</v>
      </c>
      <c r="DC5864">
        <v>1375</v>
      </c>
      <c r="DD5864">
        <v>1000</v>
      </c>
      <c r="DE5864">
        <v>1000</v>
      </c>
      <c r="DF5864">
        <v>1750</v>
      </c>
      <c r="DG5864">
        <v>18</v>
      </c>
      <c r="DH5864">
        <v>2202.35</v>
      </c>
      <c r="DI5864">
        <v>2000</v>
      </c>
      <c r="DJ5864">
        <v>400</v>
      </c>
      <c r="DK5864">
        <v>16666.669999999998</v>
      </c>
      <c r="DL5864">
        <v>16</v>
      </c>
      <c r="DM5864">
        <v>3900.92</v>
      </c>
      <c r="DN5864">
        <v>3300</v>
      </c>
      <c r="DO5864">
        <v>1000</v>
      </c>
      <c r="DP5864">
        <v>6600</v>
      </c>
      <c r="DQ5864">
        <v>172</v>
      </c>
      <c r="DR5864">
        <v>2015.77</v>
      </c>
      <c r="DS5864">
        <v>2000</v>
      </c>
      <c r="DT5864">
        <v>107.5</v>
      </c>
      <c r="DU5864">
        <v>8000</v>
      </c>
      <c r="DV5864">
        <v>1</v>
      </c>
      <c r="DW5864">
        <v>1000</v>
      </c>
      <c r="DX5864">
        <v>1000</v>
      </c>
      <c r="DY5864">
        <v>1000</v>
      </c>
      <c r="DZ5864">
        <v>1000</v>
      </c>
      <c r="EA5864">
        <v>1</v>
      </c>
      <c r="EB5864">
        <v>16666.669999999998</v>
      </c>
      <c r="EC5864">
        <v>16666.669999999998</v>
      </c>
      <c r="ED5864">
        <v>16666.669999999998</v>
      </c>
      <c r="EE5864">
        <v>16666.669999999998</v>
      </c>
    </row>
    <row r="5865" spans="1:135" x14ac:dyDescent="0.3">
      <c r="A5865" t="s">
        <v>34</v>
      </c>
      <c r="B5865" t="s">
        <v>340</v>
      </c>
      <c r="C5865">
        <v>582</v>
      </c>
      <c r="D5865">
        <v>16195.62</v>
      </c>
      <c r="E5865">
        <v>12000</v>
      </c>
      <c r="F5865">
        <v>860</v>
      </c>
      <c r="G5865">
        <v>122000</v>
      </c>
      <c r="H5865">
        <v>97</v>
      </c>
      <c r="I5865">
        <v>6209.42</v>
      </c>
      <c r="J5865">
        <v>5000</v>
      </c>
      <c r="K5865">
        <v>700</v>
      </c>
      <c r="L5865">
        <v>30000</v>
      </c>
      <c r="M5865">
        <v>181</v>
      </c>
      <c r="N5865">
        <v>12074.62</v>
      </c>
      <c r="O5865">
        <v>10000</v>
      </c>
      <c r="P5865">
        <v>1000</v>
      </c>
      <c r="Q5865">
        <v>60000</v>
      </c>
      <c r="R5865">
        <v>67</v>
      </c>
      <c r="S5865">
        <v>22719.47</v>
      </c>
      <c r="T5865">
        <v>10000</v>
      </c>
      <c r="U5865">
        <v>300</v>
      </c>
      <c r="V5865">
        <v>200000</v>
      </c>
      <c r="W5865">
        <v>30</v>
      </c>
      <c r="X5865">
        <v>2863.32</v>
      </c>
      <c r="Y5865">
        <v>1800</v>
      </c>
      <c r="Z5865">
        <v>700</v>
      </c>
      <c r="AA5865">
        <v>18000</v>
      </c>
      <c r="AB5865">
        <v>108</v>
      </c>
      <c r="AC5865">
        <v>11110.77</v>
      </c>
      <c r="AD5865">
        <v>7000</v>
      </c>
      <c r="AE5865">
        <v>500</v>
      </c>
      <c r="AF5865">
        <v>50000</v>
      </c>
      <c r="AG5865">
        <v>662</v>
      </c>
      <c r="AH5865">
        <v>5795.94</v>
      </c>
      <c r="AI5865">
        <v>4643</v>
      </c>
      <c r="AJ5865">
        <v>1900</v>
      </c>
      <c r="AK5865">
        <v>35000</v>
      </c>
      <c r="AL5865">
        <v>2</v>
      </c>
      <c r="AM5865">
        <v>5503.98</v>
      </c>
      <c r="AN5865">
        <v>7000</v>
      </c>
      <c r="AO5865">
        <v>2000</v>
      </c>
      <c r="AP5865">
        <v>7000</v>
      </c>
      <c r="AQ5865">
        <v>37</v>
      </c>
      <c r="AR5865">
        <v>4525.1400000000003</v>
      </c>
      <c r="AS5865">
        <v>5000</v>
      </c>
      <c r="AT5865">
        <v>500</v>
      </c>
      <c r="AU5865">
        <v>35000</v>
      </c>
      <c r="AV5865">
        <v>20</v>
      </c>
      <c r="AW5865">
        <v>6339.63</v>
      </c>
      <c r="AX5865">
        <v>5000</v>
      </c>
      <c r="AY5865">
        <v>800</v>
      </c>
      <c r="AZ5865">
        <v>20000</v>
      </c>
      <c r="BA5865">
        <v>267</v>
      </c>
      <c r="BB5865">
        <v>5137.92</v>
      </c>
      <c r="BC5865">
        <v>4000</v>
      </c>
      <c r="BD5865">
        <v>800</v>
      </c>
      <c r="BE5865">
        <v>25000</v>
      </c>
      <c r="BF5865">
        <v>1</v>
      </c>
      <c r="BG5865">
        <v>1000</v>
      </c>
      <c r="BH5865">
        <v>1000</v>
      </c>
      <c r="BI5865">
        <v>1000</v>
      </c>
      <c r="BJ5865">
        <v>1000</v>
      </c>
      <c r="BK5865">
        <v>9</v>
      </c>
      <c r="BL5865">
        <v>17353.580000000002</v>
      </c>
      <c r="BM5865">
        <v>3000</v>
      </c>
      <c r="BN5865">
        <v>1200</v>
      </c>
      <c r="BO5865">
        <v>50000</v>
      </c>
      <c r="BQ5865" t="s">
        <v>34</v>
      </c>
      <c r="BR5865" t="s">
        <v>340</v>
      </c>
      <c r="BS5865">
        <v>582</v>
      </c>
      <c r="BT5865">
        <v>7753.02</v>
      </c>
      <c r="BU5865">
        <v>5500</v>
      </c>
      <c r="BV5865">
        <v>215</v>
      </c>
      <c r="BW5865">
        <v>50000</v>
      </c>
      <c r="BX5865">
        <v>97</v>
      </c>
      <c r="BY5865">
        <v>3121.93</v>
      </c>
      <c r="BZ5865">
        <v>1550</v>
      </c>
      <c r="CA5865">
        <v>333.33</v>
      </c>
      <c r="CB5865">
        <v>15000</v>
      </c>
      <c r="CC5865">
        <v>181</v>
      </c>
      <c r="CD5865">
        <v>5366.18</v>
      </c>
      <c r="CE5865">
        <v>5000</v>
      </c>
      <c r="CF5865">
        <v>250</v>
      </c>
      <c r="CG5865">
        <v>40000</v>
      </c>
      <c r="CH5865">
        <v>67</v>
      </c>
      <c r="CI5865">
        <v>12635.42</v>
      </c>
      <c r="CJ5865">
        <v>5000</v>
      </c>
      <c r="CK5865">
        <v>75</v>
      </c>
      <c r="CL5865">
        <v>100000</v>
      </c>
      <c r="CM5865">
        <v>30</v>
      </c>
      <c r="CN5865">
        <v>1756.77</v>
      </c>
      <c r="CO5865">
        <v>1250</v>
      </c>
      <c r="CP5865">
        <v>300</v>
      </c>
      <c r="CQ5865">
        <v>10000</v>
      </c>
      <c r="CR5865">
        <v>108</v>
      </c>
      <c r="CS5865">
        <v>5651.27</v>
      </c>
      <c r="CT5865">
        <v>5000</v>
      </c>
      <c r="CU5865">
        <v>500</v>
      </c>
      <c r="CV5865">
        <v>50000</v>
      </c>
      <c r="CW5865">
        <v>662</v>
      </c>
      <c r="CX5865">
        <v>3597.26</v>
      </c>
      <c r="CY5865">
        <v>3150</v>
      </c>
      <c r="CZ5865">
        <v>250</v>
      </c>
      <c r="DA5865">
        <v>30000</v>
      </c>
      <c r="DB5865">
        <v>2</v>
      </c>
      <c r="DC5865">
        <v>5204.7700000000004</v>
      </c>
      <c r="DD5865">
        <v>7000</v>
      </c>
      <c r="DE5865">
        <v>1000</v>
      </c>
      <c r="DF5865">
        <v>7000</v>
      </c>
      <c r="DG5865">
        <v>37</v>
      </c>
      <c r="DH5865">
        <v>2357.37</v>
      </c>
      <c r="DI5865">
        <v>1666.67</v>
      </c>
      <c r="DJ5865">
        <v>150</v>
      </c>
      <c r="DK5865">
        <v>20000</v>
      </c>
      <c r="DL5865">
        <v>20</v>
      </c>
      <c r="DM5865">
        <v>2572.7199999999998</v>
      </c>
      <c r="DN5865">
        <v>2200</v>
      </c>
      <c r="DO5865">
        <v>400</v>
      </c>
      <c r="DP5865">
        <v>6600</v>
      </c>
      <c r="DQ5865">
        <v>267</v>
      </c>
      <c r="DR5865">
        <v>2166.3000000000002</v>
      </c>
      <c r="DS5865">
        <v>2000</v>
      </c>
      <c r="DT5865">
        <v>143.33000000000001</v>
      </c>
      <c r="DU5865">
        <v>25000</v>
      </c>
      <c r="DV5865">
        <v>1</v>
      </c>
      <c r="DW5865">
        <v>1000</v>
      </c>
      <c r="DX5865">
        <v>1000</v>
      </c>
      <c r="DY5865">
        <v>1000</v>
      </c>
      <c r="DZ5865">
        <v>1000</v>
      </c>
      <c r="EA5865">
        <v>9</v>
      </c>
      <c r="EB5865">
        <v>5596.14</v>
      </c>
      <c r="EC5865">
        <v>1500</v>
      </c>
      <c r="ED5865">
        <v>300</v>
      </c>
      <c r="EE5865">
        <v>16666.669999999998</v>
      </c>
    </row>
    <row r="5866" spans="1:135" x14ac:dyDescent="0.3">
      <c r="A5866" t="s">
        <v>34</v>
      </c>
      <c r="B5866" t="s">
        <v>365</v>
      </c>
      <c r="C5866">
        <v>11</v>
      </c>
      <c r="D5866">
        <v>17277.080000000002</v>
      </c>
      <c r="E5866">
        <v>7000</v>
      </c>
      <c r="F5866">
        <v>2000</v>
      </c>
      <c r="G5866">
        <v>50000</v>
      </c>
      <c r="M5866">
        <v>4</v>
      </c>
      <c r="N5866">
        <v>9051.74</v>
      </c>
      <c r="O5866">
        <v>10000</v>
      </c>
      <c r="P5866">
        <v>2500</v>
      </c>
      <c r="Q5866">
        <v>12000</v>
      </c>
      <c r="AB5866">
        <v>2</v>
      </c>
      <c r="AC5866">
        <v>15861.28</v>
      </c>
      <c r="AD5866">
        <v>20000</v>
      </c>
      <c r="AE5866">
        <v>2000</v>
      </c>
      <c r="AF5866">
        <v>20000</v>
      </c>
      <c r="AG5866">
        <v>4</v>
      </c>
      <c r="AH5866">
        <v>4813.5</v>
      </c>
      <c r="AI5866">
        <v>4500</v>
      </c>
      <c r="AJ5866">
        <v>2700</v>
      </c>
      <c r="AK5866">
        <v>6300</v>
      </c>
      <c r="BA5866">
        <v>10</v>
      </c>
      <c r="BB5866">
        <v>3591.91</v>
      </c>
      <c r="BC5866">
        <v>2090</v>
      </c>
      <c r="BD5866">
        <v>800</v>
      </c>
      <c r="BE5866">
        <v>8000</v>
      </c>
      <c r="BQ5866" t="s">
        <v>34</v>
      </c>
      <c r="BR5866" t="s">
        <v>365</v>
      </c>
      <c r="BS5866">
        <v>11</v>
      </c>
      <c r="BT5866">
        <v>4485.8</v>
      </c>
      <c r="BU5866">
        <v>1750</v>
      </c>
      <c r="BV5866">
        <v>700</v>
      </c>
      <c r="BW5866">
        <v>12500</v>
      </c>
      <c r="CC5866">
        <v>4</v>
      </c>
      <c r="CD5866">
        <v>1698.19</v>
      </c>
      <c r="CE5866">
        <v>1428.57</v>
      </c>
      <c r="CF5866">
        <v>833.33</v>
      </c>
      <c r="CG5866">
        <v>3000</v>
      </c>
      <c r="CR5866">
        <v>2</v>
      </c>
      <c r="CS5866">
        <v>5363.74</v>
      </c>
      <c r="CT5866">
        <v>6666.67</v>
      </c>
      <c r="CU5866">
        <v>1000</v>
      </c>
      <c r="CV5866">
        <v>6666.67</v>
      </c>
      <c r="CW5866">
        <v>4</v>
      </c>
      <c r="CX5866">
        <v>2307.17</v>
      </c>
      <c r="CY5866">
        <v>2250</v>
      </c>
      <c r="CZ5866">
        <v>1350</v>
      </c>
      <c r="DA5866">
        <v>3150</v>
      </c>
      <c r="DQ5866">
        <v>10</v>
      </c>
      <c r="DR5866">
        <v>906.6</v>
      </c>
      <c r="DS5866">
        <v>714.29</v>
      </c>
      <c r="DT5866">
        <v>200</v>
      </c>
      <c r="DU5866">
        <v>2500</v>
      </c>
    </row>
    <row r="5867" spans="1:135" x14ac:dyDescent="0.3">
      <c r="A5867" t="s">
        <v>33</v>
      </c>
      <c r="B5867" t="s">
        <v>339</v>
      </c>
      <c r="C5867">
        <v>159</v>
      </c>
      <c r="D5867">
        <v>12043.32</v>
      </c>
      <c r="E5867">
        <v>10000</v>
      </c>
      <c r="F5867">
        <v>3000</v>
      </c>
      <c r="G5867">
        <v>40000</v>
      </c>
      <c r="H5867">
        <v>12</v>
      </c>
      <c r="I5867">
        <v>5374.42</v>
      </c>
      <c r="J5867">
        <v>5000</v>
      </c>
      <c r="K5867">
        <v>3000</v>
      </c>
      <c r="L5867">
        <v>10000</v>
      </c>
      <c r="M5867">
        <v>19</v>
      </c>
      <c r="N5867">
        <v>9280.7199999999993</v>
      </c>
      <c r="O5867">
        <v>6000</v>
      </c>
      <c r="P5867">
        <v>2500</v>
      </c>
      <c r="Q5867">
        <v>40000</v>
      </c>
      <c r="R5867">
        <v>17</v>
      </c>
      <c r="S5867">
        <v>15035.25</v>
      </c>
      <c r="T5867">
        <v>10000</v>
      </c>
      <c r="U5867">
        <v>2000</v>
      </c>
      <c r="V5867">
        <v>38000</v>
      </c>
      <c r="W5867">
        <v>73</v>
      </c>
      <c r="X5867">
        <v>2378.13</v>
      </c>
      <c r="Y5867">
        <v>2000</v>
      </c>
      <c r="Z5867">
        <v>600</v>
      </c>
      <c r="AA5867">
        <v>12000</v>
      </c>
      <c r="AB5867">
        <v>23</v>
      </c>
      <c r="AC5867">
        <v>5117.57</v>
      </c>
      <c r="AD5867">
        <v>3000</v>
      </c>
      <c r="AE5867">
        <v>500</v>
      </c>
      <c r="AF5867">
        <v>20000</v>
      </c>
      <c r="AG5867">
        <v>396</v>
      </c>
      <c r="AH5867">
        <v>5344.97</v>
      </c>
      <c r="AI5867">
        <v>4400</v>
      </c>
      <c r="AJ5867">
        <v>1000</v>
      </c>
      <c r="AK5867">
        <v>21000</v>
      </c>
      <c r="AQ5867">
        <v>24</v>
      </c>
      <c r="AR5867">
        <v>2541.9</v>
      </c>
      <c r="AS5867">
        <v>2000</v>
      </c>
      <c r="AT5867">
        <v>2000</v>
      </c>
      <c r="AU5867">
        <v>5000</v>
      </c>
      <c r="AV5867">
        <v>3</v>
      </c>
      <c r="AW5867">
        <v>1029.93</v>
      </c>
      <c r="AX5867">
        <v>1000</v>
      </c>
      <c r="AY5867">
        <v>400</v>
      </c>
      <c r="AZ5867">
        <v>2000</v>
      </c>
      <c r="BA5867">
        <v>86</v>
      </c>
      <c r="BB5867">
        <v>3906.85</v>
      </c>
      <c r="BC5867">
        <v>3000</v>
      </c>
      <c r="BD5867">
        <v>600</v>
      </c>
      <c r="BE5867">
        <v>20000</v>
      </c>
      <c r="BF5867">
        <v>1</v>
      </c>
      <c r="BG5867">
        <v>2000</v>
      </c>
      <c r="BH5867">
        <v>2000</v>
      </c>
      <c r="BI5867">
        <v>2000</v>
      </c>
      <c r="BJ5867">
        <v>2000</v>
      </c>
      <c r="BQ5867" t="s">
        <v>33</v>
      </c>
      <c r="BR5867" t="s">
        <v>339</v>
      </c>
      <c r="BS5867">
        <v>159</v>
      </c>
      <c r="BT5867">
        <v>4298.46</v>
      </c>
      <c r="BU5867">
        <v>3750</v>
      </c>
      <c r="BV5867">
        <v>1000</v>
      </c>
      <c r="BW5867">
        <v>30000</v>
      </c>
      <c r="BX5867">
        <v>12</v>
      </c>
      <c r="BY5867">
        <v>1801.14</v>
      </c>
      <c r="BZ5867">
        <v>2000</v>
      </c>
      <c r="CA5867">
        <v>333.33</v>
      </c>
      <c r="CB5867">
        <v>3333.33</v>
      </c>
      <c r="CC5867">
        <v>19</v>
      </c>
      <c r="CD5867">
        <v>3016.98</v>
      </c>
      <c r="CE5867">
        <v>1800</v>
      </c>
      <c r="CF5867">
        <v>800</v>
      </c>
      <c r="CG5867">
        <v>13333.33</v>
      </c>
      <c r="CH5867">
        <v>17</v>
      </c>
      <c r="CI5867">
        <v>5399.56</v>
      </c>
      <c r="CJ5867">
        <v>5000</v>
      </c>
      <c r="CK5867">
        <v>666.67</v>
      </c>
      <c r="CL5867">
        <v>12666.67</v>
      </c>
      <c r="CM5867">
        <v>73</v>
      </c>
      <c r="CN5867">
        <v>1086.0999999999999</v>
      </c>
      <c r="CO5867">
        <v>1000</v>
      </c>
      <c r="CP5867">
        <v>277.67</v>
      </c>
      <c r="CQ5867">
        <v>6000</v>
      </c>
      <c r="CR5867">
        <v>23</v>
      </c>
      <c r="CS5867">
        <v>2628.3</v>
      </c>
      <c r="CT5867">
        <v>2000</v>
      </c>
      <c r="CU5867">
        <v>500</v>
      </c>
      <c r="CV5867">
        <v>6666.67</v>
      </c>
      <c r="CW5867">
        <v>396</v>
      </c>
      <c r="CX5867">
        <v>3028.47</v>
      </c>
      <c r="CY5867">
        <v>3000</v>
      </c>
      <c r="CZ5867">
        <v>375</v>
      </c>
      <c r="DA5867">
        <v>10500</v>
      </c>
      <c r="DG5867">
        <v>24</v>
      </c>
      <c r="DH5867">
        <v>1328.07</v>
      </c>
      <c r="DI5867">
        <v>1000</v>
      </c>
      <c r="DJ5867">
        <v>1000</v>
      </c>
      <c r="DK5867">
        <v>3000</v>
      </c>
      <c r="DL5867">
        <v>3</v>
      </c>
      <c r="DM5867">
        <v>946.89</v>
      </c>
      <c r="DN5867">
        <v>1000</v>
      </c>
      <c r="DO5867">
        <v>200</v>
      </c>
      <c r="DP5867">
        <v>2000</v>
      </c>
      <c r="DQ5867">
        <v>86</v>
      </c>
      <c r="DR5867">
        <v>1657.86</v>
      </c>
      <c r="DS5867">
        <v>1333.33</v>
      </c>
      <c r="DT5867">
        <v>143.33000000000001</v>
      </c>
      <c r="DU5867">
        <v>7500</v>
      </c>
      <c r="DV5867">
        <v>1</v>
      </c>
      <c r="DW5867">
        <v>2000</v>
      </c>
      <c r="DX5867">
        <v>2000</v>
      </c>
      <c r="DY5867">
        <v>2000</v>
      </c>
      <c r="DZ5867">
        <v>2000</v>
      </c>
    </row>
    <row r="5868" spans="1:135" x14ac:dyDescent="0.3">
      <c r="A5868" t="s">
        <v>33</v>
      </c>
      <c r="B5868" t="s">
        <v>340</v>
      </c>
      <c r="C5868">
        <v>742</v>
      </c>
      <c r="D5868">
        <v>16881.849999999999</v>
      </c>
      <c r="E5868">
        <v>15000</v>
      </c>
      <c r="F5868">
        <v>3000</v>
      </c>
      <c r="G5868">
        <v>200000</v>
      </c>
      <c r="H5868">
        <v>61</v>
      </c>
      <c r="I5868">
        <v>9349.2099999999991</v>
      </c>
      <c r="J5868">
        <v>8000</v>
      </c>
      <c r="K5868">
        <v>2000</v>
      </c>
      <c r="L5868">
        <v>50000</v>
      </c>
      <c r="M5868">
        <v>113</v>
      </c>
      <c r="N5868">
        <v>8690.69</v>
      </c>
      <c r="O5868">
        <v>7000</v>
      </c>
      <c r="P5868">
        <v>1500</v>
      </c>
      <c r="Q5868">
        <v>20000</v>
      </c>
      <c r="R5868">
        <v>118</v>
      </c>
      <c r="S5868">
        <v>23275.27</v>
      </c>
      <c r="T5868">
        <v>20000</v>
      </c>
      <c r="U5868">
        <v>1000</v>
      </c>
      <c r="V5868">
        <v>100000</v>
      </c>
      <c r="W5868">
        <v>180</v>
      </c>
      <c r="X5868">
        <v>3193.04</v>
      </c>
      <c r="Y5868">
        <v>2083</v>
      </c>
      <c r="Z5868">
        <v>500</v>
      </c>
      <c r="AA5868">
        <v>20000</v>
      </c>
      <c r="AB5868">
        <v>80</v>
      </c>
      <c r="AC5868">
        <v>9394.99</v>
      </c>
      <c r="AD5868">
        <v>5000</v>
      </c>
      <c r="AE5868">
        <v>1000</v>
      </c>
      <c r="AF5868">
        <v>40000</v>
      </c>
      <c r="AG5868">
        <v>519</v>
      </c>
      <c r="AH5868">
        <v>5321.29</v>
      </c>
      <c r="AI5868">
        <v>4500</v>
      </c>
      <c r="AJ5868">
        <v>2000</v>
      </c>
      <c r="AK5868">
        <v>23000</v>
      </c>
      <c r="AQ5868">
        <v>23</v>
      </c>
      <c r="AR5868">
        <v>2780.01</v>
      </c>
      <c r="AS5868">
        <v>2000</v>
      </c>
      <c r="AT5868">
        <v>1000</v>
      </c>
      <c r="AU5868">
        <v>6000</v>
      </c>
      <c r="AV5868">
        <v>3</v>
      </c>
      <c r="AW5868">
        <v>20757.48</v>
      </c>
      <c r="AX5868">
        <v>5000</v>
      </c>
      <c r="AY5868">
        <v>4400</v>
      </c>
      <c r="AZ5868">
        <v>70000</v>
      </c>
      <c r="BA5868">
        <v>149</v>
      </c>
      <c r="BB5868">
        <v>3681.44</v>
      </c>
      <c r="BC5868">
        <v>2500</v>
      </c>
      <c r="BD5868">
        <v>760</v>
      </c>
      <c r="BE5868">
        <v>23000</v>
      </c>
      <c r="BQ5868" t="s">
        <v>33</v>
      </c>
      <c r="BR5868" t="s">
        <v>340</v>
      </c>
      <c r="BS5868">
        <v>742</v>
      </c>
      <c r="BT5868">
        <v>7022.45</v>
      </c>
      <c r="BU5868">
        <v>6000</v>
      </c>
      <c r="BV5868">
        <v>800</v>
      </c>
      <c r="BW5868">
        <v>66666.67</v>
      </c>
      <c r="BX5868">
        <v>61</v>
      </c>
      <c r="BY5868">
        <v>3577.06</v>
      </c>
      <c r="BZ5868">
        <v>3333.33</v>
      </c>
      <c r="CA5868">
        <v>400</v>
      </c>
      <c r="CB5868">
        <v>12500</v>
      </c>
      <c r="CC5868">
        <v>113</v>
      </c>
      <c r="CD5868">
        <v>4115.04</v>
      </c>
      <c r="CE5868">
        <v>3333.33</v>
      </c>
      <c r="CF5868">
        <v>666.67</v>
      </c>
      <c r="CG5868">
        <v>20000</v>
      </c>
      <c r="CH5868">
        <v>118</v>
      </c>
      <c r="CI5868">
        <v>9513.2800000000007</v>
      </c>
      <c r="CJ5868">
        <v>7500</v>
      </c>
      <c r="CK5868">
        <v>500</v>
      </c>
      <c r="CL5868">
        <v>50000</v>
      </c>
      <c r="CM5868">
        <v>180</v>
      </c>
      <c r="CN5868">
        <v>1586.17</v>
      </c>
      <c r="CO5868">
        <v>1000</v>
      </c>
      <c r="CP5868">
        <v>200</v>
      </c>
      <c r="CQ5868">
        <v>15000</v>
      </c>
      <c r="CR5868">
        <v>80</v>
      </c>
      <c r="CS5868">
        <v>4217.82</v>
      </c>
      <c r="CT5868">
        <v>3250</v>
      </c>
      <c r="CU5868">
        <v>500</v>
      </c>
      <c r="CV5868">
        <v>15000</v>
      </c>
      <c r="CW5868">
        <v>519</v>
      </c>
      <c r="CX5868">
        <v>3279.2</v>
      </c>
      <c r="CY5868">
        <v>3200</v>
      </c>
      <c r="CZ5868">
        <v>480</v>
      </c>
      <c r="DA5868">
        <v>11500</v>
      </c>
      <c r="DG5868">
        <v>23</v>
      </c>
      <c r="DH5868">
        <v>1420.61</v>
      </c>
      <c r="DI5868">
        <v>1000</v>
      </c>
      <c r="DJ5868">
        <v>500</v>
      </c>
      <c r="DK5868">
        <v>3000</v>
      </c>
      <c r="DL5868">
        <v>3</v>
      </c>
      <c r="DM5868">
        <v>5225.71</v>
      </c>
      <c r="DN5868">
        <v>2500</v>
      </c>
      <c r="DO5868">
        <v>2200</v>
      </c>
      <c r="DP5868">
        <v>14000</v>
      </c>
      <c r="DQ5868">
        <v>149</v>
      </c>
      <c r="DR5868">
        <v>1510.74</v>
      </c>
      <c r="DS5868">
        <v>1250</v>
      </c>
      <c r="DT5868">
        <v>114.29</v>
      </c>
      <c r="DU5868">
        <v>23000</v>
      </c>
    </row>
    <row r="5869" spans="1:135" x14ac:dyDescent="0.3">
      <c r="A5869" t="s">
        <v>33</v>
      </c>
      <c r="B5869" t="s">
        <v>365</v>
      </c>
      <c r="C5869">
        <v>9</v>
      </c>
      <c r="D5869">
        <v>16566.150000000001</v>
      </c>
      <c r="E5869">
        <v>19000</v>
      </c>
      <c r="F5869">
        <v>8000</v>
      </c>
      <c r="G5869">
        <v>24000</v>
      </c>
      <c r="H5869">
        <v>1</v>
      </c>
      <c r="I5869">
        <v>3000</v>
      </c>
      <c r="J5869">
        <v>3000</v>
      </c>
      <c r="K5869">
        <v>3000</v>
      </c>
      <c r="L5869">
        <v>3000</v>
      </c>
      <c r="M5869">
        <v>1</v>
      </c>
      <c r="N5869">
        <v>10000</v>
      </c>
      <c r="O5869">
        <v>10000</v>
      </c>
      <c r="P5869">
        <v>10000</v>
      </c>
      <c r="Q5869">
        <v>10000</v>
      </c>
      <c r="R5869">
        <v>4</v>
      </c>
      <c r="S5869">
        <v>25543.32</v>
      </c>
      <c r="T5869">
        <v>25000</v>
      </c>
      <c r="U5869">
        <v>15000</v>
      </c>
      <c r="V5869">
        <v>40000</v>
      </c>
      <c r="W5869">
        <v>3</v>
      </c>
      <c r="X5869">
        <v>3333.33</v>
      </c>
      <c r="Y5869">
        <v>3000</v>
      </c>
      <c r="Z5869">
        <v>3000</v>
      </c>
      <c r="AA5869">
        <v>4000</v>
      </c>
      <c r="AB5869">
        <v>3</v>
      </c>
      <c r="AC5869">
        <v>15000</v>
      </c>
      <c r="AD5869">
        <v>15000</v>
      </c>
      <c r="AE5869">
        <v>15000</v>
      </c>
      <c r="AF5869">
        <v>15000</v>
      </c>
      <c r="AG5869">
        <v>3</v>
      </c>
      <c r="AH5869">
        <v>3603.97</v>
      </c>
      <c r="AI5869">
        <v>3500</v>
      </c>
      <c r="AJ5869">
        <v>2700</v>
      </c>
      <c r="AK5869">
        <v>4700</v>
      </c>
      <c r="BA5869">
        <v>1</v>
      </c>
      <c r="BB5869">
        <v>26000</v>
      </c>
      <c r="BC5869">
        <v>26000</v>
      </c>
      <c r="BD5869">
        <v>26000</v>
      </c>
      <c r="BE5869">
        <v>26000</v>
      </c>
      <c r="BQ5869" t="s">
        <v>33</v>
      </c>
      <c r="BR5869" t="s">
        <v>365</v>
      </c>
      <c r="BS5869">
        <v>9</v>
      </c>
      <c r="BT5869">
        <v>5014.05</v>
      </c>
      <c r="BU5869">
        <v>5333.33</v>
      </c>
      <c r="BV5869">
        <v>2666.67</v>
      </c>
      <c r="BW5869">
        <v>6666.67</v>
      </c>
      <c r="BX5869">
        <v>1</v>
      </c>
      <c r="BY5869">
        <v>750</v>
      </c>
      <c r="BZ5869">
        <v>750</v>
      </c>
      <c r="CA5869">
        <v>750</v>
      </c>
      <c r="CB5869">
        <v>750</v>
      </c>
      <c r="CC5869">
        <v>1</v>
      </c>
      <c r="CD5869">
        <v>2500</v>
      </c>
      <c r="CE5869">
        <v>2500</v>
      </c>
      <c r="CF5869">
        <v>2500</v>
      </c>
      <c r="CG5869">
        <v>2500</v>
      </c>
      <c r="CH5869">
        <v>4</v>
      </c>
      <c r="CI5869">
        <v>6281.52</v>
      </c>
      <c r="CJ5869">
        <v>6250</v>
      </c>
      <c r="CK5869">
        <v>3750</v>
      </c>
      <c r="CL5869">
        <v>8333.33</v>
      </c>
      <c r="CM5869">
        <v>3</v>
      </c>
      <c r="CN5869">
        <v>916.67</v>
      </c>
      <c r="CO5869">
        <v>1000</v>
      </c>
      <c r="CP5869">
        <v>750</v>
      </c>
      <c r="CQ5869">
        <v>1000</v>
      </c>
      <c r="CR5869">
        <v>3</v>
      </c>
      <c r="CS5869">
        <v>5078.66</v>
      </c>
      <c r="CT5869">
        <v>3750</v>
      </c>
      <c r="CU5869">
        <v>3750</v>
      </c>
      <c r="CV5869">
        <v>7500</v>
      </c>
      <c r="CW5869">
        <v>3</v>
      </c>
      <c r="CX5869">
        <v>924.21</v>
      </c>
      <c r="CY5869">
        <v>900</v>
      </c>
      <c r="CZ5869">
        <v>700</v>
      </c>
      <c r="DA5869">
        <v>1175</v>
      </c>
      <c r="DQ5869">
        <v>1</v>
      </c>
      <c r="DR5869">
        <v>2888.89</v>
      </c>
      <c r="DS5869">
        <v>2888.89</v>
      </c>
      <c r="DT5869">
        <v>2888.89</v>
      </c>
      <c r="DU5869">
        <v>2888.89</v>
      </c>
    </row>
    <row r="5870" spans="1:135" x14ac:dyDescent="0.3">
      <c r="A5870" t="s">
        <v>49</v>
      </c>
      <c r="B5870" t="s">
        <v>339</v>
      </c>
      <c r="C5870">
        <v>1071</v>
      </c>
      <c r="D5870">
        <v>12723.64</v>
      </c>
      <c r="E5870">
        <v>10000</v>
      </c>
      <c r="F5870">
        <v>1000</v>
      </c>
      <c r="G5870">
        <v>250000</v>
      </c>
      <c r="H5870">
        <v>183</v>
      </c>
      <c r="I5870">
        <v>6874.46</v>
      </c>
      <c r="J5870">
        <v>5000</v>
      </c>
      <c r="K5870">
        <v>800</v>
      </c>
      <c r="L5870">
        <v>30000</v>
      </c>
      <c r="M5870">
        <v>266</v>
      </c>
      <c r="N5870">
        <v>7939.94</v>
      </c>
      <c r="O5870">
        <v>6000</v>
      </c>
      <c r="P5870">
        <v>900</v>
      </c>
      <c r="Q5870">
        <v>40000</v>
      </c>
      <c r="R5870">
        <v>160</v>
      </c>
      <c r="S5870">
        <v>15241.5</v>
      </c>
      <c r="T5870">
        <v>7000</v>
      </c>
      <c r="U5870">
        <v>500</v>
      </c>
      <c r="V5870">
        <v>200000</v>
      </c>
      <c r="W5870">
        <v>279</v>
      </c>
      <c r="X5870">
        <v>1838.48</v>
      </c>
      <c r="Y5870">
        <v>1200</v>
      </c>
      <c r="Z5870">
        <v>350</v>
      </c>
      <c r="AA5870">
        <v>12000</v>
      </c>
      <c r="AB5870">
        <v>220</v>
      </c>
      <c r="AC5870">
        <v>6587.78</v>
      </c>
      <c r="AD5870">
        <v>3000</v>
      </c>
      <c r="AE5870">
        <v>300</v>
      </c>
      <c r="AF5870">
        <v>100000</v>
      </c>
      <c r="AG5870">
        <v>2740</v>
      </c>
      <c r="AH5870">
        <v>5496.03</v>
      </c>
      <c r="AI5870">
        <v>4500</v>
      </c>
      <c r="AJ5870">
        <v>1000</v>
      </c>
      <c r="AK5870">
        <v>27000</v>
      </c>
      <c r="AL5870">
        <v>7</v>
      </c>
      <c r="AM5870">
        <v>5953.16</v>
      </c>
      <c r="AN5870">
        <v>2000</v>
      </c>
      <c r="AO5870">
        <v>1500</v>
      </c>
      <c r="AP5870">
        <v>70000</v>
      </c>
      <c r="AQ5870">
        <v>96</v>
      </c>
      <c r="AR5870">
        <v>6795.05</v>
      </c>
      <c r="AS5870">
        <v>3500</v>
      </c>
      <c r="AT5870">
        <v>500</v>
      </c>
      <c r="AU5870">
        <v>100000</v>
      </c>
      <c r="AV5870">
        <v>54</v>
      </c>
      <c r="AW5870">
        <v>6188.13</v>
      </c>
      <c r="AX5870">
        <v>6000</v>
      </c>
      <c r="AY5870">
        <v>300</v>
      </c>
      <c r="AZ5870">
        <v>19800</v>
      </c>
      <c r="BA5870">
        <v>981</v>
      </c>
      <c r="BB5870">
        <v>4728.1499999999996</v>
      </c>
      <c r="BC5870">
        <v>3400</v>
      </c>
      <c r="BD5870">
        <v>600</v>
      </c>
      <c r="BE5870">
        <v>42000</v>
      </c>
      <c r="BF5870">
        <v>4</v>
      </c>
      <c r="BG5870">
        <v>1374.34</v>
      </c>
      <c r="BH5870">
        <v>1000</v>
      </c>
      <c r="BI5870">
        <v>1000</v>
      </c>
      <c r="BJ5870">
        <v>2000</v>
      </c>
      <c r="BK5870">
        <v>13</v>
      </c>
      <c r="BL5870">
        <v>12610.38</v>
      </c>
      <c r="BM5870">
        <v>1600</v>
      </c>
      <c r="BN5870">
        <v>370</v>
      </c>
      <c r="BO5870">
        <v>70000</v>
      </c>
      <c r="BQ5870" t="s">
        <v>49</v>
      </c>
      <c r="BR5870" t="s">
        <v>339</v>
      </c>
      <c r="BS5870">
        <v>1071</v>
      </c>
      <c r="BT5870">
        <v>4499.68</v>
      </c>
      <c r="BU5870">
        <v>3333.33</v>
      </c>
      <c r="BV5870">
        <v>200</v>
      </c>
      <c r="BW5870">
        <v>50000</v>
      </c>
      <c r="BX5870">
        <v>183</v>
      </c>
      <c r="BY5870">
        <v>2646.21</v>
      </c>
      <c r="BZ5870">
        <v>1600</v>
      </c>
      <c r="CA5870">
        <v>142.86000000000001</v>
      </c>
      <c r="CB5870">
        <v>25000</v>
      </c>
      <c r="CC5870">
        <v>266</v>
      </c>
      <c r="CD5870">
        <v>2701.19</v>
      </c>
      <c r="CE5870">
        <v>2333.33</v>
      </c>
      <c r="CF5870">
        <v>250</v>
      </c>
      <c r="CG5870">
        <v>13333.33</v>
      </c>
      <c r="CH5870">
        <v>160</v>
      </c>
      <c r="CI5870">
        <v>5509.37</v>
      </c>
      <c r="CJ5870">
        <v>2500</v>
      </c>
      <c r="CK5870">
        <v>125</v>
      </c>
      <c r="CL5870">
        <v>50000</v>
      </c>
      <c r="CM5870">
        <v>279</v>
      </c>
      <c r="CN5870">
        <v>894.48</v>
      </c>
      <c r="CO5870">
        <v>667</v>
      </c>
      <c r="CP5870">
        <v>80</v>
      </c>
      <c r="CQ5870">
        <v>9100</v>
      </c>
      <c r="CR5870">
        <v>220</v>
      </c>
      <c r="CS5870">
        <v>3871.65</v>
      </c>
      <c r="CT5870">
        <v>2000</v>
      </c>
      <c r="CU5870">
        <v>75</v>
      </c>
      <c r="CV5870">
        <v>100000</v>
      </c>
      <c r="CW5870">
        <v>2740</v>
      </c>
      <c r="CX5870">
        <v>2866.05</v>
      </c>
      <c r="CY5870">
        <v>2600</v>
      </c>
      <c r="CZ5870">
        <v>300</v>
      </c>
      <c r="DA5870">
        <v>20000</v>
      </c>
      <c r="DB5870">
        <v>7</v>
      </c>
      <c r="DC5870">
        <v>3344.32</v>
      </c>
      <c r="DD5870">
        <v>1000</v>
      </c>
      <c r="DE5870">
        <v>214.29</v>
      </c>
      <c r="DF5870">
        <v>40000</v>
      </c>
      <c r="DG5870">
        <v>96</v>
      </c>
      <c r="DH5870">
        <v>3593.98</v>
      </c>
      <c r="DI5870">
        <v>1666.67</v>
      </c>
      <c r="DJ5870">
        <v>125</v>
      </c>
      <c r="DK5870">
        <v>50000</v>
      </c>
      <c r="DL5870">
        <v>54</v>
      </c>
      <c r="DM5870">
        <v>2715.44</v>
      </c>
      <c r="DN5870">
        <v>2000</v>
      </c>
      <c r="DO5870">
        <v>150</v>
      </c>
      <c r="DP5870">
        <v>8000</v>
      </c>
      <c r="DQ5870">
        <v>981</v>
      </c>
      <c r="DR5870">
        <v>1869.34</v>
      </c>
      <c r="DS5870">
        <v>1500</v>
      </c>
      <c r="DT5870">
        <v>107.5</v>
      </c>
      <c r="DU5870">
        <v>21000</v>
      </c>
      <c r="DV5870">
        <v>4</v>
      </c>
      <c r="DW5870">
        <v>1179.06</v>
      </c>
      <c r="DX5870">
        <v>1000</v>
      </c>
      <c r="DY5870">
        <v>500</v>
      </c>
      <c r="DZ5870">
        <v>2000</v>
      </c>
      <c r="EA5870">
        <v>13</v>
      </c>
      <c r="EB5870">
        <v>5995.72</v>
      </c>
      <c r="EC5870">
        <v>500</v>
      </c>
      <c r="ED5870">
        <v>185</v>
      </c>
      <c r="EE5870">
        <v>32000</v>
      </c>
    </row>
    <row r="5871" spans="1:135" x14ac:dyDescent="0.3">
      <c r="A5871" t="s">
        <v>49</v>
      </c>
      <c r="B5871" t="s">
        <v>340</v>
      </c>
      <c r="C5871">
        <v>4204</v>
      </c>
      <c r="D5871">
        <v>18901.75</v>
      </c>
      <c r="E5871">
        <v>15000</v>
      </c>
      <c r="F5871">
        <v>860</v>
      </c>
      <c r="G5871">
        <v>200000</v>
      </c>
      <c r="H5871">
        <v>598</v>
      </c>
      <c r="I5871">
        <v>8680.8799999999992</v>
      </c>
      <c r="J5871">
        <v>8000</v>
      </c>
      <c r="K5871">
        <v>500</v>
      </c>
      <c r="L5871">
        <v>60000</v>
      </c>
      <c r="M5871">
        <v>1015</v>
      </c>
      <c r="N5871">
        <v>10369.48</v>
      </c>
      <c r="O5871">
        <v>8900</v>
      </c>
      <c r="P5871">
        <v>1000</v>
      </c>
      <c r="Q5871">
        <v>60000</v>
      </c>
      <c r="R5871">
        <v>600</v>
      </c>
      <c r="S5871">
        <v>21148.080000000002</v>
      </c>
      <c r="T5871">
        <v>15000</v>
      </c>
      <c r="U5871">
        <v>300</v>
      </c>
      <c r="V5871">
        <v>200000</v>
      </c>
      <c r="W5871">
        <v>533</v>
      </c>
      <c r="X5871">
        <v>2930.04</v>
      </c>
      <c r="Y5871">
        <v>2000</v>
      </c>
      <c r="Z5871">
        <v>330</v>
      </c>
      <c r="AA5871">
        <v>50000</v>
      </c>
      <c r="AB5871">
        <v>633</v>
      </c>
      <c r="AC5871">
        <v>9176.16</v>
      </c>
      <c r="AD5871">
        <v>5000</v>
      </c>
      <c r="AE5871">
        <v>500</v>
      </c>
      <c r="AF5871">
        <v>70000</v>
      </c>
      <c r="AG5871">
        <v>3623</v>
      </c>
      <c r="AH5871">
        <v>5407.59</v>
      </c>
      <c r="AI5871">
        <v>4300</v>
      </c>
      <c r="AJ5871">
        <v>1100</v>
      </c>
      <c r="AK5871">
        <v>78000</v>
      </c>
      <c r="AL5871">
        <v>6</v>
      </c>
      <c r="AM5871">
        <v>4138.54</v>
      </c>
      <c r="AN5871">
        <v>4000</v>
      </c>
      <c r="AO5871">
        <v>500</v>
      </c>
      <c r="AP5871">
        <v>7000</v>
      </c>
      <c r="AQ5871">
        <v>161</v>
      </c>
      <c r="AR5871">
        <v>6125.94</v>
      </c>
      <c r="AS5871">
        <v>3000</v>
      </c>
      <c r="AT5871">
        <v>500</v>
      </c>
      <c r="AU5871">
        <v>200000</v>
      </c>
      <c r="AV5871">
        <v>90</v>
      </c>
      <c r="AW5871">
        <v>6332.64</v>
      </c>
      <c r="AX5871">
        <v>5000</v>
      </c>
      <c r="AY5871">
        <v>800</v>
      </c>
      <c r="AZ5871">
        <v>70000</v>
      </c>
      <c r="BA5871">
        <v>1348</v>
      </c>
      <c r="BB5871">
        <v>3984.23</v>
      </c>
      <c r="BC5871">
        <v>2760</v>
      </c>
      <c r="BD5871">
        <v>600</v>
      </c>
      <c r="BE5871">
        <v>90000</v>
      </c>
      <c r="BF5871">
        <v>18</v>
      </c>
      <c r="BG5871">
        <v>2041.25</v>
      </c>
      <c r="BH5871">
        <v>1000</v>
      </c>
      <c r="BI5871">
        <v>500</v>
      </c>
      <c r="BJ5871">
        <v>8000</v>
      </c>
      <c r="BK5871">
        <v>27</v>
      </c>
      <c r="BL5871">
        <v>10002.85</v>
      </c>
      <c r="BM5871">
        <v>2800</v>
      </c>
      <c r="BN5871">
        <v>500</v>
      </c>
      <c r="BO5871">
        <v>50000</v>
      </c>
      <c r="BQ5871" t="s">
        <v>49</v>
      </c>
      <c r="BR5871" t="s">
        <v>340</v>
      </c>
      <c r="BS5871">
        <v>4204</v>
      </c>
      <c r="BT5871">
        <v>8249.1299999999992</v>
      </c>
      <c r="BU5871">
        <v>6000</v>
      </c>
      <c r="BV5871">
        <v>215</v>
      </c>
      <c r="BW5871">
        <v>100000</v>
      </c>
      <c r="BX5871">
        <v>598</v>
      </c>
      <c r="BY5871">
        <v>4418.96</v>
      </c>
      <c r="BZ5871">
        <v>3333.33</v>
      </c>
      <c r="CA5871">
        <v>214.29</v>
      </c>
      <c r="CB5871">
        <v>29000</v>
      </c>
      <c r="CC5871">
        <v>1015</v>
      </c>
      <c r="CD5871">
        <v>4893.12</v>
      </c>
      <c r="CE5871">
        <v>3500</v>
      </c>
      <c r="CF5871">
        <v>250</v>
      </c>
      <c r="CG5871">
        <v>52000</v>
      </c>
      <c r="CH5871">
        <v>600</v>
      </c>
      <c r="CI5871">
        <v>9564.92</v>
      </c>
      <c r="CJ5871">
        <v>5000</v>
      </c>
      <c r="CK5871">
        <v>75</v>
      </c>
      <c r="CL5871">
        <v>100000</v>
      </c>
      <c r="CM5871">
        <v>533</v>
      </c>
      <c r="CN5871">
        <v>1556.07</v>
      </c>
      <c r="CO5871">
        <v>1000</v>
      </c>
      <c r="CP5871">
        <v>80</v>
      </c>
      <c r="CQ5871">
        <v>25000</v>
      </c>
      <c r="CR5871">
        <v>633</v>
      </c>
      <c r="CS5871">
        <v>4637.7</v>
      </c>
      <c r="CT5871">
        <v>3000</v>
      </c>
      <c r="CU5871">
        <v>220</v>
      </c>
      <c r="CV5871">
        <v>50000</v>
      </c>
      <c r="CW5871">
        <v>3623</v>
      </c>
      <c r="CX5871">
        <v>3185.33</v>
      </c>
      <c r="CY5871">
        <v>3000</v>
      </c>
      <c r="CZ5871">
        <v>250</v>
      </c>
      <c r="DA5871">
        <v>78000</v>
      </c>
      <c r="DB5871">
        <v>6</v>
      </c>
      <c r="DC5871">
        <v>3783.36</v>
      </c>
      <c r="DD5871">
        <v>4000</v>
      </c>
      <c r="DE5871">
        <v>250</v>
      </c>
      <c r="DF5871">
        <v>7000</v>
      </c>
      <c r="DG5871">
        <v>161</v>
      </c>
      <c r="DH5871">
        <v>3211.74</v>
      </c>
      <c r="DI5871">
        <v>1666.67</v>
      </c>
      <c r="DJ5871">
        <v>150</v>
      </c>
      <c r="DK5871">
        <v>100000</v>
      </c>
      <c r="DL5871">
        <v>90</v>
      </c>
      <c r="DM5871">
        <v>2408.4</v>
      </c>
      <c r="DN5871">
        <v>2000</v>
      </c>
      <c r="DO5871">
        <v>333.33</v>
      </c>
      <c r="DP5871">
        <v>14000</v>
      </c>
      <c r="DQ5871">
        <v>1348</v>
      </c>
      <c r="DR5871">
        <v>1624.97</v>
      </c>
      <c r="DS5871">
        <v>1500</v>
      </c>
      <c r="DT5871">
        <v>72.22</v>
      </c>
      <c r="DU5871">
        <v>25000</v>
      </c>
      <c r="DV5871">
        <v>18</v>
      </c>
      <c r="DW5871">
        <v>1093.69</v>
      </c>
      <c r="DX5871">
        <v>500</v>
      </c>
      <c r="DY5871">
        <v>215</v>
      </c>
      <c r="DZ5871">
        <v>4000</v>
      </c>
      <c r="EA5871">
        <v>27</v>
      </c>
      <c r="EB5871">
        <v>4264.1400000000003</v>
      </c>
      <c r="EC5871">
        <v>1400</v>
      </c>
      <c r="ED5871">
        <v>250</v>
      </c>
      <c r="EE5871">
        <v>20000</v>
      </c>
    </row>
    <row r="5872" spans="1:135" x14ac:dyDescent="0.3">
      <c r="A5872" t="s">
        <v>49</v>
      </c>
      <c r="B5872" t="s">
        <v>365</v>
      </c>
      <c r="C5872">
        <v>106</v>
      </c>
      <c r="D5872">
        <v>18244.77</v>
      </c>
      <c r="E5872">
        <v>15000</v>
      </c>
      <c r="F5872">
        <v>2000</v>
      </c>
      <c r="G5872">
        <v>150000</v>
      </c>
      <c r="H5872">
        <v>11</v>
      </c>
      <c r="I5872">
        <v>4483.96</v>
      </c>
      <c r="J5872">
        <v>4000</v>
      </c>
      <c r="K5872">
        <v>2000</v>
      </c>
      <c r="L5872">
        <v>12000</v>
      </c>
      <c r="M5872">
        <v>25</v>
      </c>
      <c r="N5872">
        <v>9411.43</v>
      </c>
      <c r="O5872">
        <v>10000</v>
      </c>
      <c r="P5872">
        <v>2000</v>
      </c>
      <c r="Q5872">
        <v>15000</v>
      </c>
      <c r="R5872">
        <v>12</v>
      </c>
      <c r="S5872">
        <v>16693.3</v>
      </c>
      <c r="T5872">
        <v>15000</v>
      </c>
      <c r="U5872">
        <v>4000</v>
      </c>
      <c r="V5872">
        <v>40000</v>
      </c>
      <c r="W5872">
        <v>9</v>
      </c>
      <c r="X5872">
        <v>3028.09</v>
      </c>
      <c r="Y5872">
        <v>3000</v>
      </c>
      <c r="Z5872">
        <v>500</v>
      </c>
      <c r="AA5872">
        <v>5000</v>
      </c>
      <c r="AB5872">
        <v>14</v>
      </c>
      <c r="AC5872">
        <v>32853.919999999998</v>
      </c>
      <c r="AD5872">
        <v>15000</v>
      </c>
      <c r="AE5872">
        <v>1500</v>
      </c>
      <c r="AF5872">
        <v>108000</v>
      </c>
      <c r="AG5872">
        <v>39</v>
      </c>
      <c r="AH5872">
        <v>5219.1000000000004</v>
      </c>
      <c r="AI5872">
        <v>4500</v>
      </c>
      <c r="AJ5872">
        <v>2090</v>
      </c>
      <c r="AK5872">
        <v>14000</v>
      </c>
      <c r="AV5872">
        <v>2</v>
      </c>
      <c r="AW5872">
        <v>17991.560000000001</v>
      </c>
      <c r="AX5872">
        <v>25000</v>
      </c>
      <c r="AY5872">
        <v>14000</v>
      </c>
      <c r="AZ5872">
        <v>25000</v>
      </c>
      <c r="BA5872">
        <v>44</v>
      </c>
      <c r="BB5872">
        <v>4958.87</v>
      </c>
      <c r="BC5872">
        <v>2700</v>
      </c>
      <c r="BD5872">
        <v>640</v>
      </c>
      <c r="BE5872">
        <v>26000</v>
      </c>
      <c r="BF5872">
        <v>1</v>
      </c>
      <c r="BG5872">
        <v>5000</v>
      </c>
      <c r="BH5872">
        <v>5000</v>
      </c>
      <c r="BI5872">
        <v>5000</v>
      </c>
      <c r="BJ5872">
        <v>5000</v>
      </c>
      <c r="BK5872">
        <v>1</v>
      </c>
      <c r="BL5872">
        <v>108000</v>
      </c>
      <c r="BM5872">
        <v>108000</v>
      </c>
      <c r="BN5872">
        <v>108000</v>
      </c>
      <c r="BO5872">
        <v>108000</v>
      </c>
      <c r="BQ5872" t="s">
        <v>49</v>
      </c>
      <c r="BR5872" t="s">
        <v>365</v>
      </c>
      <c r="BS5872">
        <v>106</v>
      </c>
      <c r="BT5872">
        <v>5294.08</v>
      </c>
      <c r="BU5872">
        <v>4000</v>
      </c>
      <c r="BV5872">
        <v>700</v>
      </c>
      <c r="BW5872">
        <v>37500</v>
      </c>
      <c r="BX5872">
        <v>11</v>
      </c>
      <c r="BY5872">
        <v>1339.85</v>
      </c>
      <c r="BZ5872">
        <v>1300</v>
      </c>
      <c r="CA5872">
        <v>400</v>
      </c>
      <c r="CB5872">
        <v>4000</v>
      </c>
      <c r="CC5872">
        <v>25</v>
      </c>
      <c r="CD5872">
        <v>2584.4699999999998</v>
      </c>
      <c r="CE5872">
        <v>3250</v>
      </c>
      <c r="CF5872">
        <v>333.33</v>
      </c>
      <c r="CG5872">
        <v>3750</v>
      </c>
      <c r="CH5872">
        <v>12</v>
      </c>
      <c r="CI5872">
        <v>4088.26</v>
      </c>
      <c r="CJ5872">
        <v>3750</v>
      </c>
      <c r="CK5872">
        <v>625</v>
      </c>
      <c r="CL5872">
        <v>8333.33</v>
      </c>
      <c r="CM5872">
        <v>9</v>
      </c>
      <c r="CN5872">
        <v>770.86</v>
      </c>
      <c r="CO5872">
        <v>1000</v>
      </c>
      <c r="CP5872">
        <v>166.67</v>
      </c>
      <c r="CQ5872">
        <v>1250</v>
      </c>
      <c r="CR5872">
        <v>14</v>
      </c>
      <c r="CS5872">
        <v>11227.81</v>
      </c>
      <c r="CT5872">
        <v>5000</v>
      </c>
      <c r="CU5872">
        <v>375</v>
      </c>
      <c r="CV5872">
        <v>36000</v>
      </c>
      <c r="CW5872">
        <v>39</v>
      </c>
      <c r="CX5872">
        <v>1511.19</v>
      </c>
      <c r="CY5872">
        <v>1400</v>
      </c>
      <c r="CZ5872">
        <v>500</v>
      </c>
      <c r="DA5872">
        <v>4400</v>
      </c>
      <c r="DL5872">
        <v>2</v>
      </c>
      <c r="DM5872">
        <v>3300.98</v>
      </c>
      <c r="DN5872">
        <v>5000</v>
      </c>
      <c r="DO5872">
        <v>2333.33</v>
      </c>
      <c r="DP5872">
        <v>5000</v>
      </c>
      <c r="DQ5872">
        <v>44</v>
      </c>
      <c r="DR5872">
        <v>1061.97</v>
      </c>
      <c r="DS5872">
        <v>900</v>
      </c>
      <c r="DT5872">
        <v>143.33000000000001</v>
      </c>
      <c r="DU5872">
        <v>3666.67</v>
      </c>
      <c r="DV5872">
        <v>1</v>
      </c>
      <c r="DW5872">
        <v>714.29</v>
      </c>
      <c r="DX5872">
        <v>714.29</v>
      </c>
      <c r="DY5872">
        <v>714.29</v>
      </c>
      <c r="DZ5872">
        <v>714.29</v>
      </c>
      <c r="EA5872">
        <v>1</v>
      </c>
      <c r="EB5872">
        <v>36000</v>
      </c>
      <c r="EC5872">
        <v>36000</v>
      </c>
      <c r="ED5872">
        <v>36000</v>
      </c>
      <c r="EE5872">
        <v>36000</v>
      </c>
    </row>
    <row r="5874" spans="1:7" x14ac:dyDescent="0.3">
      <c r="A5874" t="s">
        <v>1915</v>
      </c>
    </row>
    <row r="5875" spans="1:7" x14ac:dyDescent="0.3">
      <c r="A5875" t="s">
        <v>44</v>
      </c>
      <c r="B5875" t="s">
        <v>32</v>
      </c>
      <c r="C5875" t="s">
        <v>45</v>
      </c>
      <c r="D5875" t="s">
        <v>46</v>
      </c>
      <c r="E5875" t="s">
        <v>47</v>
      </c>
      <c r="F5875" t="s">
        <v>48</v>
      </c>
    </row>
    <row r="5876" spans="1:7" x14ac:dyDescent="0.3">
      <c r="A5876" t="s">
        <v>35</v>
      </c>
      <c r="B5876">
        <v>3145</v>
      </c>
      <c r="C5876">
        <v>5575.79</v>
      </c>
      <c r="D5876">
        <v>4400</v>
      </c>
      <c r="E5876">
        <v>0</v>
      </c>
      <c r="F5876">
        <v>87000</v>
      </c>
    </row>
    <row r="5877" spans="1:7" x14ac:dyDescent="0.3">
      <c r="A5877" t="s">
        <v>37</v>
      </c>
      <c r="B5877">
        <v>3855</v>
      </c>
      <c r="C5877">
        <v>5983.71</v>
      </c>
      <c r="D5877">
        <v>4800</v>
      </c>
      <c r="E5877">
        <v>0</v>
      </c>
      <c r="F5877">
        <v>59900</v>
      </c>
    </row>
    <row r="5878" spans="1:7" x14ac:dyDescent="0.3">
      <c r="A5878" t="s">
        <v>36</v>
      </c>
      <c r="B5878">
        <v>2305</v>
      </c>
      <c r="C5878">
        <v>5612.13</v>
      </c>
      <c r="D5878">
        <v>4500</v>
      </c>
      <c r="E5878">
        <v>0</v>
      </c>
      <c r="F5878">
        <v>65000</v>
      </c>
    </row>
    <row r="5879" spans="1:7" x14ac:dyDescent="0.3">
      <c r="A5879" t="s">
        <v>34</v>
      </c>
      <c r="B5879">
        <v>2080</v>
      </c>
      <c r="C5879">
        <v>5625.12</v>
      </c>
      <c r="D5879">
        <v>4500</v>
      </c>
      <c r="E5879">
        <v>0</v>
      </c>
      <c r="F5879">
        <v>47930</v>
      </c>
    </row>
    <row r="5880" spans="1:7" x14ac:dyDescent="0.3">
      <c r="A5880" t="s">
        <v>33</v>
      </c>
      <c r="B5880">
        <v>1937</v>
      </c>
      <c r="C5880">
        <v>5876.87</v>
      </c>
      <c r="D5880">
        <v>5020</v>
      </c>
      <c r="E5880">
        <v>0</v>
      </c>
      <c r="F5880">
        <v>53540</v>
      </c>
    </row>
    <row r="5881" spans="1:7" x14ac:dyDescent="0.3">
      <c r="A5881" t="s">
        <v>49</v>
      </c>
      <c r="B5881">
        <v>13322</v>
      </c>
      <c r="C5881">
        <v>5749.52</v>
      </c>
      <c r="D5881">
        <v>4600</v>
      </c>
      <c r="E5881">
        <v>0</v>
      </c>
      <c r="F5881">
        <v>87000</v>
      </c>
    </row>
    <row r="5883" spans="1:7" x14ac:dyDescent="0.3">
      <c r="A5883" t="s">
        <v>1916</v>
      </c>
    </row>
    <row r="5884" spans="1:7" x14ac:dyDescent="0.3">
      <c r="A5884" t="s">
        <v>44</v>
      </c>
      <c r="B5884" t="s">
        <v>361</v>
      </c>
      <c r="C5884" t="s">
        <v>32</v>
      </c>
      <c r="D5884" t="s">
        <v>45</v>
      </c>
      <c r="E5884" t="s">
        <v>46</v>
      </c>
      <c r="F5884" t="s">
        <v>47</v>
      </c>
      <c r="G5884" t="s">
        <v>48</v>
      </c>
    </row>
    <row r="5885" spans="1:7" x14ac:dyDescent="0.3">
      <c r="A5885" t="s">
        <v>35</v>
      </c>
      <c r="B5885" t="s">
        <v>339</v>
      </c>
      <c r="C5885">
        <v>890</v>
      </c>
      <c r="D5885">
        <v>4184.87</v>
      </c>
      <c r="E5885">
        <v>3000</v>
      </c>
      <c r="F5885">
        <v>0</v>
      </c>
      <c r="G5885">
        <v>31500</v>
      </c>
    </row>
    <row r="5886" spans="1:7" x14ac:dyDescent="0.3">
      <c r="A5886" t="s">
        <v>35</v>
      </c>
      <c r="B5886" t="s">
        <v>340</v>
      </c>
      <c r="C5886">
        <v>2215</v>
      </c>
      <c r="D5886">
        <v>6107.8</v>
      </c>
      <c r="E5886">
        <v>4980</v>
      </c>
      <c r="F5886">
        <v>0</v>
      </c>
      <c r="G5886">
        <v>34960</v>
      </c>
    </row>
    <row r="5887" spans="1:7" x14ac:dyDescent="0.3">
      <c r="A5887" t="s">
        <v>35</v>
      </c>
      <c r="B5887" t="s">
        <v>365</v>
      </c>
      <c r="C5887">
        <v>40</v>
      </c>
      <c r="D5887">
        <v>7343.63</v>
      </c>
      <c r="E5887">
        <v>5200</v>
      </c>
      <c r="F5887">
        <v>0</v>
      </c>
      <c r="G5887">
        <v>87000</v>
      </c>
    </row>
    <row r="5888" spans="1:7" x14ac:dyDescent="0.3">
      <c r="A5888" t="s">
        <v>37</v>
      </c>
      <c r="B5888" t="s">
        <v>339</v>
      </c>
      <c r="C5888">
        <v>1093</v>
      </c>
      <c r="D5888">
        <v>5178.71</v>
      </c>
      <c r="E5888">
        <v>3800</v>
      </c>
      <c r="F5888">
        <v>0</v>
      </c>
      <c r="G5888">
        <v>40600</v>
      </c>
    </row>
    <row r="5889" spans="1:7" x14ac:dyDescent="0.3">
      <c r="A5889" t="s">
        <v>37</v>
      </c>
      <c r="B5889" t="s">
        <v>340</v>
      </c>
      <c r="C5889">
        <v>2721</v>
      </c>
      <c r="D5889">
        <v>6263.81</v>
      </c>
      <c r="E5889">
        <v>5200</v>
      </c>
      <c r="F5889">
        <v>0</v>
      </c>
      <c r="G5889">
        <v>59900</v>
      </c>
    </row>
    <row r="5890" spans="1:7" x14ac:dyDescent="0.3">
      <c r="A5890" t="s">
        <v>37</v>
      </c>
      <c r="B5890" t="s">
        <v>365</v>
      </c>
      <c r="C5890">
        <v>41</v>
      </c>
      <c r="D5890">
        <v>8242.32</v>
      </c>
      <c r="E5890">
        <v>7600</v>
      </c>
      <c r="F5890">
        <v>0</v>
      </c>
      <c r="G5890">
        <v>21200</v>
      </c>
    </row>
    <row r="5891" spans="1:7" x14ac:dyDescent="0.3">
      <c r="A5891" t="s">
        <v>36</v>
      </c>
      <c r="B5891" t="s">
        <v>339</v>
      </c>
      <c r="C5891">
        <v>770</v>
      </c>
      <c r="D5891">
        <v>4454.42</v>
      </c>
      <c r="E5891">
        <v>3300</v>
      </c>
      <c r="F5891">
        <v>0</v>
      </c>
      <c r="G5891">
        <v>65000</v>
      </c>
    </row>
    <row r="5892" spans="1:7" x14ac:dyDescent="0.3">
      <c r="A5892" t="s">
        <v>36</v>
      </c>
      <c r="B5892" t="s">
        <v>340</v>
      </c>
      <c r="C5892">
        <v>1472</v>
      </c>
      <c r="D5892">
        <v>6216.18</v>
      </c>
      <c r="E5892">
        <v>5400</v>
      </c>
      <c r="F5892">
        <v>0</v>
      </c>
      <c r="G5892">
        <v>36500</v>
      </c>
    </row>
    <row r="5893" spans="1:7" x14ac:dyDescent="0.3">
      <c r="A5893" t="s">
        <v>36</v>
      </c>
      <c r="B5893" t="s">
        <v>365</v>
      </c>
      <c r="C5893">
        <v>63</v>
      </c>
      <c r="D5893">
        <v>5101.8500000000004</v>
      </c>
      <c r="E5893">
        <v>4100</v>
      </c>
      <c r="F5893">
        <v>0</v>
      </c>
      <c r="G5893">
        <v>14700</v>
      </c>
    </row>
    <row r="5894" spans="1:7" x14ac:dyDescent="0.3">
      <c r="A5894" t="s">
        <v>34</v>
      </c>
      <c r="B5894" t="s">
        <v>339</v>
      </c>
      <c r="C5894">
        <v>555</v>
      </c>
      <c r="D5894">
        <v>5024.1400000000003</v>
      </c>
      <c r="E5894">
        <v>3570</v>
      </c>
      <c r="F5894">
        <v>0</v>
      </c>
      <c r="G5894">
        <v>35000</v>
      </c>
    </row>
    <row r="5895" spans="1:7" x14ac:dyDescent="0.3">
      <c r="A5895" t="s">
        <v>34</v>
      </c>
      <c r="B5895" t="s">
        <v>340</v>
      </c>
      <c r="C5895">
        <v>1497</v>
      </c>
      <c r="D5895">
        <v>5912.78</v>
      </c>
      <c r="E5895">
        <v>4900</v>
      </c>
      <c r="F5895">
        <v>0</v>
      </c>
      <c r="G5895">
        <v>47930</v>
      </c>
    </row>
    <row r="5896" spans="1:7" x14ac:dyDescent="0.3">
      <c r="A5896" t="s">
        <v>34</v>
      </c>
      <c r="B5896" t="s">
        <v>365</v>
      </c>
      <c r="C5896">
        <v>28</v>
      </c>
      <c r="D5896">
        <v>6885</v>
      </c>
      <c r="E5896">
        <v>3700</v>
      </c>
      <c r="F5896">
        <v>0</v>
      </c>
      <c r="G5896">
        <v>30500</v>
      </c>
    </row>
    <row r="5897" spans="1:7" x14ac:dyDescent="0.3">
      <c r="A5897" t="s">
        <v>33</v>
      </c>
      <c r="B5897" t="s">
        <v>339</v>
      </c>
      <c r="C5897">
        <v>503</v>
      </c>
      <c r="D5897">
        <v>4773.46</v>
      </c>
      <c r="E5897">
        <v>3700</v>
      </c>
      <c r="F5897">
        <v>0</v>
      </c>
      <c r="G5897">
        <v>53540</v>
      </c>
    </row>
    <row r="5898" spans="1:7" x14ac:dyDescent="0.3">
      <c r="A5898" t="s">
        <v>33</v>
      </c>
      <c r="B5898" t="s">
        <v>340</v>
      </c>
      <c r="C5898">
        <v>1415</v>
      </c>
      <c r="D5898">
        <v>6281.73</v>
      </c>
      <c r="E5898">
        <v>5550</v>
      </c>
      <c r="F5898">
        <v>0</v>
      </c>
      <c r="G5898">
        <v>29000</v>
      </c>
    </row>
    <row r="5899" spans="1:7" x14ac:dyDescent="0.3">
      <c r="A5899" t="s">
        <v>33</v>
      </c>
      <c r="B5899" t="s">
        <v>365</v>
      </c>
      <c r="C5899">
        <v>19</v>
      </c>
      <c r="D5899">
        <v>6365.51</v>
      </c>
      <c r="E5899">
        <v>7100</v>
      </c>
      <c r="F5899">
        <v>1600</v>
      </c>
      <c r="G5899">
        <v>15100</v>
      </c>
    </row>
    <row r="5900" spans="1:7" x14ac:dyDescent="0.3">
      <c r="A5900" t="s">
        <v>49</v>
      </c>
      <c r="B5900" t="s">
        <v>339</v>
      </c>
      <c r="C5900">
        <v>3811</v>
      </c>
      <c r="D5900">
        <v>4739.57</v>
      </c>
      <c r="E5900">
        <v>3500</v>
      </c>
      <c r="F5900">
        <v>0</v>
      </c>
      <c r="G5900">
        <v>65000</v>
      </c>
    </row>
    <row r="5901" spans="1:7" x14ac:dyDescent="0.3">
      <c r="A5901" t="s">
        <v>49</v>
      </c>
      <c r="B5901" t="s">
        <v>340</v>
      </c>
      <c r="C5901">
        <v>9320</v>
      </c>
      <c r="D5901">
        <v>6156.13</v>
      </c>
      <c r="E5901">
        <v>5100</v>
      </c>
      <c r="F5901">
        <v>0</v>
      </c>
      <c r="G5901">
        <v>59900</v>
      </c>
    </row>
    <row r="5902" spans="1:7" x14ac:dyDescent="0.3">
      <c r="A5902" t="s">
        <v>49</v>
      </c>
      <c r="B5902" t="s">
        <v>365</v>
      </c>
      <c r="C5902">
        <v>191</v>
      </c>
      <c r="D5902">
        <v>6947.23</v>
      </c>
      <c r="E5902">
        <v>5900</v>
      </c>
      <c r="F5902">
        <v>0</v>
      </c>
      <c r="G5902">
        <v>87000</v>
      </c>
    </row>
    <row r="5904" spans="1:7" x14ac:dyDescent="0.3">
      <c r="A5904" t="s">
        <v>1917</v>
      </c>
    </row>
    <row r="5905" spans="1:7" x14ac:dyDescent="0.3">
      <c r="A5905" t="s">
        <v>44</v>
      </c>
      <c r="B5905" t="s">
        <v>209</v>
      </c>
      <c r="C5905" t="s">
        <v>32</v>
      </c>
      <c r="D5905" t="s">
        <v>45</v>
      </c>
      <c r="E5905" t="s">
        <v>46</v>
      </c>
      <c r="F5905" t="s">
        <v>47</v>
      </c>
      <c r="G5905" t="s">
        <v>48</v>
      </c>
    </row>
    <row r="5906" spans="1:7" x14ac:dyDescent="0.3">
      <c r="A5906" t="s">
        <v>35</v>
      </c>
      <c r="B5906" t="s">
        <v>210</v>
      </c>
      <c r="C5906">
        <v>136</v>
      </c>
      <c r="D5906">
        <v>6002.64</v>
      </c>
      <c r="E5906">
        <v>5900</v>
      </c>
      <c r="F5906">
        <v>0</v>
      </c>
      <c r="G5906">
        <v>24000</v>
      </c>
    </row>
    <row r="5907" spans="1:7" x14ac:dyDescent="0.3">
      <c r="A5907" t="s">
        <v>35</v>
      </c>
      <c r="B5907" t="s">
        <v>212</v>
      </c>
      <c r="C5907">
        <v>2442</v>
      </c>
      <c r="D5907">
        <v>5007.55</v>
      </c>
      <c r="E5907">
        <v>3800</v>
      </c>
      <c r="F5907">
        <v>0</v>
      </c>
      <c r="G5907">
        <v>34960</v>
      </c>
    </row>
    <row r="5908" spans="1:7" x14ac:dyDescent="0.3">
      <c r="A5908" t="s">
        <v>35</v>
      </c>
      <c r="B5908" t="s">
        <v>216</v>
      </c>
      <c r="C5908">
        <v>567</v>
      </c>
      <c r="D5908">
        <v>6934.61</v>
      </c>
      <c r="E5908">
        <v>6000</v>
      </c>
      <c r="F5908">
        <v>0</v>
      </c>
      <c r="G5908">
        <v>87000</v>
      </c>
    </row>
    <row r="5909" spans="1:7" x14ac:dyDescent="0.3">
      <c r="A5909" t="s">
        <v>37</v>
      </c>
      <c r="B5909" t="s">
        <v>210</v>
      </c>
      <c r="C5909">
        <v>138</v>
      </c>
      <c r="D5909">
        <v>7626.35</v>
      </c>
      <c r="E5909">
        <v>5900</v>
      </c>
      <c r="F5909">
        <v>0</v>
      </c>
      <c r="G5909">
        <v>35900</v>
      </c>
    </row>
    <row r="5910" spans="1:7" x14ac:dyDescent="0.3">
      <c r="A5910" t="s">
        <v>37</v>
      </c>
      <c r="B5910" t="s">
        <v>212</v>
      </c>
      <c r="C5910">
        <v>3606</v>
      </c>
      <c r="D5910">
        <v>5834.99</v>
      </c>
      <c r="E5910">
        <v>4600</v>
      </c>
      <c r="F5910">
        <v>0</v>
      </c>
      <c r="G5910">
        <v>59900</v>
      </c>
    </row>
    <row r="5911" spans="1:7" x14ac:dyDescent="0.3">
      <c r="A5911" t="s">
        <v>37</v>
      </c>
      <c r="B5911" t="s">
        <v>216</v>
      </c>
      <c r="C5911">
        <v>111</v>
      </c>
      <c r="D5911">
        <v>8518.66</v>
      </c>
      <c r="E5911">
        <v>7750</v>
      </c>
      <c r="F5911">
        <v>900</v>
      </c>
      <c r="G5911">
        <v>27300</v>
      </c>
    </row>
    <row r="5912" spans="1:7" x14ac:dyDescent="0.3">
      <c r="A5912" t="s">
        <v>36</v>
      </c>
      <c r="B5912" t="s">
        <v>210</v>
      </c>
      <c r="C5912">
        <v>165</v>
      </c>
      <c r="D5912">
        <v>6828.32</v>
      </c>
      <c r="E5912">
        <v>5200</v>
      </c>
      <c r="F5912">
        <v>0</v>
      </c>
      <c r="G5912">
        <v>65000</v>
      </c>
    </row>
    <row r="5913" spans="1:7" x14ac:dyDescent="0.3">
      <c r="A5913" t="s">
        <v>36</v>
      </c>
      <c r="B5913" t="s">
        <v>212</v>
      </c>
      <c r="C5913">
        <v>1875</v>
      </c>
      <c r="D5913">
        <v>5229.96</v>
      </c>
      <c r="E5913">
        <v>4000</v>
      </c>
      <c r="F5913">
        <v>0</v>
      </c>
      <c r="G5913">
        <v>36500</v>
      </c>
    </row>
    <row r="5914" spans="1:7" x14ac:dyDescent="0.3">
      <c r="A5914" t="s">
        <v>36</v>
      </c>
      <c r="B5914" t="s">
        <v>216</v>
      </c>
      <c r="C5914">
        <v>265</v>
      </c>
      <c r="D5914">
        <v>6931.62</v>
      </c>
      <c r="E5914">
        <v>6500</v>
      </c>
      <c r="F5914">
        <v>0</v>
      </c>
      <c r="G5914">
        <v>45500</v>
      </c>
    </row>
    <row r="5915" spans="1:7" x14ac:dyDescent="0.3">
      <c r="A5915" t="s">
        <v>34</v>
      </c>
      <c r="B5915" t="s">
        <v>210</v>
      </c>
      <c r="C5915">
        <v>256</v>
      </c>
      <c r="D5915">
        <v>5629.29</v>
      </c>
      <c r="E5915">
        <v>4500</v>
      </c>
      <c r="F5915">
        <v>0</v>
      </c>
      <c r="G5915">
        <v>26000</v>
      </c>
    </row>
    <row r="5916" spans="1:7" x14ac:dyDescent="0.3">
      <c r="A5916" t="s">
        <v>34</v>
      </c>
      <c r="B5916" t="s">
        <v>212</v>
      </c>
      <c r="C5916">
        <v>1582</v>
      </c>
      <c r="D5916">
        <v>5720.93</v>
      </c>
      <c r="E5916">
        <v>4500</v>
      </c>
      <c r="F5916">
        <v>0</v>
      </c>
      <c r="G5916">
        <v>47930</v>
      </c>
    </row>
    <row r="5917" spans="1:7" x14ac:dyDescent="0.3">
      <c r="A5917" t="s">
        <v>34</v>
      </c>
      <c r="B5917" t="s">
        <v>216</v>
      </c>
      <c r="C5917">
        <v>242</v>
      </c>
      <c r="D5917">
        <v>5172.57</v>
      </c>
      <c r="E5917">
        <v>4200</v>
      </c>
      <c r="F5917">
        <v>0</v>
      </c>
      <c r="G5917">
        <v>25700</v>
      </c>
    </row>
    <row r="5918" spans="1:7" x14ac:dyDescent="0.3">
      <c r="A5918" t="s">
        <v>33</v>
      </c>
      <c r="B5918" t="s">
        <v>210</v>
      </c>
      <c r="C5918">
        <v>68</v>
      </c>
      <c r="D5918">
        <v>6099.56</v>
      </c>
      <c r="E5918">
        <v>6280</v>
      </c>
      <c r="F5918">
        <v>0</v>
      </c>
      <c r="G5918">
        <v>16300</v>
      </c>
    </row>
    <row r="5919" spans="1:7" x14ac:dyDescent="0.3">
      <c r="A5919" t="s">
        <v>33</v>
      </c>
      <c r="B5919" t="s">
        <v>212</v>
      </c>
      <c r="C5919">
        <v>1800</v>
      </c>
      <c r="D5919">
        <v>5781.91</v>
      </c>
      <c r="E5919">
        <v>4950</v>
      </c>
      <c r="F5919">
        <v>0</v>
      </c>
      <c r="G5919">
        <v>53540</v>
      </c>
    </row>
    <row r="5920" spans="1:7" x14ac:dyDescent="0.3">
      <c r="A5920" t="s">
        <v>33</v>
      </c>
      <c r="B5920" t="s">
        <v>216</v>
      </c>
      <c r="C5920">
        <v>69</v>
      </c>
      <c r="D5920">
        <v>7895.3</v>
      </c>
      <c r="E5920">
        <v>7350</v>
      </c>
      <c r="F5920">
        <v>0</v>
      </c>
      <c r="G5920">
        <v>20200</v>
      </c>
    </row>
    <row r="5921" spans="1:7" x14ac:dyDescent="0.3">
      <c r="A5921" t="s">
        <v>49</v>
      </c>
      <c r="B5921" t="s">
        <v>210</v>
      </c>
      <c r="C5921">
        <v>763</v>
      </c>
      <c r="D5921">
        <v>6226.93</v>
      </c>
      <c r="E5921">
        <v>5400</v>
      </c>
      <c r="F5921">
        <v>0</v>
      </c>
      <c r="G5921">
        <v>65000</v>
      </c>
    </row>
    <row r="5922" spans="1:7" x14ac:dyDescent="0.3">
      <c r="A5922" t="s">
        <v>49</v>
      </c>
      <c r="B5922" t="s">
        <v>212</v>
      </c>
      <c r="C5922">
        <v>11305</v>
      </c>
      <c r="D5922">
        <v>5552.49</v>
      </c>
      <c r="E5922">
        <v>4450</v>
      </c>
      <c r="F5922">
        <v>0</v>
      </c>
      <c r="G5922">
        <v>59900</v>
      </c>
    </row>
    <row r="5923" spans="1:7" x14ac:dyDescent="0.3">
      <c r="A5923" t="s">
        <v>49</v>
      </c>
      <c r="B5923" t="s">
        <v>216</v>
      </c>
      <c r="C5923">
        <v>1254</v>
      </c>
      <c r="D5923">
        <v>6697.52</v>
      </c>
      <c r="E5923">
        <v>5900</v>
      </c>
      <c r="F5923">
        <v>0</v>
      </c>
      <c r="G5923">
        <v>87000</v>
      </c>
    </row>
    <row r="5925" spans="1:7" x14ac:dyDescent="0.3">
      <c r="A5925" t="s">
        <v>1918</v>
      </c>
    </row>
    <row r="5926" spans="1:7" x14ac:dyDescent="0.3">
      <c r="A5926" t="s">
        <v>44</v>
      </c>
      <c r="B5926" t="s">
        <v>388</v>
      </c>
      <c r="C5926" t="s">
        <v>32</v>
      </c>
      <c r="D5926" t="s">
        <v>45</v>
      </c>
      <c r="E5926" t="s">
        <v>46</v>
      </c>
      <c r="F5926" t="s">
        <v>47</v>
      </c>
      <c r="G5926" t="s">
        <v>48</v>
      </c>
    </row>
    <row r="5927" spans="1:7" x14ac:dyDescent="0.3">
      <c r="A5927" t="s">
        <v>35</v>
      </c>
      <c r="B5927" t="s">
        <v>389</v>
      </c>
      <c r="C5927">
        <v>2141</v>
      </c>
      <c r="D5927">
        <v>5482.03</v>
      </c>
      <c r="E5927">
        <v>4300</v>
      </c>
      <c r="F5927">
        <v>0</v>
      </c>
      <c r="G5927">
        <v>87000</v>
      </c>
    </row>
    <row r="5928" spans="1:7" x14ac:dyDescent="0.3">
      <c r="A5928" t="s">
        <v>35</v>
      </c>
      <c r="B5928" t="s">
        <v>390</v>
      </c>
      <c r="C5928">
        <v>875</v>
      </c>
      <c r="D5928">
        <v>5435.39</v>
      </c>
      <c r="E5928">
        <v>4300</v>
      </c>
      <c r="F5928">
        <v>0</v>
      </c>
      <c r="G5928">
        <v>33500</v>
      </c>
    </row>
    <row r="5929" spans="1:7" x14ac:dyDescent="0.3">
      <c r="A5929" t="s">
        <v>35</v>
      </c>
      <c r="B5929" t="s">
        <v>365</v>
      </c>
      <c r="C5929">
        <v>129</v>
      </c>
      <c r="D5929">
        <v>8222.07</v>
      </c>
      <c r="E5929">
        <v>7300</v>
      </c>
      <c r="F5929">
        <v>0</v>
      </c>
      <c r="G5929">
        <v>31500</v>
      </c>
    </row>
    <row r="5930" spans="1:7" x14ac:dyDescent="0.3">
      <c r="A5930" t="s">
        <v>37</v>
      </c>
      <c r="B5930" t="s">
        <v>389</v>
      </c>
      <c r="C5930">
        <v>2305</v>
      </c>
      <c r="D5930">
        <v>5809.17</v>
      </c>
      <c r="E5930">
        <v>4600</v>
      </c>
      <c r="F5930">
        <v>0</v>
      </c>
      <c r="G5930">
        <v>59900</v>
      </c>
    </row>
    <row r="5931" spans="1:7" x14ac:dyDescent="0.3">
      <c r="A5931" t="s">
        <v>37</v>
      </c>
      <c r="B5931" t="s">
        <v>390</v>
      </c>
      <c r="C5931">
        <v>1309</v>
      </c>
      <c r="D5931">
        <v>6135.61</v>
      </c>
      <c r="E5931">
        <v>4900</v>
      </c>
      <c r="F5931">
        <v>0</v>
      </c>
      <c r="G5931">
        <v>39000</v>
      </c>
    </row>
    <row r="5932" spans="1:7" x14ac:dyDescent="0.3">
      <c r="A5932" t="s">
        <v>37</v>
      </c>
      <c r="B5932" t="s">
        <v>365</v>
      </c>
      <c r="C5932">
        <v>241</v>
      </c>
      <c r="D5932">
        <v>6700.95</v>
      </c>
      <c r="E5932">
        <v>6250</v>
      </c>
      <c r="F5932">
        <v>0</v>
      </c>
      <c r="G5932">
        <v>21400</v>
      </c>
    </row>
    <row r="5933" spans="1:7" x14ac:dyDescent="0.3">
      <c r="A5933" t="s">
        <v>36</v>
      </c>
      <c r="B5933" t="s">
        <v>389</v>
      </c>
      <c r="C5933">
        <v>1578</v>
      </c>
      <c r="D5933">
        <v>5394.21</v>
      </c>
      <c r="E5933">
        <v>4250</v>
      </c>
      <c r="F5933">
        <v>0</v>
      </c>
      <c r="G5933">
        <v>65000</v>
      </c>
    </row>
    <row r="5934" spans="1:7" x14ac:dyDescent="0.3">
      <c r="A5934" t="s">
        <v>36</v>
      </c>
      <c r="B5934" t="s">
        <v>390</v>
      </c>
      <c r="C5934">
        <v>627</v>
      </c>
      <c r="D5934">
        <v>5526.79</v>
      </c>
      <c r="E5934">
        <v>4200</v>
      </c>
      <c r="F5934">
        <v>0</v>
      </c>
      <c r="G5934">
        <v>45500</v>
      </c>
    </row>
    <row r="5935" spans="1:7" x14ac:dyDescent="0.3">
      <c r="A5935" t="s">
        <v>36</v>
      </c>
      <c r="B5935" t="s">
        <v>365</v>
      </c>
      <c r="C5935">
        <v>100</v>
      </c>
      <c r="D5935">
        <v>8174.02</v>
      </c>
      <c r="E5935">
        <v>6930</v>
      </c>
      <c r="F5935">
        <v>0</v>
      </c>
      <c r="G5935">
        <v>25500</v>
      </c>
    </row>
    <row r="5936" spans="1:7" x14ac:dyDescent="0.3">
      <c r="A5936" t="s">
        <v>34</v>
      </c>
      <c r="B5936" t="s">
        <v>389</v>
      </c>
      <c r="C5936">
        <v>1385</v>
      </c>
      <c r="D5936">
        <v>5193.68</v>
      </c>
      <c r="E5936">
        <v>4000</v>
      </c>
      <c r="F5936">
        <v>0</v>
      </c>
      <c r="G5936">
        <v>30450</v>
      </c>
    </row>
    <row r="5937" spans="1:7" x14ac:dyDescent="0.3">
      <c r="A5937" t="s">
        <v>34</v>
      </c>
      <c r="B5937" t="s">
        <v>390</v>
      </c>
      <c r="C5937">
        <v>615</v>
      </c>
      <c r="D5937">
        <v>6443.42</v>
      </c>
      <c r="E5937">
        <v>5200</v>
      </c>
      <c r="F5937">
        <v>0</v>
      </c>
      <c r="G5937">
        <v>47930</v>
      </c>
    </row>
    <row r="5938" spans="1:7" x14ac:dyDescent="0.3">
      <c r="A5938" t="s">
        <v>34</v>
      </c>
      <c r="B5938" t="s">
        <v>365</v>
      </c>
      <c r="C5938">
        <v>80</v>
      </c>
      <c r="D5938">
        <v>6812.28</v>
      </c>
      <c r="E5938">
        <v>5400</v>
      </c>
      <c r="F5938">
        <v>0</v>
      </c>
      <c r="G5938">
        <v>19300</v>
      </c>
    </row>
    <row r="5939" spans="1:7" x14ac:dyDescent="0.3">
      <c r="A5939" t="s">
        <v>33</v>
      </c>
      <c r="B5939" t="s">
        <v>389</v>
      </c>
      <c r="C5939">
        <v>1090</v>
      </c>
      <c r="D5939">
        <v>5510.56</v>
      </c>
      <c r="E5939">
        <v>4600</v>
      </c>
      <c r="F5939">
        <v>0</v>
      </c>
      <c r="G5939">
        <v>53540</v>
      </c>
    </row>
    <row r="5940" spans="1:7" x14ac:dyDescent="0.3">
      <c r="A5940" t="s">
        <v>33</v>
      </c>
      <c r="B5940" t="s">
        <v>390</v>
      </c>
      <c r="C5940">
        <v>708</v>
      </c>
      <c r="D5940">
        <v>6308.96</v>
      </c>
      <c r="E5940">
        <v>5600</v>
      </c>
      <c r="F5940">
        <v>0</v>
      </c>
      <c r="G5940">
        <v>27200</v>
      </c>
    </row>
    <row r="5941" spans="1:7" x14ac:dyDescent="0.3">
      <c r="A5941" t="s">
        <v>33</v>
      </c>
      <c r="B5941" t="s">
        <v>365</v>
      </c>
      <c r="C5941">
        <v>139</v>
      </c>
      <c r="D5941">
        <v>6562.89</v>
      </c>
      <c r="E5941">
        <v>6300</v>
      </c>
      <c r="F5941">
        <v>0</v>
      </c>
      <c r="G5941">
        <v>16000</v>
      </c>
    </row>
    <row r="5942" spans="1:7" x14ac:dyDescent="0.3">
      <c r="A5942" t="s">
        <v>49</v>
      </c>
      <c r="B5942" t="s">
        <v>389</v>
      </c>
      <c r="C5942">
        <v>8499</v>
      </c>
      <c r="D5942">
        <v>5504.83</v>
      </c>
      <c r="E5942">
        <v>4370</v>
      </c>
      <c r="F5942">
        <v>0</v>
      </c>
      <c r="G5942">
        <v>87000</v>
      </c>
    </row>
    <row r="5943" spans="1:7" x14ac:dyDescent="0.3">
      <c r="A5943" t="s">
        <v>49</v>
      </c>
      <c r="B5943" t="s">
        <v>390</v>
      </c>
      <c r="C5943">
        <v>4134</v>
      </c>
      <c r="D5943">
        <v>6006.63</v>
      </c>
      <c r="E5943">
        <v>4900</v>
      </c>
      <c r="F5943">
        <v>0</v>
      </c>
      <c r="G5943">
        <v>47930</v>
      </c>
    </row>
    <row r="5944" spans="1:7" x14ac:dyDescent="0.3">
      <c r="A5944" t="s">
        <v>49</v>
      </c>
      <c r="B5944" t="s">
        <v>365</v>
      </c>
      <c r="C5944">
        <v>689</v>
      </c>
      <c r="D5944">
        <v>7162.91</v>
      </c>
      <c r="E5944">
        <v>6400</v>
      </c>
      <c r="F5944">
        <v>0</v>
      </c>
      <c r="G5944">
        <v>31500</v>
      </c>
    </row>
    <row r="5946" spans="1:7" x14ac:dyDescent="0.3">
      <c r="A5946" t="s">
        <v>1919</v>
      </c>
    </row>
    <row r="5947" spans="1:7" x14ac:dyDescent="0.3">
      <c r="A5947" t="s">
        <v>44</v>
      </c>
      <c r="B5947" t="s">
        <v>235</v>
      </c>
      <c r="C5947" t="s">
        <v>32</v>
      </c>
      <c r="D5947" t="s">
        <v>45</v>
      </c>
      <c r="E5947" t="s">
        <v>46</v>
      </c>
      <c r="F5947" t="s">
        <v>47</v>
      </c>
      <c r="G5947" t="s">
        <v>48</v>
      </c>
    </row>
    <row r="5948" spans="1:7" x14ac:dyDescent="0.3">
      <c r="A5948" t="s">
        <v>35</v>
      </c>
      <c r="B5948" t="s">
        <v>236</v>
      </c>
      <c r="C5948">
        <v>1610</v>
      </c>
      <c r="D5948">
        <v>5451.51</v>
      </c>
      <c r="E5948">
        <v>4400</v>
      </c>
      <c r="F5948">
        <v>0</v>
      </c>
      <c r="G5948">
        <v>87000</v>
      </c>
    </row>
    <row r="5949" spans="1:7" x14ac:dyDescent="0.3">
      <c r="A5949" t="s">
        <v>35</v>
      </c>
      <c r="B5949" t="s">
        <v>238</v>
      </c>
      <c r="C5949">
        <v>1535</v>
      </c>
      <c r="D5949">
        <v>5627.53</v>
      </c>
      <c r="E5949">
        <v>4380</v>
      </c>
      <c r="F5949">
        <v>0</v>
      </c>
      <c r="G5949">
        <v>33500</v>
      </c>
    </row>
    <row r="5950" spans="1:7" x14ac:dyDescent="0.3">
      <c r="A5950" t="s">
        <v>37</v>
      </c>
      <c r="B5950" t="s">
        <v>236</v>
      </c>
      <c r="C5950">
        <v>2211</v>
      </c>
      <c r="D5950">
        <v>5547.24</v>
      </c>
      <c r="E5950">
        <v>4300</v>
      </c>
      <c r="F5950">
        <v>0</v>
      </c>
      <c r="G5950">
        <v>35900</v>
      </c>
    </row>
    <row r="5951" spans="1:7" x14ac:dyDescent="0.3">
      <c r="A5951" t="s">
        <v>37</v>
      </c>
      <c r="B5951" t="s">
        <v>238</v>
      </c>
      <c r="C5951">
        <v>1644</v>
      </c>
      <c r="D5951">
        <v>6554.73</v>
      </c>
      <c r="E5951">
        <v>5300</v>
      </c>
      <c r="F5951">
        <v>0</v>
      </c>
      <c r="G5951">
        <v>59900</v>
      </c>
    </row>
    <row r="5952" spans="1:7" x14ac:dyDescent="0.3">
      <c r="A5952" t="s">
        <v>36</v>
      </c>
      <c r="B5952" t="s">
        <v>236</v>
      </c>
      <c r="C5952">
        <v>1566</v>
      </c>
      <c r="D5952">
        <v>4935.2700000000004</v>
      </c>
      <c r="E5952">
        <v>3800</v>
      </c>
      <c r="F5952">
        <v>0</v>
      </c>
      <c r="G5952">
        <v>65000</v>
      </c>
    </row>
    <row r="5953" spans="1:7" x14ac:dyDescent="0.3">
      <c r="A5953" t="s">
        <v>36</v>
      </c>
      <c r="B5953" t="s">
        <v>238</v>
      </c>
      <c r="C5953">
        <v>739</v>
      </c>
      <c r="D5953">
        <v>6104.02</v>
      </c>
      <c r="E5953">
        <v>5200</v>
      </c>
      <c r="F5953">
        <v>0</v>
      </c>
      <c r="G5953">
        <v>35400</v>
      </c>
    </row>
    <row r="5954" spans="1:7" x14ac:dyDescent="0.3">
      <c r="A5954" t="s">
        <v>34</v>
      </c>
      <c r="B5954" t="s">
        <v>236</v>
      </c>
      <c r="C5954">
        <v>717</v>
      </c>
      <c r="D5954">
        <v>5100.07</v>
      </c>
      <c r="E5954">
        <v>3800</v>
      </c>
      <c r="F5954">
        <v>0</v>
      </c>
      <c r="G5954">
        <v>30500</v>
      </c>
    </row>
    <row r="5955" spans="1:7" x14ac:dyDescent="0.3">
      <c r="A5955" t="s">
        <v>34</v>
      </c>
      <c r="B5955" t="s">
        <v>238</v>
      </c>
      <c r="C5955">
        <v>1363</v>
      </c>
      <c r="D5955">
        <v>5855.4</v>
      </c>
      <c r="E5955">
        <v>4750</v>
      </c>
      <c r="F5955">
        <v>0</v>
      </c>
      <c r="G5955">
        <v>47930</v>
      </c>
    </row>
    <row r="5956" spans="1:7" x14ac:dyDescent="0.3">
      <c r="A5956" t="s">
        <v>33</v>
      </c>
      <c r="B5956" t="s">
        <v>236</v>
      </c>
      <c r="C5956">
        <v>1116</v>
      </c>
      <c r="D5956">
        <v>5122.9799999999996</v>
      </c>
      <c r="E5956">
        <v>4500</v>
      </c>
      <c r="F5956">
        <v>0</v>
      </c>
      <c r="G5956">
        <v>53540</v>
      </c>
    </row>
    <row r="5957" spans="1:7" x14ac:dyDescent="0.3">
      <c r="A5957" t="s">
        <v>33</v>
      </c>
      <c r="B5957" t="s">
        <v>238</v>
      </c>
      <c r="C5957">
        <v>821</v>
      </c>
      <c r="D5957">
        <v>6651.92</v>
      </c>
      <c r="E5957">
        <v>6000</v>
      </c>
      <c r="F5957">
        <v>0</v>
      </c>
      <c r="G5957">
        <v>29000</v>
      </c>
    </row>
    <row r="5958" spans="1:7" x14ac:dyDescent="0.3">
      <c r="A5958" t="s">
        <v>49</v>
      </c>
      <c r="B5958" t="s">
        <v>236</v>
      </c>
      <c r="C5958">
        <v>7220</v>
      </c>
      <c r="D5958">
        <v>5330.96</v>
      </c>
      <c r="E5958">
        <v>4300</v>
      </c>
      <c r="F5958">
        <v>0</v>
      </c>
      <c r="G5958">
        <v>87000</v>
      </c>
    </row>
    <row r="5959" spans="1:7" x14ac:dyDescent="0.3">
      <c r="A5959" t="s">
        <v>49</v>
      </c>
      <c r="B5959" t="s">
        <v>238</v>
      </c>
      <c r="C5959">
        <v>6102</v>
      </c>
      <c r="D5959">
        <v>6048.84</v>
      </c>
      <c r="E5959">
        <v>5000</v>
      </c>
      <c r="F5959">
        <v>0</v>
      </c>
      <c r="G5959">
        <v>59900</v>
      </c>
    </row>
    <row r="5961" spans="1:7" x14ac:dyDescent="0.3">
      <c r="A5961" t="s">
        <v>1920</v>
      </c>
    </row>
    <row r="5962" spans="1:7" x14ac:dyDescent="0.3">
      <c r="A5962" t="s">
        <v>44</v>
      </c>
      <c r="B5962" t="s">
        <v>1335</v>
      </c>
      <c r="C5962" t="s">
        <v>32</v>
      </c>
      <c r="D5962" t="s">
        <v>45</v>
      </c>
      <c r="E5962" t="s">
        <v>46</v>
      </c>
      <c r="F5962" t="s">
        <v>47</v>
      </c>
      <c r="G5962" t="s">
        <v>48</v>
      </c>
    </row>
    <row r="5963" spans="1:7" x14ac:dyDescent="0.3">
      <c r="A5963" t="s">
        <v>35</v>
      </c>
      <c r="B5963" t="s">
        <v>1336</v>
      </c>
      <c r="C5963">
        <v>2094</v>
      </c>
      <c r="D5963">
        <v>6206.44</v>
      </c>
      <c r="E5963">
        <v>5140</v>
      </c>
      <c r="F5963">
        <v>0</v>
      </c>
      <c r="G5963">
        <v>87000</v>
      </c>
    </row>
    <row r="5964" spans="1:7" x14ac:dyDescent="0.3">
      <c r="A5964" t="s">
        <v>35</v>
      </c>
      <c r="B5964" t="s">
        <v>1338</v>
      </c>
      <c r="C5964">
        <v>246</v>
      </c>
      <c r="D5964">
        <v>7925.87</v>
      </c>
      <c r="E5964">
        <v>7350</v>
      </c>
      <c r="F5964">
        <v>0</v>
      </c>
      <c r="G5964">
        <v>34960</v>
      </c>
    </row>
    <row r="5965" spans="1:7" x14ac:dyDescent="0.3">
      <c r="A5965" t="s">
        <v>35</v>
      </c>
      <c r="B5965" t="s">
        <v>1339</v>
      </c>
      <c r="C5965">
        <v>805</v>
      </c>
      <c r="D5965">
        <v>3546.79</v>
      </c>
      <c r="E5965">
        <v>2250</v>
      </c>
      <c r="F5965">
        <v>0</v>
      </c>
      <c r="G5965">
        <v>19000</v>
      </c>
    </row>
    <row r="5966" spans="1:7" x14ac:dyDescent="0.3">
      <c r="A5966" t="s">
        <v>37</v>
      </c>
      <c r="B5966" t="s">
        <v>1336</v>
      </c>
      <c r="C5966">
        <v>2494</v>
      </c>
      <c r="D5966">
        <v>6364.98</v>
      </c>
      <c r="E5966">
        <v>5400</v>
      </c>
      <c r="F5966">
        <v>0</v>
      </c>
      <c r="G5966">
        <v>59900</v>
      </c>
    </row>
    <row r="5967" spans="1:7" x14ac:dyDescent="0.3">
      <c r="A5967" t="s">
        <v>37</v>
      </c>
      <c r="B5967" t="s">
        <v>1338</v>
      </c>
      <c r="C5967">
        <v>433</v>
      </c>
      <c r="D5967">
        <v>9975.52</v>
      </c>
      <c r="E5967">
        <v>9000</v>
      </c>
      <c r="F5967">
        <v>0</v>
      </c>
      <c r="G5967">
        <v>40600</v>
      </c>
    </row>
    <row r="5968" spans="1:7" x14ac:dyDescent="0.3">
      <c r="A5968" t="s">
        <v>37</v>
      </c>
      <c r="B5968" t="s">
        <v>1339</v>
      </c>
      <c r="C5968">
        <v>928</v>
      </c>
      <c r="D5968">
        <v>3032.95</v>
      </c>
      <c r="E5968">
        <v>2350</v>
      </c>
      <c r="F5968">
        <v>0</v>
      </c>
      <c r="G5968">
        <v>18700</v>
      </c>
    </row>
    <row r="5969" spans="1:7" x14ac:dyDescent="0.3">
      <c r="A5969" t="s">
        <v>36</v>
      </c>
      <c r="B5969" t="s">
        <v>1336</v>
      </c>
      <c r="C5969">
        <v>1515</v>
      </c>
      <c r="D5969">
        <v>5966.76</v>
      </c>
      <c r="E5969">
        <v>5100</v>
      </c>
      <c r="F5969">
        <v>0</v>
      </c>
      <c r="G5969">
        <v>36500</v>
      </c>
    </row>
    <row r="5970" spans="1:7" x14ac:dyDescent="0.3">
      <c r="A5970" t="s">
        <v>36</v>
      </c>
      <c r="B5970" t="s">
        <v>1338</v>
      </c>
      <c r="C5970">
        <v>235</v>
      </c>
      <c r="D5970">
        <v>8779.43</v>
      </c>
      <c r="E5970">
        <v>7800</v>
      </c>
      <c r="F5970">
        <v>0</v>
      </c>
      <c r="G5970">
        <v>65000</v>
      </c>
    </row>
    <row r="5971" spans="1:7" x14ac:dyDescent="0.3">
      <c r="A5971" t="s">
        <v>36</v>
      </c>
      <c r="B5971" t="s">
        <v>1339</v>
      </c>
      <c r="C5971">
        <v>555</v>
      </c>
      <c r="D5971">
        <v>3417.26</v>
      </c>
      <c r="E5971">
        <v>2600</v>
      </c>
      <c r="F5971">
        <v>0</v>
      </c>
      <c r="G5971">
        <v>28000</v>
      </c>
    </row>
    <row r="5972" spans="1:7" x14ac:dyDescent="0.3">
      <c r="A5972" t="s">
        <v>34</v>
      </c>
      <c r="B5972" t="s">
        <v>1336</v>
      </c>
      <c r="C5972">
        <v>1346</v>
      </c>
      <c r="D5972">
        <v>6244.63</v>
      </c>
      <c r="E5972">
        <v>5200</v>
      </c>
      <c r="F5972">
        <v>0</v>
      </c>
      <c r="G5972">
        <v>36950</v>
      </c>
    </row>
    <row r="5973" spans="1:7" x14ac:dyDescent="0.3">
      <c r="A5973" t="s">
        <v>34</v>
      </c>
      <c r="B5973" t="s">
        <v>1338</v>
      </c>
      <c r="C5973">
        <v>134</v>
      </c>
      <c r="D5973">
        <v>8333.5499999999993</v>
      </c>
      <c r="E5973">
        <v>7200</v>
      </c>
      <c r="F5973">
        <v>0</v>
      </c>
      <c r="G5973">
        <v>47930</v>
      </c>
    </row>
    <row r="5974" spans="1:7" x14ac:dyDescent="0.3">
      <c r="A5974" t="s">
        <v>34</v>
      </c>
      <c r="B5974" t="s">
        <v>1339</v>
      </c>
      <c r="C5974">
        <v>600</v>
      </c>
      <c r="D5974">
        <v>3315.6</v>
      </c>
      <c r="E5974">
        <v>2300</v>
      </c>
      <c r="F5974">
        <v>0</v>
      </c>
      <c r="G5974">
        <v>25700</v>
      </c>
    </row>
    <row r="5975" spans="1:7" x14ac:dyDescent="0.3">
      <c r="A5975" t="s">
        <v>33</v>
      </c>
      <c r="B5975" t="s">
        <v>1336</v>
      </c>
      <c r="C5975">
        <v>1392</v>
      </c>
      <c r="D5975">
        <v>6565.55</v>
      </c>
      <c r="E5975">
        <v>6000</v>
      </c>
      <c r="F5975">
        <v>0</v>
      </c>
      <c r="G5975">
        <v>29000</v>
      </c>
    </row>
    <row r="5976" spans="1:7" x14ac:dyDescent="0.3">
      <c r="A5976" t="s">
        <v>33</v>
      </c>
      <c r="B5976" t="s">
        <v>1338</v>
      </c>
      <c r="C5976">
        <v>88</v>
      </c>
      <c r="D5976">
        <v>9691.3799999999992</v>
      </c>
      <c r="E5976">
        <v>9000</v>
      </c>
      <c r="F5976">
        <v>0</v>
      </c>
      <c r="G5976">
        <v>53540</v>
      </c>
    </row>
    <row r="5977" spans="1:7" x14ac:dyDescent="0.3">
      <c r="A5977" t="s">
        <v>33</v>
      </c>
      <c r="B5977" t="s">
        <v>1339</v>
      </c>
      <c r="C5977">
        <v>457</v>
      </c>
      <c r="D5977">
        <v>3134.51</v>
      </c>
      <c r="E5977">
        <v>2700</v>
      </c>
      <c r="F5977">
        <v>0</v>
      </c>
      <c r="G5977">
        <v>17600</v>
      </c>
    </row>
    <row r="5978" spans="1:7" x14ac:dyDescent="0.3">
      <c r="A5978" t="s">
        <v>49</v>
      </c>
      <c r="B5978" t="s">
        <v>1336</v>
      </c>
      <c r="C5978">
        <v>8841</v>
      </c>
      <c r="D5978">
        <v>6296.4</v>
      </c>
      <c r="E5978">
        <v>5400</v>
      </c>
      <c r="F5978">
        <v>0</v>
      </c>
      <c r="G5978">
        <v>87000</v>
      </c>
    </row>
    <row r="5979" spans="1:7" x14ac:dyDescent="0.3">
      <c r="A5979" t="s">
        <v>49</v>
      </c>
      <c r="B5979" t="s">
        <v>1338</v>
      </c>
      <c r="C5979">
        <v>1136</v>
      </c>
      <c r="D5979">
        <v>9063.0400000000009</v>
      </c>
      <c r="E5979">
        <v>8200</v>
      </c>
      <c r="F5979">
        <v>0</v>
      </c>
      <c r="G5979">
        <v>65000</v>
      </c>
    </row>
    <row r="5980" spans="1:7" x14ac:dyDescent="0.3">
      <c r="A5980" t="s">
        <v>49</v>
      </c>
      <c r="B5980" t="s">
        <v>1339</v>
      </c>
      <c r="C5980">
        <v>3345</v>
      </c>
      <c r="D5980">
        <v>3296.87</v>
      </c>
      <c r="E5980">
        <v>2400</v>
      </c>
      <c r="F5980">
        <v>0</v>
      </c>
      <c r="G5980">
        <v>28000</v>
      </c>
    </row>
    <row r="5982" spans="1:7" x14ac:dyDescent="0.3">
      <c r="A5982" t="s">
        <v>1921</v>
      </c>
    </row>
    <row r="5983" spans="1:7" x14ac:dyDescent="0.3">
      <c r="A5983" t="s">
        <v>44</v>
      </c>
      <c r="B5983" t="s">
        <v>1922</v>
      </c>
      <c r="C5983" t="s">
        <v>32</v>
      </c>
      <c r="D5983" t="s">
        <v>45</v>
      </c>
      <c r="E5983" t="s">
        <v>46</v>
      </c>
      <c r="F5983" t="s">
        <v>47</v>
      </c>
      <c r="G5983" t="s">
        <v>48</v>
      </c>
    </row>
    <row r="5984" spans="1:7" x14ac:dyDescent="0.3">
      <c r="A5984" t="s">
        <v>35</v>
      </c>
      <c r="B5984" t="s">
        <v>1288</v>
      </c>
      <c r="C5984">
        <v>2773</v>
      </c>
      <c r="D5984">
        <v>5692.56</v>
      </c>
      <c r="E5984">
        <v>4500</v>
      </c>
      <c r="F5984">
        <v>0</v>
      </c>
      <c r="G5984">
        <v>87000</v>
      </c>
    </row>
    <row r="5985" spans="1:7" x14ac:dyDescent="0.3">
      <c r="A5985" t="s">
        <v>35</v>
      </c>
      <c r="B5985" t="s">
        <v>1923</v>
      </c>
      <c r="C5985">
        <v>68</v>
      </c>
      <c r="D5985">
        <v>5975.11</v>
      </c>
      <c r="E5985">
        <v>5400</v>
      </c>
      <c r="F5985">
        <v>0</v>
      </c>
      <c r="G5985">
        <v>20000</v>
      </c>
    </row>
    <row r="5986" spans="1:7" x14ac:dyDescent="0.3">
      <c r="A5986" t="s">
        <v>35</v>
      </c>
      <c r="B5986" t="s">
        <v>1924</v>
      </c>
      <c r="C5986">
        <v>302</v>
      </c>
      <c r="D5986">
        <v>4530.53</v>
      </c>
      <c r="E5986">
        <v>3200</v>
      </c>
      <c r="F5986">
        <v>0</v>
      </c>
      <c r="G5986">
        <v>27550</v>
      </c>
    </row>
    <row r="5987" spans="1:7" x14ac:dyDescent="0.3">
      <c r="A5987" t="s">
        <v>35</v>
      </c>
      <c r="B5987" t="s">
        <v>365</v>
      </c>
      <c r="C5987">
        <v>2</v>
      </c>
      <c r="D5987">
        <v>7656.14</v>
      </c>
      <c r="E5987">
        <v>21200</v>
      </c>
      <c r="F5987">
        <v>3100</v>
      </c>
      <c r="G5987">
        <v>21200</v>
      </c>
    </row>
    <row r="5988" spans="1:7" x14ac:dyDescent="0.3">
      <c r="A5988" t="s">
        <v>37</v>
      </c>
      <c r="B5988" t="s">
        <v>1288</v>
      </c>
      <c r="C5988">
        <v>3622</v>
      </c>
      <c r="D5988">
        <v>5951.69</v>
      </c>
      <c r="E5988">
        <v>4750</v>
      </c>
      <c r="F5988">
        <v>0</v>
      </c>
      <c r="G5988">
        <v>59900</v>
      </c>
    </row>
    <row r="5989" spans="1:7" x14ac:dyDescent="0.3">
      <c r="A5989" t="s">
        <v>37</v>
      </c>
      <c r="B5989" t="s">
        <v>1923</v>
      </c>
      <c r="C5989">
        <v>45</v>
      </c>
      <c r="D5989">
        <v>7343.55</v>
      </c>
      <c r="E5989">
        <v>5700</v>
      </c>
      <c r="F5989">
        <v>200</v>
      </c>
      <c r="G5989">
        <v>20200</v>
      </c>
    </row>
    <row r="5990" spans="1:7" x14ac:dyDescent="0.3">
      <c r="A5990" t="s">
        <v>37</v>
      </c>
      <c r="B5990" t="s">
        <v>1924</v>
      </c>
      <c r="C5990">
        <v>181</v>
      </c>
      <c r="D5990">
        <v>6314.76</v>
      </c>
      <c r="E5990">
        <v>5200</v>
      </c>
      <c r="F5990">
        <v>0</v>
      </c>
      <c r="G5990">
        <v>36300</v>
      </c>
    </row>
    <row r="5991" spans="1:7" x14ac:dyDescent="0.3">
      <c r="A5991" t="s">
        <v>37</v>
      </c>
      <c r="B5991" t="s">
        <v>365</v>
      </c>
      <c r="C5991">
        <v>7</v>
      </c>
      <c r="D5991">
        <v>5102.1000000000004</v>
      </c>
      <c r="E5991">
        <v>4100</v>
      </c>
      <c r="F5991">
        <v>2400</v>
      </c>
      <c r="G5991">
        <v>11870</v>
      </c>
    </row>
    <row r="5992" spans="1:7" x14ac:dyDescent="0.3">
      <c r="A5992" t="s">
        <v>36</v>
      </c>
      <c r="B5992" t="s">
        <v>1288</v>
      </c>
      <c r="C5992">
        <v>1422</v>
      </c>
      <c r="D5992">
        <v>5844.02</v>
      </c>
      <c r="E5992">
        <v>5000</v>
      </c>
      <c r="F5992">
        <v>0</v>
      </c>
      <c r="G5992">
        <v>36500</v>
      </c>
    </row>
    <row r="5993" spans="1:7" x14ac:dyDescent="0.3">
      <c r="A5993" t="s">
        <v>36</v>
      </c>
      <c r="B5993" t="s">
        <v>1923</v>
      </c>
      <c r="C5993">
        <v>31</v>
      </c>
      <c r="D5993">
        <v>5233.29</v>
      </c>
      <c r="E5993">
        <v>3700</v>
      </c>
      <c r="F5993">
        <v>0</v>
      </c>
      <c r="G5993">
        <v>13796</v>
      </c>
    </row>
    <row r="5994" spans="1:7" x14ac:dyDescent="0.3">
      <c r="A5994" t="s">
        <v>36</v>
      </c>
      <c r="B5994" t="s">
        <v>1924</v>
      </c>
      <c r="C5994">
        <v>847</v>
      </c>
      <c r="D5994">
        <v>5177.6099999999997</v>
      </c>
      <c r="E5994">
        <v>3700</v>
      </c>
      <c r="F5994">
        <v>0</v>
      </c>
      <c r="G5994">
        <v>65000</v>
      </c>
    </row>
    <row r="5995" spans="1:7" x14ac:dyDescent="0.3">
      <c r="A5995" t="s">
        <v>36</v>
      </c>
      <c r="B5995" t="s">
        <v>365</v>
      </c>
      <c r="C5995">
        <v>5</v>
      </c>
      <c r="D5995">
        <v>3887.67</v>
      </c>
      <c r="E5995">
        <v>3300</v>
      </c>
      <c r="F5995">
        <v>2000</v>
      </c>
      <c r="G5995">
        <v>10000</v>
      </c>
    </row>
    <row r="5996" spans="1:7" x14ac:dyDescent="0.3">
      <c r="A5996" t="s">
        <v>34</v>
      </c>
      <c r="B5996" t="s">
        <v>1288</v>
      </c>
      <c r="C5996">
        <v>1334</v>
      </c>
      <c r="D5996">
        <v>6048.96</v>
      </c>
      <c r="E5996">
        <v>5000</v>
      </c>
      <c r="F5996">
        <v>0</v>
      </c>
      <c r="G5996">
        <v>36500</v>
      </c>
    </row>
    <row r="5997" spans="1:7" s="5" customFormat="1" x14ac:dyDescent="0.3">
      <c r="A5997" s="5" t="s">
        <v>34</v>
      </c>
      <c r="B5997" s="5" t="s">
        <v>1923</v>
      </c>
      <c r="C5997" s="5">
        <v>19</v>
      </c>
      <c r="D5997" s="5">
        <v>2870.45</v>
      </c>
      <c r="E5997" s="5">
        <v>2350</v>
      </c>
      <c r="F5997" s="5">
        <v>0</v>
      </c>
      <c r="G5997" s="5">
        <v>15950</v>
      </c>
    </row>
    <row r="5998" spans="1:7" x14ac:dyDescent="0.3">
      <c r="A5998" t="s">
        <v>34</v>
      </c>
      <c r="B5998" t="s">
        <v>1924</v>
      </c>
      <c r="C5998">
        <v>724</v>
      </c>
      <c r="D5998">
        <v>5158.32</v>
      </c>
      <c r="E5998">
        <v>3900</v>
      </c>
      <c r="F5998">
        <v>0</v>
      </c>
      <c r="G5998">
        <v>47930</v>
      </c>
    </row>
    <row r="5999" spans="1:7" x14ac:dyDescent="0.3">
      <c r="A5999" t="s">
        <v>34</v>
      </c>
      <c r="B5999" t="s">
        <v>365</v>
      </c>
      <c r="C5999">
        <v>3</v>
      </c>
      <c r="D5999">
        <v>2806.66</v>
      </c>
      <c r="E5999">
        <v>500</v>
      </c>
      <c r="F5999">
        <v>0</v>
      </c>
      <c r="G5999">
        <v>15700</v>
      </c>
    </row>
    <row r="6000" spans="1:7" x14ac:dyDescent="0.3">
      <c r="A6000" t="s">
        <v>33</v>
      </c>
      <c r="B6000" t="s">
        <v>1288</v>
      </c>
      <c r="C6000">
        <v>1842</v>
      </c>
      <c r="D6000">
        <v>5893.79</v>
      </c>
      <c r="E6000">
        <v>5020</v>
      </c>
      <c r="F6000">
        <v>0</v>
      </c>
      <c r="G6000">
        <v>53540</v>
      </c>
    </row>
    <row r="6001" spans="1:7" s="5" customFormat="1" x14ac:dyDescent="0.3">
      <c r="A6001" s="5" t="s">
        <v>33</v>
      </c>
      <c r="B6001" s="5" t="s">
        <v>1923</v>
      </c>
      <c r="C6001" s="5">
        <v>15</v>
      </c>
      <c r="D6001" s="5">
        <v>8858.39</v>
      </c>
      <c r="E6001" s="5">
        <v>9250</v>
      </c>
      <c r="F6001" s="5">
        <v>0</v>
      </c>
      <c r="G6001" s="5">
        <v>20200</v>
      </c>
    </row>
    <row r="6002" spans="1:7" x14ac:dyDescent="0.3">
      <c r="A6002" t="s">
        <v>33</v>
      </c>
      <c r="B6002" t="s">
        <v>1924</v>
      </c>
      <c r="C6002">
        <v>77</v>
      </c>
      <c r="D6002">
        <v>4968.09</v>
      </c>
      <c r="E6002">
        <v>4300</v>
      </c>
      <c r="F6002">
        <v>500</v>
      </c>
      <c r="G6002">
        <v>16300</v>
      </c>
    </row>
    <row r="6003" spans="1:7" x14ac:dyDescent="0.3">
      <c r="A6003" t="s">
        <v>33</v>
      </c>
      <c r="B6003" t="s">
        <v>365</v>
      </c>
      <c r="C6003">
        <v>3</v>
      </c>
      <c r="D6003">
        <v>4767.9399999999996</v>
      </c>
      <c r="E6003">
        <v>3100</v>
      </c>
      <c r="F6003">
        <v>0</v>
      </c>
      <c r="G6003">
        <v>12900</v>
      </c>
    </row>
    <row r="6004" spans="1:7" x14ac:dyDescent="0.3">
      <c r="A6004" t="s">
        <v>49</v>
      </c>
      <c r="B6004" t="s">
        <v>1288</v>
      </c>
      <c r="C6004">
        <v>10993</v>
      </c>
      <c r="D6004">
        <v>5867.43</v>
      </c>
      <c r="E6004">
        <v>4800</v>
      </c>
      <c r="F6004">
        <v>0</v>
      </c>
      <c r="G6004">
        <v>87000</v>
      </c>
    </row>
    <row r="6005" spans="1:7" x14ac:dyDescent="0.3">
      <c r="A6005" t="s">
        <v>49</v>
      </c>
      <c r="B6005" t="s">
        <v>1923</v>
      </c>
      <c r="C6005">
        <v>178</v>
      </c>
      <c r="D6005">
        <v>5975.7</v>
      </c>
      <c r="E6005">
        <v>5300</v>
      </c>
      <c r="F6005">
        <v>0</v>
      </c>
      <c r="G6005">
        <v>20200</v>
      </c>
    </row>
    <row r="6006" spans="1:7" x14ac:dyDescent="0.3">
      <c r="A6006" t="s">
        <v>49</v>
      </c>
      <c r="B6006" t="s">
        <v>1924</v>
      </c>
      <c r="C6006">
        <v>2131</v>
      </c>
      <c r="D6006">
        <v>5132.53</v>
      </c>
      <c r="E6006">
        <v>3900</v>
      </c>
      <c r="F6006">
        <v>0</v>
      </c>
      <c r="G6006">
        <v>65000</v>
      </c>
    </row>
    <row r="6007" spans="1:7" x14ac:dyDescent="0.3">
      <c r="A6007" t="s">
        <v>49</v>
      </c>
      <c r="B6007" t="s">
        <v>365</v>
      </c>
      <c r="C6007">
        <v>20</v>
      </c>
      <c r="D6007">
        <v>4661.07</v>
      </c>
      <c r="E6007">
        <v>3500</v>
      </c>
      <c r="F6007">
        <v>0</v>
      </c>
      <c r="G6007">
        <v>21200</v>
      </c>
    </row>
    <row r="6009" spans="1:7" x14ac:dyDescent="0.3">
      <c r="A6009" t="s">
        <v>1925</v>
      </c>
    </row>
    <row r="6010" spans="1:7" x14ac:dyDescent="0.3">
      <c r="A6010" t="s">
        <v>44</v>
      </c>
      <c r="B6010" t="s">
        <v>257</v>
      </c>
      <c r="C6010" t="s">
        <v>32</v>
      </c>
      <c r="D6010" t="s">
        <v>45</v>
      </c>
      <c r="E6010" t="s">
        <v>46</v>
      </c>
      <c r="F6010" t="s">
        <v>47</v>
      </c>
      <c r="G6010" t="s">
        <v>48</v>
      </c>
    </row>
    <row r="6011" spans="1:7" x14ac:dyDescent="0.3">
      <c r="A6011" t="s">
        <v>35</v>
      </c>
      <c r="B6011" t="s">
        <v>258</v>
      </c>
      <c r="C6011">
        <v>2873</v>
      </c>
      <c r="D6011">
        <v>5678.05</v>
      </c>
      <c r="E6011">
        <v>4500</v>
      </c>
      <c r="F6011">
        <v>0</v>
      </c>
      <c r="G6011">
        <v>87000</v>
      </c>
    </row>
    <row r="6012" spans="1:7" x14ac:dyDescent="0.3">
      <c r="A6012" t="s">
        <v>35</v>
      </c>
      <c r="B6012" t="s">
        <v>260</v>
      </c>
      <c r="C6012">
        <v>272</v>
      </c>
      <c r="D6012">
        <v>4690.2</v>
      </c>
      <c r="E6012">
        <v>3220</v>
      </c>
      <c r="F6012">
        <v>0</v>
      </c>
      <c r="G6012">
        <v>28050</v>
      </c>
    </row>
    <row r="6013" spans="1:7" x14ac:dyDescent="0.3">
      <c r="A6013" t="s">
        <v>37</v>
      </c>
      <c r="B6013" t="s">
        <v>258</v>
      </c>
      <c r="C6013">
        <v>3855</v>
      </c>
      <c r="D6013">
        <v>5983.71</v>
      </c>
      <c r="E6013">
        <v>4800</v>
      </c>
      <c r="F6013">
        <v>0</v>
      </c>
      <c r="G6013">
        <v>59900</v>
      </c>
    </row>
    <row r="6014" spans="1:7" x14ac:dyDescent="0.3">
      <c r="A6014" t="s">
        <v>36</v>
      </c>
      <c r="B6014" t="s">
        <v>258</v>
      </c>
      <c r="C6014">
        <v>2100</v>
      </c>
      <c r="D6014">
        <v>5610.89</v>
      </c>
      <c r="E6014">
        <v>4500</v>
      </c>
      <c r="F6014">
        <v>0</v>
      </c>
      <c r="G6014">
        <v>65000</v>
      </c>
    </row>
    <row r="6015" spans="1:7" x14ac:dyDescent="0.3">
      <c r="A6015" t="s">
        <v>36</v>
      </c>
      <c r="B6015" t="s">
        <v>260</v>
      </c>
      <c r="C6015">
        <v>205</v>
      </c>
      <c r="D6015">
        <v>5764.28</v>
      </c>
      <c r="E6015">
        <v>4000</v>
      </c>
      <c r="F6015">
        <v>0</v>
      </c>
      <c r="G6015">
        <v>45500</v>
      </c>
    </row>
    <row r="6016" spans="1:7" x14ac:dyDescent="0.3">
      <c r="A6016" t="s">
        <v>34</v>
      </c>
      <c r="B6016" t="s">
        <v>258</v>
      </c>
      <c r="C6016">
        <v>1221</v>
      </c>
      <c r="D6016">
        <v>6444.5</v>
      </c>
      <c r="E6016">
        <v>5300</v>
      </c>
      <c r="F6016">
        <v>0</v>
      </c>
      <c r="G6016">
        <v>36500</v>
      </c>
    </row>
    <row r="6017" spans="1:52" x14ac:dyDescent="0.3">
      <c r="A6017" t="s">
        <v>34</v>
      </c>
      <c r="B6017" t="s">
        <v>260</v>
      </c>
      <c r="C6017">
        <v>859</v>
      </c>
      <c r="D6017">
        <v>5131.75</v>
      </c>
      <c r="E6017">
        <v>3700</v>
      </c>
      <c r="F6017">
        <v>0</v>
      </c>
      <c r="G6017">
        <v>47930</v>
      </c>
    </row>
    <row r="6018" spans="1:52" x14ac:dyDescent="0.3">
      <c r="A6018" t="s">
        <v>33</v>
      </c>
      <c r="B6018" t="s">
        <v>258</v>
      </c>
      <c r="C6018">
        <v>1937</v>
      </c>
      <c r="D6018">
        <v>5876.87</v>
      </c>
      <c r="E6018">
        <v>5020</v>
      </c>
      <c r="F6018">
        <v>0</v>
      </c>
      <c r="G6018">
        <v>53540</v>
      </c>
    </row>
    <row r="6019" spans="1:52" x14ac:dyDescent="0.3">
      <c r="A6019" t="s">
        <v>49</v>
      </c>
      <c r="B6019" t="s">
        <v>258</v>
      </c>
      <c r="C6019">
        <v>11986</v>
      </c>
      <c r="D6019">
        <v>5870.99</v>
      </c>
      <c r="E6019">
        <v>4800</v>
      </c>
      <c r="F6019">
        <v>0</v>
      </c>
      <c r="G6019">
        <v>87000</v>
      </c>
    </row>
    <row r="6020" spans="1:52" x14ac:dyDescent="0.3">
      <c r="A6020" t="s">
        <v>49</v>
      </c>
      <c r="B6020" t="s">
        <v>260</v>
      </c>
      <c r="C6020">
        <v>1336</v>
      </c>
      <c r="D6020">
        <v>5045.45</v>
      </c>
      <c r="E6020">
        <v>3620</v>
      </c>
      <c r="F6020">
        <v>0</v>
      </c>
      <c r="G6020">
        <v>47930</v>
      </c>
    </row>
    <row r="6022" spans="1:52" x14ac:dyDescent="0.3">
      <c r="A6022" t="s">
        <v>1926</v>
      </c>
    </row>
    <row r="6023" spans="1:52" x14ac:dyDescent="0.3">
      <c r="A6023" t="s">
        <v>44</v>
      </c>
      <c r="B6023" t="s">
        <v>1927</v>
      </c>
      <c r="C6023" t="s">
        <v>1928</v>
      </c>
      <c r="D6023" t="s">
        <v>1929</v>
      </c>
      <c r="E6023" t="s">
        <v>1930</v>
      </c>
      <c r="F6023" t="s">
        <v>1931</v>
      </c>
      <c r="G6023" t="s">
        <v>1932</v>
      </c>
      <c r="H6023" t="s">
        <v>1933</v>
      </c>
      <c r="I6023" t="s">
        <v>1934</v>
      </c>
      <c r="J6023" t="s">
        <v>1935</v>
      </c>
      <c r="K6023" t="s">
        <v>1936</v>
      </c>
      <c r="L6023" t="s">
        <v>1937</v>
      </c>
      <c r="M6023" t="s">
        <v>1938</v>
      </c>
      <c r="N6023" t="s">
        <v>1939</v>
      </c>
      <c r="O6023" t="s">
        <v>1940</v>
      </c>
      <c r="P6023" t="s">
        <v>1941</v>
      </c>
      <c r="Q6023" t="s">
        <v>1942</v>
      </c>
      <c r="R6023" t="s">
        <v>1943</v>
      </c>
      <c r="S6023" t="s">
        <v>1944</v>
      </c>
      <c r="T6023" t="s">
        <v>1945</v>
      </c>
      <c r="U6023" t="s">
        <v>1946</v>
      </c>
      <c r="V6023" t="s">
        <v>1947</v>
      </c>
      <c r="W6023" t="s">
        <v>1948</v>
      </c>
      <c r="X6023" t="s">
        <v>1949</v>
      </c>
      <c r="Y6023" t="s">
        <v>1950</v>
      </c>
      <c r="Z6023" t="s">
        <v>1951</v>
      </c>
      <c r="AA6023" t="s">
        <v>1952</v>
      </c>
      <c r="AB6023" t="s">
        <v>1953</v>
      </c>
      <c r="AC6023" t="s">
        <v>1954</v>
      </c>
      <c r="AD6023" t="s">
        <v>1955</v>
      </c>
      <c r="AE6023" t="s">
        <v>1956</v>
      </c>
      <c r="AF6023" t="s">
        <v>1957</v>
      </c>
      <c r="AG6023" t="s">
        <v>1958</v>
      </c>
      <c r="AH6023" t="s">
        <v>1959</v>
      </c>
      <c r="AI6023" t="s">
        <v>1960</v>
      </c>
      <c r="AJ6023" t="s">
        <v>1961</v>
      </c>
      <c r="AK6023" t="s">
        <v>1962</v>
      </c>
      <c r="AL6023" t="s">
        <v>1963</v>
      </c>
      <c r="AM6023" t="s">
        <v>1964</v>
      </c>
      <c r="AN6023" t="s">
        <v>1965</v>
      </c>
      <c r="AO6023" t="s">
        <v>1966</v>
      </c>
      <c r="AP6023" t="s">
        <v>1967</v>
      </c>
      <c r="AQ6023" t="s">
        <v>1968</v>
      </c>
      <c r="AR6023" t="s">
        <v>1969</v>
      </c>
      <c r="AS6023" t="s">
        <v>1970</v>
      </c>
      <c r="AT6023" t="s">
        <v>1971</v>
      </c>
      <c r="AU6023" t="s">
        <v>1972</v>
      </c>
      <c r="AV6023" t="s">
        <v>1973</v>
      </c>
      <c r="AW6023" t="s">
        <v>1974</v>
      </c>
      <c r="AX6023" t="s">
        <v>1975</v>
      </c>
      <c r="AY6023" t="s">
        <v>1976</v>
      </c>
    </row>
    <row r="6024" spans="1:52" x14ac:dyDescent="0.3">
      <c r="A6024" t="s">
        <v>35</v>
      </c>
      <c r="B6024">
        <v>2589</v>
      </c>
      <c r="C6024">
        <v>929.63</v>
      </c>
      <c r="D6024">
        <v>600</v>
      </c>
      <c r="E6024">
        <v>0</v>
      </c>
      <c r="F6024">
        <v>15000</v>
      </c>
      <c r="G6024">
        <v>2053</v>
      </c>
      <c r="H6024">
        <v>120.39</v>
      </c>
      <c r="I6024">
        <v>0</v>
      </c>
      <c r="J6024">
        <v>0</v>
      </c>
      <c r="K6024">
        <v>15000</v>
      </c>
      <c r="L6024">
        <v>2635</v>
      </c>
      <c r="M6024">
        <v>1002.62</v>
      </c>
      <c r="N6024">
        <v>700</v>
      </c>
      <c r="O6024">
        <v>0</v>
      </c>
      <c r="P6024">
        <v>9000</v>
      </c>
      <c r="Q6024">
        <v>2285</v>
      </c>
      <c r="R6024">
        <v>379.7</v>
      </c>
      <c r="S6024">
        <v>0</v>
      </c>
      <c r="T6024">
        <v>0</v>
      </c>
      <c r="U6024">
        <v>15000</v>
      </c>
      <c r="V6024">
        <v>2741</v>
      </c>
      <c r="W6024">
        <v>1848.23</v>
      </c>
      <c r="X6024">
        <v>1500</v>
      </c>
      <c r="Y6024">
        <v>0</v>
      </c>
      <c r="Z6024">
        <v>20000</v>
      </c>
      <c r="AA6024">
        <v>2216</v>
      </c>
      <c r="AB6024">
        <v>278.62</v>
      </c>
      <c r="AC6024">
        <v>0</v>
      </c>
      <c r="AD6024">
        <v>0</v>
      </c>
      <c r="AE6024">
        <v>13000</v>
      </c>
      <c r="AF6024">
        <v>2679</v>
      </c>
      <c r="AG6024">
        <v>621.89</v>
      </c>
      <c r="AH6024">
        <v>500</v>
      </c>
      <c r="AI6024">
        <v>0</v>
      </c>
      <c r="AJ6024">
        <v>5000</v>
      </c>
      <c r="AK6024">
        <v>2534</v>
      </c>
      <c r="AL6024">
        <v>327.38</v>
      </c>
      <c r="AM6024">
        <v>200</v>
      </c>
      <c r="AN6024">
        <v>0</v>
      </c>
      <c r="AO6024">
        <v>5000</v>
      </c>
      <c r="AP6024">
        <v>2271</v>
      </c>
      <c r="AQ6024">
        <v>943.97</v>
      </c>
      <c r="AR6024">
        <v>0</v>
      </c>
      <c r="AS6024">
        <v>0</v>
      </c>
      <c r="AT6024">
        <v>50000</v>
      </c>
      <c r="AU6024">
        <v>1843</v>
      </c>
      <c r="AV6024">
        <v>480.81</v>
      </c>
      <c r="AW6024">
        <v>0</v>
      </c>
      <c r="AX6024">
        <v>0</v>
      </c>
      <c r="AY6024">
        <v>18000</v>
      </c>
    </row>
    <row r="6025" spans="1:52" x14ac:dyDescent="0.3">
      <c r="A6025" t="s">
        <v>37</v>
      </c>
      <c r="B6025">
        <v>3692</v>
      </c>
      <c r="C6025">
        <v>950.5</v>
      </c>
      <c r="D6025">
        <v>700</v>
      </c>
      <c r="E6025">
        <v>0</v>
      </c>
      <c r="F6025">
        <v>10000</v>
      </c>
      <c r="G6025">
        <v>2870</v>
      </c>
      <c r="H6025">
        <v>304.97000000000003</v>
      </c>
      <c r="I6025">
        <v>0</v>
      </c>
      <c r="J6025">
        <v>0</v>
      </c>
      <c r="K6025">
        <v>6000</v>
      </c>
      <c r="L6025">
        <v>3561</v>
      </c>
      <c r="M6025">
        <v>809.15</v>
      </c>
      <c r="N6025">
        <v>500</v>
      </c>
      <c r="O6025">
        <v>0</v>
      </c>
      <c r="P6025">
        <v>10000</v>
      </c>
      <c r="Q6025">
        <v>3001</v>
      </c>
      <c r="R6025">
        <v>498.64</v>
      </c>
      <c r="S6025">
        <v>300</v>
      </c>
      <c r="T6025">
        <v>0</v>
      </c>
      <c r="U6025">
        <v>20000</v>
      </c>
      <c r="V6025">
        <v>3679</v>
      </c>
      <c r="W6025">
        <v>1660.52</v>
      </c>
      <c r="X6025">
        <v>1100</v>
      </c>
      <c r="Y6025">
        <v>0</v>
      </c>
      <c r="Z6025">
        <v>20000</v>
      </c>
      <c r="AA6025">
        <v>2912</v>
      </c>
      <c r="AB6025">
        <v>671.1</v>
      </c>
      <c r="AC6025">
        <v>150</v>
      </c>
      <c r="AD6025">
        <v>0</v>
      </c>
      <c r="AE6025">
        <v>10000</v>
      </c>
      <c r="AF6025">
        <v>3628</v>
      </c>
      <c r="AG6025">
        <v>681.13</v>
      </c>
      <c r="AH6025">
        <v>500</v>
      </c>
      <c r="AI6025">
        <v>0</v>
      </c>
      <c r="AJ6025">
        <v>8000</v>
      </c>
      <c r="AK6025">
        <v>3153</v>
      </c>
      <c r="AL6025">
        <v>307.86</v>
      </c>
      <c r="AM6025">
        <v>200</v>
      </c>
      <c r="AN6025">
        <v>0</v>
      </c>
      <c r="AO6025">
        <v>10000</v>
      </c>
      <c r="AP6025">
        <v>2844</v>
      </c>
      <c r="AQ6025">
        <v>825.43</v>
      </c>
      <c r="AR6025">
        <v>0</v>
      </c>
      <c r="AS6025">
        <v>0</v>
      </c>
      <c r="AT6025">
        <v>50000</v>
      </c>
      <c r="AU6025">
        <v>2407</v>
      </c>
      <c r="AV6025">
        <v>340.76</v>
      </c>
      <c r="AW6025">
        <v>0</v>
      </c>
      <c r="AX6025">
        <v>0</v>
      </c>
      <c r="AY6025">
        <v>10000</v>
      </c>
    </row>
    <row r="6026" spans="1:52" x14ac:dyDescent="0.3">
      <c r="A6026" t="s">
        <v>36</v>
      </c>
      <c r="B6026">
        <v>1979</v>
      </c>
      <c r="C6026">
        <v>1097.1300000000001</v>
      </c>
      <c r="D6026">
        <v>1000</v>
      </c>
      <c r="E6026">
        <v>0</v>
      </c>
      <c r="F6026">
        <v>10000</v>
      </c>
      <c r="G6026">
        <v>1055</v>
      </c>
      <c r="H6026">
        <v>228.14</v>
      </c>
      <c r="I6026">
        <v>0</v>
      </c>
      <c r="J6026">
        <v>0</v>
      </c>
      <c r="K6026">
        <v>12000</v>
      </c>
      <c r="L6026">
        <v>1828</v>
      </c>
      <c r="M6026">
        <v>1300.42</v>
      </c>
      <c r="N6026">
        <v>1000</v>
      </c>
      <c r="O6026">
        <v>0</v>
      </c>
      <c r="P6026">
        <v>11000</v>
      </c>
      <c r="Q6026">
        <v>1239</v>
      </c>
      <c r="R6026">
        <v>410.98</v>
      </c>
      <c r="S6026">
        <v>200</v>
      </c>
      <c r="T6026">
        <v>0</v>
      </c>
      <c r="U6026">
        <v>10000</v>
      </c>
      <c r="V6026">
        <v>1875</v>
      </c>
      <c r="W6026">
        <v>1842.87</v>
      </c>
      <c r="X6026">
        <v>1500</v>
      </c>
      <c r="Y6026">
        <v>0</v>
      </c>
      <c r="Z6026">
        <v>15000</v>
      </c>
      <c r="AA6026">
        <v>1151</v>
      </c>
      <c r="AB6026">
        <v>631.47</v>
      </c>
      <c r="AC6026">
        <v>0</v>
      </c>
      <c r="AD6026">
        <v>0</v>
      </c>
      <c r="AE6026">
        <v>30000</v>
      </c>
      <c r="AF6026">
        <v>1917</v>
      </c>
      <c r="AG6026">
        <v>730.83</v>
      </c>
      <c r="AH6026">
        <v>500</v>
      </c>
      <c r="AI6026">
        <v>0</v>
      </c>
      <c r="AJ6026">
        <v>12000</v>
      </c>
      <c r="AK6026">
        <v>1473</v>
      </c>
      <c r="AL6026">
        <v>497.73</v>
      </c>
      <c r="AM6026">
        <v>400</v>
      </c>
      <c r="AN6026">
        <v>0</v>
      </c>
      <c r="AO6026">
        <v>7000</v>
      </c>
      <c r="AP6026">
        <v>1070</v>
      </c>
      <c r="AQ6026">
        <v>823.54</v>
      </c>
      <c r="AR6026">
        <v>300</v>
      </c>
      <c r="AS6026">
        <v>0</v>
      </c>
      <c r="AT6026">
        <v>9000</v>
      </c>
      <c r="AU6026">
        <v>1040</v>
      </c>
      <c r="AV6026">
        <v>922.42</v>
      </c>
      <c r="AW6026">
        <v>0</v>
      </c>
      <c r="AX6026">
        <v>0</v>
      </c>
      <c r="AY6026">
        <v>15000</v>
      </c>
    </row>
    <row r="6027" spans="1:52" x14ac:dyDescent="0.3">
      <c r="A6027" t="s">
        <v>34</v>
      </c>
      <c r="B6027">
        <v>1796</v>
      </c>
      <c r="C6027">
        <v>1069</v>
      </c>
      <c r="D6027">
        <v>700</v>
      </c>
      <c r="E6027">
        <v>0</v>
      </c>
      <c r="F6027">
        <v>17000</v>
      </c>
      <c r="G6027">
        <v>1745</v>
      </c>
      <c r="H6027">
        <v>227.51</v>
      </c>
      <c r="I6027">
        <v>0</v>
      </c>
      <c r="J6027">
        <v>0</v>
      </c>
      <c r="K6027">
        <v>10000</v>
      </c>
      <c r="L6027">
        <v>1862</v>
      </c>
      <c r="M6027">
        <v>962.53</v>
      </c>
      <c r="N6027">
        <v>600</v>
      </c>
      <c r="O6027">
        <v>0</v>
      </c>
      <c r="P6027">
        <v>8000</v>
      </c>
      <c r="Q6027">
        <v>1704</v>
      </c>
      <c r="R6027">
        <v>511.95</v>
      </c>
      <c r="S6027">
        <v>0</v>
      </c>
      <c r="T6027">
        <v>0</v>
      </c>
      <c r="U6027">
        <v>24000</v>
      </c>
      <c r="V6027">
        <v>1898</v>
      </c>
      <c r="W6027">
        <v>2136.79</v>
      </c>
      <c r="X6027">
        <v>1500</v>
      </c>
      <c r="Y6027">
        <v>0</v>
      </c>
      <c r="Z6027">
        <v>25000</v>
      </c>
      <c r="AA6027">
        <v>1772</v>
      </c>
      <c r="AB6027">
        <v>259.79000000000002</v>
      </c>
      <c r="AC6027">
        <v>0</v>
      </c>
      <c r="AD6027">
        <v>0</v>
      </c>
      <c r="AE6027">
        <v>25000</v>
      </c>
      <c r="AF6027">
        <v>1869</v>
      </c>
      <c r="AG6027">
        <v>709.43</v>
      </c>
      <c r="AH6027">
        <v>500</v>
      </c>
      <c r="AI6027">
        <v>0</v>
      </c>
      <c r="AJ6027">
        <v>10000</v>
      </c>
      <c r="AK6027">
        <v>1905</v>
      </c>
      <c r="AL6027">
        <v>339.82</v>
      </c>
      <c r="AM6027">
        <v>200</v>
      </c>
      <c r="AN6027">
        <v>0</v>
      </c>
      <c r="AO6027">
        <v>4500</v>
      </c>
      <c r="AP6027">
        <v>1825</v>
      </c>
      <c r="AQ6027">
        <v>342.09</v>
      </c>
      <c r="AR6027">
        <v>0</v>
      </c>
      <c r="AS6027">
        <v>0</v>
      </c>
      <c r="AT6027">
        <v>10000</v>
      </c>
      <c r="AU6027">
        <v>1584</v>
      </c>
      <c r="AV6027">
        <v>132.19999999999999</v>
      </c>
      <c r="AW6027">
        <v>0</v>
      </c>
      <c r="AX6027">
        <v>0</v>
      </c>
      <c r="AY6027">
        <v>10000</v>
      </c>
    </row>
    <row r="6028" spans="1:52" x14ac:dyDescent="0.3">
      <c r="A6028" t="s">
        <v>33</v>
      </c>
      <c r="B6028">
        <v>1878</v>
      </c>
      <c r="C6028">
        <v>889.84</v>
      </c>
      <c r="D6028">
        <v>700</v>
      </c>
      <c r="E6028">
        <v>0</v>
      </c>
      <c r="F6028">
        <v>8000</v>
      </c>
      <c r="G6028">
        <v>1576</v>
      </c>
      <c r="H6028">
        <v>227.38</v>
      </c>
      <c r="I6028">
        <v>0</v>
      </c>
      <c r="J6028">
        <v>0</v>
      </c>
      <c r="K6028">
        <v>7000</v>
      </c>
      <c r="L6028">
        <v>1785</v>
      </c>
      <c r="M6028">
        <v>796.49</v>
      </c>
      <c r="N6028">
        <v>500</v>
      </c>
      <c r="O6028">
        <v>0</v>
      </c>
      <c r="P6028">
        <v>8000</v>
      </c>
      <c r="Q6028">
        <v>1666</v>
      </c>
      <c r="R6028">
        <v>581.55999999999995</v>
      </c>
      <c r="S6028">
        <v>500</v>
      </c>
      <c r="T6028">
        <v>0</v>
      </c>
      <c r="U6028">
        <v>6000</v>
      </c>
      <c r="V6028">
        <v>1847</v>
      </c>
      <c r="W6028">
        <v>1763.85</v>
      </c>
      <c r="X6028">
        <v>1500</v>
      </c>
      <c r="Y6028">
        <v>0</v>
      </c>
      <c r="Z6028">
        <v>8000</v>
      </c>
      <c r="AA6028">
        <v>1578</v>
      </c>
      <c r="AB6028">
        <v>529.54999999999995</v>
      </c>
      <c r="AC6028">
        <v>0</v>
      </c>
      <c r="AD6028">
        <v>0</v>
      </c>
      <c r="AE6028">
        <v>10000</v>
      </c>
      <c r="AF6028">
        <v>1863</v>
      </c>
      <c r="AG6028">
        <v>654.9</v>
      </c>
      <c r="AH6028">
        <v>500</v>
      </c>
      <c r="AI6028">
        <v>0</v>
      </c>
      <c r="AJ6028">
        <v>9000</v>
      </c>
      <c r="AK6028">
        <v>1705</v>
      </c>
      <c r="AL6028">
        <v>268.29000000000002</v>
      </c>
      <c r="AM6028">
        <v>200</v>
      </c>
      <c r="AN6028">
        <v>0</v>
      </c>
      <c r="AO6028">
        <v>6000</v>
      </c>
      <c r="AP6028">
        <v>1641</v>
      </c>
      <c r="AQ6028">
        <v>539.96</v>
      </c>
      <c r="AR6028">
        <v>0</v>
      </c>
      <c r="AS6028">
        <v>0</v>
      </c>
      <c r="AT6028">
        <v>12000</v>
      </c>
      <c r="AU6028">
        <v>1495</v>
      </c>
      <c r="AV6028">
        <v>259.14</v>
      </c>
      <c r="AW6028">
        <v>0</v>
      </c>
      <c r="AX6028">
        <v>0</v>
      </c>
      <c r="AY6028">
        <v>10000</v>
      </c>
    </row>
    <row r="6029" spans="1:52" x14ac:dyDescent="0.3">
      <c r="A6029" t="s">
        <v>49</v>
      </c>
      <c r="B6029">
        <v>11934</v>
      </c>
      <c r="C6029">
        <v>967.92</v>
      </c>
      <c r="D6029">
        <v>700</v>
      </c>
      <c r="E6029">
        <v>0</v>
      </c>
      <c r="F6029">
        <v>17000</v>
      </c>
      <c r="G6029">
        <v>9299</v>
      </c>
      <c r="H6029">
        <v>218.14</v>
      </c>
      <c r="I6029">
        <v>0</v>
      </c>
      <c r="J6029">
        <v>0</v>
      </c>
      <c r="K6029">
        <v>15000</v>
      </c>
      <c r="L6029">
        <v>11671</v>
      </c>
      <c r="M6029">
        <v>929.42</v>
      </c>
      <c r="N6029">
        <v>600</v>
      </c>
      <c r="O6029">
        <v>0</v>
      </c>
      <c r="P6029">
        <v>11000</v>
      </c>
      <c r="Q6029">
        <v>9895</v>
      </c>
      <c r="R6029">
        <v>476.53</v>
      </c>
      <c r="S6029">
        <v>150</v>
      </c>
      <c r="T6029">
        <v>0</v>
      </c>
      <c r="U6029">
        <v>24000</v>
      </c>
      <c r="V6029">
        <v>12040</v>
      </c>
      <c r="W6029">
        <v>1831.2</v>
      </c>
      <c r="X6029">
        <v>1500</v>
      </c>
      <c r="Y6029">
        <v>0</v>
      </c>
      <c r="Z6029">
        <v>25000</v>
      </c>
      <c r="AA6029">
        <v>9629</v>
      </c>
      <c r="AB6029">
        <v>442.16</v>
      </c>
      <c r="AC6029">
        <v>0</v>
      </c>
      <c r="AD6029">
        <v>0</v>
      </c>
      <c r="AE6029">
        <v>30000</v>
      </c>
      <c r="AF6029">
        <v>11956</v>
      </c>
      <c r="AG6029">
        <v>669.91</v>
      </c>
      <c r="AH6029">
        <v>500</v>
      </c>
      <c r="AI6029">
        <v>0</v>
      </c>
      <c r="AJ6029">
        <v>12000</v>
      </c>
      <c r="AK6029">
        <v>10770</v>
      </c>
      <c r="AL6029">
        <v>326.47000000000003</v>
      </c>
      <c r="AM6029">
        <v>200</v>
      </c>
      <c r="AN6029">
        <v>0</v>
      </c>
      <c r="AO6029">
        <v>10000</v>
      </c>
      <c r="AP6029">
        <v>9651</v>
      </c>
      <c r="AQ6029">
        <v>709.73</v>
      </c>
      <c r="AR6029">
        <v>0</v>
      </c>
      <c r="AS6029">
        <v>0</v>
      </c>
      <c r="AT6029">
        <v>50000</v>
      </c>
      <c r="AU6029">
        <v>8369</v>
      </c>
      <c r="AV6029">
        <v>353.53</v>
      </c>
      <c r="AW6029">
        <v>0</v>
      </c>
      <c r="AX6029">
        <v>0</v>
      </c>
      <c r="AY6029">
        <v>18000</v>
      </c>
    </row>
    <row r="6031" spans="1:52" x14ac:dyDescent="0.3">
      <c r="A6031" t="s">
        <v>1977</v>
      </c>
    </row>
    <row r="6032" spans="1:52" x14ac:dyDescent="0.3">
      <c r="A6032" t="s">
        <v>44</v>
      </c>
      <c r="B6032" t="s">
        <v>235</v>
      </c>
      <c r="C6032" t="s">
        <v>1927</v>
      </c>
      <c r="D6032" t="s">
        <v>1928</v>
      </c>
      <c r="E6032" t="s">
        <v>1929</v>
      </c>
      <c r="F6032" t="s">
        <v>1930</v>
      </c>
      <c r="G6032" t="s">
        <v>1931</v>
      </c>
      <c r="H6032" t="s">
        <v>1932</v>
      </c>
      <c r="I6032" t="s">
        <v>1933</v>
      </c>
      <c r="J6032" t="s">
        <v>1934</v>
      </c>
      <c r="K6032" t="s">
        <v>1935</v>
      </c>
      <c r="L6032" t="s">
        <v>1936</v>
      </c>
      <c r="M6032" t="s">
        <v>1937</v>
      </c>
      <c r="N6032" t="s">
        <v>1938</v>
      </c>
      <c r="O6032" t="s">
        <v>1939</v>
      </c>
      <c r="P6032" t="s">
        <v>1940</v>
      </c>
      <c r="Q6032" t="s">
        <v>1941</v>
      </c>
      <c r="R6032" t="s">
        <v>1942</v>
      </c>
      <c r="S6032" t="s">
        <v>1943</v>
      </c>
      <c r="T6032" t="s">
        <v>1944</v>
      </c>
      <c r="U6032" t="s">
        <v>1945</v>
      </c>
      <c r="V6032" t="s">
        <v>1946</v>
      </c>
      <c r="W6032" t="s">
        <v>1947</v>
      </c>
      <c r="X6032" t="s">
        <v>1948</v>
      </c>
      <c r="Y6032" t="s">
        <v>1949</v>
      </c>
      <c r="Z6032" t="s">
        <v>1950</v>
      </c>
      <c r="AA6032" t="s">
        <v>1951</v>
      </c>
      <c r="AB6032" t="s">
        <v>1952</v>
      </c>
      <c r="AC6032" t="s">
        <v>1953</v>
      </c>
      <c r="AD6032" t="s">
        <v>1954</v>
      </c>
      <c r="AE6032" t="s">
        <v>1955</v>
      </c>
      <c r="AF6032" t="s">
        <v>1956</v>
      </c>
      <c r="AG6032" t="s">
        <v>1957</v>
      </c>
      <c r="AH6032" t="s">
        <v>1958</v>
      </c>
      <c r="AI6032" t="s">
        <v>1959</v>
      </c>
      <c r="AJ6032" t="s">
        <v>1960</v>
      </c>
      <c r="AK6032" t="s">
        <v>1961</v>
      </c>
      <c r="AL6032" t="s">
        <v>1962</v>
      </c>
      <c r="AM6032" t="s">
        <v>1963</v>
      </c>
      <c r="AN6032" t="s">
        <v>1964</v>
      </c>
      <c r="AO6032" t="s">
        <v>1965</v>
      </c>
      <c r="AP6032" t="s">
        <v>1966</v>
      </c>
      <c r="AQ6032" t="s">
        <v>1967</v>
      </c>
      <c r="AR6032" t="s">
        <v>1968</v>
      </c>
      <c r="AS6032" t="s">
        <v>1969</v>
      </c>
      <c r="AT6032" t="s">
        <v>1970</v>
      </c>
      <c r="AU6032" t="s">
        <v>1971</v>
      </c>
      <c r="AV6032" t="s">
        <v>1972</v>
      </c>
      <c r="AW6032" t="s">
        <v>1973</v>
      </c>
      <c r="AX6032" t="s">
        <v>1974</v>
      </c>
      <c r="AY6032" t="s">
        <v>1975</v>
      </c>
      <c r="AZ6032" t="s">
        <v>1976</v>
      </c>
    </row>
    <row r="6033" spans="1:52" x14ac:dyDescent="0.3">
      <c r="A6033" t="s">
        <v>35</v>
      </c>
      <c r="B6033" t="s">
        <v>236</v>
      </c>
      <c r="C6033">
        <v>1360</v>
      </c>
      <c r="D6033">
        <v>905.53</v>
      </c>
      <c r="E6033">
        <v>600</v>
      </c>
      <c r="F6033">
        <v>0</v>
      </c>
      <c r="G6033">
        <v>15000</v>
      </c>
      <c r="H6033">
        <v>1073</v>
      </c>
      <c r="I6033">
        <v>233.48</v>
      </c>
      <c r="J6033">
        <v>0</v>
      </c>
      <c r="K6033">
        <v>0</v>
      </c>
      <c r="L6033">
        <v>15000</v>
      </c>
      <c r="M6033">
        <v>1369</v>
      </c>
      <c r="N6033">
        <v>652.29</v>
      </c>
      <c r="O6033">
        <v>400</v>
      </c>
      <c r="P6033">
        <v>0</v>
      </c>
      <c r="Q6033">
        <v>8000</v>
      </c>
      <c r="R6033">
        <v>1232</v>
      </c>
      <c r="S6033">
        <v>711.76</v>
      </c>
      <c r="T6033">
        <v>500</v>
      </c>
      <c r="U6033">
        <v>0</v>
      </c>
      <c r="V6033">
        <v>10000</v>
      </c>
      <c r="W6033">
        <v>1412</v>
      </c>
      <c r="X6033">
        <v>1687.06</v>
      </c>
      <c r="Y6033">
        <v>1200</v>
      </c>
      <c r="Z6033">
        <v>0</v>
      </c>
      <c r="AA6033">
        <v>20000</v>
      </c>
      <c r="AB6033">
        <v>1182</v>
      </c>
      <c r="AC6033">
        <v>629.37</v>
      </c>
      <c r="AD6033">
        <v>0</v>
      </c>
      <c r="AE6033">
        <v>0</v>
      </c>
      <c r="AF6033">
        <v>13000</v>
      </c>
      <c r="AG6033">
        <v>1392</v>
      </c>
      <c r="AH6033">
        <v>617.08000000000004</v>
      </c>
      <c r="AI6033">
        <v>500</v>
      </c>
      <c r="AJ6033">
        <v>0</v>
      </c>
      <c r="AK6033">
        <v>5000</v>
      </c>
      <c r="AL6033">
        <v>1290</v>
      </c>
      <c r="AM6033">
        <v>273.82</v>
      </c>
      <c r="AN6033">
        <v>200</v>
      </c>
      <c r="AO6033">
        <v>0</v>
      </c>
      <c r="AP6033">
        <v>5000</v>
      </c>
      <c r="AQ6033">
        <v>1162</v>
      </c>
      <c r="AR6033">
        <v>533.03</v>
      </c>
      <c r="AS6033">
        <v>0</v>
      </c>
      <c r="AT6033">
        <v>0</v>
      </c>
      <c r="AU6033">
        <v>50000</v>
      </c>
      <c r="AV6033">
        <v>964</v>
      </c>
      <c r="AW6033">
        <v>491.99</v>
      </c>
      <c r="AX6033">
        <v>0</v>
      </c>
      <c r="AY6033">
        <v>0</v>
      </c>
      <c r="AZ6033">
        <v>15000</v>
      </c>
    </row>
    <row r="6034" spans="1:52" x14ac:dyDescent="0.3">
      <c r="A6034" t="s">
        <v>35</v>
      </c>
      <c r="B6034" t="s">
        <v>238</v>
      </c>
      <c r="C6034">
        <v>1229</v>
      </c>
      <c r="D6034">
        <v>940.42</v>
      </c>
      <c r="E6034">
        <v>600</v>
      </c>
      <c r="F6034">
        <v>0</v>
      </c>
      <c r="G6034">
        <v>12500</v>
      </c>
      <c r="H6034">
        <v>980</v>
      </c>
      <c r="I6034">
        <v>77.66</v>
      </c>
      <c r="J6034">
        <v>0</v>
      </c>
      <c r="K6034">
        <v>0</v>
      </c>
      <c r="L6034">
        <v>7000</v>
      </c>
      <c r="M6034">
        <v>1266</v>
      </c>
      <c r="N6034">
        <v>1156.3399999999999</v>
      </c>
      <c r="O6034">
        <v>1000</v>
      </c>
      <c r="P6034">
        <v>0</v>
      </c>
      <c r="Q6034">
        <v>9000</v>
      </c>
      <c r="R6034">
        <v>1053</v>
      </c>
      <c r="S6034">
        <v>238.86</v>
      </c>
      <c r="T6034">
        <v>0</v>
      </c>
      <c r="U6034">
        <v>0</v>
      </c>
      <c r="V6034">
        <v>15000</v>
      </c>
      <c r="W6034">
        <v>1329</v>
      </c>
      <c r="X6034">
        <v>1918.38</v>
      </c>
      <c r="Y6034">
        <v>1500</v>
      </c>
      <c r="Z6034">
        <v>0</v>
      </c>
      <c r="AA6034">
        <v>10000</v>
      </c>
      <c r="AB6034">
        <v>1034</v>
      </c>
      <c r="AC6034">
        <v>139.11000000000001</v>
      </c>
      <c r="AD6034">
        <v>0</v>
      </c>
      <c r="AE6034">
        <v>0</v>
      </c>
      <c r="AF6034">
        <v>10000</v>
      </c>
      <c r="AG6034">
        <v>1287</v>
      </c>
      <c r="AH6034">
        <v>624.04999999999995</v>
      </c>
      <c r="AI6034">
        <v>500</v>
      </c>
      <c r="AJ6034">
        <v>0</v>
      </c>
      <c r="AK6034">
        <v>4000</v>
      </c>
      <c r="AL6034">
        <v>1244</v>
      </c>
      <c r="AM6034">
        <v>348.96</v>
      </c>
      <c r="AN6034">
        <v>200</v>
      </c>
      <c r="AO6034">
        <v>0</v>
      </c>
      <c r="AP6034">
        <v>4000</v>
      </c>
      <c r="AQ6034">
        <v>1109</v>
      </c>
      <c r="AR6034">
        <v>1100.25</v>
      </c>
      <c r="AS6034">
        <v>0</v>
      </c>
      <c r="AT6034">
        <v>0</v>
      </c>
      <c r="AU6034">
        <v>25000</v>
      </c>
      <c r="AV6034">
        <v>879</v>
      </c>
      <c r="AW6034">
        <v>476.53</v>
      </c>
      <c r="AX6034">
        <v>0</v>
      </c>
      <c r="AY6034">
        <v>0</v>
      </c>
      <c r="AZ6034">
        <v>18000</v>
      </c>
    </row>
    <row r="6035" spans="1:52" x14ac:dyDescent="0.3">
      <c r="A6035" t="s">
        <v>37</v>
      </c>
      <c r="B6035" t="s">
        <v>236</v>
      </c>
      <c r="C6035">
        <v>2135</v>
      </c>
      <c r="D6035">
        <v>884.85</v>
      </c>
      <c r="E6035">
        <v>600</v>
      </c>
      <c r="F6035">
        <v>0</v>
      </c>
      <c r="G6035">
        <v>10000</v>
      </c>
      <c r="H6035">
        <v>1704</v>
      </c>
      <c r="I6035">
        <v>390.56</v>
      </c>
      <c r="J6035">
        <v>200</v>
      </c>
      <c r="K6035">
        <v>0</v>
      </c>
      <c r="L6035">
        <v>6000</v>
      </c>
      <c r="M6035">
        <v>2012</v>
      </c>
      <c r="N6035">
        <v>620.97</v>
      </c>
      <c r="O6035">
        <v>450</v>
      </c>
      <c r="P6035">
        <v>0</v>
      </c>
      <c r="Q6035">
        <v>7000</v>
      </c>
      <c r="R6035">
        <v>1807</v>
      </c>
      <c r="S6035">
        <v>611.19000000000005</v>
      </c>
      <c r="T6035">
        <v>400</v>
      </c>
      <c r="U6035">
        <v>0</v>
      </c>
      <c r="V6035">
        <v>20000</v>
      </c>
      <c r="W6035">
        <v>2094</v>
      </c>
      <c r="X6035">
        <v>1397.99</v>
      </c>
      <c r="Y6035">
        <v>1000</v>
      </c>
      <c r="Z6035">
        <v>0</v>
      </c>
      <c r="AA6035">
        <v>10000</v>
      </c>
      <c r="AB6035">
        <v>1771</v>
      </c>
      <c r="AC6035">
        <v>929.31</v>
      </c>
      <c r="AD6035">
        <v>500</v>
      </c>
      <c r="AE6035">
        <v>0</v>
      </c>
      <c r="AF6035">
        <v>10000</v>
      </c>
      <c r="AG6035">
        <v>2089</v>
      </c>
      <c r="AH6035">
        <v>630.25</v>
      </c>
      <c r="AI6035">
        <v>500</v>
      </c>
      <c r="AJ6035">
        <v>0</v>
      </c>
      <c r="AK6035">
        <v>6000</v>
      </c>
      <c r="AL6035">
        <v>1745</v>
      </c>
      <c r="AM6035">
        <v>240.73</v>
      </c>
      <c r="AN6035">
        <v>180</v>
      </c>
      <c r="AO6035">
        <v>0</v>
      </c>
      <c r="AP6035">
        <v>10000</v>
      </c>
      <c r="AQ6035">
        <v>1549</v>
      </c>
      <c r="AR6035">
        <v>439.63</v>
      </c>
      <c r="AS6035">
        <v>0</v>
      </c>
      <c r="AT6035">
        <v>0</v>
      </c>
      <c r="AU6035">
        <v>15000</v>
      </c>
      <c r="AV6035">
        <v>1387</v>
      </c>
      <c r="AW6035">
        <v>336.08</v>
      </c>
      <c r="AX6035">
        <v>0</v>
      </c>
      <c r="AY6035">
        <v>0</v>
      </c>
      <c r="AZ6035">
        <v>10000</v>
      </c>
    </row>
    <row r="6036" spans="1:52" x14ac:dyDescent="0.3">
      <c r="A6036" t="s">
        <v>37</v>
      </c>
      <c r="B6036" t="s">
        <v>238</v>
      </c>
      <c r="C6036">
        <v>1557</v>
      </c>
      <c r="D6036">
        <v>1038.78</v>
      </c>
      <c r="E6036">
        <v>800</v>
      </c>
      <c r="F6036">
        <v>0</v>
      </c>
      <c r="G6036">
        <v>8000</v>
      </c>
      <c r="H6036">
        <v>1166</v>
      </c>
      <c r="I6036">
        <v>175.15</v>
      </c>
      <c r="J6036">
        <v>0</v>
      </c>
      <c r="K6036">
        <v>0</v>
      </c>
      <c r="L6036">
        <v>6000</v>
      </c>
      <c r="M6036">
        <v>1549</v>
      </c>
      <c r="N6036">
        <v>1048.1300000000001</v>
      </c>
      <c r="O6036">
        <v>750</v>
      </c>
      <c r="P6036">
        <v>0</v>
      </c>
      <c r="Q6036">
        <v>10000</v>
      </c>
      <c r="R6036">
        <v>1194</v>
      </c>
      <c r="S6036">
        <v>321.49</v>
      </c>
      <c r="T6036">
        <v>0</v>
      </c>
      <c r="U6036">
        <v>0</v>
      </c>
      <c r="V6036">
        <v>16000</v>
      </c>
      <c r="W6036">
        <v>1585</v>
      </c>
      <c r="X6036">
        <v>1996.44</v>
      </c>
      <c r="Y6036">
        <v>1500</v>
      </c>
      <c r="Z6036">
        <v>0</v>
      </c>
      <c r="AA6036">
        <v>20000</v>
      </c>
      <c r="AB6036">
        <v>1141</v>
      </c>
      <c r="AC6036">
        <v>254.63</v>
      </c>
      <c r="AD6036">
        <v>0</v>
      </c>
      <c r="AE6036">
        <v>0</v>
      </c>
      <c r="AF6036">
        <v>7000</v>
      </c>
      <c r="AG6036">
        <v>1539</v>
      </c>
      <c r="AH6036">
        <v>748.96</v>
      </c>
      <c r="AI6036">
        <v>500</v>
      </c>
      <c r="AJ6036">
        <v>0</v>
      </c>
      <c r="AK6036">
        <v>8000</v>
      </c>
      <c r="AL6036">
        <v>1408</v>
      </c>
      <c r="AM6036">
        <v>387.97</v>
      </c>
      <c r="AN6036">
        <v>300</v>
      </c>
      <c r="AO6036">
        <v>0</v>
      </c>
      <c r="AP6036">
        <v>5000</v>
      </c>
      <c r="AQ6036">
        <v>1295</v>
      </c>
      <c r="AR6036">
        <v>1273.6300000000001</v>
      </c>
      <c r="AS6036">
        <v>650</v>
      </c>
      <c r="AT6036">
        <v>0</v>
      </c>
      <c r="AU6036">
        <v>50000</v>
      </c>
      <c r="AV6036">
        <v>1020</v>
      </c>
      <c r="AW6036">
        <v>347.3</v>
      </c>
      <c r="AX6036">
        <v>0</v>
      </c>
      <c r="AY6036">
        <v>0</v>
      </c>
      <c r="AZ6036">
        <v>6500</v>
      </c>
    </row>
    <row r="6037" spans="1:52" x14ac:dyDescent="0.3">
      <c r="A6037" t="s">
        <v>36</v>
      </c>
      <c r="B6037" t="s">
        <v>236</v>
      </c>
      <c r="C6037">
        <v>1334</v>
      </c>
      <c r="D6037">
        <v>1141.1500000000001</v>
      </c>
      <c r="E6037">
        <v>1000</v>
      </c>
      <c r="F6037">
        <v>0</v>
      </c>
      <c r="G6037">
        <v>10000</v>
      </c>
      <c r="H6037">
        <v>741</v>
      </c>
      <c r="I6037">
        <v>238.27</v>
      </c>
      <c r="J6037">
        <v>100</v>
      </c>
      <c r="K6037">
        <v>0</v>
      </c>
      <c r="L6037">
        <v>12000</v>
      </c>
      <c r="M6037">
        <v>1201</v>
      </c>
      <c r="N6037">
        <v>1006.58</v>
      </c>
      <c r="O6037">
        <v>800</v>
      </c>
      <c r="P6037">
        <v>0</v>
      </c>
      <c r="Q6037">
        <v>11000</v>
      </c>
      <c r="R6037">
        <v>870</v>
      </c>
      <c r="S6037">
        <v>423.51</v>
      </c>
      <c r="T6037">
        <v>200</v>
      </c>
      <c r="U6037">
        <v>0</v>
      </c>
      <c r="V6037">
        <v>10000</v>
      </c>
      <c r="W6037">
        <v>1226</v>
      </c>
      <c r="X6037">
        <v>1556.5</v>
      </c>
      <c r="Y6037">
        <v>1100</v>
      </c>
      <c r="Z6037">
        <v>0</v>
      </c>
      <c r="AA6037">
        <v>15000</v>
      </c>
      <c r="AB6037">
        <v>838</v>
      </c>
      <c r="AC6037">
        <v>778.8</v>
      </c>
      <c r="AD6037">
        <v>250</v>
      </c>
      <c r="AE6037">
        <v>0</v>
      </c>
      <c r="AF6037">
        <v>20000</v>
      </c>
      <c r="AG6037">
        <v>1284</v>
      </c>
      <c r="AH6037">
        <v>681.77</v>
      </c>
      <c r="AI6037">
        <v>500</v>
      </c>
      <c r="AJ6037">
        <v>0</v>
      </c>
      <c r="AK6037">
        <v>6000</v>
      </c>
      <c r="AL6037">
        <v>951</v>
      </c>
      <c r="AM6037">
        <v>391.83</v>
      </c>
      <c r="AN6037">
        <v>300</v>
      </c>
      <c r="AO6037">
        <v>0</v>
      </c>
      <c r="AP6037">
        <v>5000</v>
      </c>
      <c r="AQ6037">
        <v>681</v>
      </c>
      <c r="AR6037">
        <v>402.59</v>
      </c>
      <c r="AS6037">
        <v>0</v>
      </c>
      <c r="AT6037">
        <v>0</v>
      </c>
      <c r="AU6037">
        <v>6000</v>
      </c>
      <c r="AV6037">
        <v>680</v>
      </c>
      <c r="AW6037">
        <v>624.19000000000005</v>
      </c>
      <c r="AX6037">
        <v>0</v>
      </c>
      <c r="AY6037">
        <v>0</v>
      </c>
      <c r="AZ6037">
        <v>12000</v>
      </c>
    </row>
    <row r="6038" spans="1:52" x14ac:dyDescent="0.3">
      <c r="A6038" t="s">
        <v>36</v>
      </c>
      <c r="B6038" t="s">
        <v>238</v>
      </c>
      <c r="C6038">
        <v>645</v>
      </c>
      <c r="D6038">
        <v>1063.82</v>
      </c>
      <c r="E6038">
        <v>900</v>
      </c>
      <c r="F6038">
        <v>0</v>
      </c>
      <c r="G6038">
        <v>8000</v>
      </c>
      <c r="H6038">
        <v>314</v>
      </c>
      <c r="I6038">
        <v>215.23</v>
      </c>
      <c r="J6038">
        <v>0</v>
      </c>
      <c r="K6038">
        <v>0</v>
      </c>
      <c r="L6038">
        <v>4000</v>
      </c>
      <c r="M6038">
        <v>627</v>
      </c>
      <c r="N6038">
        <v>1499.59</v>
      </c>
      <c r="O6038">
        <v>1000</v>
      </c>
      <c r="P6038">
        <v>0</v>
      </c>
      <c r="Q6038">
        <v>10000</v>
      </c>
      <c r="R6038">
        <v>369</v>
      </c>
      <c r="S6038">
        <v>396.86</v>
      </c>
      <c r="T6038">
        <v>100</v>
      </c>
      <c r="U6038">
        <v>0</v>
      </c>
      <c r="V6038">
        <v>5500</v>
      </c>
      <c r="W6038">
        <v>649</v>
      </c>
      <c r="X6038">
        <v>2041.85</v>
      </c>
      <c r="Y6038">
        <v>1600</v>
      </c>
      <c r="Z6038">
        <v>0</v>
      </c>
      <c r="AA6038">
        <v>12000</v>
      </c>
      <c r="AB6038">
        <v>313</v>
      </c>
      <c r="AC6038">
        <v>424.06</v>
      </c>
      <c r="AD6038">
        <v>0</v>
      </c>
      <c r="AE6038">
        <v>0</v>
      </c>
      <c r="AF6038">
        <v>30000</v>
      </c>
      <c r="AG6038">
        <v>633</v>
      </c>
      <c r="AH6038">
        <v>767.09</v>
      </c>
      <c r="AI6038">
        <v>500</v>
      </c>
      <c r="AJ6038">
        <v>0</v>
      </c>
      <c r="AK6038">
        <v>12000</v>
      </c>
      <c r="AL6038">
        <v>522</v>
      </c>
      <c r="AM6038">
        <v>575.97</v>
      </c>
      <c r="AN6038">
        <v>500</v>
      </c>
      <c r="AO6038">
        <v>0</v>
      </c>
      <c r="AP6038">
        <v>7000</v>
      </c>
      <c r="AQ6038">
        <v>389</v>
      </c>
      <c r="AR6038">
        <v>1104.1400000000001</v>
      </c>
      <c r="AS6038">
        <v>500</v>
      </c>
      <c r="AT6038">
        <v>0</v>
      </c>
      <c r="AU6038">
        <v>9000</v>
      </c>
      <c r="AV6038">
        <v>360</v>
      </c>
      <c r="AW6038">
        <v>1171.32</v>
      </c>
      <c r="AX6038">
        <v>300</v>
      </c>
      <c r="AY6038">
        <v>0</v>
      </c>
      <c r="AZ6038">
        <v>15000</v>
      </c>
    </row>
    <row r="6039" spans="1:52" x14ac:dyDescent="0.3">
      <c r="A6039" t="s">
        <v>34</v>
      </c>
      <c r="B6039" t="s">
        <v>236</v>
      </c>
      <c r="C6039">
        <v>646</v>
      </c>
      <c r="D6039">
        <v>962.73</v>
      </c>
      <c r="E6039">
        <v>600</v>
      </c>
      <c r="F6039">
        <v>0</v>
      </c>
      <c r="G6039">
        <v>10000</v>
      </c>
      <c r="H6039">
        <v>622</v>
      </c>
      <c r="I6039">
        <v>431.81</v>
      </c>
      <c r="J6039">
        <v>0</v>
      </c>
      <c r="K6039">
        <v>0</v>
      </c>
      <c r="L6039">
        <v>10000</v>
      </c>
      <c r="M6039">
        <v>671</v>
      </c>
      <c r="N6039">
        <v>754.57</v>
      </c>
      <c r="O6039">
        <v>500</v>
      </c>
      <c r="P6039">
        <v>0</v>
      </c>
      <c r="Q6039">
        <v>8000</v>
      </c>
      <c r="R6039">
        <v>608</v>
      </c>
      <c r="S6039">
        <v>856</v>
      </c>
      <c r="T6039">
        <v>500</v>
      </c>
      <c r="U6039">
        <v>0</v>
      </c>
      <c r="V6039">
        <v>10000</v>
      </c>
      <c r="W6039">
        <v>687</v>
      </c>
      <c r="X6039">
        <v>1612.86</v>
      </c>
      <c r="Y6039">
        <v>1000</v>
      </c>
      <c r="Z6039">
        <v>0</v>
      </c>
      <c r="AA6039">
        <v>12000</v>
      </c>
      <c r="AB6039">
        <v>638</v>
      </c>
      <c r="AC6039">
        <v>488.44</v>
      </c>
      <c r="AD6039">
        <v>0</v>
      </c>
      <c r="AE6039">
        <v>0</v>
      </c>
      <c r="AF6039">
        <v>10000</v>
      </c>
      <c r="AG6039">
        <v>680</v>
      </c>
      <c r="AH6039">
        <v>711.75</v>
      </c>
      <c r="AI6039">
        <v>500</v>
      </c>
      <c r="AJ6039">
        <v>0</v>
      </c>
      <c r="AK6039">
        <v>4000</v>
      </c>
      <c r="AL6039">
        <v>672</v>
      </c>
      <c r="AM6039">
        <v>218.67</v>
      </c>
      <c r="AN6039">
        <v>60</v>
      </c>
      <c r="AO6039">
        <v>0</v>
      </c>
      <c r="AP6039">
        <v>3000</v>
      </c>
      <c r="AQ6039">
        <v>660</v>
      </c>
      <c r="AR6039">
        <v>163.16</v>
      </c>
      <c r="AS6039">
        <v>0</v>
      </c>
      <c r="AT6039">
        <v>0</v>
      </c>
      <c r="AU6039">
        <v>10000</v>
      </c>
      <c r="AV6039">
        <v>586</v>
      </c>
      <c r="AW6039">
        <v>67.12</v>
      </c>
      <c r="AX6039">
        <v>0</v>
      </c>
      <c r="AY6039">
        <v>0</v>
      </c>
      <c r="AZ6039">
        <v>5000</v>
      </c>
    </row>
    <row r="6040" spans="1:52" x14ac:dyDescent="0.3">
      <c r="A6040" t="s">
        <v>34</v>
      </c>
      <c r="B6040" t="s">
        <v>238</v>
      </c>
      <c r="C6040">
        <v>1150</v>
      </c>
      <c r="D6040">
        <v>1114.95</v>
      </c>
      <c r="E6040">
        <v>700</v>
      </c>
      <c r="F6040">
        <v>0</v>
      </c>
      <c r="G6040">
        <v>17000</v>
      </c>
      <c r="H6040">
        <v>1123</v>
      </c>
      <c r="I6040">
        <v>147.19</v>
      </c>
      <c r="J6040">
        <v>0</v>
      </c>
      <c r="K6040">
        <v>0</v>
      </c>
      <c r="L6040">
        <v>10000</v>
      </c>
      <c r="M6040">
        <v>1191</v>
      </c>
      <c r="N6040">
        <v>1049.7</v>
      </c>
      <c r="O6040">
        <v>800</v>
      </c>
      <c r="P6040">
        <v>0</v>
      </c>
      <c r="Q6040">
        <v>7000</v>
      </c>
      <c r="R6040">
        <v>1096</v>
      </c>
      <c r="S6040">
        <v>375.35</v>
      </c>
      <c r="T6040">
        <v>0</v>
      </c>
      <c r="U6040">
        <v>0</v>
      </c>
      <c r="V6040">
        <v>24000</v>
      </c>
      <c r="W6040">
        <v>1211</v>
      </c>
      <c r="X6040">
        <v>2371.88</v>
      </c>
      <c r="Y6040">
        <v>2000</v>
      </c>
      <c r="Z6040">
        <v>0</v>
      </c>
      <c r="AA6040">
        <v>25000</v>
      </c>
      <c r="AB6040">
        <v>1134</v>
      </c>
      <c r="AC6040">
        <v>165.21</v>
      </c>
      <c r="AD6040">
        <v>0</v>
      </c>
      <c r="AE6040">
        <v>0</v>
      </c>
      <c r="AF6040">
        <v>25000</v>
      </c>
      <c r="AG6040">
        <v>1189</v>
      </c>
      <c r="AH6040">
        <v>708.41</v>
      </c>
      <c r="AI6040">
        <v>500</v>
      </c>
      <c r="AJ6040">
        <v>0</v>
      </c>
      <c r="AK6040">
        <v>10000</v>
      </c>
      <c r="AL6040">
        <v>1233</v>
      </c>
      <c r="AM6040">
        <v>388.52</v>
      </c>
      <c r="AN6040">
        <v>300</v>
      </c>
      <c r="AO6040">
        <v>0</v>
      </c>
      <c r="AP6040">
        <v>4500</v>
      </c>
      <c r="AQ6040">
        <v>1165</v>
      </c>
      <c r="AR6040">
        <v>416.64</v>
      </c>
      <c r="AS6040">
        <v>0</v>
      </c>
      <c r="AT6040">
        <v>0</v>
      </c>
      <c r="AU6040">
        <v>8000</v>
      </c>
      <c r="AV6040">
        <v>998</v>
      </c>
      <c r="AW6040">
        <v>159.04</v>
      </c>
      <c r="AX6040">
        <v>0</v>
      </c>
      <c r="AY6040">
        <v>0</v>
      </c>
      <c r="AZ6040">
        <v>10000</v>
      </c>
    </row>
    <row r="6041" spans="1:52" x14ac:dyDescent="0.3">
      <c r="A6041" t="s">
        <v>33</v>
      </c>
      <c r="B6041" t="s">
        <v>236</v>
      </c>
      <c r="C6041">
        <v>1076</v>
      </c>
      <c r="D6041">
        <v>819.07</v>
      </c>
      <c r="E6041">
        <v>600</v>
      </c>
      <c r="F6041">
        <v>0</v>
      </c>
      <c r="G6041">
        <v>8000</v>
      </c>
      <c r="H6041">
        <v>921</v>
      </c>
      <c r="I6041">
        <v>320.08999999999997</v>
      </c>
      <c r="J6041">
        <v>200</v>
      </c>
      <c r="K6041">
        <v>0</v>
      </c>
      <c r="L6041">
        <v>7000</v>
      </c>
      <c r="M6041">
        <v>1010</v>
      </c>
      <c r="N6041">
        <v>470.64</v>
      </c>
      <c r="O6041">
        <v>300</v>
      </c>
      <c r="P6041">
        <v>0</v>
      </c>
      <c r="Q6041">
        <v>4000</v>
      </c>
      <c r="R6041">
        <v>974</v>
      </c>
      <c r="S6041">
        <v>729.4</v>
      </c>
      <c r="T6041">
        <v>600</v>
      </c>
      <c r="U6041">
        <v>0</v>
      </c>
      <c r="V6041">
        <v>6000</v>
      </c>
      <c r="W6041">
        <v>1053</v>
      </c>
      <c r="X6041">
        <v>1336.72</v>
      </c>
      <c r="Y6041">
        <v>1000</v>
      </c>
      <c r="Z6041">
        <v>0</v>
      </c>
      <c r="AA6041">
        <v>8000</v>
      </c>
      <c r="AB6041">
        <v>932</v>
      </c>
      <c r="AC6041">
        <v>842.49</v>
      </c>
      <c r="AD6041">
        <v>500</v>
      </c>
      <c r="AE6041">
        <v>0</v>
      </c>
      <c r="AF6041">
        <v>10000</v>
      </c>
      <c r="AG6041">
        <v>1070</v>
      </c>
      <c r="AH6041">
        <v>598.22</v>
      </c>
      <c r="AI6041">
        <v>500</v>
      </c>
      <c r="AJ6041">
        <v>0</v>
      </c>
      <c r="AK6041">
        <v>9000</v>
      </c>
      <c r="AL6041">
        <v>972</v>
      </c>
      <c r="AM6041">
        <v>195.25</v>
      </c>
      <c r="AN6041">
        <v>120</v>
      </c>
      <c r="AO6041">
        <v>0</v>
      </c>
      <c r="AP6041">
        <v>6000</v>
      </c>
      <c r="AQ6041">
        <v>934</v>
      </c>
      <c r="AR6041">
        <v>213.32</v>
      </c>
      <c r="AS6041">
        <v>0</v>
      </c>
      <c r="AT6041">
        <v>0</v>
      </c>
      <c r="AU6041">
        <v>12000</v>
      </c>
      <c r="AV6041">
        <v>874</v>
      </c>
      <c r="AW6041">
        <v>217.2</v>
      </c>
      <c r="AX6041">
        <v>0</v>
      </c>
      <c r="AY6041">
        <v>0</v>
      </c>
      <c r="AZ6041">
        <v>10000</v>
      </c>
    </row>
    <row r="6042" spans="1:52" x14ac:dyDescent="0.3">
      <c r="A6042" t="s">
        <v>33</v>
      </c>
      <c r="B6042" t="s">
        <v>238</v>
      </c>
      <c r="C6042">
        <v>802</v>
      </c>
      <c r="D6042">
        <v>961.58</v>
      </c>
      <c r="E6042">
        <v>800</v>
      </c>
      <c r="F6042">
        <v>0</v>
      </c>
      <c r="G6042">
        <v>8000</v>
      </c>
      <c r="H6042">
        <v>655</v>
      </c>
      <c r="I6042">
        <v>128.38999999999999</v>
      </c>
      <c r="J6042">
        <v>0</v>
      </c>
      <c r="K6042">
        <v>0</v>
      </c>
      <c r="L6042">
        <v>2000</v>
      </c>
      <c r="M6042">
        <v>775</v>
      </c>
      <c r="N6042">
        <v>1113.8699999999999</v>
      </c>
      <c r="O6042">
        <v>1000</v>
      </c>
      <c r="P6042">
        <v>0</v>
      </c>
      <c r="Q6042">
        <v>8000</v>
      </c>
      <c r="R6042">
        <v>692</v>
      </c>
      <c r="S6042">
        <v>423.64</v>
      </c>
      <c r="T6042">
        <v>100</v>
      </c>
      <c r="U6042">
        <v>0</v>
      </c>
      <c r="V6042">
        <v>6000</v>
      </c>
      <c r="W6042">
        <v>794</v>
      </c>
      <c r="X6042">
        <v>2190.0500000000002</v>
      </c>
      <c r="Y6042">
        <v>2000</v>
      </c>
      <c r="Z6042">
        <v>0</v>
      </c>
      <c r="AA6042">
        <v>8000</v>
      </c>
      <c r="AB6042">
        <v>646</v>
      </c>
      <c r="AC6042">
        <v>188.47</v>
      </c>
      <c r="AD6042">
        <v>0</v>
      </c>
      <c r="AE6042">
        <v>0</v>
      </c>
      <c r="AF6042">
        <v>5000</v>
      </c>
      <c r="AG6042">
        <v>793</v>
      </c>
      <c r="AH6042">
        <v>712.65</v>
      </c>
      <c r="AI6042">
        <v>500</v>
      </c>
      <c r="AJ6042">
        <v>0</v>
      </c>
      <c r="AK6042">
        <v>5000</v>
      </c>
      <c r="AL6042">
        <v>733</v>
      </c>
      <c r="AM6042">
        <v>340.41</v>
      </c>
      <c r="AN6042">
        <v>300</v>
      </c>
      <c r="AO6042">
        <v>0</v>
      </c>
      <c r="AP6042">
        <v>5000</v>
      </c>
      <c r="AQ6042">
        <v>707</v>
      </c>
      <c r="AR6042">
        <v>859.19</v>
      </c>
      <c r="AS6042">
        <v>200</v>
      </c>
      <c r="AT6042">
        <v>0</v>
      </c>
      <c r="AU6042">
        <v>10000</v>
      </c>
      <c r="AV6042">
        <v>621</v>
      </c>
      <c r="AW6042">
        <v>302.79000000000002</v>
      </c>
      <c r="AX6042">
        <v>0</v>
      </c>
      <c r="AY6042">
        <v>0</v>
      </c>
      <c r="AZ6042">
        <v>5000</v>
      </c>
    </row>
    <row r="6043" spans="1:52" x14ac:dyDescent="0.3">
      <c r="A6043" t="s">
        <v>49</v>
      </c>
      <c r="B6043" t="s">
        <v>236</v>
      </c>
      <c r="C6043">
        <v>6551</v>
      </c>
      <c r="D6043">
        <v>907.18</v>
      </c>
      <c r="E6043">
        <v>600</v>
      </c>
      <c r="F6043">
        <v>0</v>
      </c>
      <c r="G6043">
        <v>15000</v>
      </c>
      <c r="H6043">
        <v>5061</v>
      </c>
      <c r="I6043">
        <v>343.8</v>
      </c>
      <c r="J6043">
        <v>150</v>
      </c>
      <c r="K6043">
        <v>0</v>
      </c>
      <c r="L6043">
        <v>15000</v>
      </c>
      <c r="M6043">
        <v>6263</v>
      </c>
      <c r="N6043">
        <v>646.46</v>
      </c>
      <c r="O6043">
        <v>400</v>
      </c>
      <c r="P6043">
        <v>0</v>
      </c>
      <c r="Q6043">
        <v>11000</v>
      </c>
      <c r="R6043">
        <v>5491</v>
      </c>
      <c r="S6043">
        <v>678.21</v>
      </c>
      <c r="T6043">
        <v>500</v>
      </c>
      <c r="U6043">
        <v>0</v>
      </c>
      <c r="V6043">
        <v>20000</v>
      </c>
      <c r="W6043">
        <v>6472</v>
      </c>
      <c r="X6043">
        <v>1484.88</v>
      </c>
      <c r="Y6043">
        <v>1000</v>
      </c>
      <c r="Z6043">
        <v>0</v>
      </c>
      <c r="AA6043">
        <v>20000</v>
      </c>
      <c r="AB6043">
        <v>5361</v>
      </c>
      <c r="AC6043">
        <v>783.15</v>
      </c>
      <c r="AD6043">
        <v>300</v>
      </c>
      <c r="AE6043">
        <v>0</v>
      </c>
      <c r="AF6043">
        <v>20000</v>
      </c>
      <c r="AG6043">
        <v>6515</v>
      </c>
      <c r="AH6043">
        <v>636.15</v>
      </c>
      <c r="AI6043">
        <v>500</v>
      </c>
      <c r="AJ6043">
        <v>0</v>
      </c>
      <c r="AK6043">
        <v>9000</v>
      </c>
      <c r="AL6043">
        <v>5630</v>
      </c>
      <c r="AM6043">
        <v>246.11</v>
      </c>
      <c r="AN6043">
        <v>150</v>
      </c>
      <c r="AO6043">
        <v>0</v>
      </c>
      <c r="AP6043">
        <v>10000</v>
      </c>
      <c r="AQ6043">
        <v>4986</v>
      </c>
      <c r="AR6043">
        <v>364.23</v>
      </c>
      <c r="AS6043">
        <v>0</v>
      </c>
      <c r="AT6043">
        <v>0</v>
      </c>
      <c r="AU6043">
        <v>50000</v>
      </c>
      <c r="AV6043">
        <v>4491</v>
      </c>
      <c r="AW6043">
        <v>316.14999999999998</v>
      </c>
      <c r="AX6043">
        <v>0</v>
      </c>
      <c r="AY6043">
        <v>0</v>
      </c>
      <c r="AZ6043">
        <v>15000</v>
      </c>
    </row>
    <row r="6044" spans="1:52" x14ac:dyDescent="0.3">
      <c r="A6044" t="s">
        <v>49</v>
      </c>
      <c r="B6044" t="s">
        <v>238</v>
      </c>
      <c r="C6044">
        <v>5383</v>
      </c>
      <c r="D6044">
        <v>1014.05</v>
      </c>
      <c r="E6044">
        <v>700</v>
      </c>
      <c r="F6044">
        <v>0</v>
      </c>
      <c r="G6044">
        <v>17000</v>
      </c>
      <c r="H6044">
        <v>4238</v>
      </c>
      <c r="I6044">
        <v>125.93</v>
      </c>
      <c r="J6044">
        <v>0</v>
      </c>
      <c r="K6044">
        <v>0</v>
      </c>
      <c r="L6044">
        <v>10000</v>
      </c>
      <c r="M6044">
        <v>5408</v>
      </c>
      <c r="N6044">
        <v>1132.04</v>
      </c>
      <c r="O6044">
        <v>900</v>
      </c>
      <c r="P6044">
        <v>0</v>
      </c>
      <c r="Q6044">
        <v>10000</v>
      </c>
      <c r="R6044">
        <v>4404</v>
      </c>
      <c r="S6044">
        <v>321.98</v>
      </c>
      <c r="T6044">
        <v>0</v>
      </c>
      <c r="U6044">
        <v>0</v>
      </c>
      <c r="V6044">
        <v>24000</v>
      </c>
      <c r="W6044">
        <v>5568</v>
      </c>
      <c r="X6044">
        <v>2083.63</v>
      </c>
      <c r="Y6044">
        <v>1800</v>
      </c>
      <c r="Z6044">
        <v>0</v>
      </c>
      <c r="AA6044">
        <v>25000</v>
      </c>
      <c r="AB6044">
        <v>4268</v>
      </c>
      <c r="AC6044">
        <v>182.52</v>
      </c>
      <c r="AD6044">
        <v>0</v>
      </c>
      <c r="AE6044">
        <v>0</v>
      </c>
      <c r="AF6044">
        <v>30000</v>
      </c>
      <c r="AG6044">
        <v>5441</v>
      </c>
      <c r="AH6044">
        <v>695.23</v>
      </c>
      <c r="AI6044">
        <v>500</v>
      </c>
      <c r="AJ6044">
        <v>0</v>
      </c>
      <c r="AK6044">
        <v>12000</v>
      </c>
      <c r="AL6044">
        <v>5140</v>
      </c>
      <c r="AM6044">
        <v>380.57</v>
      </c>
      <c r="AN6044">
        <v>300</v>
      </c>
      <c r="AO6044">
        <v>0</v>
      </c>
      <c r="AP6044">
        <v>7000</v>
      </c>
      <c r="AQ6044">
        <v>4665</v>
      </c>
      <c r="AR6044">
        <v>936.12</v>
      </c>
      <c r="AS6044">
        <v>0</v>
      </c>
      <c r="AT6044">
        <v>0</v>
      </c>
      <c r="AU6044">
        <v>50000</v>
      </c>
      <c r="AV6044">
        <v>3878</v>
      </c>
      <c r="AW6044">
        <v>379.96</v>
      </c>
      <c r="AX6044">
        <v>0</v>
      </c>
      <c r="AY6044">
        <v>0</v>
      </c>
      <c r="AZ6044">
        <v>18000</v>
      </c>
    </row>
    <row r="6046" spans="1:52" x14ac:dyDescent="0.3">
      <c r="A6046" t="s">
        <v>1978</v>
      </c>
    </row>
    <row r="6047" spans="1:52" x14ac:dyDescent="0.3">
      <c r="A6047" t="s">
        <v>44</v>
      </c>
      <c r="B6047" t="s">
        <v>209</v>
      </c>
      <c r="C6047" t="s">
        <v>1927</v>
      </c>
      <c r="D6047" t="s">
        <v>1928</v>
      </c>
      <c r="E6047" t="s">
        <v>1929</v>
      </c>
      <c r="F6047" t="s">
        <v>1930</v>
      </c>
      <c r="G6047" t="s">
        <v>1931</v>
      </c>
      <c r="H6047" t="s">
        <v>1932</v>
      </c>
      <c r="I6047" t="s">
        <v>1933</v>
      </c>
      <c r="J6047" t="s">
        <v>1934</v>
      </c>
      <c r="K6047" t="s">
        <v>1935</v>
      </c>
      <c r="L6047" t="s">
        <v>1936</v>
      </c>
      <c r="M6047" t="s">
        <v>1937</v>
      </c>
      <c r="N6047" t="s">
        <v>1938</v>
      </c>
      <c r="O6047" t="s">
        <v>1939</v>
      </c>
      <c r="P6047" t="s">
        <v>1940</v>
      </c>
      <c r="Q6047" t="s">
        <v>1941</v>
      </c>
      <c r="R6047" t="s">
        <v>1942</v>
      </c>
      <c r="S6047" t="s">
        <v>1943</v>
      </c>
      <c r="T6047" t="s">
        <v>1944</v>
      </c>
      <c r="U6047" t="s">
        <v>1945</v>
      </c>
      <c r="V6047" t="s">
        <v>1946</v>
      </c>
      <c r="W6047" t="s">
        <v>1947</v>
      </c>
      <c r="X6047" t="s">
        <v>1948</v>
      </c>
      <c r="Y6047" t="s">
        <v>1949</v>
      </c>
      <c r="Z6047" t="s">
        <v>1950</v>
      </c>
      <c r="AA6047" t="s">
        <v>1951</v>
      </c>
      <c r="AB6047" t="s">
        <v>1952</v>
      </c>
      <c r="AC6047" t="s">
        <v>1953</v>
      </c>
      <c r="AD6047" t="s">
        <v>1954</v>
      </c>
      <c r="AE6047" t="s">
        <v>1955</v>
      </c>
      <c r="AF6047" t="s">
        <v>1956</v>
      </c>
      <c r="AG6047" t="s">
        <v>1957</v>
      </c>
      <c r="AH6047" t="s">
        <v>1958</v>
      </c>
      <c r="AI6047" t="s">
        <v>1959</v>
      </c>
      <c r="AJ6047" t="s">
        <v>1960</v>
      </c>
      <c r="AK6047" t="s">
        <v>1961</v>
      </c>
      <c r="AL6047" t="s">
        <v>1962</v>
      </c>
      <c r="AM6047" t="s">
        <v>1963</v>
      </c>
      <c r="AN6047" t="s">
        <v>1964</v>
      </c>
      <c r="AO6047" t="s">
        <v>1965</v>
      </c>
      <c r="AP6047" t="s">
        <v>1966</v>
      </c>
      <c r="AQ6047" t="s">
        <v>1967</v>
      </c>
      <c r="AR6047" t="s">
        <v>1968</v>
      </c>
      <c r="AS6047" t="s">
        <v>1969</v>
      </c>
      <c r="AT6047" t="s">
        <v>1970</v>
      </c>
      <c r="AU6047" t="s">
        <v>1971</v>
      </c>
      <c r="AV6047" t="s">
        <v>1972</v>
      </c>
      <c r="AW6047" t="s">
        <v>1973</v>
      </c>
      <c r="AX6047" t="s">
        <v>1974</v>
      </c>
      <c r="AY6047" t="s">
        <v>1975</v>
      </c>
      <c r="AZ6047" t="s">
        <v>1976</v>
      </c>
    </row>
    <row r="6048" spans="1:52" x14ac:dyDescent="0.3">
      <c r="A6048" t="s">
        <v>35</v>
      </c>
      <c r="B6048" t="s">
        <v>210</v>
      </c>
      <c r="C6048">
        <v>112</v>
      </c>
      <c r="D6048">
        <v>751.39</v>
      </c>
      <c r="E6048">
        <v>600</v>
      </c>
      <c r="F6048">
        <v>0</v>
      </c>
      <c r="G6048">
        <v>5500</v>
      </c>
      <c r="H6048">
        <v>86</v>
      </c>
      <c r="I6048">
        <v>71.510000000000005</v>
      </c>
      <c r="J6048">
        <v>0</v>
      </c>
      <c r="K6048">
        <v>0</v>
      </c>
      <c r="L6048">
        <v>2000</v>
      </c>
      <c r="M6048">
        <v>114</v>
      </c>
      <c r="N6048">
        <v>1336.25</v>
      </c>
      <c r="O6048">
        <v>1000</v>
      </c>
      <c r="P6048">
        <v>0</v>
      </c>
      <c r="Q6048">
        <v>9000</v>
      </c>
      <c r="R6048">
        <v>95</v>
      </c>
      <c r="S6048">
        <v>268.38</v>
      </c>
      <c r="T6048">
        <v>0</v>
      </c>
      <c r="U6048">
        <v>0</v>
      </c>
      <c r="V6048">
        <v>10000</v>
      </c>
      <c r="W6048">
        <v>117</v>
      </c>
      <c r="X6048">
        <v>2093.4499999999998</v>
      </c>
      <c r="Y6048">
        <v>2000</v>
      </c>
      <c r="Z6048">
        <v>0</v>
      </c>
      <c r="AA6048">
        <v>6000</v>
      </c>
      <c r="AB6048">
        <v>87</v>
      </c>
      <c r="AC6048">
        <v>166.27</v>
      </c>
      <c r="AD6048">
        <v>0</v>
      </c>
      <c r="AE6048">
        <v>0</v>
      </c>
      <c r="AF6048">
        <v>8000</v>
      </c>
      <c r="AG6048">
        <v>115</v>
      </c>
      <c r="AH6048">
        <v>699.99</v>
      </c>
      <c r="AI6048">
        <v>600</v>
      </c>
      <c r="AJ6048">
        <v>0</v>
      </c>
      <c r="AK6048">
        <v>3000</v>
      </c>
      <c r="AL6048">
        <v>110</v>
      </c>
      <c r="AM6048">
        <v>295.5</v>
      </c>
      <c r="AN6048">
        <v>200</v>
      </c>
      <c r="AO6048">
        <v>0</v>
      </c>
      <c r="AP6048">
        <v>2000</v>
      </c>
      <c r="AQ6048">
        <v>99</v>
      </c>
      <c r="AR6048">
        <v>837.36</v>
      </c>
      <c r="AS6048">
        <v>0</v>
      </c>
      <c r="AT6048">
        <v>0</v>
      </c>
      <c r="AU6048">
        <v>7000</v>
      </c>
      <c r="AV6048">
        <v>88</v>
      </c>
      <c r="AW6048">
        <v>515.16999999999996</v>
      </c>
      <c r="AX6048">
        <v>0</v>
      </c>
      <c r="AY6048">
        <v>0</v>
      </c>
      <c r="AZ6048">
        <v>12000</v>
      </c>
    </row>
    <row r="6049" spans="1:52" x14ac:dyDescent="0.3">
      <c r="A6049" t="s">
        <v>35</v>
      </c>
      <c r="B6049" t="s">
        <v>212</v>
      </c>
      <c r="C6049">
        <v>2037</v>
      </c>
      <c r="D6049">
        <v>903.98</v>
      </c>
      <c r="E6049">
        <v>600</v>
      </c>
      <c r="F6049">
        <v>0</v>
      </c>
      <c r="G6049">
        <v>15000</v>
      </c>
      <c r="H6049">
        <v>1594</v>
      </c>
      <c r="I6049">
        <v>146.97999999999999</v>
      </c>
      <c r="J6049">
        <v>0</v>
      </c>
      <c r="K6049">
        <v>0</v>
      </c>
      <c r="L6049">
        <v>15000</v>
      </c>
      <c r="M6049">
        <v>2044</v>
      </c>
      <c r="N6049">
        <v>818.19</v>
      </c>
      <c r="O6049">
        <v>500</v>
      </c>
      <c r="P6049">
        <v>0</v>
      </c>
      <c r="Q6049">
        <v>6000</v>
      </c>
      <c r="R6049">
        <v>1785</v>
      </c>
      <c r="S6049">
        <v>445.23</v>
      </c>
      <c r="T6049">
        <v>0</v>
      </c>
      <c r="U6049">
        <v>0</v>
      </c>
      <c r="V6049">
        <v>15000</v>
      </c>
      <c r="W6049">
        <v>2136</v>
      </c>
      <c r="X6049">
        <v>1607.68</v>
      </c>
      <c r="Y6049">
        <v>1400</v>
      </c>
      <c r="Z6049">
        <v>0</v>
      </c>
      <c r="AA6049">
        <v>12000</v>
      </c>
      <c r="AB6049">
        <v>1739</v>
      </c>
      <c r="AC6049">
        <v>338.09</v>
      </c>
      <c r="AD6049">
        <v>0</v>
      </c>
      <c r="AE6049">
        <v>0</v>
      </c>
      <c r="AF6049">
        <v>13000</v>
      </c>
      <c r="AG6049">
        <v>2094</v>
      </c>
      <c r="AH6049">
        <v>574.51</v>
      </c>
      <c r="AI6049">
        <v>410</v>
      </c>
      <c r="AJ6049">
        <v>0</v>
      </c>
      <c r="AK6049">
        <v>5000</v>
      </c>
      <c r="AL6049">
        <v>1958</v>
      </c>
      <c r="AM6049">
        <v>269.91000000000003</v>
      </c>
      <c r="AN6049">
        <v>150</v>
      </c>
      <c r="AO6049">
        <v>0</v>
      </c>
      <c r="AP6049">
        <v>3000</v>
      </c>
      <c r="AQ6049">
        <v>1742</v>
      </c>
      <c r="AR6049">
        <v>779.38</v>
      </c>
      <c r="AS6049">
        <v>0</v>
      </c>
      <c r="AT6049">
        <v>0</v>
      </c>
      <c r="AU6049">
        <v>18000</v>
      </c>
      <c r="AV6049">
        <v>1431</v>
      </c>
      <c r="AW6049">
        <v>409.14</v>
      </c>
      <c r="AX6049">
        <v>0</v>
      </c>
      <c r="AY6049">
        <v>0</v>
      </c>
      <c r="AZ6049">
        <v>15000</v>
      </c>
    </row>
    <row r="6050" spans="1:52" x14ac:dyDescent="0.3">
      <c r="A6050" t="s">
        <v>35</v>
      </c>
      <c r="B6050" t="s">
        <v>216</v>
      </c>
      <c r="C6050">
        <v>440</v>
      </c>
      <c r="D6050">
        <v>1035.07</v>
      </c>
      <c r="E6050">
        <v>700</v>
      </c>
      <c r="F6050">
        <v>0</v>
      </c>
      <c r="G6050">
        <v>12500</v>
      </c>
      <c r="H6050">
        <v>373</v>
      </c>
      <c r="I6050">
        <v>70.41</v>
      </c>
      <c r="J6050">
        <v>0</v>
      </c>
      <c r="K6050">
        <v>0</v>
      </c>
      <c r="L6050">
        <v>10000</v>
      </c>
      <c r="M6050">
        <v>477</v>
      </c>
      <c r="N6050">
        <v>1390.7</v>
      </c>
      <c r="O6050">
        <v>1000</v>
      </c>
      <c r="P6050">
        <v>0</v>
      </c>
      <c r="Q6050">
        <v>8000</v>
      </c>
      <c r="R6050">
        <v>405</v>
      </c>
      <c r="S6050">
        <v>246.77</v>
      </c>
      <c r="T6050">
        <v>0</v>
      </c>
      <c r="U6050">
        <v>0</v>
      </c>
      <c r="V6050">
        <v>6000</v>
      </c>
      <c r="W6050">
        <v>488</v>
      </c>
      <c r="X6050">
        <v>2415.04</v>
      </c>
      <c r="Y6050">
        <v>2000</v>
      </c>
      <c r="Z6050">
        <v>0</v>
      </c>
      <c r="AA6050">
        <v>20000</v>
      </c>
      <c r="AB6050">
        <v>390</v>
      </c>
      <c r="AC6050">
        <v>160.47999999999999</v>
      </c>
      <c r="AD6050">
        <v>0</v>
      </c>
      <c r="AE6050">
        <v>0</v>
      </c>
      <c r="AF6050">
        <v>10000</v>
      </c>
      <c r="AG6050">
        <v>470</v>
      </c>
      <c r="AH6050">
        <v>728.07</v>
      </c>
      <c r="AI6050">
        <v>500</v>
      </c>
      <c r="AJ6050">
        <v>0</v>
      </c>
      <c r="AK6050">
        <v>5000</v>
      </c>
      <c r="AL6050">
        <v>466</v>
      </c>
      <c r="AM6050">
        <v>474.95</v>
      </c>
      <c r="AN6050">
        <v>300</v>
      </c>
      <c r="AO6050">
        <v>0</v>
      </c>
      <c r="AP6050">
        <v>5000</v>
      </c>
      <c r="AQ6050">
        <v>430</v>
      </c>
      <c r="AR6050">
        <v>1338.14</v>
      </c>
      <c r="AS6050">
        <v>500</v>
      </c>
      <c r="AT6050">
        <v>0</v>
      </c>
      <c r="AU6050">
        <v>50000</v>
      </c>
      <c r="AV6050">
        <v>324</v>
      </c>
      <c r="AW6050">
        <v>642.79</v>
      </c>
      <c r="AX6050">
        <v>0</v>
      </c>
      <c r="AY6050">
        <v>0</v>
      </c>
      <c r="AZ6050">
        <v>18000</v>
      </c>
    </row>
    <row r="6051" spans="1:52" x14ac:dyDescent="0.3">
      <c r="A6051" t="s">
        <v>37</v>
      </c>
      <c r="B6051" t="s">
        <v>210</v>
      </c>
      <c r="C6051">
        <v>130</v>
      </c>
      <c r="D6051">
        <v>1076.25</v>
      </c>
      <c r="E6051">
        <v>800</v>
      </c>
      <c r="F6051">
        <v>0</v>
      </c>
      <c r="G6051">
        <v>5000</v>
      </c>
      <c r="H6051">
        <v>92</v>
      </c>
      <c r="I6051">
        <v>109.52</v>
      </c>
      <c r="J6051">
        <v>0</v>
      </c>
      <c r="K6051">
        <v>0</v>
      </c>
      <c r="L6051">
        <v>4800</v>
      </c>
      <c r="M6051">
        <v>131</v>
      </c>
      <c r="N6051">
        <v>1225.3599999999999</v>
      </c>
      <c r="O6051">
        <v>1000</v>
      </c>
      <c r="P6051">
        <v>0</v>
      </c>
      <c r="Q6051">
        <v>6000</v>
      </c>
      <c r="R6051">
        <v>92</v>
      </c>
      <c r="S6051">
        <v>166.57</v>
      </c>
      <c r="T6051">
        <v>0</v>
      </c>
      <c r="U6051">
        <v>0</v>
      </c>
      <c r="V6051">
        <v>5000</v>
      </c>
      <c r="W6051">
        <v>132</v>
      </c>
      <c r="X6051">
        <v>2129.1799999999998</v>
      </c>
      <c r="Y6051">
        <v>1800</v>
      </c>
      <c r="Z6051">
        <v>0</v>
      </c>
      <c r="AA6051">
        <v>9000</v>
      </c>
      <c r="AB6051">
        <v>91</v>
      </c>
      <c r="AC6051">
        <v>177.75</v>
      </c>
      <c r="AD6051">
        <v>0</v>
      </c>
      <c r="AE6051">
        <v>0</v>
      </c>
      <c r="AF6051">
        <v>7000</v>
      </c>
      <c r="AG6051">
        <v>128</v>
      </c>
      <c r="AH6051">
        <v>710.06</v>
      </c>
      <c r="AI6051">
        <v>500</v>
      </c>
      <c r="AJ6051">
        <v>0</v>
      </c>
      <c r="AK6051">
        <v>3000</v>
      </c>
      <c r="AL6051">
        <v>117</v>
      </c>
      <c r="AM6051">
        <v>500.63</v>
      </c>
      <c r="AN6051">
        <v>300</v>
      </c>
      <c r="AO6051">
        <v>0</v>
      </c>
      <c r="AP6051">
        <v>3000</v>
      </c>
      <c r="AQ6051">
        <v>104</v>
      </c>
      <c r="AR6051">
        <v>2185.4299999999998</v>
      </c>
      <c r="AS6051">
        <v>1500</v>
      </c>
      <c r="AT6051">
        <v>0</v>
      </c>
      <c r="AU6051">
        <v>15000</v>
      </c>
      <c r="AV6051">
        <v>75</v>
      </c>
      <c r="AW6051">
        <v>410.11</v>
      </c>
      <c r="AX6051">
        <v>0</v>
      </c>
      <c r="AY6051">
        <v>0</v>
      </c>
      <c r="AZ6051">
        <v>5800</v>
      </c>
    </row>
    <row r="6052" spans="1:52" x14ac:dyDescent="0.3">
      <c r="A6052" t="s">
        <v>37</v>
      </c>
      <c r="B6052" t="s">
        <v>212</v>
      </c>
      <c r="C6052">
        <v>3457</v>
      </c>
      <c r="D6052">
        <v>936.98</v>
      </c>
      <c r="E6052">
        <v>700</v>
      </c>
      <c r="F6052">
        <v>0</v>
      </c>
      <c r="G6052">
        <v>10000</v>
      </c>
      <c r="H6052">
        <v>2695</v>
      </c>
      <c r="I6052">
        <v>317.56</v>
      </c>
      <c r="J6052">
        <v>100</v>
      </c>
      <c r="K6052">
        <v>0</v>
      </c>
      <c r="L6052">
        <v>6000</v>
      </c>
      <c r="M6052">
        <v>3326</v>
      </c>
      <c r="N6052">
        <v>773.25</v>
      </c>
      <c r="O6052">
        <v>500</v>
      </c>
      <c r="P6052">
        <v>0</v>
      </c>
      <c r="Q6052">
        <v>10000</v>
      </c>
      <c r="R6052">
        <v>2825</v>
      </c>
      <c r="S6052">
        <v>511.77</v>
      </c>
      <c r="T6052">
        <v>300</v>
      </c>
      <c r="U6052">
        <v>0</v>
      </c>
      <c r="V6052">
        <v>20000</v>
      </c>
      <c r="W6052">
        <v>3442</v>
      </c>
      <c r="X6052">
        <v>1611.1</v>
      </c>
      <c r="Y6052">
        <v>1000</v>
      </c>
      <c r="Z6052">
        <v>0</v>
      </c>
      <c r="AA6052">
        <v>20000</v>
      </c>
      <c r="AB6052">
        <v>2745</v>
      </c>
      <c r="AC6052">
        <v>689.39</v>
      </c>
      <c r="AD6052">
        <v>200</v>
      </c>
      <c r="AE6052">
        <v>0</v>
      </c>
      <c r="AF6052">
        <v>10000</v>
      </c>
      <c r="AG6052">
        <v>3400</v>
      </c>
      <c r="AH6052">
        <v>673.65</v>
      </c>
      <c r="AI6052">
        <v>500</v>
      </c>
      <c r="AJ6052">
        <v>0</v>
      </c>
      <c r="AK6052">
        <v>8000</v>
      </c>
      <c r="AL6052">
        <v>2939</v>
      </c>
      <c r="AM6052">
        <v>292</v>
      </c>
      <c r="AN6052">
        <v>200</v>
      </c>
      <c r="AO6052">
        <v>0</v>
      </c>
      <c r="AP6052">
        <v>10000</v>
      </c>
      <c r="AQ6052">
        <v>2654</v>
      </c>
      <c r="AR6052">
        <v>739.2</v>
      </c>
      <c r="AS6052">
        <v>0</v>
      </c>
      <c r="AT6052">
        <v>0</v>
      </c>
      <c r="AU6052">
        <v>50000</v>
      </c>
      <c r="AV6052">
        <v>2268</v>
      </c>
      <c r="AW6052">
        <v>329.07</v>
      </c>
      <c r="AX6052">
        <v>0</v>
      </c>
      <c r="AY6052">
        <v>0</v>
      </c>
      <c r="AZ6052">
        <v>10000</v>
      </c>
    </row>
    <row r="6053" spans="1:52" x14ac:dyDescent="0.3">
      <c r="A6053" t="s">
        <v>37</v>
      </c>
      <c r="B6053" t="s">
        <v>216</v>
      </c>
      <c r="C6053">
        <v>105</v>
      </c>
      <c r="D6053">
        <v>1219.24</v>
      </c>
      <c r="E6053">
        <v>1000</v>
      </c>
      <c r="F6053">
        <v>0</v>
      </c>
      <c r="G6053">
        <v>5000</v>
      </c>
      <c r="H6053">
        <v>83</v>
      </c>
      <c r="I6053">
        <v>169.6</v>
      </c>
      <c r="J6053">
        <v>0</v>
      </c>
      <c r="K6053">
        <v>0</v>
      </c>
      <c r="L6053">
        <v>1000</v>
      </c>
      <c r="M6053">
        <v>104</v>
      </c>
      <c r="N6053">
        <v>1358.34</v>
      </c>
      <c r="O6053">
        <v>1000</v>
      </c>
      <c r="P6053">
        <v>0</v>
      </c>
      <c r="Q6053">
        <v>7000</v>
      </c>
      <c r="R6053">
        <v>84</v>
      </c>
      <c r="S6053">
        <v>513.49</v>
      </c>
      <c r="T6053">
        <v>400</v>
      </c>
      <c r="U6053">
        <v>0</v>
      </c>
      <c r="V6053">
        <v>2000</v>
      </c>
      <c r="W6053">
        <v>105</v>
      </c>
      <c r="X6053">
        <v>2611.79</v>
      </c>
      <c r="Y6053">
        <v>2000</v>
      </c>
      <c r="Z6053">
        <v>0</v>
      </c>
      <c r="AA6053">
        <v>10000</v>
      </c>
      <c r="AB6053">
        <v>76</v>
      </c>
      <c r="AC6053">
        <v>764.98</v>
      </c>
      <c r="AD6053">
        <v>0</v>
      </c>
      <c r="AE6053">
        <v>0</v>
      </c>
      <c r="AF6053">
        <v>5500</v>
      </c>
      <c r="AG6053">
        <v>100</v>
      </c>
      <c r="AH6053">
        <v>898.75</v>
      </c>
      <c r="AI6053">
        <v>900</v>
      </c>
      <c r="AJ6053">
        <v>0</v>
      </c>
      <c r="AK6053">
        <v>3000</v>
      </c>
      <c r="AL6053">
        <v>97</v>
      </c>
      <c r="AM6053">
        <v>501.28</v>
      </c>
      <c r="AN6053">
        <v>300</v>
      </c>
      <c r="AO6053">
        <v>0</v>
      </c>
      <c r="AP6053">
        <v>3000</v>
      </c>
      <c r="AQ6053">
        <v>86</v>
      </c>
      <c r="AR6053">
        <v>1350.22</v>
      </c>
      <c r="AS6053">
        <v>1000</v>
      </c>
      <c r="AT6053">
        <v>0</v>
      </c>
      <c r="AU6053">
        <v>6000</v>
      </c>
      <c r="AV6053">
        <v>64</v>
      </c>
      <c r="AW6053">
        <v>671.57</v>
      </c>
      <c r="AX6053">
        <v>0</v>
      </c>
      <c r="AY6053">
        <v>0</v>
      </c>
      <c r="AZ6053">
        <v>6000</v>
      </c>
    </row>
    <row r="6054" spans="1:52" x14ac:dyDescent="0.3">
      <c r="A6054" t="s">
        <v>36</v>
      </c>
      <c r="B6054" t="s">
        <v>210</v>
      </c>
      <c r="C6054">
        <v>138</v>
      </c>
      <c r="D6054">
        <v>1137.18</v>
      </c>
      <c r="E6054">
        <v>1000</v>
      </c>
      <c r="F6054">
        <v>0</v>
      </c>
      <c r="G6054">
        <v>8000</v>
      </c>
      <c r="H6054">
        <v>90</v>
      </c>
      <c r="I6054">
        <v>75.47</v>
      </c>
      <c r="J6054">
        <v>0</v>
      </c>
      <c r="K6054">
        <v>0</v>
      </c>
      <c r="L6054">
        <v>2000</v>
      </c>
      <c r="M6054">
        <v>139</v>
      </c>
      <c r="N6054">
        <v>1632.94</v>
      </c>
      <c r="O6054">
        <v>1000</v>
      </c>
      <c r="P6054">
        <v>0</v>
      </c>
      <c r="Q6054">
        <v>11000</v>
      </c>
      <c r="R6054">
        <v>95</v>
      </c>
      <c r="S6054">
        <v>335.71</v>
      </c>
      <c r="T6054">
        <v>0</v>
      </c>
      <c r="U6054">
        <v>0</v>
      </c>
      <c r="V6054">
        <v>10000</v>
      </c>
      <c r="W6054">
        <v>137</v>
      </c>
      <c r="X6054">
        <v>2339.9699999999998</v>
      </c>
      <c r="Y6054">
        <v>2000</v>
      </c>
      <c r="Z6054">
        <v>0</v>
      </c>
      <c r="AA6054">
        <v>12000</v>
      </c>
      <c r="AB6054">
        <v>87</v>
      </c>
      <c r="AC6054">
        <v>379.28</v>
      </c>
      <c r="AD6054">
        <v>0</v>
      </c>
      <c r="AE6054">
        <v>0</v>
      </c>
      <c r="AF6054">
        <v>12000</v>
      </c>
      <c r="AG6054">
        <v>136</v>
      </c>
      <c r="AH6054">
        <v>770.64</v>
      </c>
      <c r="AI6054">
        <v>600</v>
      </c>
      <c r="AJ6054">
        <v>0</v>
      </c>
      <c r="AK6054">
        <v>5000</v>
      </c>
      <c r="AL6054">
        <v>126</v>
      </c>
      <c r="AM6054">
        <v>640.55999999999995</v>
      </c>
      <c r="AN6054">
        <v>400</v>
      </c>
      <c r="AO6054">
        <v>0</v>
      </c>
      <c r="AP6054">
        <v>5000</v>
      </c>
      <c r="AQ6054">
        <v>101</v>
      </c>
      <c r="AR6054">
        <v>944.72</v>
      </c>
      <c r="AS6054">
        <v>400</v>
      </c>
      <c r="AT6054">
        <v>0</v>
      </c>
      <c r="AU6054">
        <v>9000</v>
      </c>
      <c r="AV6054">
        <v>84</v>
      </c>
      <c r="AW6054">
        <v>1469.56</v>
      </c>
      <c r="AX6054">
        <v>0</v>
      </c>
      <c r="AY6054">
        <v>0</v>
      </c>
      <c r="AZ6054">
        <v>15000</v>
      </c>
    </row>
    <row r="6055" spans="1:52" x14ac:dyDescent="0.3">
      <c r="A6055" t="s">
        <v>36</v>
      </c>
      <c r="B6055" t="s">
        <v>212</v>
      </c>
      <c r="C6055">
        <v>1626</v>
      </c>
      <c r="D6055">
        <v>1044.0999999999999</v>
      </c>
      <c r="E6055">
        <v>900</v>
      </c>
      <c r="F6055">
        <v>0</v>
      </c>
      <c r="G6055">
        <v>10000</v>
      </c>
      <c r="H6055">
        <v>826</v>
      </c>
      <c r="I6055">
        <v>197.6</v>
      </c>
      <c r="J6055">
        <v>0</v>
      </c>
      <c r="K6055">
        <v>0</v>
      </c>
      <c r="L6055">
        <v>5000</v>
      </c>
      <c r="M6055">
        <v>1466</v>
      </c>
      <c r="N6055">
        <v>1178.9100000000001</v>
      </c>
      <c r="O6055">
        <v>900</v>
      </c>
      <c r="P6055">
        <v>0</v>
      </c>
      <c r="Q6055">
        <v>10000</v>
      </c>
      <c r="R6055">
        <v>988</v>
      </c>
      <c r="S6055">
        <v>423.08</v>
      </c>
      <c r="T6055">
        <v>200</v>
      </c>
      <c r="U6055">
        <v>0</v>
      </c>
      <c r="V6055">
        <v>10000</v>
      </c>
      <c r="W6055">
        <v>1503</v>
      </c>
      <c r="X6055">
        <v>1706.37</v>
      </c>
      <c r="Y6055">
        <v>1200</v>
      </c>
      <c r="Z6055">
        <v>0</v>
      </c>
      <c r="AA6055">
        <v>12000</v>
      </c>
      <c r="AB6055">
        <v>911</v>
      </c>
      <c r="AC6055">
        <v>704.41</v>
      </c>
      <c r="AD6055">
        <v>150</v>
      </c>
      <c r="AE6055">
        <v>0</v>
      </c>
      <c r="AF6055">
        <v>30000</v>
      </c>
      <c r="AG6055">
        <v>1572</v>
      </c>
      <c r="AH6055">
        <v>715.42</v>
      </c>
      <c r="AI6055">
        <v>500</v>
      </c>
      <c r="AJ6055">
        <v>0</v>
      </c>
      <c r="AK6055">
        <v>12000</v>
      </c>
      <c r="AL6055">
        <v>1144</v>
      </c>
      <c r="AM6055">
        <v>435.63</v>
      </c>
      <c r="AN6055">
        <v>300</v>
      </c>
      <c r="AO6055">
        <v>0</v>
      </c>
      <c r="AP6055">
        <v>2500</v>
      </c>
      <c r="AQ6055">
        <v>813</v>
      </c>
      <c r="AR6055">
        <v>794.41</v>
      </c>
      <c r="AS6055">
        <v>200</v>
      </c>
      <c r="AT6055">
        <v>0</v>
      </c>
      <c r="AU6055">
        <v>6000</v>
      </c>
      <c r="AV6055">
        <v>804</v>
      </c>
      <c r="AW6055">
        <v>860.25</v>
      </c>
      <c r="AX6055">
        <v>0</v>
      </c>
      <c r="AY6055">
        <v>0</v>
      </c>
      <c r="AZ6055">
        <v>14000</v>
      </c>
    </row>
    <row r="6056" spans="1:52" x14ac:dyDescent="0.3">
      <c r="A6056" t="s">
        <v>36</v>
      </c>
      <c r="B6056" t="s">
        <v>216</v>
      </c>
      <c r="C6056">
        <v>215</v>
      </c>
      <c r="D6056">
        <v>1436.28</v>
      </c>
      <c r="E6056">
        <v>1000</v>
      </c>
      <c r="F6056">
        <v>0</v>
      </c>
      <c r="G6056">
        <v>10000</v>
      </c>
      <c r="H6056">
        <v>139</v>
      </c>
      <c r="I6056">
        <v>573.29999999999995</v>
      </c>
      <c r="J6056">
        <v>0</v>
      </c>
      <c r="K6056">
        <v>0</v>
      </c>
      <c r="L6056">
        <v>12000</v>
      </c>
      <c r="M6056">
        <v>223</v>
      </c>
      <c r="N6056">
        <v>1723.59</v>
      </c>
      <c r="O6056">
        <v>1500</v>
      </c>
      <c r="P6056">
        <v>0</v>
      </c>
      <c r="Q6056">
        <v>10000</v>
      </c>
      <c r="R6056">
        <v>156</v>
      </c>
      <c r="S6056">
        <v>410.94</v>
      </c>
      <c r="T6056">
        <v>0</v>
      </c>
      <c r="U6056">
        <v>0</v>
      </c>
      <c r="V6056">
        <v>7000</v>
      </c>
      <c r="W6056">
        <v>235</v>
      </c>
      <c r="X6056">
        <v>2224.14</v>
      </c>
      <c r="Y6056">
        <v>2000</v>
      </c>
      <c r="Z6056">
        <v>0</v>
      </c>
      <c r="AA6056">
        <v>15000</v>
      </c>
      <c r="AB6056">
        <v>153</v>
      </c>
      <c r="AC6056">
        <v>440.73</v>
      </c>
      <c r="AD6056">
        <v>0</v>
      </c>
      <c r="AE6056">
        <v>0</v>
      </c>
      <c r="AF6056">
        <v>16800</v>
      </c>
      <c r="AG6056">
        <v>209</v>
      </c>
      <c r="AH6056">
        <v>796.55</v>
      </c>
      <c r="AI6056">
        <v>700</v>
      </c>
      <c r="AJ6056">
        <v>0</v>
      </c>
      <c r="AK6056">
        <v>6000</v>
      </c>
      <c r="AL6056">
        <v>203</v>
      </c>
      <c r="AM6056">
        <v>716.34</v>
      </c>
      <c r="AN6056">
        <v>500</v>
      </c>
      <c r="AO6056">
        <v>0</v>
      </c>
      <c r="AP6056">
        <v>7000</v>
      </c>
      <c r="AQ6056">
        <v>156</v>
      </c>
      <c r="AR6056">
        <v>864.44</v>
      </c>
      <c r="AS6056">
        <v>300</v>
      </c>
      <c r="AT6056">
        <v>0</v>
      </c>
      <c r="AU6056">
        <v>5000</v>
      </c>
      <c r="AV6056">
        <v>152</v>
      </c>
      <c r="AW6056">
        <v>749.88</v>
      </c>
      <c r="AX6056">
        <v>0</v>
      </c>
      <c r="AY6056">
        <v>0</v>
      </c>
      <c r="AZ6056">
        <v>13000</v>
      </c>
    </row>
    <row r="6057" spans="1:52" x14ac:dyDescent="0.3">
      <c r="A6057" t="s">
        <v>34</v>
      </c>
      <c r="B6057" t="s">
        <v>210</v>
      </c>
      <c r="C6057">
        <v>213</v>
      </c>
      <c r="D6057">
        <v>1222.3699999999999</v>
      </c>
      <c r="E6057">
        <v>760</v>
      </c>
      <c r="F6057">
        <v>0</v>
      </c>
      <c r="G6057">
        <v>17000</v>
      </c>
      <c r="H6057">
        <v>201</v>
      </c>
      <c r="I6057">
        <v>232.58</v>
      </c>
      <c r="J6057">
        <v>0</v>
      </c>
      <c r="K6057">
        <v>0</v>
      </c>
      <c r="L6057">
        <v>10000</v>
      </c>
      <c r="M6057">
        <v>216</v>
      </c>
      <c r="N6057">
        <v>1141.51</v>
      </c>
      <c r="O6057">
        <v>800</v>
      </c>
      <c r="P6057">
        <v>0</v>
      </c>
      <c r="Q6057">
        <v>6000</v>
      </c>
      <c r="R6057">
        <v>193</v>
      </c>
      <c r="S6057">
        <v>316.44</v>
      </c>
      <c r="T6057">
        <v>0</v>
      </c>
      <c r="U6057">
        <v>0</v>
      </c>
      <c r="V6057">
        <v>3000</v>
      </c>
      <c r="W6057">
        <v>225</v>
      </c>
      <c r="X6057">
        <v>2261.7199999999998</v>
      </c>
      <c r="Y6057">
        <v>2000</v>
      </c>
      <c r="Z6057">
        <v>0</v>
      </c>
      <c r="AA6057">
        <v>12000</v>
      </c>
      <c r="AB6057">
        <v>193</v>
      </c>
      <c r="AC6057">
        <v>176.21</v>
      </c>
      <c r="AD6057">
        <v>0</v>
      </c>
      <c r="AE6057">
        <v>0</v>
      </c>
      <c r="AF6057">
        <v>7000</v>
      </c>
      <c r="AG6057">
        <v>224</v>
      </c>
      <c r="AH6057">
        <v>673.93</v>
      </c>
      <c r="AI6057">
        <v>500</v>
      </c>
      <c r="AJ6057">
        <v>0</v>
      </c>
      <c r="AK6057">
        <v>4000</v>
      </c>
      <c r="AL6057">
        <v>217</v>
      </c>
      <c r="AM6057">
        <v>433.61</v>
      </c>
      <c r="AN6057">
        <v>300</v>
      </c>
      <c r="AO6057">
        <v>0</v>
      </c>
      <c r="AP6057">
        <v>2500</v>
      </c>
      <c r="AQ6057">
        <v>205</v>
      </c>
      <c r="AR6057">
        <v>261.95</v>
      </c>
      <c r="AS6057">
        <v>0</v>
      </c>
      <c r="AT6057">
        <v>0</v>
      </c>
      <c r="AU6057">
        <v>4000</v>
      </c>
      <c r="AV6057">
        <v>178</v>
      </c>
      <c r="AW6057">
        <v>178.5</v>
      </c>
      <c r="AX6057">
        <v>0</v>
      </c>
      <c r="AY6057">
        <v>0</v>
      </c>
      <c r="AZ6057">
        <v>6000</v>
      </c>
    </row>
    <row r="6058" spans="1:52" x14ac:dyDescent="0.3">
      <c r="A6058" t="s">
        <v>34</v>
      </c>
      <c r="B6058" t="s">
        <v>212</v>
      </c>
      <c r="C6058">
        <v>1399</v>
      </c>
      <c r="D6058">
        <v>1006.57</v>
      </c>
      <c r="E6058">
        <v>700</v>
      </c>
      <c r="F6058">
        <v>0</v>
      </c>
      <c r="G6058">
        <v>12000</v>
      </c>
      <c r="H6058">
        <v>1369</v>
      </c>
      <c r="I6058">
        <v>239.3</v>
      </c>
      <c r="J6058">
        <v>0</v>
      </c>
      <c r="K6058">
        <v>0</v>
      </c>
      <c r="L6058">
        <v>10000</v>
      </c>
      <c r="M6058">
        <v>1453</v>
      </c>
      <c r="N6058">
        <v>896.74</v>
      </c>
      <c r="O6058">
        <v>600</v>
      </c>
      <c r="P6058">
        <v>0</v>
      </c>
      <c r="Q6058">
        <v>8000</v>
      </c>
      <c r="R6058">
        <v>1339</v>
      </c>
      <c r="S6058">
        <v>571.59</v>
      </c>
      <c r="T6058">
        <v>160</v>
      </c>
      <c r="U6058">
        <v>0</v>
      </c>
      <c r="V6058">
        <v>24000</v>
      </c>
      <c r="W6058">
        <v>1477</v>
      </c>
      <c r="X6058">
        <v>2143.44</v>
      </c>
      <c r="Y6058">
        <v>1500</v>
      </c>
      <c r="Z6058">
        <v>0</v>
      </c>
      <c r="AA6058">
        <v>25000</v>
      </c>
      <c r="AB6058">
        <v>1405</v>
      </c>
      <c r="AC6058">
        <v>291.97000000000003</v>
      </c>
      <c r="AD6058">
        <v>0</v>
      </c>
      <c r="AE6058">
        <v>0</v>
      </c>
      <c r="AF6058">
        <v>25000</v>
      </c>
      <c r="AG6058">
        <v>1452</v>
      </c>
      <c r="AH6058">
        <v>736.41</v>
      </c>
      <c r="AI6058">
        <v>500</v>
      </c>
      <c r="AJ6058">
        <v>0</v>
      </c>
      <c r="AK6058">
        <v>10000</v>
      </c>
      <c r="AL6058">
        <v>1490</v>
      </c>
      <c r="AM6058">
        <v>297.27999999999997</v>
      </c>
      <c r="AN6058">
        <v>200</v>
      </c>
      <c r="AO6058">
        <v>0</v>
      </c>
      <c r="AP6058">
        <v>3000</v>
      </c>
      <c r="AQ6058">
        <v>1441</v>
      </c>
      <c r="AR6058">
        <v>349.51</v>
      </c>
      <c r="AS6058">
        <v>0</v>
      </c>
      <c r="AT6058">
        <v>0</v>
      </c>
      <c r="AU6058">
        <v>10000</v>
      </c>
      <c r="AV6058">
        <v>1256</v>
      </c>
      <c r="AW6058">
        <v>94.69</v>
      </c>
      <c r="AX6058">
        <v>0</v>
      </c>
      <c r="AY6058">
        <v>0</v>
      </c>
      <c r="AZ6058">
        <v>7000</v>
      </c>
    </row>
    <row r="6059" spans="1:52" x14ac:dyDescent="0.3">
      <c r="A6059" t="s">
        <v>34</v>
      </c>
      <c r="B6059" t="s">
        <v>216</v>
      </c>
      <c r="C6059">
        <v>184</v>
      </c>
      <c r="D6059">
        <v>1218.2</v>
      </c>
      <c r="E6059">
        <v>600</v>
      </c>
      <c r="F6059">
        <v>0</v>
      </c>
      <c r="G6059">
        <v>10000</v>
      </c>
      <c r="H6059">
        <v>175</v>
      </c>
      <c r="I6059">
        <v>157.38</v>
      </c>
      <c r="J6059">
        <v>0</v>
      </c>
      <c r="K6059">
        <v>0</v>
      </c>
      <c r="L6059">
        <v>10000</v>
      </c>
      <c r="M6059">
        <v>193</v>
      </c>
      <c r="N6059">
        <v>1098.3599999999999</v>
      </c>
      <c r="O6059">
        <v>1000</v>
      </c>
      <c r="P6059">
        <v>0</v>
      </c>
      <c r="Q6059">
        <v>6000</v>
      </c>
      <c r="R6059">
        <v>172</v>
      </c>
      <c r="S6059">
        <v>409.7</v>
      </c>
      <c r="T6059">
        <v>0</v>
      </c>
      <c r="U6059">
        <v>0</v>
      </c>
      <c r="V6059">
        <v>10000</v>
      </c>
      <c r="W6059">
        <v>196</v>
      </c>
      <c r="X6059">
        <v>1956.04</v>
      </c>
      <c r="Y6059">
        <v>1500</v>
      </c>
      <c r="Z6059">
        <v>0</v>
      </c>
      <c r="AA6059">
        <v>10000</v>
      </c>
      <c r="AB6059">
        <v>174</v>
      </c>
      <c r="AC6059">
        <v>168.43</v>
      </c>
      <c r="AD6059">
        <v>0</v>
      </c>
      <c r="AE6059">
        <v>0</v>
      </c>
      <c r="AF6059">
        <v>4930</v>
      </c>
      <c r="AG6059">
        <v>193</v>
      </c>
      <c r="AH6059">
        <v>614.44000000000005</v>
      </c>
      <c r="AI6059">
        <v>500</v>
      </c>
      <c r="AJ6059">
        <v>0</v>
      </c>
      <c r="AK6059">
        <v>4000</v>
      </c>
      <c r="AL6059">
        <v>198</v>
      </c>
      <c r="AM6059">
        <v>458.55</v>
      </c>
      <c r="AN6059">
        <v>240</v>
      </c>
      <c r="AO6059">
        <v>0</v>
      </c>
      <c r="AP6059">
        <v>4500</v>
      </c>
      <c r="AQ6059">
        <v>179</v>
      </c>
      <c r="AR6059">
        <v>394.64</v>
      </c>
      <c r="AS6059">
        <v>0</v>
      </c>
      <c r="AT6059">
        <v>0</v>
      </c>
      <c r="AU6059">
        <v>5000</v>
      </c>
      <c r="AV6059">
        <v>150</v>
      </c>
      <c r="AW6059">
        <v>290.64</v>
      </c>
      <c r="AX6059">
        <v>0</v>
      </c>
      <c r="AY6059">
        <v>0</v>
      </c>
      <c r="AZ6059">
        <v>10000</v>
      </c>
    </row>
    <row r="6060" spans="1:52" x14ac:dyDescent="0.3">
      <c r="A6060" t="s">
        <v>33</v>
      </c>
      <c r="B6060" t="s">
        <v>210</v>
      </c>
      <c r="C6060">
        <v>65</v>
      </c>
      <c r="D6060">
        <v>1027.2</v>
      </c>
      <c r="E6060">
        <v>800</v>
      </c>
      <c r="F6060">
        <v>0</v>
      </c>
      <c r="G6060">
        <v>5000</v>
      </c>
      <c r="H6060">
        <v>57</v>
      </c>
      <c r="I6060">
        <v>68.069999999999993</v>
      </c>
      <c r="J6060">
        <v>0</v>
      </c>
      <c r="K6060">
        <v>0</v>
      </c>
      <c r="L6060">
        <v>500</v>
      </c>
      <c r="M6060">
        <v>64</v>
      </c>
      <c r="N6060">
        <v>1106.92</v>
      </c>
      <c r="O6060">
        <v>1000</v>
      </c>
      <c r="P6060">
        <v>0</v>
      </c>
      <c r="Q6060">
        <v>5000</v>
      </c>
      <c r="R6060">
        <v>58</v>
      </c>
      <c r="S6060">
        <v>341.88</v>
      </c>
      <c r="T6060">
        <v>0</v>
      </c>
      <c r="U6060">
        <v>0</v>
      </c>
      <c r="V6060">
        <v>4000</v>
      </c>
      <c r="W6060">
        <v>63</v>
      </c>
      <c r="X6060">
        <v>2292.84</v>
      </c>
      <c r="Y6060">
        <v>2000</v>
      </c>
      <c r="Z6060">
        <v>200</v>
      </c>
      <c r="AA6060">
        <v>8000</v>
      </c>
      <c r="AB6060">
        <v>56</v>
      </c>
      <c r="AC6060">
        <v>101.93</v>
      </c>
      <c r="AD6060">
        <v>0</v>
      </c>
      <c r="AE6060">
        <v>0</v>
      </c>
      <c r="AF6060">
        <v>2000</v>
      </c>
      <c r="AG6060">
        <v>65</v>
      </c>
      <c r="AH6060">
        <v>829.06</v>
      </c>
      <c r="AI6060">
        <v>600</v>
      </c>
      <c r="AJ6060">
        <v>0</v>
      </c>
      <c r="AK6060">
        <v>5000</v>
      </c>
      <c r="AL6060">
        <v>58</v>
      </c>
      <c r="AM6060">
        <v>258.45999999999998</v>
      </c>
      <c r="AN6060">
        <v>200</v>
      </c>
      <c r="AO6060">
        <v>0</v>
      </c>
      <c r="AP6060">
        <v>1000</v>
      </c>
      <c r="AQ6060">
        <v>61</v>
      </c>
      <c r="AR6060">
        <v>441.76</v>
      </c>
      <c r="AS6060">
        <v>0</v>
      </c>
      <c r="AT6060">
        <v>0</v>
      </c>
      <c r="AU6060">
        <v>3000</v>
      </c>
      <c r="AV6060">
        <v>57</v>
      </c>
      <c r="AW6060">
        <v>122.12</v>
      </c>
      <c r="AX6060">
        <v>0</v>
      </c>
      <c r="AY6060">
        <v>0</v>
      </c>
      <c r="AZ6060">
        <v>2000</v>
      </c>
    </row>
    <row r="6061" spans="1:52" x14ac:dyDescent="0.3">
      <c r="A6061" t="s">
        <v>33</v>
      </c>
      <c r="B6061" t="s">
        <v>212</v>
      </c>
      <c r="C6061">
        <v>1747</v>
      </c>
      <c r="D6061">
        <v>880.12</v>
      </c>
      <c r="E6061">
        <v>700</v>
      </c>
      <c r="F6061">
        <v>0</v>
      </c>
      <c r="G6061">
        <v>8000</v>
      </c>
      <c r="H6061">
        <v>1468</v>
      </c>
      <c r="I6061">
        <v>235.88</v>
      </c>
      <c r="J6061">
        <v>0</v>
      </c>
      <c r="K6061">
        <v>0</v>
      </c>
      <c r="L6061">
        <v>7000</v>
      </c>
      <c r="M6061">
        <v>1655</v>
      </c>
      <c r="N6061">
        <v>766.6</v>
      </c>
      <c r="O6061">
        <v>500</v>
      </c>
      <c r="P6061">
        <v>0</v>
      </c>
      <c r="Q6061">
        <v>8000</v>
      </c>
      <c r="R6061">
        <v>1556</v>
      </c>
      <c r="S6061">
        <v>602.64</v>
      </c>
      <c r="T6061">
        <v>500</v>
      </c>
      <c r="U6061">
        <v>0</v>
      </c>
      <c r="V6061">
        <v>6000</v>
      </c>
      <c r="W6061">
        <v>1719</v>
      </c>
      <c r="X6061">
        <v>1720.77</v>
      </c>
      <c r="Y6061">
        <v>1500</v>
      </c>
      <c r="Z6061">
        <v>0</v>
      </c>
      <c r="AA6061">
        <v>8000</v>
      </c>
      <c r="AB6061">
        <v>1474</v>
      </c>
      <c r="AC6061">
        <v>555.48</v>
      </c>
      <c r="AD6061">
        <v>0</v>
      </c>
      <c r="AE6061">
        <v>0</v>
      </c>
      <c r="AF6061">
        <v>10000</v>
      </c>
      <c r="AG6061">
        <v>1731</v>
      </c>
      <c r="AH6061">
        <v>642.73</v>
      </c>
      <c r="AI6061">
        <v>500</v>
      </c>
      <c r="AJ6061">
        <v>0</v>
      </c>
      <c r="AK6061">
        <v>9000</v>
      </c>
      <c r="AL6061">
        <v>1586</v>
      </c>
      <c r="AM6061">
        <v>256.77</v>
      </c>
      <c r="AN6061">
        <v>200</v>
      </c>
      <c r="AO6061">
        <v>0</v>
      </c>
      <c r="AP6061">
        <v>6000</v>
      </c>
      <c r="AQ6061">
        <v>1520</v>
      </c>
      <c r="AR6061">
        <v>482.27</v>
      </c>
      <c r="AS6061">
        <v>0</v>
      </c>
      <c r="AT6061">
        <v>0</v>
      </c>
      <c r="AU6061">
        <v>12000</v>
      </c>
      <c r="AV6061">
        <v>1395</v>
      </c>
      <c r="AW6061">
        <v>264.52999999999997</v>
      </c>
      <c r="AX6061">
        <v>0</v>
      </c>
      <c r="AY6061">
        <v>0</v>
      </c>
      <c r="AZ6061">
        <v>10000</v>
      </c>
    </row>
    <row r="6062" spans="1:52" x14ac:dyDescent="0.3">
      <c r="A6062" t="s">
        <v>33</v>
      </c>
      <c r="B6062" t="s">
        <v>216</v>
      </c>
      <c r="C6062">
        <v>66</v>
      </c>
      <c r="D6062">
        <v>992.02</v>
      </c>
      <c r="E6062">
        <v>800</v>
      </c>
      <c r="F6062">
        <v>0</v>
      </c>
      <c r="G6062">
        <v>5000</v>
      </c>
      <c r="H6062">
        <v>51</v>
      </c>
      <c r="I6062">
        <v>180.37</v>
      </c>
      <c r="J6062">
        <v>0</v>
      </c>
      <c r="K6062">
        <v>0</v>
      </c>
      <c r="L6062">
        <v>1500</v>
      </c>
      <c r="M6062">
        <v>66</v>
      </c>
      <c r="N6062">
        <v>1180.02</v>
      </c>
      <c r="O6062">
        <v>1000</v>
      </c>
      <c r="P6062">
        <v>0</v>
      </c>
      <c r="Q6062">
        <v>5000</v>
      </c>
      <c r="R6062">
        <v>52</v>
      </c>
      <c r="S6062">
        <v>281.83</v>
      </c>
      <c r="T6062">
        <v>0</v>
      </c>
      <c r="U6062">
        <v>0</v>
      </c>
      <c r="V6062">
        <v>2000</v>
      </c>
      <c r="W6062">
        <v>65</v>
      </c>
      <c r="X6062">
        <v>2290.88</v>
      </c>
      <c r="Y6062">
        <v>2000</v>
      </c>
      <c r="Z6062">
        <v>0</v>
      </c>
      <c r="AA6062">
        <v>5000</v>
      </c>
      <c r="AB6062">
        <v>48</v>
      </c>
      <c r="AC6062">
        <v>297.64</v>
      </c>
      <c r="AD6062">
        <v>0</v>
      </c>
      <c r="AE6062">
        <v>0</v>
      </c>
      <c r="AF6062">
        <v>5000</v>
      </c>
      <c r="AG6062">
        <v>67</v>
      </c>
      <c r="AH6062">
        <v>775.91</v>
      </c>
      <c r="AI6062">
        <v>600</v>
      </c>
      <c r="AJ6062">
        <v>0</v>
      </c>
      <c r="AK6062">
        <v>2000</v>
      </c>
      <c r="AL6062">
        <v>61</v>
      </c>
      <c r="AM6062">
        <v>542.02</v>
      </c>
      <c r="AN6062">
        <v>400</v>
      </c>
      <c r="AO6062">
        <v>0</v>
      </c>
      <c r="AP6062">
        <v>5000</v>
      </c>
      <c r="AQ6062">
        <v>60</v>
      </c>
      <c r="AR6062">
        <v>1916.01</v>
      </c>
      <c r="AS6062">
        <v>1500</v>
      </c>
      <c r="AT6062">
        <v>0</v>
      </c>
      <c r="AU6062">
        <v>10000</v>
      </c>
      <c r="AV6062">
        <v>43</v>
      </c>
      <c r="AW6062">
        <v>277.52</v>
      </c>
      <c r="AX6062">
        <v>0</v>
      </c>
      <c r="AY6062">
        <v>0</v>
      </c>
      <c r="AZ6062">
        <v>4000</v>
      </c>
    </row>
    <row r="6063" spans="1:52" x14ac:dyDescent="0.3">
      <c r="A6063" t="s">
        <v>49</v>
      </c>
      <c r="B6063" t="s">
        <v>210</v>
      </c>
      <c r="C6063">
        <v>658</v>
      </c>
      <c r="D6063">
        <v>1071.33</v>
      </c>
      <c r="E6063">
        <v>800</v>
      </c>
      <c r="F6063">
        <v>0</v>
      </c>
      <c r="G6063">
        <v>17000</v>
      </c>
      <c r="H6063">
        <v>526</v>
      </c>
      <c r="I6063">
        <v>147.24</v>
      </c>
      <c r="J6063">
        <v>0</v>
      </c>
      <c r="K6063">
        <v>0</v>
      </c>
      <c r="L6063">
        <v>10000</v>
      </c>
      <c r="M6063">
        <v>664</v>
      </c>
      <c r="N6063">
        <v>1262.19</v>
      </c>
      <c r="O6063">
        <v>1000</v>
      </c>
      <c r="P6063">
        <v>0</v>
      </c>
      <c r="Q6063">
        <v>11000</v>
      </c>
      <c r="R6063">
        <v>533</v>
      </c>
      <c r="S6063">
        <v>284.49</v>
      </c>
      <c r="T6063">
        <v>0</v>
      </c>
      <c r="U6063">
        <v>0</v>
      </c>
      <c r="V6063">
        <v>10000</v>
      </c>
      <c r="W6063">
        <v>674</v>
      </c>
      <c r="X6063">
        <v>2215.98</v>
      </c>
      <c r="Y6063">
        <v>2000</v>
      </c>
      <c r="Z6063">
        <v>0</v>
      </c>
      <c r="AA6063">
        <v>12000</v>
      </c>
      <c r="AB6063">
        <v>514</v>
      </c>
      <c r="AC6063">
        <v>180.6</v>
      </c>
      <c r="AD6063">
        <v>0</v>
      </c>
      <c r="AE6063">
        <v>0</v>
      </c>
      <c r="AF6063">
        <v>12000</v>
      </c>
      <c r="AG6063">
        <v>668</v>
      </c>
      <c r="AH6063">
        <v>711.1</v>
      </c>
      <c r="AI6063">
        <v>500</v>
      </c>
      <c r="AJ6063">
        <v>0</v>
      </c>
      <c r="AK6063">
        <v>5000</v>
      </c>
      <c r="AL6063">
        <v>628</v>
      </c>
      <c r="AM6063">
        <v>423.5</v>
      </c>
      <c r="AN6063">
        <v>300</v>
      </c>
      <c r="AO6063">
        <v>0</v>
      </c>
      <c r="AP6063">
        <v>5000</v>
      </c>
      <c r="AQ6063">
        <v>570</v>
      </c>
      <c r="AR6063">
        <v>806.59</v>
      </c>
      <c r="AS6063">
        <v>0</v>
      </c>
      <c r="AT6063">
        <v>0</v>
      </c>
      <c r="AU6063">
        <v>15000</v>
      </c>
      <c r="AV6063">
        <v>482</v>
      </c>
      <c r="AW6063">
        <v>406.14</v>
      </c>
      <c r="AX6063">
        <v>0</v>
      </c>
      <c r="AY6063">
        <v>0</v>
      </c>
      <c r="AZ6063">
        <v>15000</v>
      </c>
    </row>
    <row r="6064" spans="1:52" x14ac:dyDescent="0.3">
      <c r="A6064" t="s">
        <v>49</v>
      </c>
      <c r="B6064" t="s">
        <v>212</v>
      </c>
      <c r="C6064">
        <v>10266</v>
      </c>
      <c r="D6064">
        <v>937.95</v>
      </c>
      <c r="E6064">
        <v>700</v>
      </c>
      <c r="F6064">
        <v>0</v>
      </c>
      <c r="G6064">
        <v>15000</v>
      </c>
      <c r="H6064">
        <v>7952</v>
      </c>
      <c r="I6064">
        <v>241.21</v>
      </c>
      <c r="J6064">
        <v>0</v>
      </c>
      <c r="K6064">
        <v>0</v>
      </c>
      <c r="L6064">
        <v>15000</v>
      </c>
      <c r="M6064">
        <v>9944</v>
      </c>
      <c r="N6064">
        <v>834.23</v>
      </c>
      <c r="O6064">
        <v>500</v>
      </c>
      <c r="P6064">
        <v>0</v>
      </c>
      <c r="Q6064">
        <v>10000</v>
      </c>
      <c r="R6064">
        <v>8493</v>
      </c>
      <c r="S6064">
        <v>520.65</v>
      </c>
      <c r="T6064">
        <v>200</v>
      </c>
      <c r="U6064">
        <v>0</v>
      </c>
      <c r="V6064">
        <v>24000</v>
      </c>
      <c r="W6064">
        <v>10277</v>
      </c>
      <c r="X6064">
        <v>1723.45</v>
      </c>
      <c r="Y6064">
        <v>1300</v>
      </c>
      <c r="Z6064">
        <v>0</v>
      </c>
      <c r="AA6064">
        <v>25000</v>
      </c>
      <c r="AB6064">
        <v>8274</v>
      </c>
      <c r="AC6064">
        <v>501.42</v>
      </c>
      <c r="AD6064">
        <v>0</v>
      </c>
      <c r="AE6064">
        <v>0</v>
      </c>
      <c r="AF6064">
        <v>30000</v>
      </c>
      <c r="AG6064">
        <v>10249</v>
      </c>
      <c r="AH6064">
        <v>658.21</v>
      </c>
      <c r="AI6064">
        <v>500</v>
      </c>
      <c r="AJ6064">
        <v>0</v>
      </c>
      <c r="AK6064">
        <v>12000</v>
      </c>
      <c r="AL6064">
        <v>9117</v>
      </c>
      <c r="AM6064">
        <v>290.10000000000002</v>
      </c>
      <c r="AN6064">
        <v>200</v>
      </c>
      <c r="AO6064">
        <v>0</v>
      </c>
      <c r="AP6064">
        <v>10000</v>
      </c>
      <c r="AQ6064">
        <v>8170</v>
      </c>
      <c r="AR6064">
        <v>625.38</v>
      </c>
      <c r="AS6064">
        <v>0</v>
      </c>
      <c r="AT6064">
        <v>0</v>
      </c>
      <c r="AU6064">
        <v>50000</v>
      </c>
      <c r="AV6064">
        <v>7154</v>
      </c>
      <c r="AW6064">
        <v>316.51</v>
      </c>
      <c r="AX6064">
        <v>0</v>
      </c>
      <c r="AY6064">
        <v>0</v>
      </c>
      <c r="AZ6064">
        <v>15000</v>
      </c>
    </row>
    <row r="6065" spans="1:52" x14ac:dyDescent="0.3">
      <c r="A6065" t="s">
        <v>49</v>
      </c>
      <c r="B6065" t="s">
        <v>216</v>
      </c>
      <c r="C6065">
        <v>1010</v>
      </c>
      <c r="D6065">
        <v>1114.8900000000001</v>
      </c>
      <c r="E6065">
        <v>800</v>
      </c>
      <c r="F6065">
        <v>0</v>
      </c>
      <c r="G6065">
        <v>12500</v>
      </c>
      <c r="H6065">
        <v>821</v>
      </c>
      <c r="I6065">
        <v>116.82</v>
      </c>
      <c r="J6065">
        <v>0</v>
      </c>
      <c r="K6065">
        <v>0</v>
      </c>
      <c r="L6065">
        <v>12000</v>
      </c>
      <c r="M6065">
        <v>1063</v>
      </c>
      <c r="N6065">
        <v>1346.03</v>
      </c>
      <c r="O6065">
        <v>1000</v>
      </c>
      <c r="P6065">
        <v>0</v>
      </c>
      <c r="Q6065">
        <v>10000</v>
      </c>
      <c r="R6065">
        <v>869</v>
      </c>
      <c r="S6065">
        <v>302.69</v>
      </c>
      <c r="T6065">
        <v>0</v>
      </c>
      <c r="U6065">
        <v>0</v>
      </c>
      <c r="V6065">
        <v>10000</v>
      </c>
      <c r="W6065">
        <v>1089</v>
      </c>
      <c r="X6065">
        <v>2312.44</v>
      </c>
      <c r="Y6065">
        <v>2000</v>
      </c>
      <c r="Z6065">
        <v>0</v>
      </c>
      <c r="AA6065">
        <v>20000</v>
      </c>
      <c r="AB6065">
        <v>841</v>
      </c>
      <c r="AC6065">
        <v>211.57</v>
      </c>
      <c r="AD6065">
        <v>0</v>
      </c>
      <c r="AE6065">
        <v>0</v>
      </c>
      <c r="AF6065">
        <v>16800</v>
      </c>
      <c r="AG6065">
        <v>1039</v>
      </c>
      <c r="AH6065">
        <v>723.56</v>
      </c>
      <c r="AI6065">
        <v>500</v>
      </c>
      <c r="AJ6065">
        <v>0</v>
      </c>
      <c r="AK6065">
        <v>6000</v>
      </c>
      <c r="AL6065">
        <v>1025</v>
      </c>
      <c r="AM6065">
        <v>493.67</v>
      </c>
      <c r="AN6065">
        <v>300</v>
      </c>
      <c r="AO6065">
        <v>0</v>
      </c>
      <c r="AP6065">
        <v>7000</v>
      </c>
      <c r="AQ6065">
        <v>911</v>
      </c>
      <c r="AR6065">
        <v>1158.79</v>
      </c>
      <c r="AS6065">
        <v>250</v>
      </c>
      <c r="AT6065">
        <v>0</v>
      </c>
      <c r="AU6065">
        <v>50000</v>
      </c>
      <c r="AV6065">
        <v>733</v>
      </c>
      <c r="AW6065">
        <v>558.33000000000004</v>
      </c>
      <c r="AX6065">
        <v>0</v>
      </c>
      <c r="AY6065">
        <v>0</v>
      </c>
      <c r="AZ6065">
        <v>18000</v>
      </c>
    </row>
    <row r="6067" spans="1:52" x14ac:dyDescent="0.3">
      <c r="A6067" t="s">
        <v>1979</v>
      </c>
    </row>
    <row r="6068" spans="1:52" x14ac:dyDescent="0.3">
      <c r="A6068" t="s">
        <v>44</v>
      </c>
      <c r="B6068" t="s">
        <v>388</v>
      </c>
      <c r="C6068" t="s">
        <v>1927</v>
      </c>
      <c r="D6068" t="s">
        <v>1928</v>
      </c>
      <c r="E6068" t="s">
        <v>1929</v>
      </c>
      <c r="F6068" t="s">
        <v>1930</v>
      </c>
      <c r="G6068" t="s">
        <v>1931</v>
      </c>
      <c r="H6068" t="s">
        <v>1932</v>
      </c>
      <c r="I6068" t="s">
        <v>1933</v>
      </c>
      <c r="J6068" t="s">
        <v>1934</v>
      </c>
      <c r="K6068" t="s">
        <v>1935</v>
      </c>
      <c r="L6068" t="s">
        <v>1936</v>
      </c>
      <c r="M6068" t="s">
        <v>1937</v>
      </c>
      <c r="N6068" t="s">
        <v>1938</v>
      </c>
      <c r="O6068" t="s">
        <v>1939</v>
      </c>
      <c r="P6068" t="s">
        <v>1940</v>
      </c>
      <c r="Q6068" t="s">
        <v>1941</v>
      </c>
      <c r="R6068" t="s">
        <v>1942</v>
      </c>
      <c r="S6068" t="s">
        <v>1943</v>
      </c>
      <c r="T6068" t="s">
        <v>1944</v>
      </c>
      <c r="U6068" t="s">
        <v>1945</v>
      </c>
      <c r="V6068" t="s">
        <v>1946</v>
      </c>
      <c r="W6068" t="s">
        <v>1947</v>
      </c>
      <c r="X6068" t="s">
        <v>1948</v>
      </c>
      <c r="Y6068" t="s">
        <v>1949</v>
      </c>
      <c r="Z6068" t="s">
        <v>1950</v>
      </c>
      <c r="AA6068" t="s">
        <v>1951</v>
      </c>
      <c r="AB6068" t="s">
        <v>1952</v>
      </c>
      <c r="AC6068" t="s">
        <v>1953</v>
      </c>
      <c r="AD6068" t="s">
        <v>1954</v>
      </c>
      <c r="AE6068" t="s">
        <v>1955</v>
      </c>
      <c r="AF6068" t="s">
        <v>1956</v>
      </c>
      <c r="AG6068" t="s">
        <v>1957</v>
      </c>
      <c r="AH6068" t="s">
        <v>1958</v>
      </c>
      <c r="AI6068" t="s">
        <v>1959</v>
      </c>
      <c r="AJ6068" t="s">
        <v>1960</v>
      </c>
      <c r="AK6068" t="s">
        <v>1961</v>
      </c>
      <c r="AL6068" t="s">
        <v>1962</v>
      </c>
      <c r="AM6068" t="s">
        <v>1963</v>
      </c>
      <c r="AN6068" t="s">
        <v>1964</v>
      </c>
      <c r="AO6068" t="s">
        <v>1965</v>
      </c>
      <c r="AP6068" t="s">
        <v>1966</v>
      </c>
      <c r="AQ6068" t="s">
        <v>1967</v>
      </c>
      <c r="AR6068" t="s">
        <v>1968</v>
      </c>
      <c r="AS6068" t="s">
        <v>1969</v>
      </c>
      <c r="AT6068" t="s">
        <v>1970</v>
      </c>
      <c r="AU6068" t="s">
        <v>1971</v>
      </c>
      <c r="AV6068" t="s">
        <v>1972</v>
      </c>
      <c r="AW6068" t="s">
        <v>1973</v>
      </c>
      <c r="AX6068" t="s">
        <v>1974</v>
      </c>
      <c r="AY6068" t="s">
        <v>1975</v>
      </c>
      <c r="AZ6068" t="s">
        <v>1976</v>
      </c>
    </row>
    <row r="6069" spans="1:52" x14ac:dyDescent="0.3">
      <c r="A6069" t="s">
        <v>35</v>
      </c>
      <c r="B6069" t="s">
        <v>389</v>
      </c>
      <c r="C6069">
        <v>1786</v>
      </c>
      <c r="D6069">
        <v>910.27</v>
      </c>
      <c r="E6069">
        <v>600</v>
      </c>
      <c r="F6069">
        <v>0</v>
      </c>
      <c r="G6069">
        <v>15000</v>
      </c>
      <c r="H6069">
        <v>1418</v>
      </c>
      <c r="I6069">
        <v>109.83</v>
      </c>
      <c r="J6069">
        <v>0</v>
      </c>
      <c r="K6069">
        <v>0</v>
      </c>
      <c r="L6069">
        <v>5500</v>
      </c>
      <c r="M6069">
        <v>1816</v>
      </c>
      <c r="N6069">
        <v>1032.1400000000001</v>
      </c>
      <c r="O6069">
        <v>700</v>
      </c>
      <c r="P6069">
        <v>0</v>
      </c>
      <c r="Q6069">
        <v>9000</v>
      </c>
      <c r="R6069">
        <v>1578</v>
      </c>
      <c r="S6069">
        <v>376.32</v>
      </c>
      <c r="T6069">
        <v>0</v>
      </c>
      <c r="U6069">
        <v>0</v>
      </c>
      <c r="V6069">
        <v>15000</v>
      </c>
      <c r="W6069">
        <v>1894</v>
      </c>
      <c r="X6069">
        <v>1845.69</v>
      </c>
      <c r="Y6069">
        <v>1500</v>
      </c>
      <c r="Z6069">
        <v>0</v>
      </c>
      <c r="AA6069">
        <v>20000</v>
      </c>
      <c r="AB6069">
        <v>1539</v>
      </c>
      <c r="AC6069">
        <v>276.25</v>
      </c>
      <c r="AD6069">
        <v>0</v>
      </c>
      <c r="AE6069">
        <v>0</v>
      </c>
      <c r="AF6069">
        <v>10000</v>
      </c>
      <c r="AG6069">
        <v>1849</v>
      </c>
      <c r="AH6069">
        <v>622.53</v>
      </c>
      <c r="AI6069">
        <v>500</v>
      </c>
      <c r="AJ6069">
        <v>0</v>
      </c>
      <c r="AK6069">
        <v>5000</v>
      </c>
      <c r="AL6069">
        <v>1727</v>
      </c>
      <c r="AM6069">
        <v>317.86</v>
      </c>
      <c r="AN6069">
        <v>200</v>
      </c>
      <c r="AO6069">
        <v>0</v>
      </c>
      <c r="AP6069">
        <v>5000</v>
      </c>
      <c r="AQ6069">
        <v>1554</v>
      </c>
      <c r="AR6069">
        <v>879.08</v>
      </c>
      <c r="AS6069">
        <v>0</v>
      </c>
      <c r="AT6069">
        <v>0</v>
      </c>
      <c r="AU6069">
        <v>50000</v>
      </c>
      <c r="AV6069">
        <v>1255</v>
      </c>
      <c r="AW6069">
        <v>332.95</v>
      </c>
      <c r="AX6069">
        <v>0</v>
      </c>
      <c r="AY6069">
        <v>0</v>
      </c>
      <c r="AZ6069">
        <v>18000</v>
      </c>
    </row>
    <row r="6070" spans="1:52" x14ac:dyDescent="0.3">
      <c r="A6070" t="s">
        <v>35</v>
      </c>
      <c r="B6070" t="s">
        <v>390</v>
      </c>
      <c r="C6070">
        <v>699</v>
      </c>
      <c r="D6070">
        <v>942.46</v>
      </c>
      <c r="E6070">
        <v>600</v>
      </c>
      <c r="F6070">
        <v>0</v>
      </c>
      <c r="G6070">
        <v>12500</v>
      </c>
      <c r="H6070">
        <v>542</v>
      </c>
      <c r="I6070">
        <v>142.35</v>
      </c>
      <c r="J6070">
        <v>0</v>
      </c>
      <c r="K6070">
        <v>0</v>
      </c>
      <c r="L6070">
        <v>15000</v>
      </c>
      <c r="M6070">
        <v>714</v>
      </c>
      <c r="N6070">
        <v>870.21</v>
      </c>
      <c r="O6070">
        <v>600</v>
      </c>
      <c r="P6070">
        <v>0</v>
      </c>
      <c r="Q6070">
        <v>8000</v>
      </c>
      <c r="R6070">
        <v>609</v>
      </c>
      <c r="S6070">
        <v>400.31</v>
      </c>
      <c r="T6070">
        <v>0</v>
      </c>
      <c r="U6070">
        <v>0</v>
      </c>
      <c r="V6070">
        <v>10000</v>
      </c>
      <c r="W6070">
        <v>735</v>
      </c>
      <c r="X6070">
        <v>1796.37</v>
      </c>
      <c r="Y6070">
        <v>1500</v>
      </c>
      <c r="Z6070">
        <v>0</v>
      </c>
      <c r="AA6070">
        <v>11850</v>
      </c>
      <c r="AB6070">
        <v>580</v>
      </c>
      <c r="AC6070">
        <v>281.39999999999998</v>
      </c>
      <c r="AD6070">
        <v>0</v>
      </c>
      <c r="AE6070">
        <v>0</v>
      </c>
      <c r="AF6070">
        <v>13000</v>
      </c>
      <c r="AG6070">
        <v>722</v>
      </c>
      <c r="AH6070">
        <v>587.55999999999995</v>
      </c>
      <c r="AI6070">
        <v>500</v>
      </c>
      <c r="AJ6070">
        <v>0</v>
      </c>
      <c r="AK6070">
        <v>5000</v>
      </c>
      <c r="AL6070">
        <v>701</v>
      </c>
      <c r="AM6070">
        <v>339.12</v>
      </c>
      <c r="AN6070">
        <v>200</v>
      </c>
      <c r="AO6070">
        <v>0</v>
      </c>
      <c r="AP6070">
        <v>4000</v>
      </c>
      <c r="AQ6070">
        <v>627</v>
      </c>
      <c r="AR6070">
        <v>1101.31</v>
      </c>
      <c r="AS6070">
        <v>0</v>
      </c>
      <c r="AT6070">
        <v>0</v>
      </c>
      <c r="AU6070">
        <v>25000</v>
      </c>
      <c r="AV6070">
        <v>499</v>
      </c>
      <c r="AW6070">
        <v>436.51</v>
      </c>
      <c r="AX6070">
        <v>0</v>
      </c>
      <c r="AY6070">
        <v>0</v>
      </c>
      <c r="AZ6070">
        <v>10000</v>
      </c>
    </row>
    <row r="6071" spans="1:52" x14ac:dyDescent="0.3">
      <c r="A6071" t="s">
        <v>35</v>
      </c>
      <c r="B6071" t="s">
        <v>365</v>
      </c>
      <c r="C6071">
        <v>104</v>
      </c>
      <c r="D6071">
        <v>1229.9100000000001</v>
      </c>
      <c r="E6071">
        <v>1000</v>
      </c>
      <c r="F6071">
        <v>0</v>
      </c>
      <c r="G6071">
        <v>10000</v>
      </c>
      <c r="H6071">
        <v>93</v>
      </c>
      <c r="I6071">
        <v>171.77</v>
      </c>
      <c r="J6071">
        <v>0</v>
      </c>
      <c r="K6071">
        <v>0</v>
      </c>
      <c r="L6071">
        <v>10000</v>
      </c>
      <c r="M6071">
        <v>105</v>
      </c>
      <c r="N6071">
        <v>1382.42</v>
      </c>
      <c r="O6071">
        <v>1000</v>
      </c>
      <c r="P6071">
        <v>0</v>
      </c>
      <c r="Q6071">
        <v>7000</v>
      </c>
      <c r="R6071">
        <v>98</v>
      </c>
      <c r="S6071">
        <v>312.91000000000003</v>
      </c>
      <c r="T6071">
        <v>0</v>
      </c>
      <c r="U6071">
        <v>0</v>
      </c>
      <c r="V6071">
        <v>5000</v>
      </c>
      <c r="W6071">
        <v>112</v>
      </c>
      <c r="X6071">
        <v>2279.59</v>
      </c>
      <c r="Y6071">
        <v>2000</v>
      </c>
      <c r="Z6071">
        <v>0</v>
      </c>
      <c r="AA6071">
        <v>10000</v>
      </c>
      <c r="AB6071">
        <v>97</v>
      </c>
      <c r="AC6071">
        <v>304.2</v>
      </c>
      <c r="AD6071">
        <v>0</v>
      </c>
      <c r="AE6071">
        <v>0</v>
      </c>
      <c r="AF6071">
        <v>5000</v>
      </c>
      <c r="AG6071">
        <v>108</v>
      </c>
      <c r="AH6071">
        <v>860.3</v>
      </c>
      <c r="AI6071">
        <v>600</v>
      </c>
      <c r="AJ6071">
        <v>0</v>
      </c>
      <c r="AK6071">
        <v>5000</v>
      </c>
      <c r="AL6071">
        <v>106</v>
      </c>
      <c r="AM6071">
        <v>427.38</v>
      </c>
      <c r="AN6071">
        <v>300</v>
      </c>
      <c r="AO6071">
        <v>0</v>
      </c>
      <c r="AP6071">
        <v>2500</v>
      </c>
      <c r="AQ6071">
        <v>90</v>
      </c>
      <c r="AR6071">
        <v>1100.8399999999999</v>
      </c>
      <c r="AS6071">
        <v>1000</v>
      </c>
      <c r="AT6071">
        <v>0</v>
      </c>
      <c r="AU6071">
        <v>7000</v>
      </c>
      <c r="AV6071">
        <v>89</v>
      </c>
      <c r="AW6071">
        <v>3181.88</v>
      </c>
      <c r="AX6071">
        <v>0</v>
      </c>
      <c r="AY6071">
        <v>0</v>
      </c>
      <c r="AZ6071">
        <v>15000</v>
      </c>
    </row>
    <row r="6072" spans="1:52" x14ac:dyDescent="0.3">
      <c r="A6072" t="s">
        <v>37</v>
      </c>
      <c r="B6072" t="s">
        <v>389</v>
      </c>
      <c r="C6072">
        <v>2229</v>
      </c>
      <c r="D6072">
        <v>922.61</v>
      </c>
      <c r="E6072">
        <v>700</v>
      </c>
      <c r="F6072">
        <v>0</v>
      </c>
      <c r="G6072">
        <v>10000</v>
      </c>
      <c r="H6072">
        <v>1721</v>
      </c>
      <c r="I6072">
        <v>271.58</v>
      </c>
      <c r="J6072">
        <v>0</v>
      </c>
      <c r="K6072">
        <v>0</v>
      </c>
      <c r="L6072">
        <v>6000</v>
      </c>
      <c r="M6072">
        <v>2152</v>
      </c>
      <c r="N6072">
        <v>807.83</v>
      </c>
      <c r="O6072">
        <v>500</v>
      </c>
      <c r="P6072">
        <v>0</v>
      </c>
      <c r="Q6072">
        <v>10000</v>
      </c>
      <c r="R6072">
        <v>1805</v>
      </c>
      <c r="S6072">
        <v>475.28</v>
      </c>
      <c r="T6072">
        <v>300</v>
      </c>
      <c r="U6072">
        <v>0</v>
      </c>
      <c r="V6072">
        <v>15000</v>
      </c>
      <c r="W6072">
        <v>2220</v>
      </c>
      <c r="X6072">
        <v>1621.32</v>
      </c>
      <c r="Y6072">
        <v>1000</v>
      </c>
      <c r="Z6072">
        <v>0</v>
      </c>
      <c r="AA6072">
        <v>20000</v>
      </c>
      <c r="AB6072">
        <v>1752</v>
      </c>
      <c r="AC6072">
        <v>663.27</v>
      </c>
      <c r="AD6072">
        <v>150</v>
      </c>
      <c r="AE6072">
        <v>0</v>
      </c>
      <c r="AF6072">
        <v>10000</v>
      </c>
      <c r="AG6072">
        <v>2196</v>
      </c>
      <c r="AH6072">
        <v>677.62</v>
      </c>
      <c r="AI6072">
        <v>500</v>
      </c>
      <c r="AJ6072">
        <v>0</v>
      </c>
      <c r="AK6072">
        <v>6000</v>
      </c>
      <c r="AL6072">
        <v>1886</v>
      </c>
      <c r="AM6072">
        <v>291.56</v>
      </c>
      <c r="AN6072">
        <v>200</v>
      </c>
      <c r="AO6072">
        <v>0</v>
      </c>
      <c r="AP6072">
        <v>5000</v>
      </c>
      <c r="AQ6072">
        <v>1695</v>
      </c>
      <c r="AR6072">
        <v>705.38</v>
      </c>
      <c r="AS6072">
        <v>0</v>
      </c>
      <c r="AT6072">
        <v>0</v>
      </c>
      <c r="AU6072">
        <v>50000</v>
      </c>
      <c r="AV6072">
        <v>1455</v>
      </c>
      <c r="AW6072">
        <v>278.39</v>
      </c>
      <c r="AX6072">
        <v>0</v>
      </c>
      <c r="AY6072">
        <v>0</v>
      </c>
      <c r="AZ6072">
        <v>10000</v>
      </c>
    </row>
    <row r="6073" spans="1:52" x14ac:dyDescent="0.3">
      <c r="A6073" t="s">
        <v>37</v>
      </c>
      <c r="B6073" t="s">
        <v>390</v>
      </c>
      <c r="C6073">
        <v>1234</v>
      </c>
      <c r="D6073">
        <v>958.35</v>
      </c>
      <c r="E6073">
        <v>750</v>
      </c>
      <c r="F6073">
        <v>0</v>
      </c>
      <c r="G6073">
        <v>6000</v>
      </c>
      <c r="H6073">
        <v>961</v>
      </c>
      <c r="I6073">
        <v>352.83</v>
      </c>
      <c r="J6073">
        <v>0</v>
      </c>
      <c r="K6073">
        <v>0</v>
      </c>
      <c r="L6073">
        <v>6000</v>
      </c>
      <c r="M6073">
        <v>1185</v>
      </c>
      <c r="N6073">
        <v>806.95</v>
      </c>
      <c r="O6073">
        <v>500</v>
      </c>
      <c r="P6073">
        <v>0</v>
      </c>
      <c r="Q6073">
        <v>10000</v>
      </c>
      <c r="R6073">
        <v>1006</v>
      </c>
      <c r="S6073">
        <v>532.24</v>
      </c>
      <c r="T6073">
        <v>200</v>
      </c>
      <c r="U6073">
        <v>0</v>
      </c>
      <c r="V6073">
        <v>20000</v>
      </c>
      <c r="W6073">
        <v>1228</v>
      </c>
      <c r="X6073">
        <v>1704.48</v>
      </c>
      <c r="Y6073">
        <v>1200</v>
      </c>
      <c r="Z6073">
        <v>0</v>
      </c>
      <c r="AA6073">
        <v>10000</v>
      </c>
      <c r="AB6073">
        <v>973</v>
      </c>
      <c r="AC6073">
        <v>667.29</v>
      </c>
      <c r="AD6073">
        <v>0</v>
      </c>
      <c r="AE6073">
        <v>0</v>
      </c>
      <c r="AF6073">
        <v>8000</v>
      </c>
      <c r="AG6073">
        <v>1205</v>
      </c>
      <c r="AH6073">
        <v>668.88</v>
      </c>
      <c r="AI6073">
        <v>500</v>
      </c>
      <c r="AJ6073">
        <v>0</v>
      </c>
      <c r="AK6073">
        <v>8000</v>
      </c>
      <c r="AL6073">
        <v>1056</v>
      </c>
      <c r="AM6073">
        <v>325.27999999999997</v>
      </c>
      <c r="AN6073">
        <v>250</v>
      </c>
      <c r="AO6073">
        <v>0</v>
      </c>
      <c r="AP6073">
        <v>10000</v>
      </c>
      <c r="AQ6073">
        <v>953</v>
      </c>
      <c r="AR6073">
        <v>997.23</v>
      </c>
      <c r="AS6073">
        <v>0</v>
      </c>
      <c r="AT6073">
        <v>0</v>
      </c>
      <c r="AU6073">
        <v>30000</v>
      </c>
      <c r="AV6073">
        <v>812</v>
      </c>
      <c r="AW6073">
        <v>431.71</v>
      </c>
      <c r="AX6073">
        <v>0</v>
      </c>
      <c r="AY6073">
        <v>0</v>
      </c>
      <c r="AZ6073">
        <v>6000</v>
      </c>
    </row>
    <row r="6074" spans="1:52" x14ac:dyDescent="0.3">
      <c r="A6074" t="s">
        <v>37</v>
      </c>
      <c r="B6074" t="s">
        <v>365</v>
      </c>
      <c r="C6074">
        <v>229</v>
      </c>
      <c r="D6074">
        <v>1160.3699999999999</v>
      </c>
      <c r="E6074">
        <v>900</v>
      </c>
      <c r="F6074">
        <v>100</v>
      </c>
      <c r="G6074">
        <v>4000</v>
      </c>
      <c r="H6074">
        <v>188</v>
      </c>
      <c r="I6074">
        <v>350.85</v>
      </c>
      <c r="J6074">
        <v>250</v>
      </c>
      <c r="K6074">
        <v>0</v>
      </c>
      <c r="L6074">
        <v>3000</v>
      </c>
      <c r="M6074">
        <v>224</v>
      </c>
      <c r="N6074">
        <v>832.41</v>
      </c>
      <c r="O6074">
        <v>650</v>
      </c>
      <c r="P6074">
        <v>0</v>
      </c>
      <c r="Q6074">
        <v>4000</v>
      </c>
      <c r="R6074">
        <v>190</v>
      </c>
      <c r="S6074">
        <v>531.48</v>
      </c>
      <c r="T6074">
        <v>500</v>
      </c>
      <c r="U6074">
        <v>0</v>
      </c>
      <c r="V6074">
        <v>4000</v>
      </c>
      <c r="W6074">
        <v>231</v>
      </c>
      <c r="X6074">
        <v>1780.33</v>
      </c>
      <c r="Y6074">
        <v>1500</v>
      </c>
      <c r="Z6074">
        <v>0</v>
      </c>
      <c r="AA6074">
        <v>7000</v>
      </c>
      <c r="AB6074">
        <v>187</v>
      </c>
      <c r="AC6074">
        <v>760.87</v>
      </c>
      <c r="AD6074">
        <v>300</v>
      </c>
      <c r="AE6074">
        <v>0</v>
      </c>
      <c r="AF6074">
        <v>5000</v>
      </c>
      <c r="AG6074">
        <v>227</v>
      </c>
      <c r="AH6074">
        <v>775.43</v>
      </c>
      <c r="AI6074">
        <v>600</v>
      </c>
      <c r="AJ6074">
        <v>0</v>
      </c>
      <c r="AK6074">
        <v>3000</v>
      </c>
      <c r="AL6074">
        <v>211</v>
      </c>
      <c r="AM6074">
        <v>356.2</v>
      </c>
      <c r="AN6074">
        <v>300</v>
      </c>
      <c r="AO6074">
        <v>0</v>
      </c>
      <c r="AP6074">
        <v>2500</v>
      </c>
      <c r="AQ6074">
        <v>196</v>
      </c>
      <c r="AR6074">
        <v>959.14</v>
      </c>
      <c r="AS6074">
        <v>500</v>
      </c>
      <c r="AT6074">
        <v>0</v>
      </c>
      <c r="AU6074">
        <v>6000</v>
      </c>
      <c r="AV6074">
        <v>140</v>
      </c>
      <c r="AW6074">
        <v>431.03</v>
      </c>
      <c r="AX6074">
        <v>0</v>
      </c>
      <c r="AY6074">
        <v>0</v>
      </c>
      <c r="AZ6074">
        <v>6500</v>
      </c>
    </row>
    <row r="6075" spans="1:52" x14ac:dyDescent="0.3">
      <c r="A6075" t="s">
        <v>36</v>
      </c>
      <c r="B6075" t="s">
        <v>389</v>
      </c>
      <c r="C6075">
        <v>1376</v>
      </c>
      <c r="D6075">
        <v>1067.8499999999999</v>
      </c>
      <c r="E6075">
        <v>900</v>
      </c>
      <c r="F6075">
        <v>0</v>
      </c>
      <c r="G6075">
        <v>10000</v>
      </c>
      <c r="H6075">
        <v>727</v>
      </c>
      <c r="I6075">
        <v>211.62</v>
      </c>
      <c r="J6075">
        <v>0</v>
      </c>
      <c r="K6075">
        <v>0</v>
      </c>
      <c r="L6075">
        <v>8000</v>
      </c>
      <c r="M6075">
        <v>1269</v>
      </c>
      <c r="N6075">
        <v>1244.82</v>
      </c>
      <c r="O6075">
        <v>1000</v>
      </c>
      <c r="P6075">
        <v>0</v>
      </c>
      <c r="Q6075">
        <v>11000</v>
      </c>
      <c r="R6075">
        <v>860</v>
      </c>
      <c r="S6075">
        <v>444.13</v>
      </c>
      <c r="T6075">
        <v>200</v>
      </c>
      <c r="U6075">
        <v>0</v>
      </c>
      <c r="V6075">
        <v>10000</v>
      </c>
      <c r="W6075">
        <v>1292</v>
      </c>
      <c r="X6075">
        <v>1754.54</v>
      </c>
      <c r="Y6075">
        <v>1500</v>
      </c>
      <c r="Z6075">
        <v>0</v>
      </c>
      <c r="AA6075">
        <v>12000</v>
      </c>
      <c r="AB6075">
        <v>794</v>
      </c>
      <c r="AC6075">
        <v>686.61</v>
      </c>
      <c r="AD6075">
        <v>0</v>
      </c>
      <c r="AE6075">
        <v>0</v>
      </c>
      <c r="AF6075">
        <v>30000</v>
      </c>
      <c r="AG6075">
        <v>1319</v>
      </c>
      <c r="AH6075">
        <v>678.25</v>
      </c>
      <c r="AI6075">
        <v>500</v>
      </c>
      <c r="AJ6075">
        <v>0</v>
      </c>
      <c r="AK6075">
        <v>7000</v>
      </c>
      <c r="AL6075">
        <v>1010</v>
      </c>
      <c r="AM6075">
        <v>469.16</v>
      </c>
      <c r="AN6075">
        <v>400</v>
      </c>
      <c r="AO6075">
        <v>0</v>
      </c>
      <c r="AP6075">
        <v>2500</v>
      </c>
      <c r="AQ6075">
        <v>724</v>
      </c>
      <c r="AR6075">
        <v>717.2</v>
      </c>
      <c r="AS6075">
        <v>120</v>
      </c>
      <c r="AT6075">
        <v>0</v>
      </c>
      <c r="AU6075">
        <v>6000</v>
      </c>
      <c r="AV6075">
        <v>719</v>
      </c>
      <c r="AW6075">
        <v>690.53</v>
      </c>
      <c r="AX6075">
        <v>0</v>
      </c>
      <c r="AY6075">
        <v>0</v>
      </c>
      <c r="AZ6075">
        <v>14000</v>
      </c>
    </row>
    <row r="6076" spans="1:52" x14ac:dyDescent="0.3">
      <c r="A6076" t="s">
        <v>36</v>
      </c>
      <c r="B6076" t="s">
        <v>390</v>
      </c>
      <c r="C6076">
        <v>523</v>
      </c>
      <c r="D6076">
        <v>1093.17</v>
      </c>
      <c r="E6076">
        <v>1000</v>
      </c>
      <c r="F6076">
        <v>0</v>
      </c>
      <c r="G6076">
        <v>10000</v>
      </c>
      <c r="H6076">
        <v>293</v>
      </c>
      <c r="I6076">
        <v>285.23</v>
      </c>
      <c r="J6076">
        <v>0</v>
      </c>
      <c r="K6076">
        <v>0</v>
      </c>
      <c r="L6076">
        <v>12000</v>
      </c>
      <c r="M6076">
        <v>485</v>
      </c>
      <c r="N6076">
        <v>1418.86</v>
      </c>
      <c r="O6076">
        <v>1000</v>
      </c>
      <c r="P6076">
        <v>0</v>
      </c>
      <c r="Q6076">
        <v>10000</v>
      </c>
      <c r="R6076">
        <v>338</v>
      </c>
      <c r="S6076">
        <v>262.85000000000002</v>
      </c>
      <c r="T6076">
        <v>150</v>
      </c>
      <c r="U6076">
        <v>0</v>
      </c>
      <c r="V6076">
        <v>10000</v>
      </c>
      <c r="W6076">
        <v>503</v>
      </c>
      <c r="X6076">
        <v>1887.15</v>
      </c>
      <c r="Y6076">
        <v>1500</v>
      </c>
      <c r="Z6076">
        <v>0</v>
      </c>
      <c r="AA6076">
        <v>15000</v>
      </c>
      <c r="AB6076">
        <v>307</v>
      </c>
      <c r="AC6076">
        <v>397.08</v>
      </c>
      <c r="AD6076">
        <v>0</v>
      </c>
      <c r="AE6076">
        <v>0</v>
      </c>
      <c r="AF6076">
        <v>10000</v>
      </c>
      <c r="AG6076">
        <v>519</v>
      </c>
      <c r="AH6076">
        <v>701.47</v>
      </c>
      <c r="AI6076">
        <v>500</v>
      </c>
      <c r="AJ6076">
        <v>0</v>
      </c>
      <c r="AK6076">
        <v>6000</v>
      </c>
      <c r="AL6076">
        <v>394</v>
      </c>
      <c r="AM6076">
        <v>534.77</v>
      </c>
      <c r="AN6076">
        <v>300</v>
      </c>
      <c r="AO6076">
        <v>0</v>
      </c>
      <c r="AP6076">
        <v>7000</v>
      </c>
      <c r="AQ6076">
        <v>295</v>
      </c>
      <c r="AR6076">
        <v>861.45</v>
      </c>
      <c r="AS6076">
        <v>400</v>
      </c>
      <c r="AT6076">
        <v>0</v>
      </c>
      <c r="AU6076">
        <v>5000</v>
      </c>
      <c r="AV6076">
        <v>279</v>
      </c>
      <c r="AW6076">
        <v>885.87</v>
      </c>
      <c r="AX6076">
        <v>0</v>
      </c>
      <c r="AY6076">
        <v>0</v>
      </c>
      <c r="AZ6076">
        <v>10000</v>
      </c>
    </row>
    <row r="6077" spans="1:52" x14ac:dyDescent="0.3">
      <c r="A6077" t="s">
        <v>36</v>
      </c>
      <c r="B6077" t="s">
        <v>365</v>
      </c>
      <c r="C6077">
        <v>80</v>
      </c>
      <c r="D6077">
        <v>1454.84</v>
      </c>
      <c r="E6077">
        <v>1500</v>
      </c>
      <c r="F6077">
        <v>0</v>
      </c>
      <c r="G6077">
        <v>5000</v>
      </c>
      <c r="H6077">
        <v>35</v>
      </c>
      <c r="I6077">
        <v>124.78</v>
      </c>
      <c r="J6077">
        <v>0</v>
      </c>
      <c r="K6077">
        <v>0</v>
      </c>
      <c r="L6077">
        <v>10000</v>
      </c>
      <c r="M6077">
        <v>74</v>
      </c>
      <c r="N6077">
        <v>1439.41</v>
      </c>
      <c r="O6077">
        <v>1000</v>
      </c>
      <c r="P6077">
        <v>0</v>
      </c>
      <c r="Q6077">
        <v>4000</v>
      </c>
      <c r="R6077">
        <v>41</v>
      </c>
      <c r="S6077">
        <v>734.5</v>
      </c>
      <c r="T6077">
        <v>300</v>
      </c>
      <c r="U6077">
        <v>0</v>
      </c>
      <c r="V6077">
        <v>3000</v>
      </c>
      <c r="W6077">
        <v>80</v>
      </c>
      <c r="X6077">
        <v>2591.0100000000002</v>
      </c>
      <c r="Y6077">
        <v>2000</v>
      </c>
      <c r="Z6077">
        <v>0</v>
      </c>
      <c r="AA6077">
        <v>15000</v>
      </c>
      <c r="AB6077">
        <v>50</v>
      </c>
      <c r="AC6077">
        <v>893.44</v>
      </c>
      <c r="AD6077">
        <v>0</v>
      </c>
      <c r="AE6077">
        <v>0</v>
      </c>
      <c r="AF6077">
        <v>5000</v>
      </c>
      <c r="AG6077">
        <v>79</v>
      </c>
      <c r="AH6077">
        <v>1452.05</v>
      </c>
      <c r="AI6077">
        <v>700</v>
      </c>
      <c r="AJ6077">
        <v>0</v>
      </c>
      <c r="AK6077">
        <v>12000</v>
      </c>
      <c r="AL6077">
        <v>69</v>
      </c>
      <c r="AM6077">
        <v>661.47</v>
      </c>
      <c r="AN6077">
        <v>600</v>
      </c>
      <c r="AO6077">
        <v>0</v>
      </c>
      <c r="AP6077">
        <v>2000</v>
      </c>
      <c r="AQ6077">
        <v>51</v>
      </c>
      <c r="AR6077">
        <v>1681.09</v>
      </c>
      <c r="AS6077">
        <v>1000</v>
      </c>
      <c r="AT6077">
        <v>0</v>
      </c>
      <c r="AU6077">
        <v>9000</v>
      </c>
      <c r="AV6077">
        <v>42</v>
      </c>
      <c r="AW6077">
        <v>3657.16</v>
      </c>
      <c r="AX6077">
        <v>2000</v>
      </c>
      <c r="AY6077">
        <v>0</v>
      </c>
      <c r="AZ6077">
        <v>15000</v>
      </c>
    </row>
    <row r="6078" spans="1:52" x14ac:dyDescent="0.3">
      <c r="A6078" t="s">
        <v>34</v>
      </c>
      <c r="B6078" t="s">
        <v>389</v>
      </c>
      <c r="C6078">
        <v>1227</v>
      </c>
      <c r="D6078">
        <v>966.74</v>
      </c>
      <c r="E6078">
        <v>600</v>
      </c>
      <c r="F6078">
        <v>0</v>
      </c>
      <c r="G6078">
        <v>17000</v>
      </c>
      <c r="H6078">
        <v>1170</v>
      </c>
      <c r="I6078">
        <v>211.16</v>
      </c>
      <c r="J6078">
        <v>0</v>
      </c>
      <c r="K6078">
        <v>0</v>
      </c>
      <c r="L6078">
        <v>10000</v>
      </c>
      <c r="M6078">
        <v>1255</v>
      </c>
      <c r="N6078">
        <v>897.82</v>
      </c>
      <c r="O6078">
        <v>545</v>
      </c>
      <c r="P6078">
        <v>0</v>
      </c>
      <c r="Q6078">
        <v>6000</v>
      </c>
      <c r="R6078">
        <v>1138</v>
      </c>
      <c r="S6078">
        <v>481.31</v>
      </c>
      <c r="T6078">
        <v>0</v>
      </c>
      <c r="U6078">
        <v>0</v>
      </c>
      <c r="V6078">
        <v>10000</v>
      </c>
      <c r="W6078">
        <v>1283</v>
      </c>
      <c r="X6078">
        <v>1936.13</v>
      </c>
      <c r="Y6078">
        <v>1500</v>
      </c>
      <c r="Z6078">
        <v>0</v>
      </c>
      <c r="AA6078">
        <v>12000</v>
      </c>
      <c r="AB6078">
        <v>1180</v>
      </c>
      <c r="AC6078">
        <v>258.83999999999997</v>
      </c>
      <c r="AD6078">
        <v>0</v>
      </c>
      <c r="AE6078">
        <v>0</v>
      </c>
      <c r="AF6078">
        <v>25000</v>
      </c>
      <c r="AG6078">
        <v>1269</v>
      </c>
      <c r="AH6078">
        <v>678.58</v>
      </c>
      <c r="AI6078">
        <v>500</v>
      </c>
      <c r="AJ6078">
        <v>0</v>
      </c>
      <c r="AK6078">
        <v>5000</v>
      </c>
      <c r="AL6078">
        <v>1275</v>
      </c>
      <c r="AM6078">
        <v>304.82</v>
      </c>
      <c r="AN6078">
        <v>200</v>
      </c>
      <c r="AO6078">
        <v>0</v>
      </c>
      <c r="AP6078">
        <v>3000</v>
      </c>
      <c r="AQ6078">
        <v>1207</v>
      </c>
      <c r="AR6078">
        <v>249.75</v>
      </c>
      <c r="AS6078">
        <v>0</v>
      </c>
      <c r="AT6078">
        <v>0</v>
      </c>
      <c r="AU6078">
        <v>8000</v>
      </c>
      <c r="AV6078">
        <v>1064</v>
      </c>
      <c r="AW6078">
        <v>128.04</v>
      </c>
      <c r="AX6078">
        <v>0</v>
      </c>
      <c r="AY6078">
        <v>0</v>
      </c>
      <c r="AZ6078">
        <v>10000</v>
      </c>
    </row>
    <row r="6079" spans="1:52" x14ac:dyDescent="0.3">
      <c r="A6079" t="s">
        <v>34</v>
      </c>
      <c r="B6079" t="s">
        <v>390</v>
      </c>
      <c r="C6079">
        <v>495</v>
      </c>
      <c r="D6079">
        <v>1266.72</v>
      </c>
      <c r="E6079">
        <v>900</v>
      </c>
      <c r="F6079">
        <v>0</v>
      </c>
      <c r="G6079">
        <v>12000</v>
      </c>
      <c r="H6079">
        <v>509</v>
      </c>
      <c r="I6079">
        <v>284.89999999999998</v>
      </c>
      <c r="J6079">
        <v>0</v>
      </c>
      <c r="K6079">
        <v>0</v>
      </c>
      <c r="L6079">
        <v>10000</v>
      </c>
      <c r="M6079">
        <v>535</v>
      </c>
      <c r="N6079">
        <v>1052.32</v>
      </c>
      <c r="O6079">
        <v>800</v>
      </c>
      <c r="P6079">
        <v>0</v>
      </c>
      <c r="Q6079">
        <v>8000</v>
      </c>
      <c r="R6079">
        <v>506</v>
      </c>
      <c r="S6079">
        <v>606.04</v>
      </c>
      <c r="T6079">
        <v>0</v>
      </c>
      <c r="U6079">
        <v>0</v>
      </c>
      <c r="V6079">
        <v>24000</v>
      </c>
      <c r="W6079">
        <v>543</v>
      </c>
      <c r="X6079">
        <v>2551.89</v>
      </c>
      <c r="Y6079">
        <v>2000</v>
      </c>
      <c r="Z6079">
        <v>0</v>
      </c>
      <c r="AA6079">
        <v>25000</v>
      </c>
      <c r="AB6079">
        <v>526</v>
      </c>
      <c r="AC6079">
        <v>264.05</v>
      </c>
      <c r="AD6079">
        <v>0</v>
      </c>
      <c r="AE6079">
        <v>0</v>
      </c>
      <c r="AF6079">
        <v>10000</v>
      </c>
      <c r="AG6079">
        <v>527</v>
      </c>
      <c r="AH6079">
        <v>762.21</v>
      </c>
      <c r="AI6079">
        <v>500</v>
      </c>
      <c r="AJ6079">
        <v>0</v>
      </c>
      <c r="AK6079">
        <v>10000</v>
      </c>
      <c r="AL6079">
        <v>554</v>
      </c>
      <c r="AM6079">
        <v>408.01</v>
      </c>
      <c r="AN6079">
        <v>250</v>
      </c>
      <c r="AO6079">
        <v>0</v>
      </c>
      <c r="AP6079">
        <v>4500</v>
      </c>
      <c r="AQ6079">
        <v>545</v>
      </c>
      <c r="AR6079">
        <v>541.24</v>
      </c>
      <c r="AS6079">
        <v>0</v>
      </c>
      <c r="AT6079">
        <v>0</v>
      </c>
      <c r="AU6079">
        <v>10000</v>
      </c>
      <c r="AV6079">
        <v>453</v>
      </c>
      <c r="AW6079">
        <v>151.5</v>
      </c>
      <c r="AX6079">
        <v>0</v>
      </c>
      <c r="AY6079">
        <v>0</v>
      </c>
      <c r="AZ6079">
        <v>7000</v>
      </c>
    </row>
    <row r="6080" spans="1:52" x14ac:dyDescent="0.3">
      <c r="A6080" t="s">
        <v>34</v>
      </c>
      <c r="B6080" t="s">
        <v>365</v>
      </c>
      <c r="C6080">
        <v>74</v>
      </c>
      <c r="D6080">
        <v>1411.78</v>
      </c>
      <c r="E6080">
        <v>1000</v>
      </c>
      <c r="F6080">
        <v>0</v>
      </c>
      <c r="G6080">
        <v>8000</v>
      </c>
      <c r="H6080">
        <v>66</v>
      </c>
      <c r="I6080">
        <v>96.13</v>
      </c>
      <c r="J6080">
        <v>0</v>
      </c>
      <c r="K6080">
        <v>0</v>
      </c>
      <c r="L6080">
        <v>1000</v>
      </c>
      <c r="M6080">
        <v>72</v>
      </c>
      <c r="N6080">
        <v>1398.13</v>
      </c>
      <c r="O6080">
        <v>1000</v>
      </c>
      <c r="P6080">
        <v>0</v>
      </c>
      <c r="Q6080">
        <v>5000</v>
      </c>
      <c r="R6080">
        <v>60</v>
      </c>
      <c r="S6080">
        <v>336.11</v>
      </c>
      <c r="T6080">
        <v>0</v>
      </c>
      <c r="U6080">
        <v>0</v>
      </c>
      <c r="V6080">
        <v>4000</v>
      </c>
      <c r="W6080">
        <v>72</v>
      </c>
      <c r="X6080">
        <v>2569.31</v>
      </c>
      <c r="Y6080">
        <v>2000</v>
      </c>
      <c r="Z6080">
        <v>0</v>
      </c>
      <c r="AA6080">
        <v>7250</v>
      </c>
      <c r="AB6080">
        <v>66</v>
      </c>
      <c r="AC6080">
        <v>244.91</v>
      </c>
      <c r="AD6080">
        <v>0</v>
      </c>
      <c r="AE6080">
        <v>0</v>
      </c>
      <c r="AF6080">
        <v>5000</v>
      </c>
      <c r="AG6080">
        <v>73</v>
      </c>
      <c r="AH6080">
        <v>858.53</v>
      </c>
      <c r="AI6080">
        <v>600</v>
      </c>
      <c r="AJ6080">
        <v>0</v>
      </c>
      <c r="AK6080">
        <v>3500</v>
      </c>
      <c r="AL6080">
        <v>76</v>
      </c>
      <c r="AM6080">
        <v>424.17</v>
      </c>
      <c r="AN6080">
        <v>300</v>
      </c>
      <c r="AO6080">
        <v>0</v>
      </c>
      <c r="AP6080">
        <v>1600</v>
      </c>
      <c r="AQ6080">
        <v>73</v>
      </c>
      <c r="AR6080">
        <v>378.28</v>
      </c>
      <c r="AS6080">
        <v>0</v>
      </c>
      <c r="AT6080">
        <v>0</v>
      </c>
      <c r="AU6080">
        <v>3500</v>
      </c>
      <c r="AV6080">
        <v>67</v>
      </c>
      <c r="AW6080">
        <v>74.78</v>
      </c>
      <c r="AX6080">
        <v>0</v>
      </c>
      <c r="AY6080">
        <v>0</v>
      </c>
      <c r="AZ6080">
        <v>800</v>
      </c>
    </row>
    <row r="6081" spans="1:52" x14ac:dyDescent="0.3">
      <c r="A6081" t="s">
        <v>33</v>
      </c>
      <c r="B6081" t="s">
        <v>389</v>
      </c>
      <c r="C6081">
        <v>1073</v>
      </c>
      <c r="D6081">
        <v>867.99</v>
      </c>
      <c r="E6081">
        <v>600</v>
      </c>
      <c r="F6081">
        <v>0</v>
      </c>
      <c r="G6081">
        <v>8000</v>
      </c>
      <c r="H6081">
        <v>888</v>
      </c>
      <c r="I6081">
        <v>222.67</v>
      </c>
      <c r="J6081">
        <v>0</v>
      </c>
      <c r="K6081">
        <v>0</v>
      </c>
      <c r="L6081">
        <v>6000</v>
      </c>
      <c r="M6081">
        <v>1008</v>
      </c>
      <c r="N6081">
        <v>729.08</v>
      </c>
      <c r="O6081">
        <v>500</v>
      </c>
      <c r="P6081">
        <v>0</v>
      </c>
      <c r="Q6081">
        <v>6000</v>
      </c>
      <c r="R6081">
        <v>947</v>
      </c>
      <c r="S6081">
        <v>574.6</v>
      </c>
      <c r="T6081">
        <v>500</v>
      </c>
      <c r="U6081">
        <v>0</v>
      </c>
      <c r="V6081">
        <v>6000</v>
      </c>
      <c r="W6081">
        <v>1049</v>
      </c>
      <c r="X6081">
        <v>1643.72</v>
      </c>
      <c r="Y6081">
        <v>1200</v>
      </c>
      <c r="Z6081">
        <v>0</v>
      </c>
      <c r="AA6081">
        <v>8000</v>
      </c>
      <c r="AB6081">
        <v>891</v>
      </c>
      <c r="AC6081">
        <v>493.1</v>
      </c>
      <c r="AD6081">
        <v>0</v>
      </c>
      <c r="AE6081">
        <v>0</v>
      </c>
      <c r="AF6081">
        <v>10000</v>
      </c>
      <c r="AG6081">
        <v>1060</v>
      </c>
      <c r="AH6081">
        <v>639.1</v>
      </c>
      <c r="AI6081">
        <v>500</v>
      </c>
      <c r="AJ6081">
        <v>0</v>
      </c>
      <c r="AK6081">
        <v>9000</v>
      </c>
      <c r="AL6081">
        <v>961</v>
      </c>
      <c r="AM6081">
        <v>249.81</v>
      </c>
      <c r="AN6081">
        <v>200</v>
      </c>
      <c r="AO6081">
        <v>0</v>
      </c>
      <c r="AP6081">
        <v>6000</v>
      </c>
      <c r="AQ6081">
        <v>914</v>
      </c>
      <c r="AR6081">
        <v>418.82</v>
      </c>
      <c r="AS6081">
        <v>0</v>
      </c>
      <c r="AT6081">
        <v>0</v>
      </c>
      <c r="AU6081">
        <v>12000</v>
      </c>
      <c r="AV6081">
        <v>828</v>
      </c>
      <c r="AW6081">
        <v>205.48</v>
      </c>
      <c r="AX6081">
        <v>0</v>
      </c>
      <c r="AY6081">
        <v>0</v>
      </c>
      <c r="AZ6081">
        <v>10000</v>
      </c>
    </row>
    <row r="6082" spans="1:52" x14ac:dyDescent="0.3">
      <c r="A6082" t="s">
        <v>33</v>
      </c>
      <c r="B6082" t="s">
        <v>390</v>
      </c>
      <c r="C6082">
        <v>677</v>
      </c>
      <c r="D6082">
        <v>935.85</v>
      </c>
      <c r="E6082">
        <v>700</v>
      </c>
      <c r="F6082">
        <v>0</v>
      </c>
      <c r="G6082">
        <v>5000</v>
      </c>
      <c r="H6082">
        <v>582</v>
      </c>
      <c r="I6082">
        <v>232.11</v>
      </c>
      <c r="J6082">
        <v>0</v>
      </c>
      <c r="K6082">
        <v>0</v>
      </c>
      <c r="L6082">
        <v>7000</v>
      </c>
      <c r="M6082">
        <v>648</v>
      </c>
      <c r="N6082">
        <v>868.58</v>
      </c>
      <c r="O6082">
        <v>500</v>
      </c>
      <c r="P6082">
        <v>0</v>
      </c>
      <c r="Q6082">
        <v>8000</v>
      </c>
      <c r="R6082">
        <v>611</v>
      </c>
      <c r="S6082">
        <v>579.72</v>
      </c>
      <c r="T6082">
        <v>500</v>
      </c>
      <c r="U6082">
        <v>0</v>
      </c>
      <c r="V6082">
        <v>4000</v>
      </c>
      <c r="W6082">
        <v>669</v>
      </c>
      <c r="X6082">
        <v>1881.87</v>
      </c>
      <c r="Y6082">
        <v>1500</v>
      </c>
      <c r="Z6082">
        <v>0</v>
      </c>
      <c r="AA6082">
        <v>8000</v>
      </c>
      <c r="AB6082">
        <v>584</v>
      </c>
      <c r="AC6082">
        <v>541.65</v>
      </c>
      <c r="AD6082">
        <v>0</v>
      </c>
      <c r="AE6082">
        <v>0</v>
      </c>
      <c r="AF6082">
        <v>8000</v>
      </c>
      <c r="AG6082">
        <v>673</v>
      </c>
      <c r="AH6082">
        <v>666.56</v>
      </c>
      <c r="AI6082">
        <v>500</v>
      </c>
      <c r="AJ6082">
        <v>0</v>
      </c>
      <c r="AK6082">
        <v>5000</v>
      </c>
      <c r="AL6082">
        <v>625</v>
      </c>
      <c r="AM6082">
        <v>292.95999999999998</v>
      </c>
      <c r="AN6082">
        <v>200</v>
      </c>
      <c r="AO6082">
        <v>0</v>
      </c>
      <c r="AP6082">
        <v>2500</v>
      </c>
      <c r="AQ6082">
        <v>612</v>
      </c>
      <c r="AR6082">
        <v>698.5</v>
      </c>
      <c r="AS6082">
        <v>0</v>
      </c>
      <c r="AT6082">
        <v>0</v>
      </c>
      <c r="AU6082">
        <v>10000</v>
      </c>
      <c r="AV6082">
        <v>559</v>
      </c>
      <c r="AW6082">
        <v>313.87</v>
      </c>
      <c r="AX6082">
        <v>0</v>
      </c>
      <c r="AY6082">
        <v>0</v>
      </c>
      <c r="AZ6082">
        <v>5000</v>
      </c>
    </row>
    <row r="6083" spans="1:52" x14ac:dyDescent="0.3">
      <c r="A6083" t="s">
        <v>33</v>
      </c>
      <c r="B6083" t="s">
        <v>365</v>
      </c>
      <c r="C6083">
        <v>128</v>
      </c>
      <c r="D6083">
        <v>820.83</v>
      </c>
      <c r="E6083">
        <v>800</v>
      </c>
      <c r="F6083">
        <v>100</v>
      </c>
      <c r="G6083">
        <v>2000</v>
      </c>
      <c r="H6083">
        <v>106</v>
      </c>
      <c r="I6083">
        <v>241.84</v>
      </c>
      <c r="J6083">
        <v>150</v>
      </c>
      <c r="K6083">
        <v>0</v>
      </c>
      <c r="L6083">
        <v>2000</v>
      </c>
      <c r="M6083">
        <v>129</v>
      </c>
      <c r="N6083">
        <v>970.33</v>
      </c>
      <c r="O6083">
        <v>1000</v>
      </c>
      <c r="P6083">
        <v>0</v>
      </c>
      <c r="Q6083">
        <v>4000</v>
      </c>
      <c r="R6083">
        <v>108</v>
      </c>
      <c r="S6083">
        <v>659.86</v>
      </c>
      <c r="T6083">
        <v>400</v>
      </c>
      <c r="U6083">
        <v>0</v>
      </c>
      <c r="V6083">
        <v>2000</v>
      </c>
      <c r="W6083">
        <v>129</v>
      </c>
      <c r="X6083">
        <v>2152.25</v>
      </c>
      <c r="Y6083">
        <v>2000</v>
      </c>
      <c r="Z6083">
        <v>0</v>
      </c>
      <c r="AA6083">
        <v>8000</v>
      </c>
      <c r="AB6083">
        <v>103</v>
      </c>
      <c r="AC6083">
        <v>801.77</v>
      </c>
      <c r="AD6083">
        <v>250</v>
      </c>
      <c r="AE6083">
        <v>0</v>
      </c>
      <c r="AF6083">
        <v>8000</v>
      </c>
      <c r="AG6083">
        <v>130</v>
      </c>
      <c r="AH6083">
        <v>727.76</v>
      </c>
      <c r="AI6083">
        <v>600</v>
      </c>
      <c r="AJ6083">
        <v>100</v>
      </c>
      <c r="AK6083">
        <v>2000</v>
      </c>
      <c r="AL6083">
        <v>119</v>
      </c>
      <c r="AM6083">
        <v>287.68</v>
      </c>
      <c r="AN6083">
        <v>200</v>
      </c>
      <c r="AO6083">
        <v>0</v>
      </c>
      <c r="AP6083">
        <v>1500</v>
      </c>
      <c r="AQ6083">
        <v>115</v>
      </c>
      <c r="AR6083">
        <v>653.52</v>
      </c>
      <c r="AS6083">
        <v>0</v>
      </c>
      <c r="AT6083">
        <v>0</v>
      </c>
      <c r="AU6083">
        <v>5000</v>
      </c>
      <c r="AV6083">
        <v>108</v>
      </c>
      <c r="AW6083">
        <v>393.73</v>
      </c>
      <c r="AX6083">
        <v>0</v>
      </c>
      <c r="AY6083">
        <v>0</v>
      </c>
      <c r="AZ6083">
        <v>5000</v>
      </c>
    </row>
    <row r="6084" spans="1:52" x14ac:dyDescent="0.3">
      <c r="A6084" t="s">
        <v>49</v>
      </c>
      <c r="B6084" t="s">
        <v>389</v>
      </c>
      <c r="C6084">
        <v>7691</v>
      </c>
      <c r="D6084">
        <v>932.2</v>
      </c>
      <c r="E6084">
        <v>650</v>
      </c>
      <c r="F6084">
        <v>0</v>
      </c>
      <c r="G6084">
        <v>17000</v>
      </c>
      <c r="H6084">
        <v>5924</v>
      </c>
      <c r="I6084">
        <v>195.62</v>
      </c>
      <c r="J6084">
        <v>0</v>
      </c>
      <c r="K6084">
        <v>0</v>
      </c>
      <c r="L6084">
        <v>10000</v>
      </c>
      <c r="M6084">
        <v>7500</v>
      </c>
      <c r="N6084">
        <v>920.98</v>
      </c>
      <c r="O6084">
        <v>600</v>
      </c>
      <c r="P6084">
        <v>0</v>
      </c>
      <c r="Q6084">
        <v>11000</v>
      </c>
      <c r="R6084">
        <v>6328</v>
      </c>
      <c r="S6084">
        <v>457.74</v>
      </c>
      <c r="T6084">
        <v>150</v>
      </c>
      <c r="U6084">
        <v>0</v>
      </c>
      <c r="V6084">
        <v>15000</v>
      </c>
      <c r="W6084">
        <v>7738</v>
      </c>
      <c r="X6084">
        <v>1764.95</v>
      </c>
      <c r="Y6084">
        <v>1500</v>
      </c>
      <c r="Z6084">
        <v>0</v>
      </c>
      <c r="AA6084">
        <v>20000</v>
      </c>
      <c r="AB6084">
        <v>6156</v>
      </c>
      <c r="AC6084">
        <v>422.07</v>
      </c>
      <c r="AD6084">
        <v>0</v>
      </c>
      <c r="AE6084">
        <v>0</v>
      </c>
      <c r="AF6084">
        <v>30000</v>
      </c>
      <c r="AG6084">
        <v>7693</v>
      </c>
      <c r="AH6084">
        <v>655.6</v>
      </c>
      <c r="AI6084">
        <v>500</v>
      </c>
      <c r="AJ6084">
        <v>0</v>
      </c>
      <c r="AK6084">
        <v>9000</v>
      </c>
      <c r="AL6084">
        <v>6859</v>
      </c>
      <c r="AM6084">
        <v>309.64999999999998</v>
      </c>
      <c r="AN6084">
        <v>200</v>
      </c>
      <c r="AO6084">
        <v>0</v>
      </c>
      <c r="AP6084">
        <v>6000</v>
      </c>
      <c r="AQ6084">
        <v>6094</v>
      </c>
      <c r="AR6084">
        <v>620.35</v>
      </c>
      <c r="AS6084">
        <v>0</v>
      </c>
      <c r="AT6084">
        <v>0</v>
      </c>
      <c r="AU6084">
        <v>50000</v>
      </c>
      <c r="AV6084">
        <v>5321</v>
      </c>
      <c r="AW6084">
        <v>275.08</v>
      </c>
      <c r="AX6084">
        <v>0</v>
      </c>
      <c r="AY6084">
        <v>0</v>
      </c>
      <c r="AZ6084">
        <v>18000</v>
      </c>
    </row>
    <row r="6085" spans="1:52" x14ac:dyDescent="0.3">
      <c r="A6085" t="s">
        <v>49</v>
      </c>
      <c r="B6085" t="s">
        <v>390</v>
      </c>
      <c r="C6085">
        <v>3628</v>
      </c>
      <c r="D6085">
        <v>1007.9</v>
      </c>
      <c r="E6085">
        <v>775</v>
      </c>
      <c r="F6085">
        <v>0</v>
      </c>
      <c r="G6085">
        <v>12500</v>
      </c>
      <c r="H6085">
        <v>2887</v>
      </c>
      <c r="I6085">
        <v>261.8</v>
      </c>
      <c r="J6085">
        <v>0</v>
      </c>
      <c r="K6085">
        <v>0</v>
      </c>
      <c r="L6085">
        <v>15000</v>
      </c>
      <c r="M6085">
        <v>3567</v>
      </c>
      <c r="N6085">
        <v>918.52</v>
      </c>
      <c r="O6085">
        <v>600</v>
      </c>
      <c r="P6085">
        <v>0</v>
      </c>
      <c r="Q6085">
        <v>10000</v>
      </c>
      <c r="R6085">
        <v>3070</v>
      </c>
      <c r="S6085">
        <v>514.69000000000005</v>
      </c>
      <c r="T6085">
        <v>150</v>
      </c>
      <c r="U6085">
        <v>0</v>
      </c>
      <c r="V6085">
        <v>24000</v>
      </c>
      <c r="W6085">
        <v>3678</v>
      </c>
      <c r="X6085">
        <v>1916.58</v>
      </c>
      <c r="Y6085">
        <v>1500</v>
      </c>
      <c r="Z6085">
        <v>0</v>
      </c>
      <c r="AA6085">
        <v>25000</v>
      </c>
      <c r="AB6085">
        <v>2970</v>
      </c>
      <c r="AC6085">
        <v>461.24</v>
      </c>
      <c r="AD6085">
        <v>0</v>
      </c>
      <c r="AE6085">
        <v>0</v>
      </c>
      <c r="AF6085">
        <v>13000</v>
      </c>
      <c r="AG6085">
        <v>3646</v>
      </c>
      <c r="AH6085">
        <v>667.54</v>
      </c>
      <c r="AI6085">
        <v>500</v>
      </c>
      <c r="AJ6085">
        <v>0</v>
      </c>
      <c r="AK6085">
        <v>10000</v>
      </c>
      <c r="AL6085">
        <v>3330</v>
      </c>
      <c r="AM6085">
        <v>350.13</v>
      </c>
      <c r="AN6085">
        <v>200</v>
      </c>
      <c r="AO6085">
        <v>0</v>
      </c>
      <c r="AP6085">
        <v>10000</v>
      </c>
      <c r="AQ6085">
        <v>3032</v>
      </c>
      <c r="AR6085">
        <v>862.59</v>
      </c>
      <c r="AS6085">
        <v>0</v>
      </c>
      <c r="AT6085">
        <v>0</v>
      </c>
      <c r="AU6085">
        <v>30000</v>
      </c>
      <c r="AV6085">
        <v>2602</v>
      </c>
      <c r="AW6085">
        <v>371.84</v>
      </c>
      <c r="AX6085">
        <v>0</v>
      </c>
      <c r="AY6085">
        <v>0</v>
      </c>
      <c r="AZ6085">
        <v>10000</v>
      </c>
    </row>
    <row r="6086" spans="1:52" x14ac:dyDescent="0.3">
      <c r="A6086" t="s">
        <v>49</v>
      </c>
      <c r="B6086" t="s">
        <v>365</v>
      </c>
      <c r="C6086">
        <v>615</v>
      </c>
      <c r="D6086">
        <v>1170.56</v>
      </c>
      <c r="E6086">
        <v>900</v>
      </c>
      <c r="F6086">
        <v>0</v>
      </c>
      <c r="G6086">
        <v>10000</v>
      </c>
      <c r="H6086">
        <v>488</v>
      </c>
      <c r="I6086">
        <v>238.35</v>
      </c>
      <c r="J6086">
        <v>0</v>
      </c>
      <c r="K6086">
        <v>0</v>
      </c>
      <c r="L6086">
        <v>10000</v>
      </c>
      <c r="M6086">
        <v>604</v>
      </c>
      <c r="N6086">
        <v>1098.21</v>
      </c>
      <c r="O6086">
        <v>845</v>
      </c>
      <c r="P6086">
        <v>0</v>
      </c>
      <c r="Q6086">
        <v>7000</v>
      </c>
      <c r="R6086">
        <v>497</v>
      </c>
      <c r="S6086">
        <v>483.75</v>
      </c>
      <c r="T6086">
        <v>200</v>
      </c>
      <c r="U6086">
        <v>0</v>
      </c>
      <c r="V6086">
        <v>5000</v>
      </c>
      <c r="W6086">
        <v>624</v>
      </c>
      <c r="X6086">
        <v>2142.7399999999998</v>
      </c>
      <c r="Y6086">
        <v>2000</v>
      </c>
      <c r="Z6086">
        <v>0</v>
      </c>
      <c r="AA6086">
        <v>15000</v>
      </c>
      <c r="AB6086">
        <v>503</v>
      </c>
      <c r="AC6086">
        <v>580.45000000000005</v>
      </c>
      <c r="AD6086">
        <v>0</v>
      </c>
      <c r="AE6086">
        <v>0</v>
      </c>
      <c r="AF6086">
        <v>8000</v>
      </c>
      <c r="AG6086">
        <v>617</v>
      </c>
      <c r="AH6086">
        <v>857.51</v>
      </c>
      <c r="AI6086">
        <v>600</v>
      </c>
      <c r="AJ6086">
        <v>0</v>
      </c>
      <c r="AK6086">
        <v>12000</v>
      </c>
      <c r="AL6086">
        <v>581</v>
      </c>
      <c r="AM6086">
        <v>390.97</v>
      </c>
      <c r="AN6086">
        <v>300</v>
      </c>
      <c r="AO6086">
        <v>0</v>
      </c>
      <c r="AP6086">
        <v>2500</v>
      </c>
      <c r="AQ6086">
        <v>525</v>
      </c>
      <c r="AR6086">
        <v>869.23</v>
      </c>
      <c r="AS6086">
        <v>300</v>
      </c>
      <c r="AT6086">
        <v>0</v>
      </c>
      <c r="AU6086">
        <v>9000</v>
      </c>
      <c r="AV6086">
        <v>446</v>
      </c>
      <c r="AW6086">
        <v>1194.3900000000001</v>
      </c>
      <c r="AX6086">
        <v>0</v>
      </c>
      <c r="AY6086">
        <v>0</v>
      </c>
      <c r="AZ6086">
        <v>15000</v>
      </c>
    </row>
    <row r="6088" spans="1:52" x14ac:dyDescent="0.3">
      <c r="A6088" t="s">
        <v>1980</v>
      </c>
    </row>
    <row r="6089" spans="1:52" x14ac:dyDescent="0.3">
      <c r="A6089" t="s">
        <v>44</v>
      </c>
      <c r="B6089" t="s">
        <v>361</v>
      </c>
      <c r="C6089" t="s">
        <v>1927</v>
      </c>
      <c r="D6089" t="s">
        <v>1928</v>
      </c>
      <c r="E6089" t="s">
        <v>1929</v>
      </c>
      <c r="F6089" t="s">
        <v>1930</v>
      </c>
      <c r="G6089" t="s">
        <v>1931</v>
      </c>
      <c r="H6089" t="s">
        <v>1932</v>
      </c>
      <c r="I6089" t="s">
        <v>1933</v>
      </c>
      <c r="J6089" t="s">
        <v>1934</v>
      </c>
      <c r="K6089" t="s">
        <v>1935</v>
      </c>
      <c r="L6089" t="s">
        <v>1936</v>
      </c>
      <c r="M6089" t="s">
        <v>1937</v>
      </c>
      <c r="N6089" t="s">
        <v>1938</v>
      </c>
      <c r="O6089" t="s">
        <v>1939</v>
      </c>
      <c r="P6089" t="s">
        <v>1940</v>
      </c>
      <c r="Q6089" t="s">
        <v>1941</v>
      </c>
      <c r="R6089" t="s">
        <v>1942</v>
      </c>
      <c r="S6089" t="s">
        <v>1943</v>
      </c>
      <c r="T6089" t="s">
        <v>1944</v>
      </c>
      <c r="U6089" t="s">
        <v>1945</v>
      </c>
      <c r="V6089" t="s">
        <v>1946</v>
      </c>
      <c r="W6089" t="s">
        <v>1947</v>
      </c>
      <c r="X6089" t="s">
        <v>1948</v>
      </c>
      <c r="Y6089" t="s">
        <v>1949</v>
      </c>
      <c r="Z6089" t="s">
        <v>1950</v>
      </c>
      <c r="AA6089" t="s">
        <v>1951</v>
      </c>
      <c r="AB6089" t="s">
        <v>1952</v>
      </c>
      <c r="AC6089" t="s">
        <v>1953</v>
      </c>
      <c r="AD6089" t="s">
        <v>1954</v>
      </c>
      <c r="AE6089" t="s">
        <v>1955</v>
      </c>
      <c r="AF6089" t="s">
        <v>1956</v>
      </c>
      <c r="AG6089" t="s">
        <v>1957</v>
      </c>
      <c r="AH6089" t="s">
        <v>1958</v>
      </c>
      <c r="AI6089" t="s">
        <v>1959</v>
      </c>
      <c r="AJ6089" t="s">
        <v>1960</v>
      </c>
      <c r="AK6089" t="s">
        <v>1961</v>
      </c>
      <c r="AL6089" t="s">
        <v>1962</v>
      </c>
      <c r="AM6089" t="s">
        <v>1963</v>
      </c>
      <c r="AN6089" t="s">
        <v>1964</v>
      </c>
      <c r="AO6089" t="s">
        <v>1965</v>
      </c>
      <c r="AP6089" t="s">
        <v>1966</v>
      </c>
      <c r="AQ6089" t="s">
        <v>1967</v>
      </c>
      <c r="AR6089" t="s">
        <v>1968</v>
      </c>
      <c r="AS6089" t="s">
        <v>1969</v>
      </c>
      <c r="AT6089" t="s">
        <v>1970</v>
      </c>
      <c r="AU6089" t="s">
        <v>1971</v>
      </c>
      <c r="AV6089" t="s">
        <v>1972</v>
      </c>
      <c r="AW6089" t="s">
        <v>1973</v>
      </c>
      <c r="AX6089" t="s">
        <v>1974</v>
      </c>
      <c r="AY6089" t="s">
        <v>1975</v>
      </c>
      <c r="AZ6089" t="s">
        <v>1976</v>
      </c>
    </row>
    <row r="6090" spans="1:52" x14ac:dyDescent="0.3">
      <c r="A6090" t="s">
        <v>35</v>
      </c>
      <c r="B6090" t="s">
        <v>339</v>
      </c>
      <c r="C6090">
        <v>719</v>
      </c>
      <c r="D6090">
        <v>894.75</v>
      </c>
      <c r="E6090">
        <v>600</v>
      </c>
      <c r="F6090">
        <v>0</v>
      </c>
      <c r="G6090">
        <v>10000</v>
      </c>
      <c r="H6090">
        <v>592</v>
      </c>
      <c r="I6090">
        <v>163.35</v>
      </c>
      <c r="J6090">
        <v>0</v>
      </c>
      <c r="K6090">
        <v>0</v>
      </c>
      <c r="L6090">
        <v>10000</v>
      </c>
      <c r="M6090">
        <v>737</v>
      </c>
      <c r="N6090">
        <v>749.5</v>
      </c>
      <c r="O6090">
        <v>500</v>
      </c>
      <c r="P6090">
        <v>0</v>
      </c>
      <c r="Q6090">
        <v>8000</v>
      </c>
      <c r="R6090">
        <v>644</v>
      </c>
      <c r="S6090">
        <v>383.41</v>
      </c>
      <c r="T6090">
        <v>0</v>
      </c>
      <c r="U6090">
        <v>0</v>
      </c>
      <c r="V6090">
        <v>10000</v>
      </c>
      <c r="W6090">
        <v>778</v>
      </c>
      <c r="X6090">
        <v>1435.39</v>
      </c>
      <c r="Y6090">
        <v>1000</v>
      </c>
      <c r="Z6090">
        <v>0</v>
      </c>
      <c r="AA6090">
        <v>11850</v>
      </c>
      <c r="AB6090">
        <v>654</v>
      </c>
      <c r="AC6090">
        <v>347.6</v>
      </c>
      <c r="AD6090">
        <v>0</v>
      </c>
      <c r="AE6090">
        <v>0</v>
      </c>
      <c r="AF6090">
        <v>8400</v>
      </c>
      <c r="AG6090">
        <v>772</v>
      </c>
      <c r="AH6090">
        <v>516.5</v>
      </c>
      <c r="AI6090">
        <v>350</v>
      </c>
      <c r="AJ6090">
        <v>0</v>
      </c>
      <c r="AK6090">
        <v>4500</v>
      </c>
      <c r="AL6090">
        <v>717</v>
      </c>
      <c r="AM6090">
        <v>158.91</v>
      </c>
      <c r="AN6090">
        <v>0</v>
      </c>
      <c r="AO6090">
        <v>0</v>
      </c>
      <c r="AP6090">
        <v>3000</v>
      </c>
      <c r="AQ6090">
        <v>672</v>
      </c>
      <c r="AR6090">
        <v>368.42</v>
      </c>
      <c r="AS6090">
        <v>0</v>
      </c>
      <c r="AT6090">
        <v>0</v>
      </c>
      <c r="AU6090">
        <v>10000</v>
      </c>
      <c r="AV6090">
        <v>570</v>
      </c>
      <c r="AW6090">
        <v>249.77</v>
      </c>
      <c r="AX6090">
        <v>0</v>
      </c>
      <c r="AY6090">
        <v>0</v>
      </c>
      <c r="AZ6090">
        <v>18000</v>
      </c>
    </row>
    <row r="6091" spans="1:52" x14ac:dyDescent="0.3">
      <c r="A6091" t="s">
        <v>35</v>
      </c>
      <c r="B6091" t="s">
        <v>340</v>
      </c>
      <c r="C6091">
        <v>1837</v>
      </c>
      <c r="D6091">
        <v>940.91</v>
      </c>
      <c r="E6091">
        <v>600</v>
      </c>
      <c r="F6091">
        <v>0</v>
      </c>
      <c r="G6091">
        <v>15000</v>
      </c>
      <c r="H6091">
        <v>1441</v>
      </c>
      <c r="I6091">
        <v>103.54</v>
      </c>
      <c r="J6091">
        <v>0</v>
      </c>
      <c r="K6091">
        <v>0</v>
      </c>
      <c r="L6091">
        <v>15000</v>
      </c>
      <c r="M6091">
        <v>1869</v>
      </c>
      <c r="N6091">
        <v>1093.04</v>
      </c>
      <c r="O6091">
        <v>800</v>
      </c>
      <c r="P6091">
        <v>0</v>
      </c>
      <c r="Q6091">
        <v>9000</v>
      </c>
      <c r="R6091">
        <v>1621</v>
      </c>
      <c r="S6091">
        <v>376.61</v>
      </c>
      <c r="T6091">
        <v>0</v>
      </c>
      <c r="U6091">
        <v>0</v>
      </c>
      <c r="V6091">
        <v>15000</v>
      </c>
      <c r="W6091">
        <v>1932</v>
      </c>
      <c r="X6091">
        <v>1999.84</v>
      </c>
      <c r="Y6091">
        <v>1800</v>
      </c>
      <c r="Z6091">
        <v>0</v>
      </c>
      <c r="AA6091">
        <v>10000</v>
      </c>
      <c r="AB6091">
        <v>1546</v>
      </c>
      <c r="AC6091">
        <v>250.54</v>
      </c>
      <c r="AD6091">
        <v>0</v>
      </c>
      <c r="AE6091">
        <v>0</v>
      </c>
      <c r="AF6091">
        <v>13000</v>
      </c>
      <c r="AG6091">
        <v>1875</v>
      </c>
      <c r="AH6091">
        <v>659.64</v>
      </c>
      <c r="AI6091">
        <v>500</v>
      </c>
      <c r="AJ6091">
        <v>0</v>
      </c>
      <c r="AK6091">
        <v>5000</v>
      </c>
      <c r="AL6091">
        <v>1784</v>
      </c>
      <c r="AM6091">
        <v>386.37</v>
      </c>
      <c r="AN6091">
        <v>300</v>
      </c>
      <c r="AO6091">
        <v>0</v>
      </c>
      <c r="AP6091">
        <v>4000</v>
      </c>
      <c r="AQ6091">
        <v>1578</v>
      </c>
      <c r="AR6091">
        <v>1166.96</v>
      </c>
      <c r="AS6091">
        <v>0</v>
      </c>
      <c r="AT6091">
        <v>0</v>
      </c>
      <c r="AU6091">
        <v>25000</v>
      </c>
      <c r="AV6091">
        <v>1260</v>
      </c>
      <c r="AW6091">
        <v>577.32000000000005</v>
      </c>
      <c r="AX6091">
        <v>0</v>
      </c>
      <c r="AY6091">
        <v>0</v>
      </c>
      <c r="AZ6091">
        <v>15000</v>
      </c>
    </row>
    <row r="6092" spans="1:52" x14ac:dyDescent="0.3">
      <c r="A6092" t="s">
        <v>35</v>
      </c>
      <c r="B6092" t="s">
        <v>365</v>
      </c>
      <c r="C6092">
        <v>33</v>
      </c>
      <c r="D6092">
        <v>1068.4100000000001</v>
      </c>
      <c r="E6092">
        <v>1000</v>
      </c>
      <c r="F6092">
        <v>0</v>
      </c>
      <c r="G6092">
        <v>3500</v>
      </c>
      <c r="H6092">
        <v>20</v>
      </c>
      <c r="I6092">
        <v>144.94999999999999</v>
      </c>
      <c r="J6092">
        <v>0</v>
      </c>
      <c r="K6092">
        <v>0</v>
      </c>
      <c r="L6092">
        <v>600</v>
      </c>
      <c r="M6092">
        <v>29</v>
      </c>
      <c r="N6092">
        <v>1370.81</v>
      </c>
      <c r="O6092">
        <v>1000</v>
      </c>
      <c r="P6092">
        <v>0</v>
      </c>
      <c r="Q6092">
        <v>5000</v>
      </c>
      <c r="R6092">
        <v>20</v>
      </c>
      <c r="S6092">
        <v>507.83</v>
      </c>
      <c r="T6092">
        <v>500</v>
      </c>
      <c r="U6092">
        <v>0</v>
      </c>
      <c r="V6092">
        <v>1000</v>
      </c>
      <c r="W6092">
        <v>31</v>
      </c>
      <c r="X6092">
        <v>2596.79</v>
      </c>
      <c r="Y6092">
        <v>1500</v>
      </c>
      <c r="Z6092">
        <v>0</v>
      </c>
      <c r="AA6092">
        <v>20000</v>
      </c>
      <c r="AB6092">
        <v>16</v>
      </c>
      <c r="AC6092">
        <v>295.14</v>
      </c>
      <c r="AD6092">
        <v>0</v>
      </c>
      <c r="AE6092">
        <v>0</v>
      </c>
      <c r="AF6092">
        <v>3000</v>
      </c>
      <c r="AG6092">
        <v>32</v>
      </c>
      <c r="AH6092">
        <v>832.96</v>
      </c>
      <c r="AI6092">
        <v>700</v>
      </c>
      <c r="AJ6092">
        <v>150</v>
      </c>
      <c r="AK6092">
        <v>5000</v>
      </c>
      <c r="AL6092">
        <v>33</v>
      </c>
      <c r="AM6092">
        <v>728.57</v>
      </c>
      <c r="AN6092">
        <v>500</v>
      </c>
      <c r="AO6092">
        <v>0</v>
      </c>
      <c r="AP6092">
        <v>5000</v>
      </c>
      <c r="AQ6092">
        <v>21</v>
      </c>
      <c r="AR6092">
        <v>2049.14</v>
      </c>
      <c r="AS6092">
        <v>1000</v>
      </c>
      <c r="AT6092">
        <v>0</v>
      </c>
      <c r="AU6092">
        <v>50000</v>
      </c>
      <c r="AV6092">
        <v>13</v>
      </c>
      <c r="AW6092">
        <v>1240.29</v>
      </c>
      <c r="AX6092">
        <v>1000</v>
      </c>
      <c r="AY6092">
        <v>0</v>
      </c>
      <c r="AZ6092">
        <v>2500</v>
      </c>
    </row>
    <row r="6093" spans="1:52" x14ac:dyDescent="0.3">
      <c r="A6093" t="s">
        <v>37</v>
      </c>
      <c r="B6093" t="s">
        <v>339</v>
      </c>
      <c r="C6093">
        <v>1042</v>
      </c>
      <c r="D6093">
        <v>946.77</v>
      </c>
      <c r="E6093">
        <v>600</v>
      </c>
      <c r="F6093">
        <v>0</v>
      </c>
      <c r="G6093">
        <v>10000</v>
      </c>
      <c r="H6093">
        <v>797</v>
      </c>
      <c r="I6093">
        <v>351.53</v>
      </c>
      <c r="J6093">
        <v>150</v>
      </c>
      <c r="K6093">
        <v>0</v>
      </c>
      <c r="L6093">
        <v>5000</v>
      </c>
      <c r="M6093">
        <v>979</v>
      </c>
      <c r="N6093">
        <v>653.70000000000005</v>
      </c>
      <c r="O6093">
        <v>400</v>
      </c>
      <c r="P6093">
        <v>0</v>
      </c>
      <c r="Q6093">
        <v>10000</v>
      </c>
      <c r="R6093">
        <v>854</v>
      </c>
      <c r="S6093">
        <v>556.94000000000005</v>
      </c>
      <c r="T6093">
        <v>300</v>
      </c>
      <c r="U6093">
        <v>0</v>
      </c>
      <c r="V6093">
        <v>15000</v>
      </c>
      <c r="W6093">
        <v>1029</v>
      </c>
      <c r="X6093">
        <v>1420.56</v>
      </c>
      <c r="Y6093">
        <v>1000</v>
      </c>
      <c r="Z6093">
        <v>0</v>
      </c>
      <c r="AA6093">
        <v>20000</v>
      </c>
      <c r="AB6093">
        <v>837</v>
      </c>
      <c r="AC6093">
        <v>725.55</v>
      </c>
      <c r="AD6093">
        <v>300</v>
      </c>
      <c r="AE6093">
        <v>0</v>
      </c>
      <c r="AF6093">
        <v>8000</v>
      </c>
      <c r="AG6093">
        <v>1016</v>
      </c>
      <c r="AH6093">
        <v>616.04999999999995</v>
      </c>
      <c r="AI6093">
        <v>500</v>
      </c>
      <c r="AJ6093">
        <v>0</v>
      </c>
      <c r="AK6093">
        <v>5000</v>
      </c>
      <c r="AL6093">
        <v>827</v>
      </c>
      <c r="AM6093">
        <v>217.26</v>
      </c>
      <c r="AN6093">
        <v>100</v>
      </c>
      <c r="AO6093">
        <v>0</v>
      </c>
      <c r="AP6093">
        <v>4000</v>
      </c>
      <c r="AQ6093">
        <v>727</v>
      </c>
      <c r="AR6093">
        <v>367.68</v>
      </c>
      <c r="AS6093">
        <v>0</v>
      </c>
      <c r="AT6093">
        <v>0</v>
      </c>
      <c r="AU6093">
        <v>12000</v>
      </c>
      <c r="AV6093">
        <v>650</v>
      </c>
      <c r="AW6093">
        <v>290.56</v>
      </c>
      <c r="AX6093">
        <v>0</v>
      </c>
      <c r="AY6093">
        <v>0</v>
      </c>
      <c r="AZ6093">
        <v>5000</v>
      </c>
    </row>
    <row r="6094" spans="1:52" x14ac:dyDescent="0.3">
      <c r="A6094" t="s">
        <v>37</v>
      </c>
      <c r="B6094" t="s">
        <v>340</v>
      </c>
      <c r="C6094">
        <v>2614</v>
      </c>
      <c r="D6094">
        <v>948.84</v>
      </c>
      <c r="E6094">
        <v>750</v>
      </c>
      <c r="F6094">
        <v>0</v>
      </c>
      <c r="G6094">
        <v>8000</v>
      </c>
      <c r="H6094">
        <v>2042</v>
      </c>
      <c r="I6094">
        <v>283.7</v>
      </c>
      <c r="J6094">
        <v>0</v>
      </c>
      <c r="K6094">
        <v>0</v>
      </c>
      <c r="L6094">
        <v>6000</v>
      </c>
      <c r="M6094">
        <v>2546</v>
      </c>
      <c r="N6094">
        <v>862.61</v>
      </c>
      <c r="O6094">
        <v>600</v>
      </c>
      <c r="P6094">
        <v>0</v>
      </c>
      <c r="Q6094">
        <v>10000</v>
      </c>
      <c r="R6094">
        <v>2116</v>
      </c>
      <c r="S6094">
        <v>471.74</v>
      </c>
      <c r="T6094">
        <v>200</v>
      </c>
      <c r="U6094">
        <v>0</v>
      </c>
      <c r="V6094">
        <v>20000</v>
      </c>
      <c r="W6094">
        <v>2614</v>
      </c>
      <c r="X6094">
        <v>1741.6</v>
      </c>
      <c r="Y6094">
        <v>1300</v>
      </c>
      <c r="Z6094">
        <v>0</v>
      </c>
      <c r="AA6094">
        <v>12000</v>
      </c>
      <c r="AB6094">
        <v>2045</v>
      </c>
      <c r="AC6094">
        <v>638.63</v>
      </c>
      <c r="AD6094">
        <v>0</v>
      </c>
      <c r="AE6094">
        <v>0</v>
      </c>
      <c r="AF6094">
        <v>10000</v>
      </c>
      <c r="AG6094">
        <v>2575</v>
      </c>
      <c r="AH6094">
        <v>702.58</v>
      </c>
      <c r="AI6094">
        <v>500</v>
      </c>
      <c r="AJ6094">
        <v>0</v>
      </c>
      <c r="AK6094">
        <v>8000</v>
      </c>
      <c r="AL6094">
        <v>2297</v>
      </c>
      <c r="AM6094">
        <v>338.82</v>
      </c>
      <c r="AN6094">
        <v>250</v>
      </c>
      <c r="AO6094">
        <v>0</v>
      </c>
      <c r="AP6094">
        <v>10000</v>
      </c>
      <c r="AQ6094">
        <v>2086</v>
      </c>
      <c r="AR6094">
        <v>978.6</v>
      </c>
      <c r="AS6094">
        <v>300</v>
      </c>
      <c r="AT6094">
        <v>0</v>
      </c>
      <c r="AU6094">
        <v>50000</v>
      </c>
      <c r="AV6094">
        <v>1729</v>
      </c>
      <c r="AW6094">
        <v>355.11</v>
      </c>
      <c r="AX6094">
        <v>0</v>
      </c>
      <c r="AY6094">
        <v>0</v>
      </c>
      <c r="AZ6094">
        <v>10000</v>
      </c>
    </row>
    <row r="6095" spans="1:52" x14ac:dyDescent="0.3">
      <c r="A6095" t="s">
        <v>37</v>
      </c>
      <c r="B6095" t="s">
        <v>365</v>
      </c>
      <c r="C6095">
        <v>36</v>
      </c>
      <c r="D6095">
        <v>1173.08</v>
      </c>
      <c r="E6095">
        <v>1000</v>
      </c>
      <c r="F6095">
        <v>100</v>
      </c>
      <c r="G6095">
        <v>4000</v>
      </c>
      <c r="H6095">
        <v>31</v>
      </c>
      <c r="I6095">
        <v>513.21</v>
      </c>
      <c r="J6095">
        <v>200</v>
      </c>
      <c r="K6095">
        <v>0</v>
      </c>
      <c r="L6095">
        <v>2500</v>
      </c>
      <c r="M6095">
        <v>36</v>
      </c>
      <c r="N6095">
        <v>1160.97</v>
      </c>
      <c r="O6095">
        <v>1000</v>
      </c>
      <c r="P6095">
        <v>0</v>
      </c>
      <c r="Q6095">
        <v>4000</v>
      </c>
      <c r="R6095">
        <v>31</v>
      </c>
      <c r="S6095">
        <v>726.24</v>
      </c>
      <c r="T6095">
        <v>500</v>
      </c>
      <c r="U6095">
        <v>0</v>
      </c>
      <c r="V6095">
        <v>4000</v>
      </c>
      <c r="W6095">
        <v>36</v>
      </c>
      <c r="X6095">
        <v>2428.9299999999998</v>
      </c>
      <c r="Y6095">
        <v>2000</v>
      </c>
      <c r="Z6095">
        <v>0</v>
      </c>
      <c r="AA6095">
        <v>10000</v>
      </c>
      <c r="AB6095">
        <v>30</v>
      </c>
      <c r="AC6095">
        <v>1329.09</v>
      </c>
      <c r="AD6095">
        <v>440</v>
      </c>
      <c r="AE6095">
        <v>0</v>
      </c>
      <c r="AF6095">
        <v>10000</v>
      </c>
      <c r="AG6095">
        <v>37</v>
      </c>
      <c r="AH6095">
        <v>926.64</v>
      </c>
      <c r="AI6095">
        <v>600</v>
      </c>
      <c r="AJ6095">
        <v>0</v>
      </c>
      <c r="AK6095">
        <v>4000</v>
      </c>
      <c r="AL6095">
        <v>29</v>
      </c>
      <c r="AM6095">
        <v>378.5</v>
      </c>
      <c r="AN6095">
        <v>300</v>
      </c>
      <c r="AO6095">
        <v>0</v>
      </c>
      <c r="AP6095">
        <v>1000</v>
      </c>
      <c r="AQ6095">
        <v>31</v>
      </c>
      <c r="AR6095">
        <v>1025.3399999999999</v>
      </c>
      <c r="AS6095">
        <v>700</v>
      </c>
      <c r="AT6095">
        <v>0</v>
      </c>
      <c r="AU6095">
        <v>4000</v>
      </c>
      <c r="AV6095">
        <v>28</v>
      </c>
      <c r="AW6095">
        <v>662.3</v>
      </c>
      <c r="AX6095">
        <v>0</v>
      </c>
      <c r="AY6095">
        <v>0</v>
      </c>
      <c r="AZ6095">
        <v>4000</v>
      </c>
    </row>
    <row r="6096" spans="1:52" x14ac:dyDescent="0.3">
      <c r="A6096" t="s">
        <v>36</v>
      </c>
      <c r="B6096" t="s">
        <v>339</v>
      </c>
      <c r="C6096">
        <v>642</v>
      </c>
      <c r="D6096">
        <v>1045.1199999999999</v>
      </c>
      <c r="E6096">
        <v>800</v>
      </c>
      <c r="F6096">
        <v>0</v>
      </c>
      <c r="G6096">
        <v>10000</v>
      </c>
      <c r="H6096">
        <v>371</v>
      </c>
      <c r="I6096">
        <v>221.82</v>
      </c>
      <c r="J6096">
        <v>0</v>
      </c>
      <c r="K6096">
        <v>0</v>
      </c>
      <c r="L6096">
        <v>8000</v>
      </c>
      <c r="M6096">
        <v>597</v>
      </c>
      <c r="N6096">
        <v>1110.24</v>
      </c>
      <c r="O6096">
        <v>700</v>
      </c>
      <c r="P6096">
        <v>0</v>
      </c>
      <c r="Q6096">
        <v>11000</v>
      </c>
      <c r="R6096">
        <v>414</v>
      </c>
      <c r="S6096">
        <v>378.23</v>
      </c>
      <c r="T6096">
        <v>100</v>
      </c>
      <c r="U6096">
        <v>0</v>
      </c>
      <c r="V6096">
        <v>10000</v>
      </c>
      <c r="W6096">
        <v>615</v>
      </c>
      <c r="X6096">
        <v>1524.86</v>
      </c>
      <c r="Y6096">
        <v>1000</v>
      </c>
      <c r="Z6096">
        <v>0</v>
      </c>
      <c r="AA6096">
        <v>15000</v>
      </c>
      <c r="AB6096">
        <v>388</v>
      </c>
      <c r="AC6096">
        <v>552.15</v>
      </c>
      <c r="AD6096">
        <v>0</v>
      </c>
      <c r="AE6096">
        <v>0</v>
      </c>
      <c r="AF6096">
        <v>16800</v>
      </c>
      <c r="AG6096">
        <v>630</v>
      </c>
      <c r="AH6096">
        <v>584.44000000000005</v>
      </c>
      <c r="AI6096">
        <v>400</v>
      </c>
      <c r="AJ6096">
        <v>0</v>
      </c>
      <c r="AK6096">
        <v>7000</v>
      </c>
      <c r="AL6096">
        <v>490</v>
      </c>
      <c r="AM6096">
        <v>340.83</v>
      </c>
      <c r="AN6096">
        <v>200</v>
      </c>
      <c r="AO6096">
        <v>0</v>
      </c>
      <c r="AP6096">
        <v>5000</v>
      </c>
      <c r="AQ6096">
        <v>356</v>
      </c>
      <c r="AR6096">
        <v>255.83</v>
      </c>
      <c r="AS6096">
        <v>0</v>
      </c>
      <c r="AT6096">
        <v>0</v>
      </c>
      <c r="AU6096">
        <v>4000</v>
      </c>
      <c r="AV6096">
        <v>376</v>
      </c>
      <c r="AW6096">
        <v>605.52</v>
      </c>
      <c r="AX6096">
        <v>0</v>
      </c>
      <c r="AY6096">
        <v>0</v>
      </c>
      <c r="AZ6096">
        <v>12000</v>
      </c>
    </row>
    <row r="6097" spans="1:52" x14ac:dyDescent="0.3">
      <c r="A6097" t="s">
        <v>36</v>
      </c>
      <c r="B6097" t="s">
        <v>340</v>
      </c>
      <c r="C6097">
        <v>1282</v>
      </c>
      <c r="D6097">
        <v>1105.95</v>
      </c>
      <c r="E6097">
        <v>1000</v>
      </c>
      <c r="F6097">
        <v>0</v>
      </c>
      <c r="G6097">
        <v>10000</v>
      </c>
      <c r="H6097">
        <v>668</v>
      </c>
      <c r="I6097">
        <v>231.77</v>
      </c>
      <c r="J6097">
        <v>0</v>
      </c>
      <c r="K6097">
        <v>0</v>
      </c>
      <c r="L6097">
        <v>12000</v>
      </c>
      <c r="M6097">
        <v>1183</v>
      </c>
      <c r="N6097">
        <v>1397.39</v>
      </c>
      <c r="O6097">
        <v>1000</v>
      </c>
      <c r="P6097">
        <v>0</v>
      </c>
      <c r="Q6097">
        <v>8000</v>
      </c>
      <c r="R6097">
        <v>797</v>
      </c>
      <c r="S6097">
        <v>428.04</v>
      </c>
      <c r="T6097">
        <v>200</v>
      </c>
      <c r="U6097">
        <v>0</v>
      </c>
      <c r="V6097">
        <v>10000</v>
      </c>
      <c r="W6097">
        <v>1215</v>
      </c>
      <c r="X6097">
        <v>1993.2</v>
      </c>
      <c r="Y6097">
        <v>1500</v>
      </c>
      <c r="Z6097">
        <v>0</v>
      </c>
      <c r="AA6097">
        <v>15000</v>
      </c>
      <c r="AB6097">
        <v>745</v>
      </c>
      <c r="AC6097">
        <v>635.12</v>
      </c>
      <c r="AD6097">
        <v>0</v>
      </c>
      <c r="AE6097">
        <v>0</v>
      </c>
      <c r="AF6097">
        <v>30000</v>
      </c>
      <c r="AG6097">
        <v>1235</v>
      </c>
      <c r="AH6097">
        <v>798.12</v>
      </c>
      <c r="AI6097">
        <v>500</v>
      </c>
      <c r="AJ6097">
        <v>0</v>
      </c>
      <c r="AK6097">
        <v>12000</v>
      </c>
      <c r="AL6097">
        <v>945</v>
      </c>
      <c r="AM6097">
        <v>578.1</v>
      </c>
      <c r="AN6097">
        <v>500</v>
      </c>
      <c r="AO6097">
        <v>0</v>
      </c>
      <c r="AP6097">
        <v>7000</v>
      </c>
      <c r="AQ6097">
        <v>698</v>
      </c>
      <c r="AR6097">
        <v>1055.1099999999999</v>
      </c>
      <c r="AS6097">
        <v>500</v>
      </c>
      <c r="AT6097">
        <v>0</v>
      </c>
      <c r="AU6097">
        <v>9000</v>
      </c>
      <c r="AV6097">
        <v>644</v>
      </c>
      <c r="AW6097">
        <v>1050.72</v>
      </c>
      <c r="AX6097">
        <v>0</v>
      </c>
      <c r="AY6097">
        <v>0</v>
      </c>
      <c r="AZ6097">
        <v>15000</v>
      </c>
    </row>
    <row r="6098" spans="1:52" x14ac:dyDescent="0.3">
      <c r="A6098" t="s">
        <v>36</v>
      </c>
      <c r="B6098" t="s">
        <v>365</v>
      </c>
      <c r="C6098">
        <v>55</v>
      </c>
      <c r="D6098">
        <v>1658.73</v>
      </c>
      <c r="E6098">
        <v>2000</v>
      </c>
      <c r="F6098">
        <v>0</v>
      </c>
      <c r="G6098">
        <v>5400</v>
      </c>
      <c r="H6098">
        <v>16</v>
      </c>
      <c r="I6098">
        <v>232.52</v>
      </c>
      <c r="J6098">
        <v>300</v>
      </c>
      <c r="K6098">
        <v>0</v>
      </c>
      <c r="L6098">
        <v>1500</v>
      </c>
      <c r="M6098">
        <v>48</v>
      </c>
      <c r="N6098">
        <v>1047.05</v>
      </c>
      <c r="O6098">
        <v>1000</v>
      </c>
      <c r="P6098">
        <v>200</v>
      </c>
      <c r="Q6098">
        <v>3000</v>
      </c>
      <c r="R6098">
        <v>28</v>
      </c>
      <c r="S6098">
        <v>423.48</v>
      </c>
      <c r="T6098">
        <v>300</v>
      </c>
      <c r="U6098">
        <v>0</v>
      </c>
      <c r="V6098">
        <v>1500</v>
      </c>
      <c r="W6098">
        <v>45</v>
      </c>
      <c r="X6098">
        <v>2104.31</v>
      </c>
      <c r="Y6098">
        <v>2000</v>
      </c>
      <c r="Z6098">
        <v>100</v>
      </c>
      <c r="AA6098">
        <v>6500</v>
      </c>
      <c r="AB6098">
        <v>18</v>
      </c>
      <c r="AC6098">
        <v>1823.76</v>
      </c>
      <c r="AD6098">
        <v>1400</v>
      </c>
      <c r="AE6098">
        <v>0</v>
      </c>
      <c r="AF6098">
        <v>4000</v>
      </c>
      <c r="AG6098">
        <v>52</v>
      </c>
      <c r="AH6098">
        <v>762.57</v>
      </c>
      <c r="AI6098">
        <v>800</v>
      </c>
      <c r="AJ6098">
        <v>0</v>
      </c>
      <c r="AK6098">
        <v>3000</v>
      </c>
      <c r="AL6098">
        <v>38</v>
      </c>
      <c r="AM6098">
        <v>377.52</v>
      </c>
      <c r="AN6098">
        <v>300</v>
      </c>
      <c r="AO6098">
        <v>0</v>
      </c>
      <c r="AP6098">
        <v>1200</v>
      </c>
      <c r="AQ6098">
        <v>16</v>
      </c>
      <c r="AR6098">
        <v>305.10000000000002</v>
      </c>
      <c r="AS6098">
        <v>0</v>
      </c>
      <c r="AT6098">
        <v>0</v>
      </c>
      <c r="AU6098">
        <v>3000</v>
      </c>
      <c r="AV6098">
        <v>20</v>
      </c>
      <c r="AW6098">
        <v>2072.62</v>
      </c>
      <c r="AX6098">
        <v>600</v>
      </c>
      <c r="AY6098">
        <v>0</v>
      </c>
      <c r="AZ6098">
        <v>6000</v>
      </c>
    </row>
    <row r="6099" spans="1:52" x14ac:dyDescent="0.3">
      <c r="A6099" t="s">
        <v>34</v>
      </c>
      <c r="B6099" t="s">
        <v>339</v>
      </c>
      <c r="C6099">
        <v>457</v>
      </c>
      <c r="D6099">
        <v>1085.19</v>
      </c>
      <c r="E6099">
        <v>600</v>
      </c>
      <c r="F6099">
        <v>0</v>
      </c>
      <c r="G6099">
        <v>12000</v>
      </c>
      <c r="H6099">
        <v>450</v>
      </c>
      <c r="I6099">
        <v>319.02999999999997</v>
      </c>
      <c r="J6099">
        <v>0</v>
      </c>
      <c r="K6099">
        <v>0</v>
      </c>
      <c r="L6099">
        <v>10000</v>
      </c>
      <c r="M6099">
        <v>475</v>
      </c>
      <c r="N6099">
        <v>820.56</v>
      </c>
      <c r="O6099">
        <v>500</v>
      </c>
      <c r="P6099">
        <v>0</v>
      </c>
      <c r="Q6099">
        <v>8000</v>
      </c>
      <c r="R6099">
        <v>436</v>
      </c>
      <c r="S6099">
        <v>559.54</v>
      </c>
      <c r="T6099">
        <v>0</v>
      </c>
      <c r="U6099">
        <v>0</v>
      </c>
      <c r="V6099">
        <v>10000</v>
      </c>
      <c r="W6099">
        <v>487</v>
      </c>
      <c r="X6099">
        <v>1810.15</v>
      </c>
      <c r="Y6099">
        <v>1200</v>
      </c>
      <c r="Z6099">
        <v>0</v>
      </c>
      <c r="AA6099">
        <v>10000</v>
      </c>
      <c r="AB6099">
        <v>447</v>
      </c>
      <c r="AC6099">
        <v>279.52999999999997</v>
      </c>
      <c r="AD6099">
        <v>0</v>
      </c>
      <c r="AE6099">
        <v>0</v>
      </c>
      <c r="AF6099">
        <v>10000</v>
      </c>
      <c r="AG6099">
        <v>484</v>
      </c>
      <c r="AH6099">
        <v>624.82000000000005</v>
      </c>
      <c r="AI6099">
        <v>500</v>
      </c>
      <c r="AJ6099">
        <v>0</v>
      </c>
      <c r="AK6099">
        <v>10000</v>
      </c>
      <c r="AL6099">
        <v>488</v>
      </c>
      <c r="AM6099">
        <v>311.45</v>
      </c>
      <c r="AN6099">
        <v>150</v>
      </c>
      <c r="AO6099">
        <v>0</v>
      </c>
      <c r="AP6099">
        <v>4500</v>
      </c>
      <c r="AQ6099">
        <v>469</v>
      </c>
      <c r="AR6099">
        <v>153.47999999999999</v>
      </c>
      <c r="AS6099">
        <v>0</v>
      </c>
      <c r="AT6099">
        <v>0</v>
      </c>
      <c r="AU6099">
        <v>6000</v>
      </c>
      <c r="AV6099">
        <v>417</v>
      </c>
      <c r="AW6099">
        <v>144.15</v>
      </c>
      <c r="AX6099">
        <v>0</v>
      </c>
      <c r="AY6099">
        <v>0</v>
      </c>
      <c r="AZ6099">
        <v>7000</v>
      </c>
    </row>
    <row r="6100" spans="1:52" x14ac:dyDescent="0.3">
      <c r="A6100" t="s">
        <v>34</v>
      </c>
      <c r="B6100" t="s">
        <v>340</v>
      </c>
      <c r="C6100">
        <v>1322</v>
      </c>
      <c r="D6100">
        <v>1029.31</v>
      </c>
      <c r="E6100">
        <v>700</v>
      </c>
      <c r="F6100">
        <v>0</v>
      </c>
      <c r="G6100">
        <v>17000</v>
      </c>
      <c r="H6100">
        <v>1277</v>
      </c>
      <c r="I6100">
        <v>176.47</v>
      </c>
      <c r="J6100">
        <v>0</v>
      </c>
      <c r="K6100">
        <v>0</v>
      </c>
      <c r="L6100">
        <v>10000</v>
      </c>
      <c r="M6100">
        <v>1371</v>
      </c>
      <c r="N6100">
        <v>1022.98</v>
      </c>
      <c r="O6100">
        <v>800</v>
      </c>
      <c r="P6100">
        <v>0</v>
      </c>
      <c r="Q6100">
        <v>7000</v>
      </c>
      <c r="R6100">
        <v>1252</v>
      </c>
      <c r="S6100">
        <v>494.85</v>
      </c>
      <c r="T6100">
        <v>0</v>
      </c>
      <c r="U6100">
        <v>0</v>
      </c>
      <c r="V6100">
        <v>24000</v>
      </c>
      <c r="W6100">
        <v>1392</v>
      </c>
      <c r="X6100">
        <v>2295.0500000000002</v>
      </c>
      <c r="Y6100">
        <v>2000</v>
      </c>
      <c r="Z6100">
        <v>0</v>
      </c>
      <c r="AA6100">
        <v>25000</v>
      </c>
      <c r="AB6100">
        <v>1308</v>
      </c>
      <c r="AC6100">
        <v>227.31</v>
      </c>
      <c r="AD6100">
        <v>0</v>
      </c>
      <c r="AE6100">
        <v>0</v>
      </c>
      <c r="AF6100">
        <v>25000</v>
      </c>
      <c r="AG6100">
        <v>1366</v>
      </c>
      <c r="AH6100">
        <v>753.5</v>
      </c>
      <c r="AI6100">
        <v>500</v>
      </c>
      <c r="AJ6100">
        <v>0</v>
      </c>
      <c r="AK6100">
        <v>8000</v>
      </c>
      <c r="AL6100">
        <v>1400</v>
      </c>
      <c r="AM6100">
        <v>345</v>
      </c>
      <c r="AN6100">
        <v>216</v>
      </c>
      <c r="AO6100">
        <v>0</v>
      </c>
      <c r="AP6100">
        <v>3000</v>
      </c>
      <c r="AQ6100">
        <v>1340</v>
      </c>
      <c r="AR6100">
        <v>438.32</v>
      </c>
      <c r="AS6100">
        <v>0</v>
      </c>
      <c r="AT6100">
        <v>0</v>
      </c>
      <c r="AU6100">
        <v>10000</v>
      </c>
      <c r="AV6100">
        <v>1156</v>
      </c>
      <c r="AW6100">
        <v>127.3</v>
      </c>
      <c r="AX6100">
        <v>0</v>
      </c>
      <c r="AY6100">
        <v>0</v>
      </c>
      <c r="AZ6100">
        <v>10000</v>
      </c>
    </row>
    <row r="6101" spans="1:52" x14ac:dyDescent="0.3">
      <c r="A6101" t="s">
        <v>34</v>
      </c>
      <c r="B6101" t="s">
        <v>365</v>
      </c>
      <c r="C6101">
        <v>17</v>
      </c>
      <c r="D6101">
        <v>2829.88</v>
      </c>
      <c r="E6101">
        <v>1000</v>
      </c>
      <c r="F6101">
        <v>0</v>
      </c>
      <c r="G6101">
        <v>10000</v>
      </c>
      <c r="H6101">
        <v>18</v>
      </c>
      <c r="I6101">
        <v>261.77999999999997</v>
      </c>
      <c r="J6101">
        <v>0</v>
      </c>
      <c r="K6101">
        <v>0</v>
      </c>
      <c r="L6101">
        <v>1000</v>
      </c>
      <c r="M6101">
        <v>16</v>
      </c>
      <c r="N6101">
        <v>1728.87</v>
      </c>
      <c r="O6101">
        <v>1000</v>
      </c>
      <c r="P6101">
        <v>0</v>
      </c>
      <c r="Q6101">
        <v>5000</v>
      </c>
      <c r="R6101">
        <v>16</v>
      </c>
      <c r="S6101">
        <v>90.94</v>
      </c>
      <c r="T6101">
        <v>0</v>
      </c>
      <c r="U6101">
        <v>0</v>
      </c>
      <c r="V6101">
        <v>1200</v>
      </c>
      <c r="W6101">
        <v>19</v>
      </c>
      <c r="X6101">
        <v>2456.8000000000002</v>
      </c>
      <c r="Y6101">
        <v>1500</v>
      </c>
      <c r="Z6101">
        <v>0</v>
      </c>
      <c r="AA6101">
        <v>10000</v>
      </c>
      <c r="AB6101">
        <v>17</v>
      </c>
      <c r="AC6101">
        <v>1475.08</v>
      </c>
      <c r="AD6101">
        <v>0</v>
      </c>
      <c r="AE6101">
        <v>0</v>
      </c>
      <c r="AF6101">
        <v>10000</v>
      </c>
      <c r="AG6101">
        <v>19</v>
      </c>
      <c r="AH6101">
        <v>704.55</v>
      </c>
      <c r="AI6101">
        <v>500</v>
      </c>
      <c r="AJ6101">
        <v>100</v>
      </c>
      <c r="AK6101">
        <v>1500</v>
      </c>
      <c r="AL6101">
        <v>17</v>
      </c>
      <c r="AM6101">
        <v>864.55</v>
      </c>
      <c r="AN6101">
        <v>800</v>
      </c>
      <c r="AO6101">
        <v>0</v>
      </c>
      <c r="AP6101">
        <v>3000</v>
      </c>
      <c r="AQ6101">
        <v>16</v>
      </c>
      <c r="AR6101">
        <v>446.86</v>
      </c>
      <c r="AS6101">
        <v>120</v>
      </c>
      <c r="AT6101">
        <v>0</v>
      </c>
      <c r="AU6101">
        <v>2000</v>
      </c>
      <c r="AV6101">
        <v>11</v>
      </c>
      <c r="AW6101">
        <v>11.08</v>
      </c>
      <c r="AX6101">
        <v>0</v>
      </c>
      <c r="AY6101">
        <v>0</v>
      </c>
      <c r="AZ6101">
        <v>700</v>
      </c>
    </row>
    <row r="6102" spans="1:52" x14ac:dyDescent="0.3">
      <c r="A6102" t="s">
        <v>33</v>
      </c>
      <c r="B6102" t="s">
        <v>339</v>
      </c>
      <c r="C6102">
        <v>492</v>
      </c>
      <c r="D6102">
        <v>788.82</v>
      </c>
      <c r="E6102">
        <v>500</v>
      </c>
      <c r="F6102">
        <v>0</v>
      </c>
      <c r="G6102">
        <v>8000</v>
      </c>
      <c r="H6102">
        <v>403</v>
      </c>
      <c r="I6102">
        <v>267.10000000000002</v>
      </c>
      <c r="J6102">
        <v>80</v>
      </c>
      <c r="K6102">
        <v>0</v>
      </c>
      <c r="L6102">
        <v>6000</v>
      </c>
      <c r="M6102">
        <v>451</v>
      </c>
      <c r="N6102">
        <v>573.6</v>
      </c>
      <c r="O6102">
        <v>300</v>
      </c>
      <c r="P6102">
        <v>0</v>
      </c>
      <c r="Q6102">
        <v>5000</v>
      </c>
      <c r="R6102">
        <v>428</v>
      </c>
      <c r="S6102">
        <v>558</v>
      </c>
      <c r="T6102">
        <v>400</v>
      </c>
      <c r="U6102">
        <v>0</v>
      </c>
      <c r="V6102">
        <v>6000</v>
      </c>
      <c r="W6102">
        <v>482</v>
      </c>
      <c r="X6102">
        <v>1393.33</v>
      </c>
      <c r="Y6102">
        <v>1000</v>
      </c>
      <c r="Z6102">
        <v>0</v>
      </c>
      <c r="AA6102">
        <v>8000</v>
      </c>
      <c r="AB6102">
        <v>401</v>
      </c>
      <c r="AC6102">
        <v>584.82000000000005</v>
      </c>
      <c r="AD6102">
        <v>150</v>
      </c>
      <c r="AE6102">
        <v>0</v>
      </c>
      <c r="AF6102">
        <v>10000</v>
      </c>
      <c r="AG6102">
        <v>482</v>
      </c>
      <c r="AH6102">
        <v>559.6</v>
      </c>
      <c r="AI6102">
        <v>400</v>
      </c>
      <c r="AJ6102">
        <v>0</v>
      </c>
      <c r="AK6102">
        <v>9000</v>
      </c>
      <c r="AL6102">
        <v>424</v>
      </c>
      <c r="AM6102">
        <v>182.12</v>
      </c>
      <c r="AN6102">
        <v>100</v>
      </c>
      <c r="AO6102">
        <v>0</v>
      </c>
      <c r="AP6102">
        <v>6000</v>
      </c>
      <c r="AQ6102">
        <v>394</v>
      </c>
      <c r="AR6102">
        <v>258.08</v>
      </c>
      <c r="AS6102">
        <v>0</v>
      </c>
      <c r="AT6102">
        <v>0</v>
      </c>
      <c r="AU6102">
        <v>12000</v>
      </c>
      <c r="AV6102">
        <v>359</v>
      </c>
      <c r="AW6102">
        <v>199.72</v>
      </c>
      <c r="AX6102">
        <v>0</v>
      </c>
      <c r="AY6102">
        <v>0</v>
      </c>
      <c r="AZ6102">
        <v>4000</v>
      </c>
    </row>
    <row r="6103" spans="1:52" x14ac:dyDescent="0.3">
      <c r="A6103" t="s">
        <v>33</v>
      </c>
      <c r="B6103" t="s">
        <v>340</v>
      </c>
      <c r="C6103">
        <v>1367</v>
      </c>
      <c r="D6103">
        <v>926.43</v>
      </c>
      <c r="E6103">
        <v>700</v>
      </c>
      <c r="F6103">
        <v>0</v>
      </c>
      <c r="G6103">
        <v>8000</v>
      </c>
      <c r="H6103">
        <v>1158</v>
      </c>
      <c r="I6103">
        <v>213.24</v>
      </c>
      <c r="J6103">
        <v>0</v>
      </c>
      <c r="K6103">
        <v>0</v>
      </c>
      <c r="L6103">
        <v>7000</v>
      </c>
      <c r="M6103">
        <v>1318</v>
      </c>
      <c r="N6103">
        <v>876.69</v>
      </c>
      <c r="O6103">
        <v>600</v>
      </c>
      <c r="P6103">
        <v>0</v>
      </c>
      <c r="Q6103">
        <v>8000</v>
      </c>
      <c r="R6103">
        <v>1225</v>
      </c>
      <c r="S6103">
        <v>591.11</v>
      </c>
      <c r="T6103">
        <v>500</v>
      </c>
      <c r="U6103">
        <v>0</v>
      </c>
      <c r="V6103">
        <v>5000</v>
      </c>
      <c r="W6103">
        <v>1348</v>
      </c>
      <c r="X6103">
        <v>1894</v>
      </c>
      <c r="Y6103">
        <v>1500</v>
      </c>
      <c r="Z6103">
        <v>0</v>
      </c>
      <c r="AA6103">
        <v>8000</v>
      </c>
      <c r="AB6103">
        <v>1163</v>
      </c>
      <c r="AC6103">
        <v>509.93</v>
      </c>
      <c r="AD6103">
        <v>0</v>
      </c>
      <c r="AE6103">
        <v>0</v>
      </c>
      <c r="AF6103">
        <v>8000</v>
      </c>
      <c r="AG6103">
        <v>1362</v>
      </c>
      <c r="AH6103">
        <v>687.87</v>
      </c>
      <c r="AI6103">
        <v>500</v>
      </c>
      <c r="AJ6103">
        <v>0</v>
      </c>
      <c r="AK6103">
        <v>4000</v>
      </c>
      <c r="AL6103">
        <v>1264</v>
      </c>
      <c r="AM6103">
        <v>297.04000000000002</v>
      </c>
      <c r="AN6103">
        <v>250</v>
      </c>
      <c r="AO6103">
        <v>0</v>
      </c>
      <c r="AP6103">
        <v>5000</v>
      </c>
      <c r="AQ6103">
        <v>1232</v>
      </c>
      <c r="AR6103">
        <v>633.04</v>
      </c>
      <c r="AS6103">
        <v>0</v>
      </c>
      <c r="AT6103">
        <v>0</v>
      </c>
      <c r="AU6103">
        <v>10000</v>
      </c>
      <c r="AV6103">
        <v>1125</v>
      </c>
      <c r="AW6103">
        <v>278.94</v>
      </c>
      <c r="AX6103">
        <v>0</v>
      </c>
      <c r="AY6103">
        <v>0</v>
      </c>
      <c r="AZ6103">
        <v>10000</v>
      </c>
    </row>
    <row r="6104" spans="1:52" x14ac:dyDescent="0.3">
      <c r="A6104" t="s">
        <v>33</v>
      </c>
      <c r="B6104" t="s">
        <v>365</v>
      </c>
      <c r="C6104">
        <v>19</v>
      </c>
      <c r="D6104">
        <v>1005.51</v>
      </c>
      <c r="E6104">
        <v>600</v>
      </c>
      <c r="F6104">
        <v>200</v>
      </c>
      <c r="G6104">
        <v>5000</v>
      </c>
      <c r="H6104">
        <v>15</v>
      </c>
      <c r="I6104">
        <v>204.9</v>
      </c>
      <c r="J6104">
        <v>100</v>
      </c>
      <c r="K6104">
        <v>0</v>
      </c>
      <c r="L6104">
        <v>500</v>
      </c>
      <c r="M6104">
        <v>16</v>
      </c>
      <c r="N6104">
        <v>755.28</v>
      </c>
      <c r="O6104">
        <v>600</v>
      </c>
      <c r="P6104">
        <v>0</v>
      </c>
      <c r="Q6104">
        <v>2500</v>
      </c>
      <c r="R6104">
        <v>13</v>
      </c>
      <c r="S6104">
        <v>492.23</v>
      </c>
      <c r="T6104">
        <v>300</v>
      </c>
      <c r="U6104">
        <v>0</v>
      </c>
      <c r="V6104">
        <v>2000</v>
      </c>
      <c r="W6104">
        <v>17</v>
      </c>
      <c r="X6104">
        <v>2456.61</v>
      </c>
      <c r="Y6104">
        <v>2000</v>
      </c>
      <c r="Z6104">
        <v>500</v>
      </c>
      <c r="AA6104">
        <v>8000</v>
      </c>
      <c r="AB6104">
        <v>14</v>
      </c>
      <c r="AC6104">
        <v>501.8</v>
      </c>
      <c r="AD6104">
        <v>0</v>
      </c>
      <c r="AE6104">
        <v>0</v>
      </c>
      <c r="AF6104">
        <v>2000</v>
      </c>
      <c r="AG6104">
        <v>19</v>
      </c>
      <c r="AH6104">
        <v>825.82</v>
      </c>
      <c r="AI6104">
        <v>650</v>
      </c>
      <c r="AJ6104">
        <v>300</v>
      </c>
      <c r="AK6104">
        <v>2000</v>
      </c>
      <c r="AL6104">
        <v>17</v>
      </c>
      <c r="AM6104">
        <v>362.94</v>
      </c>
      <c r="AN6104">
        <v>300</v>
      </c>
      <c r="AO6104">
        <v>0</v>
      </c>
      <c r="AP6104">
        <v>700</v>
      </c>
      <c r="AQ6104">
        <v>15</v>
      </c>
      <c r="AR6104">
        <v>583.36</v>
      </c>
      <c r="AS6104">
        <v>500</v>
      </c>
      <c r="AT6104">
        <v>0</v>
      </c>
      <c r="AU6104">
        <v>2000</v>
      </c>
      <c r="AV6104">
        <v>11</v>
      </c>
      <c r="AW6104">
        <v>256.89</v>
      </c>
      <c r="AX6104">
        <v>0</v>
      </c>
      <c r="AY6104">
        <v>0</v>
      </c>
      <c r="AZ6104">
        <v>1000</v>
      </c>
    </row>
    <row r="6105" spans="1:52" x14ac:dyDescent="0.3">
      <c r="A6105" t="s">
        <v>49</v>
      </c>
      <c r="B6105" t="s">
        <v>339</v>
      </c>
      <c r="C6105">
        <v>3352</v>
      </c>
      <c r="D6105">
        <v>945.53</v>
      </c>
      <c r="E6105">
        <v>600</v>
      </c>
      <c r="F6105">
        <v>0</v>
      </c>
      <c r="G6105">
        <v>12000</v>
      </c>
      <c r="H6105">
        <v>2613</v>
      </c>
      <c r="I6105">
        <v>271.93</v>
      </c>
      <c r="J6105">
        <v>0</v>
      </c>
      <c r="K6105">
        <v>0</v>
      </c>
      <c r="L6105">
        <v>10000</v>
      </c>
      <c r="M6105">
        <v>3239</v>
      </c>
      <c r="N6105">
        <v>744.86</v>
      </c>
      <c r="O6105">
        <v>500</v>
      </c>
      <c r="P6105">
        <v>0</v>
      </c>
      <c r="Q6105">
        <v>11000</v>
      </c>
      <c r="R6105">
        <v>2776</v>
      </c>
      <c r="S6105">
        <v>499.49</v>
      </c>
      <c r="T6105">
        <v>200</v>
      </c>
      <c r="U6105">
        <v>0</v>
      </c>
      <c r="V6105">
        <v>15000</v>
      </c>
      <c r="W6105">
        <v>3391</v>
      </c>
      <c r="X6105">
        <v>1511.04</v>
      </c>
      <c r="Y6105">
        <v>1000</v>
      </c>
      <c r="Z6105">
        <v>0</v>
      </c>
      <c r="AA6105">
        <v>20000</v>
      </c>
      <c r="AB6105">
        <v>2727</v>
      </c>
      <c r="AC6105">
        <v>482.21</v>
      </c>
      <c r="AD6105">
        <v>0</v>
      </c>
      <c r="AE6105">
        <v>0</v>
      </c>
      <c r="AF6105">
        <v>16800</v>
      </c>
      <c r="AG6105">
        <v>3384</v>
      </c>
      <c r="AH6105">
        <v>580.16999999999996</v>
      </c>
      <c r="AI6105">
        <v>400</v>
      </c>
      <c r="AJ6105">
        <v>0</v>
      </c>
      <c r="AK6105">
        <v>10000</v>
      </c>
      <c r="AL6105">
        <v>2946</v>
      </c>
      <c r="AM6105">
        <v>227.22</v>
      </c>
      <c r="AN6105">
        <v>100</v>
      </c>
      <c r="AO6105">
        <v>0</v>
      </c>
      <c r="AP6105">
        <v>6000</v>
      </c>
      <c r="AQ6105">
        <v>2618</v>
      </c>
      <c r="AR6105">
        <v>291.89999999999998</v>
      </c>
      <c r="AS6105">
        <v>0</v>
      </c>
      <c r="AT6105">
        <v>0</v>
      </c>
      <c r="AU6105">
        <v>12000</v>
      </c>
      <c r="AV6105">
        <v>2372</v>
      </c>
      <c r="AW6105">
        <v>249.06</v>
      </c>
      <c r="AX6105">
        <v>0</v>
      </c>
      <c r="AY6105">
        <v>0</v>
      </c>
      <c r="AZ6105">
        <v>18000</v>
      </c>
    </row>
    <row r="6106" spans="1:52" x14ac:dyDescent="0.3">
      <c r="A6106" t="s">
        <v>49</v>
      </c>
      <c r="B6106" t="s">
        <v>340</v>
      </c>
      <c r="C6106">
        <v>8422</v>
      </c>
      <c r="D6106">
        <v>968.72</v>
      </c>
      <c r="E6106">
        <v>700</v>
      </c>
      <c r="F6106">
        <v>0</v>
      </c>
      <c r="G6106">
        <v>17000</v>
      </c>
      <c r="H6106">
        <v>6586</v>
      </c>
      <c r="I6106">
        <v>194.41</v>
      </c>
      <c r="J6106">
        <v>0</v>
      </c>
      <c r="K6106">
        <v>0</v>
      </c>
      <c r="L6106">
        <v>15000</v>
      </c>
      <c r="M6106">
        <v>8287</v>
      </c>
      <c r="N6106">
        <v>999.11</v>
      </c>
      <c r="O6106">
        <v>700</v>
      </c>
      <c r="P6106">
        <v>0</v>
      </c>
      <c r="Q6106">
        <v>10000</v>
      </c>
      <c r="R6106">
        <v>7011</v>
      </c>
      <c r="S6106">
        <v>467.06</v>
      </c>
      <c r="T6106">
        <v>100</v>
      </c>
      <c r="U6106">
        <v>0</v>
      </c>
      <c r="V6106">
        <v>24000</v>
      </c>
      <c r="W6106">
        <v>8501</v>
      </c>
      <c r="X6106">
        <v>1954.07</v>
      </c>
      <c r="Y6106">
        <v>1500</v>
      </c>
      <c r="Z6106">
        <v>0</v>
      </c>
      <c r="AA6106">
        <v>25000</v>
      </c>
      <c r="AB6106">
        <v>6807</v>
      </c>
      <c r="AC6106">
        <v>416.37</v>
      </c>
      <c r="AD6106">
        <v>0</v>
      </c>
      <c r="AE6106">
        <v>0</v>
      </c>
      <c r="AF6106">
        <v>30000</v>
      </c>
      <c r="AG6106">
        <v>8413</v>
      </c>
      <c r="AH6106">
        <v>704.4</v>
      </c>
      <c r="AI6106">
        <v>500</v>
      </c>
      <c r="AJ6106">
        <v>0</v>
      </c>
      <c r="AK6106">
        <v>12000</v>
      </c>
      <c r="AL6106">
        <v>7690</v>
      </c>
      <c r="AM6106">
        <v>362.05</v>
      </c>
      <c r="AN6106">
        <v>300</v>
      </c>
      <c r="AO6106">
        <v>0</v>
      </c>
      <c r="AP6106">
        <v>10000</v>
      </c>
      <c r="AQ6106">
        <v>6934</v>
      </c>
      <c r="AR6106">
        <v>870.56</v>
      </c>
      <c r="AS6106">
        <v>0</v>
      </c>
      <c r="AT6106">
        <v>0</v>
      </c>
      <c r="AU6106">
        <v>50000</v>
      </c>
      <c r="AV6106">
        <v>5914</v>
      </c>
      <c r="AW6106">
        <v>392.8</v>
      </c>
      <c r="AX6106">
        <v>0</v>
      </c>
      <c r="AY6106">
        <v>0</v>
      </c>
      <c r="AZ6106">
        <v>15000</v>
      </c>
    </row>
    <row r="6107" spans="1:52" x14ac:dyDescent="0.3">
      <c r="A6107" t="s">
        <v>49</v>
      </c>
      <c r="B6107" t="s">
        <v>365</v>
      </c>
      <c r="C6107">
        <v>160</v>
      </c>
      <c r="D6107">
        <v>1494.73</v>
      </c>
      <c r="E6107">
        <v>1000</v>
      </c>
      <c r="F6107">
        <v>0</v>
      </c>
      <c r="G6107">
        <v>10000</v>
      </c>
      <c r="H6107">
        <v>100</v>
      </c>
      <c r="I6107">
        <v>293.33</v>
      </c>
      <c r="J6107">
        <v>0</v>
      </c>
      <c r="K6107">
        <v>0</v>
      </c>
      <c r="L6107">
        <v>2500</v>
      </c>
      <c r="M6107">
        <v>145</v>
      </c>
      <c r="N6107">
        <v>1248.02</v>
      </c>
      <c r="O6107">
        <v>1000</v>
      </c>
      <c r="P6107">
        <v>0</v>
      </c>
      <c r="Q6107">
        <v>5000</v>
      </c>
      <c r="R6107">
        <v>108</v>
      </c>
      <c r="S6107">
        <v>470.75</v>
      </c>
      <c r="T6107">
        <v>300</v>
      </c>
      <c r="U6107">
        <v>0</v>
      </c>
      <c r="V6107">
        <v>4000</v>
      </c>
      <c r="W6107">
        <v>148</v>
      </c>
      <c r="X6107">
        <v>2449.4699999999998</v>
      </c>
      <c r="Y6107">
        <v>2000</v>
      </c>
      <c r="Z6107">
        <v>0</v>
      </c>
      <c r="AA6107">
        <v>20000</v>
      </c>
      <c r="AB6107">
        <v>95</v>
      </c>
      <c r="AC6107">
        <v>1033.08</v>
      </c>
      <c r="AD6107">
        <v>0</v>
      </c>
      <c r="AE6107">
        <v>0</v>
      </c>
      <c r="AF6107">
        <v>10000</v>
      </c>
      <c r="AG6107">
        <v>159</v>
      </c>
      <c r="AH6107">
        <v>820.55</v>
      </c>
      <c r="AI6107">
        <v>700</v>
      </c>
      <c r="AJ6107">
        <v>0</v>
      </c>
      <c r="AK6107">
        <v>5000</v>
      </c>
      <c r="AL6107">
        <v>134</v>
      </c>
      <c r="AM6107">
        <v>572.63</v>
      </c>
      <c r="AN6107">
        <v>400</v>
      </c>
      <c r="AO6107">
        <v>0</v>
      </c>
      <c r="AP6107">
        <v>5000</v>
      </c>
      <c r="AQ6107">
        <v>99</v>
      </c>
      <c r="AR6107">
        <v>1037.5</v>
      </c>
      <c r="AS6107">
        <v>500</v>
      </c>
      <c r="AT6107">
        <v>0</v>
      </c>
      <c r="AU6107">
        <v>50000</v>
      </c>
      <c r="AV6107">
        <v>83</v>
      </c>
      <c r="AW6107">
        <v>790.13</v>
      </c>
      <c r="AX6107">
        <v>0</v>
      </c>
      <c r="AY6107">
        <v>0</v>
      </c>
      <c r="AZ6107">
        <v>6000</v>
      </c>
    </row>
    <row r="6109" spans="1:52" x14ac:dyDescent="0.3">
      <c r="A6109" t="s">
        <v>1981</v>
      </c>
    </row>
    <row r="6110" spans="1:52" x14ac:dyDescent="0.3">
      <c r="A6110" t="s">
        <v>44</v>
      </c>
      <c r="B6110" t="s">
        <v>32</v>
      </c>
      <c r="C6110" t="s">
        <v>45</v>
      </c>
      <c r="D6110" t="s">
        <v>46</v>
      </c>
      <c r="E6110" t="s">
        <v>47</v>
      </c>
      <c r="F6110" t="s">
        <v>48</v>
      </c>
    </row>
    <row r="6111" spans="1:52" x14ac:dyDescent="0.3">
      <c r="A6111" t="s">
        <v>35</v>
      </c>
      <c r="B6111">
        <v>3145</v>
      </c>
      <c r="C6111">
        <v>8367.2000000000007</v>
      </c>
      <c r="D6111">
        <v>5683.33</v>
      </c>
      <c r="E6111">
        <v>0</v>
      </c>
      <c r="F6111">
        <v>151333.32999999999</v>
      </c>
    </row>
    <row r="6112" spans="1:52" x14ac:dyDescent="0.3">
      <c r="A6112" t="s">
        <v>37</v>
      </c>
      <c r="B6112">
        <v>3855</v>
      </c>
      <c r="C6112">
        <v>8042.52</v>
      </c>
      <c r="D6112">
        <v>5666.67</v>
      </c>
      <c r="E6112">
        <v>0</v>
      </c>
      <c r="F6112">
        <v>126333.33</v>
      </c>
    </row>
    <row r="6113" spans="1:7" x14ac:dyDescent="0.3">
      <c r="A6113" t="s">
        <v>36</v>
      </c>
      <c r="B6113">
        <v>2305</v>
      </c>
      <c r="C6113">
        <v>7342.2</v>
      </c>
      <c r="D6113">
        <v>5000</v>
      </c>
      <c r="E6113">
        <v>0</v>
      </c>
      <c r="F6113">
        <v>73850</v>
      </c>
    </row>
    <row r="6114" spans="1:7" x14ac:dyDescent="0.3">
      <c r="A6114" t="s">
        <v>34</v>
      </c>
      <c r="B6114">
        <v>2080</v>
      </c>
      <c r="C6114">
        <v>7639.32</v>
      </c>
      <c r="D6114">
        <v>5150</v>
      </c>
      <c r="E6114">
        <v>0</v>
      </c>
      <c r="F6114">
        <v>143875.67000000001</v>
      </c>
    </row>
    <row r="6115" spans="1:7" x14ac:dyDescent="0.3">
      <c r="A6115" t="s">
        <v>33</v>
      </c>
      <c r="B6115">
        <v>1937</v>
      </c>
      <c r="C6115">
        <v>7278.18</v>
      </c>
      <c r="D6115">
        <v>5233.33</v>
      </c>
      <c r="E6115">
        <v>0</v>
      </c>
      <c r="F6115">
        <v>590000</v>
      </c>
    </row>
    <row r="6116" spans="1:7" x14ac:dyDescent="0.3">
      <c r="A6116" t="s">
        <v>49</v>
      </c>
      <c r="B6116">
        <v>13322</v>
      </c>
      <c r="C6116">
        <v>7878.57</v>
      </c>
      <c r="D6116">
        <v>5433.33</v>
      </c>
      <c r="E6116">
        <v>0</v>
      </c>
      <c r="F6116">
        <v>590000</v>
      </c>
    </row>
    <row r="6118" spans="1:7" x14ac:dyDescent="0.3">
      <c r="A6118" t="s">
        <v>1982</v>
      </c>
    </row>
    <row r="6119" spans="1:7" x14ac:dyDescent="0.3">
      <c r="A6119" t="s">
        <v>44</v>
      </c>
      <c r="B6119" t="s">
        <v>361</v>
      </c>
      <c r="C6119" t="s">
        <v>32</v>
      </c>
      <c r="D6119" t="s">
        <v>45</v>
      </c>
      <c r="E6119" t="s">
        <v>46</v>
      </c>
      <c r="F6119" t="s">
        <v>47</v>
      </c>
      <c r="G6119" t="s">
        <v>48</v>
      </c>
    </row>
    <row r="6120" spans="1:7" x14ac:dyDescent="0.3">
      <c r="A6120" t="s">
        <v>35</v>
      </c>
      <c r="B6120" t="s">
        <v>339</v>
      </c>
      <c r="C6120">
        <v>890</v>
      </c>
      <c r="D6120">
        <v>5705.47</v>
      </c>
      <c r="E6120">
        <v>3750</v>
      </c>
      <c r="F6120">
        <v>0</v>
      </c>
      <c r="G6120">
        <v>54566.67</v>
      </c>
    </row>
    <row r="6121" spans="1:7" x14ac:dyDescent="0.3">
      <c r="A6121" t="s">
        <v>35</v>
      </c>
      <c r="B6121" t="s">
        <v>340</v>
      </c>
      <c r="C6121">
        <v>2215</v>
      </c>
      <c r="D6121">
        <v>9394.93</v>
      </c>
      <c r="E6121">
        <v>6550</v>
      </c>
      <c r="F6121">
        <v>0</v>
      </c>
      <c r="G6121">
        <v>107633.33</v>
      </c>
    </row>
    <row r="6122" spans="1:7" x14ac:dyDescent="0.3">
      <c r="A6122" t="s">
        <v>35</v>
      </c>
      <c r="B6122" t="s">
        <v>365</v>
      </c>
      <c r="C6122">
        <v>40</v>
      </c>
      <c r="D6122">
        <v>11161.3</v>
      </c>
      <c r="E6122">
        <v>7255</v>
      </c>
      <c r="F6122">
        <v>450</v>
      </c>
      <c r="G6122">
        <v>151333.32999999999</v>
      </c>
    </row>
    <row r="6123" spans="1:7" x14ac:dyDescent="0.3">
      <c r="A6123" t="s">
        <v>37</v>
      </c>
      <c r="B6123" t="s">
        <v>339</v>
      </c>
      <c r="C6123">
        <v>1093</v>
      </c>
      <c r="D6123">
        <v>6463.69</v>
      </c>
      <c r="E6123">
        <v>4300</v>
      </c>
      <c r="F6123">
        <v>0</v>
      </c>
      <c r="G6123">
        <v>126333.33</v>
      </c>
    </row>
    <row r="6124" spans="1:7" x14ac:dyDescent="0.3">
      <c r="A6124" t="s">
        <v>37</v>
      </c>
      <c r="B6124" t="s">
        <v>340</v>
      </c>
      <c r="C6124">
        <v>2721</v>
      </c>
      <c r="D6124">
        <v>8631.3700000000008</v>
      </c>
      <c r="E6124">
        <v>6350</v>
      </c>
      <c r="F6124">
        <v>0</v>
      </c>
      <c r="G6124">
        <v>95833.33</v>
      </c>
    </row>
    <row r="6125" spans="1:7" x14ac:dyDescent="0.3">
      <c r="A6125" t="s">
        <v>37</v>
      </c>
      <c r="B6125" t="s">
        <v>365</v>
      </c>
      <c r="C6125">
        <v>41</v>
      </c>
      <c r="D6125">
        <v>9854.2199999999993</v>
      </c>
      <c r="E6125">
        <v>7733.33</v>
      </c>
      <c r="F6125">
        <v>900</v>
      </c>
      <c r="G6125">
        <v>30636.67</v>
      </c>
    </row>
    <row r="6126" spans="1:7" x14ac:dyDescent="0.3">
      <c r="A6126" t="s">
        <v>36</v>
      </c>
      <c r="B6126" t="s">
        <v>339</v>
      </c>
      <c r="C6126">
        <v>770</v>
      </c>
      <c r="D6126">
        <v>6166.41</v>
      </c>
      <c r="E6126">
        <v>4193.67</v>
      </c>
      <c r="F6126">
        <v>0</v>
      </c>
      <c r="G6126">
        <v>72753.33</v>
      </c>
    </row>
    <row r="6127" spans="1:7" x14ac:dyDescent="0.3">
      <c r="A6127" t="s">
        <v>36</v>
      </c>
      <c r="B6127" t="s">
        <v>340</v>
      </c>
      <c r="C6127">
        <v>1472</v>
      </c>
      <c r="D6127">
        <v>7931.14</v>
      </c>
      <c r="E6127">
        <v>5750</v>
      </c>
      <c r="F6127">
        <v>0</v>
      </c>
      <c r="G6127">
        <v>73850</v>
      </c>
    </row>
    <row r="6128" spans="1:7" x14ac:dyDescent="0.3">
      <c r="A6128" t="s">
        <v>36</v>
      </c>
      <c r="B6128" t="s">
        <v>365</v>
      </c>
      <c r="C6128">
        <v>63</v>
      </c>
      <c r="D6128">
        <v>7456.17</v>
      </c>
      <c r="E6128">
        <v>6583.33</v>
      </c>
      <c r="F6128">
        <v>0</v>
      </c>
      <c r="G6128">
        <v>29466.67</v>
      </c>
    </row>
    <row r="6129" spans="1:7" x14ac:dyDescent="0.3">
      <c r="A6129" t="s">
        <v>34</v>
      </c>
      <c r="B6129" t="s">
        <v>339</v>
      </c>
      <c r="C6129">
        <v>555</v>
      </c>
      <c r="D6129">
        <v>8124.57</v>
      </c>
      <c r="E6129">
        <v>4911.67</v>
      </c>
      <c r="F6129">
        <v>0</v>
      </c>
      <c r="G6129">
        <v>143875.67000000001</v>
      </c>
    </row>
    <row r="6130" spans="1:7" x14ac:dyDescent="0.3">
      <c r="A6130" t="s">
        <v>34</v>
      </c>
      <c r="B6130" t="s">
        <v>340</v>
      </c>
      <c r="C6130">
        <v>1497</v>
      </c>
      <c r="D6130">
        <v>7332.68</v>
      </c>
      <c r="E6130">
        <v>5150</v>
      </c>
      <c r="F6130">
        <v>0</v>
      </c>
      <c r="G6130">
        <v>117383.33</v>
      </c>
    </row>
    <row r="6131" spans="1:7" x14ac:dyDescent="0.3">
      <c r="A6131" t="s">
        <v>34</v>
      </c>
      <c r="B6131" t="s">
        <v>365</v>
      </c>
      <c r="C6131">
        <v>28</v>
      </c>
      <c r="D6131">
        <v>9739.4599999999991</v>
      </c>
      <c r="E6131">
        <v>6046.67</v>
      </c>
      <c r="F6131">
        <v>0</v>
      </c>
      <c r="G6131">
        <v>73066.67</v>
      </c>
    </row>
    <row r="6132" spans="1:7" x14ac:dyDescent="0.3">
      <c r="A6132" t="s">
        <v>33</v>
      </c>
      <c r="B6132" t="s">
        <v>339</v>
      </c>
      <c r="C6132">
        <v>503</v>
      </c>
      <c r="D6132">
        <v>6934.9</v>
      </c>
      <c r="E6132">
        <v>3733.33</v>
      </c>
      <c r="F6132">
        <v>0</v>
      </c>
      <c r="G6132">
        <v>590000</v>
      </c>
    </row>
    <row r="6133" spans="1:7" x14ac:dyDescent="0.3">
      <c r="A6133" t="s">
        <v>33</v>
      </c>
      <c r="B6133" t="s">
        <v>340</v>
      </c>
      <c r="C6133">
        <v>1415</v>
      </c>
      <c r="D6133">
        <v>7386.96</v>
      </c>
      <c r="E6133">
        <v>5666.67</v>
      </c>
      <c r="F6133">
        <v>0</v>
      </c>
      <c r="G6133">
        <v>58800</v>
      </c>
    </row>
    <row r="6134" spans="1:7" x14ac:dyDescent="0.3">
      <c r="A6134" t="s">
        <v>33</v>
      </c>
      <c r="B6134" t="s">
        <v>365</v>
      </c>
      <c r="C6134">
        <v>19</v>
      </c>
      <c r="D6134">
        <v>8683.75</v>
      </c>
      <c r="E6134">
        <v>8550</v>
      </c>
      <c r="F6134">
        <v>1800</v>
      </c>
      <c r="G6134">
        <v>21500</v>
      </c>
    </row>
    <row r="6135" spans="1:7" x14ac:dyDescent="0.3">
      <c r="A6135" t="s">
        <v>49</v>
      </c>
      <c r="B6135" t="s">
        <v>339</v>
      </c>
      <c r="C6135">
        <v>3811</v>
      </c>
      <c r="D6135">
        <v>6650.25</v>
      </c>
      <c r="E6135">
        <v>4193.67</v>
      </c>
      <c r="F6135">
        <v>0</v>
      </c>
      <c r="G6135">
        <v>590000</v>
      </c>
    </row>
    <row r="6136" spans="1:7" x14ac:dyDescent="0.3">
      <c r="A6136" t="s">
        <v>49</v>
      </c>
      <c r="B6136" t="s">
        <v>340</v>
      </c>
      <c r="C6136">
        <v>9320</v>
      </c>
      <c r="D6136">
        <v>8367.93</v>
      </c>
      <c r="E6136">
        <v>5966.67</v>
      </c>
      <c r="F6136">
        <v>0</v>
      </c>
      <c r="G6136">
        <v>117383.33</v>
      </c>
    </row>
    <row r="6137" spans="1:7" x14ac:dyDescent="0.3">
      <c r="A6137" t="s">
        <v>49</v>
      </c>
      <c r="B6137" t="s">
        <v>365</v>
      </c>
      <c r="C6137">
        <v>191</v>
      </c>
      <c r="D6137">
        <v>9610.75</v>
      </c>
      <c r="E6137">
        <v>7255</v>
      </c>
      <c r="F6137">
        <v>0</v>
      </c>
      <c r="G6137">
        <v>151333.32999999999</v>
      </c>
    </row>
    <row r="6139" spans="1:7" x14ac:dyDescent="0.3">
      <c r="A6139" t="s">
        <v>1983</v>
      </c>
    </row>
    <row r="6140" spans="1:7" x14ac:dyDescent="0.3">
      <c r="A6140" t="s">
        <v>44</v>
      </c>
      <c r="B6140" t="s">
        <v>209</v>
      </c>
      <c r="C6140" t="s">
        <v>32</v>
      </c>
      <c r="D6140" t="s">
        <v>45</v>
      </c>
      <c r="E6140" t="s">
        <v>46</v>
      </c>
      <c r="F6140" t="s">
        <v>47</v>
      </c>
      <c r="G6140" t="s">
        <v>48</v>
      </c>
    </row>
    <row r="6141" spans="1:7" x14ac:dyDescent="0.3">
      <c r="A6141" t="s">
        <v>35</v>
      </c>
      <c r="B6141" t="s">
        <v>210</v>
      </c>
      <c r="C6141">
        <v>136</v>
      </c>
      <c r="D6141">
        <v>10940.6</v>
      </c>
      <c r="E6141">
        <v>9336.67</v>
      </c>
      <c r="F6141">
        <v>1033.33</v>
      </c>
      <c r="G6141">
        <v>73100</v>
      </c>
    </row>
    <row r="6142" spans="1:7" x14ac:dyDescent="0.3">
      <c r="A6142" t="s">
        <v>35</v>
      </c>
      <c r="B6142" t="s">
        <v>212</v>
      </c>
      <c r="C6142">
        <v>2442</v>
      </c>
      <c r="D6142">
        <v>6921.6</v>
      </c>
      <c r="E6142">
        <v>4316.67</v>
      </c>
      <c r="F6142">
        <v>0</v>
      </c>
      <c r="G6142">
        <v>107633.33</v>
      </c>
    </row>
    <row r="6143" spans="1:7" x14ac:dyDescent="0.3">
      <c r="A6143" t="s">
        <v>35</v>
      </c>
      <c r="B6143" t="s">
        <v>216</v>
      </c>
      <c r="C6143">
        <v>567</v>
      </c>
      <c r="D6143">
        <v>11517.87</v>
      </c>
      <c r="E6143">
        <v>8300</v>
      </c>
      <c r="F6143">
        <v>0</v>
      </c>
      <c r="G6143">
        <v>151333.32999999999</v>
      </c>
    </row>
    <row r="6144" spans="1:7" x14ac:dyDescent="0.3">
      <c r="A6144" t="s">
        <v>37</v>
      </c>
      <c r="B6144" t="s">
        <v>210</v>
      </c>
      <c r="C6144">
        <v>138</v>
      </c>
      <c r="D6144">
        <v>16590.849999999999</v>
      </c>
      <c r="E6144">
        <v>12066.67</v>
      </c>
      <c r="F6144">
        <v>300</v>
      </c>
      <c r="G6144">
        <v>126333.33</v>
      </c>
    </row>
    <row r="6145" spans="1:7" x14ac:dyDescent="0.3">
      <c r="A6145" t="s">
        <v>37</v>
      </c>
      <c r="B6145" t="s">
        <v>212</v>
      </c>
      <c r="C6145">
        <v>3606</v>
      </c>
      <c r="D6145">
        <v>7597.75</v>
      </c>
      <c r="E6145">
        <v>5466.67</v>
      </c>
      <c r="F6145">
        <v>0</v>
      </c>
      <c r="G6145">
        <v>95833.33</v>
      </c>
    </row>
    <row r="6146" spans="1:7" x14ac:dyDescent="0.3">
      <c r="A6146" t="s">
        <v>37</v>
      </c>
      <c r="B6146" t="s">
        <v>216</v>
      </c>
      <c r="C6146">
        <v>111</v>
      </c>
      <c r="D6146">
        <v>10097.120000000001</v>
      </c>
      <c r="E6146">
        <v>7750</v>
      </c>
      <c r="F6146">
        <v>683.33</v>
      </c>
      <c r="G6146">
        <v>46183.33</v>
      </c>
    </row>
    <row r="6147" spans="1:7" x14ac:dyDescent="0.3">
      <c r="A6147" t="s">
        <v>36</v>
      </c>
      <c r="B6147" t="s">
        <v>210</v>
      </c>
      <c r="C6147">
        <v>165</v>
      </c>
      <c r="D6147">
        <v>10753.27</v>
      </c>
      <c r="E6147">
        <v>8246.67</v>
      </c>
      <c r="F6147">
        <v>0</v>
      </c>
      <c r="G6147">
        <v>72753.33</v>
      </c>
    </row>
    <row r="6148" spans="1:7" x14ac:dyDescent="0.3">
      <c r="A6148" t="s">
        <v>36</v>
      </c>
      <c r="B6148" t="s">
        <v>212</v>
      </c>
      <c r="C6148">
        <v>1875</v>
      </c>
      <c r="D6148">
        <v>6605.09</v>
      </c>
      <c r="E6148">
        <v>4466.67</v>
      </c>
      <c r="F6148">
        <v>0</v>
      </c>
      <c r="G6148">
        <v>62300</v>
      </c>
    </row>
    <row r="6149" spans="1:7" x14ac:dyDescent="0.3">
      <c r="A6149" t="s">
        <v>36</v>
      </c>
      <c r="B6149" t="s">
        <v>216</v>
      </c>
      <c r="C6149">
        <v>265</v>
      </c>
      <c r="D6149">
        <v>8877.7900000000009</v>
      </c>
      <c r="E6149">
        <v>7386.67</v>
      </c>
      <c r="F6149">
        <v>500</v>
      </c>
      <c r="G6149">
        <v>73850</v>
      </c>
    </row>
    <row r="6150" spans="1:7" x14ac:dyDescent="0.3">
      <c r="A6150" t="s">
        <v>34</v>
      </c>
      <c r="B6150" t="s">
        <v>210</v>
      </c>
      <c r="C6150">
        <v>256</v>
      </c>
      <c r="D6150">
        <v>9236.56</v>
      </c>
      <c r="E6150">
        <v>6916.67</v>
      </c>
      <c r="F6150">
        <v>0</v>
      </c>
      <c r="G6150">
        <v>117383.33</v>
      </c>
    </row>
    <row r="6151" spans="1:7" x14ac:dyDescent="0.3">
      <c r="A6151" t="s">
        <v>34</v>
      </c>
      <c r="B6151" t="s">
        <v>212</v>
      </c>
      <c r="C6151">
        <v>1582</v>
      </c>
      <c r="D6151">
        <v>6745.55</v>
      </c>
      <c r="E6151">
        <v>4333.33</v>
      </c>
      <c r="F6151">
        <v>0</v>
      </c>
      <c r="G6151">
        <v>143875.67000000001</v>
      </c>
    </row>
    <row r="6152" spans="1:7" x14ac:dyDescent="0.3">
      <c r="A6152" t="s">
        <v>34</v>
      </c>
      <c r="B6152" t="s">
        <v>216</v>
      </c>
      <c r="C6152">
        <v>242</v>
      </c>
      <c r="D6152">
        <v>10063.92</v>
      </c>
      <c r="E6152">
        <v>7183.33</v>
      </c>
      <c r="F6152">
        <v>0</v>
      </c>
      <c r="G6152">
        <v>73066.67</v>
      </c>
    </row>
    <row r="6153" spans="1:7" x14ac:dyDescent="0.3">
      <c r="A6153" t="s">
        <v>33</v>
      </c>
      <c r="B6153" t="s">
        <v>210</v>
      </c>
      <c r="C6153">
        <v>68</v>
      </c>
      <c r="D6153">
        <v>8108.77</v>
      </c>
      <c r="E6153">
        <v>6476.67</v>
      </c>
      <c r="F6153">
        <v>0</v>
      </c>
      <c r="G6153">
        <v>35500</v>
      </c>
    </row>
    <row r="6154" spans="1:7" x14ac:dyDescent="0.3">
      <c r="A6154" t="s">
        <v>33</v>
      </c>
      <c r="B6154" t="s">
        <v>212</v>
      </c>
      <c r="C6154">
        <v>1800</v>
      </c>
      <c r="D6154">
        <v>7103.26</v>
      </c>
      <c r="E6154">
        <v>5100</v>
      </c>
      <c r="F6154">
        <v>0</v>
      </c>
      <c r="G6154">
        <v>590000</v>
      </c>
    </row>
    <row r="6155" spans="1:7" x14ac:dyDescent="0.3">
      <c r="A6155" t="s">
        <v>33</v>
      </c>
      <c r="B6155" t="s">
        <v>216</v>
      </c>
      <c r="C6155">
        <v>69</v>
      </c>
      <c r="D6155">
        <v>10601.57</v>
      </c>
      <c r="E6155">
        <v>8323.33</v>
      </c>
      <c r="F6155">
        <v>630</v>
      </c>
      <c r="G6155">
        <v>50866.67</v>
      </c>
    </row>
    <row r="6156" spans="1:7" x14ac:dyDescent="0.3">
      <c r="A6156" t="s">
        <v>49</v>
      </c>
      <c r="B6156" t="s">
        <v>210</v>
      </c>
      <c r="C6156">
        <v>763</v>
      </c>
      <c r="D6156">
        <v>10888.52</v>
      </c>
      <c r="E6156">
        <v>8266.67</v>
      </c>
      <c r="F6156">
        <v>0</v>
      </c>
      <c r="G6156">
        <v>126333.33</v>
      </c>
    </row>
    <row r="6157" spans="1:7" x14ac:dyDescent="0.3">
      <c r="A6157" t="s">
        <v>49</v>
      </c>
      <c r="B6157" t="s">
        <v>212</v>
      </c>
      <c r="C6157">
        <v>11305</v>
      </c>
      <c r="D6157">
        <v>7119.63</v>
      </c>
      <c r="E6157">
        <v>4825</v>
      </c>
      <c r="F6157">
        <v>0</v>
      </c>
      <c r="G6157">
        <v>590000</v>
      </c>
    </row>
    <row r="6158" spans="1:7" x14ac:dyDescent="0.3">
      <c r="A6158" t="s">
        <v>49</v>
      </c>
      <c r="B6158" t="s">
        <v>216</v>
      </c>
      <c r="C6158">
        <v>1254</v>
      </c>
      <c r="D6158">
        <v>10860.78</v>
      </c>
      <c r="E6158">
        <v>7973.33</v>
      </c>
      <c r="F6158">
        <v>0</v>
      </c>
      <c r="G6158">
        <v>151333.32999999999</v>
      </c>
    </row>
    <row r="6160" spans="1:7" x14ac:dyDescent="0.3">
      <c r="A6160" t="s">
        <v>1984</v>
      </c>
    </row>
    <row r="6161" spans="1:7" x14ac:dyDescent="0.3">
      <c r="A6161" t="s">
        <v>44</v>
      </c>
      <c r="B6161" t="s">
        <v>388</v>
      </c>
      <c r="C6161" t="s">
        <v>32</v>
      </c>
      <c r="D6161" t="s">
        <v>45</v>
      </c>
      <c r="E6161" t="s">
        <v>46</v>
      </c>
      <c r="F6161" t="s">
        <v>47</v>
      </c>
      <c r="G6161" t="s">
        <v>48</v>
      </c>
    </row>
    <row r="6162" spans="1:7" x14ac:dyDescent="0.3">
      <c r="A6162" t="s">
        <v>35</v>
      </c>
      <c r="B6162" t="s">
        <v>389</v>
      </c>
      <c r="C6162">
        <v>2141</v>
      </c>
      <c r="D6162">
        <v>8287.56</v>
      </c>
      <c r="E6162">
        <v>5560</v>
      </c>
      <c r="F6162">
        <v>0</v>
      </c>
      <c r="G6162">
        <v>151333.32999999999</v>
      </c>
    </row>
    <row r="6163" spans="1:7" x14ac:dyDescent="0.3">
      <c r="A6163" t="s">
        <v>35</v>
      </c>
      <c r="B6163" t="s">
        <v>390</v>
      </c>
      <c r="C6163">
        <v>875</v>
      </c>
      <c r="D6163">
        <v>8175.35</v>
      </c>
      <c r="E6163">
        <v>5533.33</v>
      </c>
      <c r="F6163">
        <v>0</v>
      </c>
      <c r="G6163">
        <v>77200</v>
      </c>
    </row>
    <row r="6164" spans="1:7" x14ac:dyDescent="0.3">
      <c r="A6164" t="s">
        <v>35</v>
      </c>
      <c r="B6164" t="s">
        <v>365</v>
      </c>
      <c r="C6164">
        <v>129</v>
      </c>
      <c r="D6164">
        <v>11101.27</v>
      </c>
      <c r="E6164">
        <v>9916.67</v>
      </c>
      <c r="F6164">
        <v>1500</v>
      </c>
      <c r="G6164">
        <v>47216.67</v>
      </c>
    </row>
    <row r="6165" spans="1:7" x14ac:dyDescent="0.3">
      <c r="A6165" t="s">
        <v>37</v>
      </c>
      <c r="B6165" t="s">
        <v>389</v>
      </c>
      <c r="C6165">
        <v>2305</v>
      </c>
      <c r="D6165">
        <v>7438.54</v>
      </c>
      <c r="E6165">
        <v>5216.67</v>
      </c>
      <c r="F6165">
        <v>0</v>
      </c>
      <c r="G6165">
        <v>126333.33</v>
      </c>
    </row>
    <row r="6166" spans="1:7" x14ac:dyDescent="0.3">
      <c r="A6166" t="s">
        <v>37</v>
      </c>
      <c r="B6166" t="s">
        <v>390</v>
      </c>
      <c r="C6166">
        <v>1309</v>
      </c>
      <c r="D6166">
        <v>8660.35</v>
      </c>
      <c r="E6166">
        <v>6283.33</v>
      </c>
      <c r="F6166">
        <v>0</v>
      </c>
      <c r="G6166">
        <v>95833.33</v>
      </c>
    </row>
    <row r="6167" spans="1:7" x14ac:dyDescent="0.3">
      <c r="A6167" t="s">
        <v>37</v>
      </c>
      <c r="B6167" t="s">
        <v>365</v>
      </c>
      <c r="C6167">
        <v>241</v>
      </c>
      <c r="D6167">
        <v>10038.14</v>
      </c>
      <c r="E6167">
        <v>7483.33</v>
      </c>
      <c r="F6167">
        <v>713.33</v>
      </c>
      <c r="G6167">
        <v>67400</v>
      </c>
    </row>
    <row r="6168" spans="1:7" x14ac:dyDescent="0.3">
      <c r="A6168" t="s">
        <v>36</v>
      </c>
      <c r="B6168" t="s">
        <v>389</v>
      </c>
      <c r="C6168">
        <v>1578</v>
      </c>
      <c r="D6168">
        <v>7076.31</v>
      </c>
      <c r="E6168">
        <v>4720</v>
      </c>
      <c r="F6168">
        <v>0</v>
      </c>
      <c r="G6168">
        <v>62300</v>
      </c>
    </row>
    <row r="6169" spans="1:7" x14ac:dyDescent="0.3">
      <c r="A6169" t="s">
        <v>36</v>
      </c>
      <c r="B6169" t="s">
        <v>390</v>
      </c>
      <c r="C6169">
        <v>627</v>
      </c>
      <c r="D6169">
        <v>7218.71</v>
      </c>
      <c r="E6169">
        <v>5243.33</v>
      </c>
      <c r="F6169">
        <v>0</v>
      </c>
      <c r="G6169">
        <v>73850</v>
      </c>
    </row>
    <row r="6170" spans="1:7" x14ac:dyDescent="0.3">
      <c r="A6170" t="s">
        <v>36</v>
      </c>
      <c r="B6170" t="s">
        <v>365</v>
      </c>
      <c r="C6170">
        <v>100</v>
      </c>
      <c r="D6170">
        <v>10547.15</v>
      </c>
      <c r="E6170">
        <v>9366.67</v>
      </c>
      <c r="F6170">
        <v>0</v>
      </c>
      <c r="G6170">
        <v>43016.67</v>
      </c>
    </row>
    <row r="6171" spans="1:7" x14ac:dyDescent="0.3">
      <c r="A6171" t="s">
        <v>34</v>
      </c>
      <c r="B6171" t="s">
        <v>389</v>
      </c>
      <c r="C6171">
        <v>1385</v>
      </c>
      <c r="D6171">
        <v>7077.39</v>
      </c>
      <c r="E6171">
        <v>4686.67</v>
      </c>
      <c r="F6171">
        <v>0</v>
      </c>
      <c r="G6171">
        <v>130766.67</v>
      </c>
    </row>
    <row r="6172" spans="1:7" x14ac:dyDescent="0.3">
      <c r="A6172" t="s">
        <v>34</v>
      </c>
      <c r="B6172" t="s">
        <v>390</v>
      </c>
      <c r="C6172">
        <v>615</v>
      </c>
      <c r="D6172">
        <v>8695.6</v>
      </c>
      <c r="E6172">
        <v>6166.67</v>
      </c>
      <c r="F6172">
        <v>0</v>
      </c>
      <c r="G6172">
        <v>143875.67000000001</v>
      </c>
    </row>
    <row r="6173" spans="1:7" x14ac:dyDescent="0.3">
      <c r="A6173" t="s">
        <v>34</v>
      </c>
      <c r="B6173" t="s">
        <v>365</v>
      </c>
      <c r="C6173">
        <v>80</v>
      </c>
      <c r="D6173">
        <v>9250.75</v>
      </c>
      <c r="E6173">
        <v>6266.67</v>
      </c>
      <c r="F6173">
        <v>250</v>
      </c>
      <c r="G6173">
        <v>32450</v>
      </c>
    </row>
    <row r="6174" spans="1:7" x14ac:dyDescent="0.3">
      <c r="A6174" t="s">
        <v>33</v>
      </c>
      <c r="B6174" t="s">
        <v>389</v>
      </c>
      <c r="C6174">
        <v>1090</v>
      </c>
      <c r="D6174">
        <v>6325.73</v>
      </c>
      <c r="E6174">
        <v>4575</v>
      </c>
      <c r="F6174">
        <v>66.67</v>
      </c>
      <c r="G6174">
        <v>58800</v>
      </c>
    </row>
    <row r="6175" spans="1:7" x14ac:dyDescent="0.3">
      <c r="A6175" t="s">
        <v>33</v>
      </c>
      <c r="B6175" t="s">
        <v>390</v>
      </c>
      <c r="C6175">
        <v>708</v>
      </c>
      <c r="D6175">
        <v>8569.27</v>
      </c>
      <c r="E6175">
        <v>5900</v>
      </c>
      <c r="F6175">
        <v>0</v>
      </c>
      <c r="G6175">
        <v>590000</v>
      </c>
    </row>
    <row r="6176" spans="1:7" x14ac:dyDescent="0.3">
      <c r="A6176" t="s">
        <v>33</v>
      </c>
      <c r="B6176" t="s">
        <v>365</v>
      </c>
      <c r="C6176">
        <v>139</v>
      </c>
      <c r="D6176">
        <v>8129.42</v>
      </c>
      <c r="E6176">
        <v>7400</v>
      </c>
      <c r="F6176">
        <v>0</v>
      </c>
      <c r="G6176">
        <v>31166.67</v>
      </c>
    </row>
    <row r="6177" spans="1:7" x14ac:dyDescent="0.3">
      <c r="A6177" t="s">
        <v>49</v>
      </c>
      <c r="B6177" t="s">
        <v>389</v>
      </c>
      <c r="C6177">
        <v>8499</v>
      </c>
      <c r="D6177">
        <v>7449.75</v>
      </c>
      <c r="E6177">
        <v>5066.67</v>
      </c>
      <c r="F6177">
        <v>0</v>
      </c>
      <c r="G6177">
        <v>151333.32999999999</v>
      </c>
    </row>
    <row r="6178" spans="1:7" x14ac:dyDescent="0.3">
      <c r="A6178" t="s">
        <v>49</v>
      </c>
      <c r="B6178" t="s">
        <v>390</v>
      </c>
      <c r="C6178">
        <v>4134</v>
      </c>
      <c r="D6178">
        <v>8421.42</v>
      </c>
      <c r="E6178">
        <v>5866.67</v>
      </c>
      <c r="F6178">
        <v>0</v>
      </c>
      <c r="G6178">
        <v>590000</v>
      </c>
    </row>
    <row r="6179" spans="1:7" x14ac:dyDescent="0.3">
      <c r="A6179" t="s">
        <v>49</v>
      </c>
      <c r="B6179" t="s">
        <v>365</v>
      </c>
      <c r="C6179">
        <v>689</v>
      </c>
      <c r="D6179">
        <v>9827.2199999999993</v>
      </c>
      <c r="E6179">
        <v>8016.67</v>
      </c>
      <c r="F6179">
        <v>0</v>
      </c>
      <c r="G6179">
        <v>67400</v>
      </c>
    </row>
    <row r="6181" spans="1:7" x14ac:dyDescent="0.3">
      <c r="A6181" t="s">
        <v>1985</v>
      </c>
    </row>
    <row r="6182" spans="1:7" x14ac:dyDescent="0.3">
      <c r="A6182" t="s">
        <v>44</v>
      </c>
      <c r="B6182" t="s">
        <v>235</v>
      </c>
      <c r="C6182" t="s">
        <v>32</v>
      </c>
      <c r="D6182" t="s">
        <v>45</v>
      </c>
      <c r="E6182" t="s">
        <v>46</v>
      </c>
      <c r="F6182" t="s">
        <v>47</v>
      </c>
      <c r="G6182" t="s">
        <v>48</v>
      </c>
    </row>
    <row r="6183" spans="1:7" x14ac:dyDescent="0.3">
      <c r="A6183" t="s">
        <v>35</v>
      </c>
      <c r="B6183" t="s">
        <v>236</v>
      </c>
      <c r="C6183">
        <v>1610</v>
      </c>
      <c r="D6183">
        <v>7157.31</v>
      </c>
      <c r="E6183">
        <v>5150</v>
      </c>
      <c r="F6183">
        <v>0</v>
      </c>
      <c r="G6183">
        <v>151333.32999999999</v>
      </c>
    </row>
    <row r="6184" spans="1:7" x14ac:dyDescent="0.3">
      <c r="A6184" t="s">
        <v>35</v>
      </c>
      <c r="B6184" t="s">
        <v>238</v>
      </c>
      <c r="C6184">
        <v>1535</v>
      </c>
      <c r="D6184">
        <v>8870.9</v>
      </c>
      <c r="E6184">
        <v>5903.33</v>
      </c>
      <c r="F6184">
        <v>0</v>
      </c>
      <c r="G6184">
        <v>73100</v>
      </c>
    </row>
    <row r="6185" spans="1:7" x14ac:dyDescent="0.3">
      <c r="A6185" t="s">
        <v>37</v>
      </c>
      <c r="B6185" t="s">
        <v>236</v>
      </c>
      <c r="C6185">
        <v>2211</v>
      </c>
      <c r="D6185">
        <v>6987.9</v>
      </c>
      <c r="E6185">
        <v>5083.33</v>
      </c>
      <c r="F6185">
        <v>0</v>
      </c>
      <c r="G6185">
        <v>95466.67</v>
      </c>
    </row>
    <row r="6186" spans="1:7" x14ac:dyDescent="0.3">
      <c r="A6186" t="s">
        <v>37</v>
      </c>
      <c r="B6186" t="s">
        <v>238</v>
      </c>
      <c r="C6186">
        <v>1644</v>
      </c>
      <c r="D6186">
        <v>9422.25</v>
      </c>
      <c r="E6186">
        <v>6850</v>
      </c>
      <c r="F6186">
        <v>0</v>
      </c>
      <c r="G6186">
        <v>126333.33</v>
      </c>
    </row>
    <row r="6187" spans="1:7" x14ac:dyDescent="0.3">
      <c r="A6187" t="s">
        <v>36</v>
      </c>
      <c r="B6187" t="s">
        <v>236</v>
      </c>
      <c r="C6187">
        <v>1566</v>
      </c>
      <c r="D6187">
        <v>6500.94</v>
      </c>
      <c r="E6187">
        <v>4566.67</v>
      </c>
      <c r="F6187">
        <v>0</v>
      </c>
      <c r="G6187">
        <v>72753.33</v>
      </c>
    </row>
    <row r="6188" spans="1:7" x14ac:dyDescent="0.3">
      <c r="A6188" t="s">
        <v>36</v>
      </c>
      <c r="B6188" t="s">
        <v>238</v>
      </c>
      <c r="C6188">
        <v>739</v>
      </c>
      <c r="D6188">
        <v>7953.56</v>
      </c>
      <c r="E6188">
        <v>5750</v>
      </c>
      <c r="F6188">
        <v>0</v>
      </c>
      <c r="G6188">
        <v>73850</v>
      </c>
    </row>
    <row r="6189" spans="1:7" x14ac:dyDescent="0.3">
      <c r="A6189" t="s">
        <v>34</v>
      </c>
      <c r="B6189" t="s">
        <v>236</v>
      </c>
      <c r="C6189">
        <v>717</v>
      </c>
      <c r="D6189">
        <v>7206.91</v>
      </c>
      <c r="E6189">
        <v>4650</v>
      </c>
      <c r="F6189">
        <v>0</v>
      </c>
      <c r="G6189">
        <v>130766.67</v>
      </c>
    </row>
    <row r="6190" spans="1:7" x14ac:dyDescent="0.3">
      <c r="A6190" t="s">
        <v>34</v>
      </c>
      <c r="B6190" t="s">
        <v>238</v>
      </c>
      <c r="C6190">
        <v>1363</v>
      </c>
      <c r="D6190">
        <v>7828.96</v>
      </c>
      <c r="E6190">
        <v>5300</v>
      </c>
      <c r="F6190">
        <v>0</v>
      </c>
      <c r="G6190">
        <v>143875.67000000001</v>
      </c>
    </row>
    <row r="6191" spans="1:7" x14ac:dyDescent="0.3">
      <c r="A6191" t="s">
        <v>33</v>
      </c>
      <c r="B6191" t="s">
        <v>236</v>
      </c>
      <c r="C6191">
        <v>1116</v>
      </c>
      <c r="D6191">
        <v>5836.75</v>
      </c>
      <c r="E6191">
        <v>4365</v>
      </c>
      <c r="F6191">
        <v>0</v>
      </c>
      <c r="G6191">
        <v>43300</v>
      </c>
    </row>
    <row r="6192" spans="1:7" x14ac:dyDescent="0.3">
      <c r="A6192" t="s">
        <v>33</v>
      </c>
      <c r="B6192" t="s">
        <v>238</v>
      </c>
      <c r="C6192">
        <v>821</v>
      </c>
      <c r="D6192">
        <v>8760.06</v>
      </c>
      <c r="E6192">
        <v>6066.67</v>
      </c>
      <c r="F6192">
        <v>0</v>
      </c>
      <c r="G6192">
        <v>590000</v>
      </c>
    </row>
    <row r="6193" spans="1:7" x14ac:dyDescent="0.3">
      <c r="A6193" t="s">
        <v>49</v>
      </c>
      <c r="B6193" t="s">
        <v>236</v>
      </c>
      <c r="C6193">
        <v>7220</v>
      </c>
      <c r="D6193">
        <v>6789.16</v>
      </c>
      <c r="E6193">
        <v>4800</v>
      </c>
      <c r="F6193">
        <v>0</v>
      </c>
      <c r="G6193">
        <v>151333.32999999999</v>
      </c>
    </row>
    <row r="6194" spans="1:7" x14ac:dyDescent="0.3">
      <c r="A6194" t="s">
        <v>49</v>
      </c>
      <c r="B6194" t="s">
        <v>238</v>
      </c>
      <c r="C6194">
        <v>6102</v>
      </c>
      <c r="D6194">
        <v>8657.65</v>
      </c>
      <c r="E6194">
        <v>5925</v>
      </c>
      <c r="F6194">
        <v>0</v>
      </c>
      <c r="G6194">
        <v>590000</v>
      </c>
    </row>
    <row r="6196" spans="1:7" x14ac:dyDescent="0.3">
      <c r="A6196" t="s">
        <v>1986</v>
      </c>
    </row>
    <row r="6197" spans="1:7" x14ac:dyDescent="0.3">
      <c r="A6197" t="s">
        <v>44</v>
      </c>
      <c r="B6197" t="s">
        <v>1335</v>
      </c>
      <c r="C6197" t="s">
        <v>32</v>
      </c>
      <c r="D6197" t="s">
        <v>45</v>
      </c>
      <c r="E6197" t="s">
        <v>46</v>
      </c>
      <c r="F6197" t="s">
        <v>47</v>
      </c>
      <c r="G6197" t="s">
        <v>48</v>
      </c>
    </row>
    <row r="6198" spans="1:7" x14ac:dyDescent="0.3">
      <c r="A6198" t="s">
        <v>35</v>
      </c>
      <c r="B6198" t="s">
        <v>1336</v>
      </c>
      <c r="C6198">
        <v>2094</v>
      </c>
      <c r="D6198">
        <v>9119.17</v>
      </c>
      <c r="E6198">
        <v>6533.33</v>
      </c>
      <c r="F6198">
        <v>0</v>
      </c>
      <c r="G6198">
        <v>151333.32999999999</v>
      </c>
    </row>
    <row r="6199" spans="1:7" x14ac:dyDescent="0.3">
      <c r="A6199" t="s">
        <v>35</v>
      </c>
      <c r="B6199" t="s">
        <v>1338</v>
      </c>
      <c r="C6199">
        <v>246</v>
      </c>
      <c r="D6199">
        <v>11181.79</v>
      </c>
      <c r="E6199">
        <v>8816.67</v>
      </c>
      <c r="F6199">
        <v>0</v>
      </c>
      <c r="G6199">
        <v>107633.33</v>
      </c>
    </row>
    <row r="6200" spans="1:7" x14ac:dyDescent="0.3">
      <c r="A6200" t="s">
        <v>35</v>
      </c>
      <c r="B6200" t="s">
        <v>1339</v>
      </c>
      <c r="C6200">
        <v>805</v>
      </c>
      <c r="D6200">
        <v>5945.04</v>
      </c>
      <c r="E6200">
        <v>2593.33</v>
      </c>
      <c r="F6200">
        <v>0</v>
      </c>
      <c r="G6200">
        <v>46963.33</v>
      </c>
    </row>
    <row r="6201" spans="1:7" x14ac:dyDescent="0.3">
      <c r="A6201" t="s">
        <v>37</v>
      </c>
      <c r="B6201" t="s">
        <v>1336</v>
      </c>
      <c r="C6201">
        <v>2494</v>
      </c>
      <c r="D6201">
        <v>8742.94</v>
      </c>
      <c r="E6201">
        <v>6450</v>
      </c>
      <c r="F6201">
        <v>0</v>
      </c>
      <c r="G6201">
        <v>126333.33</v>
      </c>
    </row>
    <row r="6202" spans="1:7" x14ac:dyDescent="0.3">
      <c r="A6202" t="s">
        <v>37</v>
      </c>
      <c r="B6202" t="s">
        <v>1338</v>
      </c>
      <c r="C6202">
        <v>433</v>
      </c>
      <c r="D6202">
        <v>11790.32</v>
      </c>
      <c r="E6202">
        <v>9400</v>
      </c>
      <c r="F6202">
        <v>500</v>
      </c>
      <c r="G6202">
        <v>52980</v>
      </c>
    </row>
    <row r="6203" spans="1:7" x14ac:dyDescent="0.3">
      <c r="A6203" t="s">
        <v>37</v>
      </c>
      <c r="B6203" t="s">
        <v>1339</v>
      </c>
      <c r="C6203">
        <v>928</v>
      </c>
      <c r="D6203">
        <v>4325.41</v>
      </c>
      <c r="E6203">
        <v>2603.33</v>
      </c>
      <c r="F6203">
        <v>0</v>
      </c>
      <c r="G6203">
        <v>77750</v>
      </c>
    </row>
    <row r="6204" spans="1:7" x14ac:dyDescent="0.3">
      <c r="A6204" t="s">
        <v>36</v>
      </c>
      <c r="B6204" t="s">
        <v>1336</v>
      </c>
      <c r="C6204">
        <v>1515</v>
      </c>
      <c r="D6204">
        <v>7974.66</v>
      </c>
      <c r="E6204">
        <v>5725</v>
      </c>
      <c r="F6204">
        <v>0</v>
      </c>
      <c r="G6204">
        <v>73850</v>
      </c>
    </row>
    <row r="6205" spans="1:7" x14ac:dyDescent="0.3">
      <c r="A6205" t="s">
        <v>36</v>
      </c>
      <c r="B6205" t="s">
        <v>1338</v>
      </c>
      <c r="C6205">
        <v>235</v>
      </c>
      <c r="D6205">
        <v>10174.18</v>
      </c>
      <c r="E6205">
        <v>8750</v>
      </c>
      <c r="F6205">
        <v>0</v>
      </c>
      <c r="G6205">
        <v>62300</v>
      </c>
    </row>
    <row r="6206" spans="1:7" x14ac:dyDescent="0.3">
      <c r="A6206" t="s">
        <v>36</v>
      </c>
      <c r="B6206" t="s">
        <v>1339</v>
      </c>
      <c r="C6206">
        <v>555</v>
      </c>
      <c r="D6206">
        <v>4566.4399999999996</v>
      </c>
      <c r="E6206">
        <v>2985</v>
      </c>
      <c r="F6206">
        <v>0</v>
      </c>
      <c r="G6206">
        <v>42218.33</v>
      </c>
    </row>
    <row r="6207" spans="1:7" x14ac:dyDescent="0.3">
      <c r="A6207" t="s">
        <v>34</v>
      </c>
      <c r="B6207" t="s">
        <v>1336</v>
      </c>
      <c r="C6207">
        <v>1346</v>
      </c>
      <c r="D6207">
        <v>8496.02</v>
      </c>
      <c r="E6207">
        <v>5900</v>
      </c>
      <c r="F6207">
        <v>0</v>
      </c>
      <c r="G6207">
        <v>143875.67000000001</v>
      </c>
    </row>
    <row r="6208" spans="1:7" x14ac:dyDescent="0.3">
      <c r="A6208" t="s">
        <v>34</v>
      </c>
      <c r="B6208" t="s">
        <v>1338</v>
      </c>
      <c r="C6208">
        <v>134</v>
      </c>
      <c r="D6208">
        <v>11960.37</v>
      </c>
      <c r="E6208">
        <v>8866.67</v>
      </c>
      <c r="F6208">
        <v>0</v>
      </c>
      <c r="G6208">
        <v>69641.67</v>
      </c>
    </row>
    <row r="6209" spans="1:7" x14ac:dyDescent="0.3">
      <c r="A6209" t="s">
        <v>34</v>
      </c>
      <c r="B6209" t="s">
        <v>1339</v>
      </c>
      <c r="C6209">
        <v>600</v>
      </c>
      <c r="D6209">
        <v>4285.67</v>
      </c>
      <c r="E6209">
        <v>2400</v>
      </c>
      <c r="F6209">
        <v>0</v>
      </c>
      <c r="G6209">
        <v>65396.67</v>
      </c>
    </row>
    <row r="6210" spans="1:7" x14ac:dyDescent="0.3">
      <c r="A6210" t="s">
        <v>33</v>
      </c>
      <c r="B6210" t="s">
        <v>1336</v>
      </c>
      <c r="C6210">
        <v>1392</v>
      </c>
      <c r="D6210">
        <v>8362.48</v>
      </c>
      <c r="E6210">
        <v>6266.67</v>
      </c>
      <c r="F6210">
        <v>0</v>
      </c>
      <c r="G6210">
        <v>590000</v>
      </c>
    </row>
    <row r="6211" spans="1:7" x14ac:dyDescent="0.3">
      <c r="A6211" t="s">
        <v>33</v>
      </c>
      <c r="B6211" t="s">
        <v>1338</v>
      </c>
      <c r="C6211">
        <v>88</v>
      </c>
      <c r="D6211">
        <v>11408.3</v>
      </c>
      <c r="E6211">
        <v>8400</v>
      </c>
      <c r="F6211">
        <v>0</v>
      </c>
      <c r="G6211">
        <v>42600</v>
      </c>
    </row>
    <row r="6212" spans="1:7" x14ac:dyDescent="0.3">
      <c r="A6212" t="s">
        <v>33</v>
      </c>
      <c r="B6212" t="s">
        <v>1339</v>
      </c>
      <c r="C6212">
        <v>457</v>
      </c>
      <c r="D6212">
        <v>3321.29</v>
      </c>
      <c r="E6212">
        <v>2100</v>
      </c>
      <c r="F6212">
        <v>0</v>
      </c>
      <c r="G6212">
        <v>41333.33</v>
      </c>
    </row>
    <row r="6213" spans="1:7" x14ac:dyDescent="0.3">
      <c r="A6213" t="s">
        <v>49</v>
      </c>
      <c r="B6213" t="s">
        <v>1336</v>
      </c>
      <c r="C6213">
        <v>8841</v>
      </c>
      <c r="D6213">
        <v>8674.0499999999993</v>
      </c>
      <c r="E6213">
        <v>6266.67</v>
      </c>
      <c r="F6213">
        <v>0</v>
      </c>
      <c r="G6213">
        <v>590000</v>
      </c>
    </row>
    <row r="6214" spans="1:7" x14ac:dyDescent="0.3">
      <c r="A6214" t="s">
        <v>49</v>
      </c>
      <c r="B6214" t="s">
        <v>1338</v>
      </c>
      <c r="C6214">
        <v>1136</v>
      </c>
      <c r="D6214">
        <v>11462.05</v>
      </c>
      <c r="E6214">
        <v>9133.33</v>
      </c>
      <c r="F6214">
        <v>0</v>
      </c>
      <c r="G6214">
        <v>107633.33</v>
      </c>
    </row>
    <row r="6215" spans="1:7" x14ac:dyDescent="0.3">
      <c r="A6215" t="s">
        <v>49</v>
      </c>
      <c r="B6215" t="s">
        <v>1339</v>
      </c>
      <c r="C6215">
        <v>3345</v>
      </c>
      <c r="D6215">
        <v>4695.6899999999996</v>
      </c>
      <c r="E6215">
        <v>2518.33</v>
      </c>
      <c r="F6215">
        <v>0</v>
      </c>
      <c r="G6215">
        <v>77750</v>
      </c>
    </row>
    <row r="6217" spans="1:7" x14ac:dyDescent="0.3">
      <c r="A6217" t="s">
        <v>1987</v>
      </c>
    </row>
    <row r="6218" spans="1:7" x14ac:dyDescent="0.3">
      <c r="A6218" t="s">
        <v>44</v>
      </c>
      <c r="B6218" t="s">
        <v>1625</v>
      </c>
      <c r="C6218" t="s">
        <v>32</v>
      </c>
      <c r="D6218" t="s">
        <v>45</v>
      </c>
      <c r="E6218" t="s">
        <v>46</v>
      </c>
      <c r="F6218" t="s">
        <v>47</v>
      </c>
      <c r="G6218" t="s">
        <v>48</v>
      </c>
    </row>
    <row r="6219" spans="1:7" x14ac:dyDescent="0.3">
      <c r="A6219" t="s">
        <v>35</v>
      </c>
      <c r="B6219" t="s">
        <v>1626</v>
      </c>
      <c r="C6219">
        <v>2225</v>
      </c>
      <c r="D6219">
        <v>9888.4</v>
      </c>
      <c r="E6219">
        <v>7333.33</v>
      </c>
      <c r="F6219">
        <v>0</v>
      </c>
      <c r="G6219">
        <v>151333.32999999999</v>
      </c>
    </row>
    <row r="6220" spans="1:7" x14ac:dyDescent="0.3">
      <c r="A6220" t="s">
        <v>35</v>
      </c>
      <c r="B6220" t="s">
        <v>1627</v>
      </c>
      <c r="C6220">
        <v>914</v>
      </c>
      <c r="D6220">
        <v>3325.52</v>
      </c>
      <c r="E6220">
        <v>2416.67</v>
      </c>
      <c r="F6220">
        <v>0</v>
      </c>
      <c r="G6220">
        <v>48183.33</v>
      </c>
    </row>
    <row r="6221" spans="1:7" x14ac:dyDescent="0.3">
      <c r="A6221" t="s">
        <v>35</v>
      </c>
      <c r="B6221" t="s">
        <v>365</v>
      </c>
      <c r="C6221">
        <v>6</v>
      </c>
      <c r="D6221">
        <v>884.05</v>
      </c>
      <c r="E6221">
        <v>0</v>
      </c>
      <c r="F6221">
        <v>0</v>
      </c>
      <c r="G6221">
        <v>9333.33</v>
      </c>
    </row>
    <row r="6222" spans="1:7" x14ac:dyDescent="0.3">
      <c r="A6222" t="s">
        <v>37</v>
      </c>
      <c r="B6222" t="s">
        <v>1626</v>
      </c>
      <c r="C6222">
        <v>2751</v>
      </c>
      <c r="D6222">
        <v>9854.51</v>
      </c>
      <c r="E6222">
        <v>7566.67</v>
      </c>
      <c r="F6222">
        <v>0</v>
      </c>
      <c r="G6222">
        <v>126333.33</v>
      </c>
    </row>
    <row r="6223" spans="1:7" x14ac:dyDescent="0.3">
      <c r="A6223" t="s">
        <v>37</v>
      </c>
      <c r="B6223" t="s">
        <v>1627</v>
      </c>
      <c r="C6223">
        <v>1103</v>
      </c>
      <c r="D6223">
        <v>3556.06</v>
      </c>
      <c r="E6223">
        <v>2733.33</v>
      </c>
      <c r="F6223">
        <v>0</v>
      </c>
      <c r="G6223">
        <v>25943.33</v>
      </c>
    </row>
    <row r="6224" spans="1:7" x14ac:dyDescent="0.3">
      <c r="A6224" t="s">
        <v>37</v>
      </c>
      <c r="B6224" t="s">
        <v>365</v>
      </c>
      <c r="C6224">
        <v>1</v>
      </c>
      <c r="D6224">
        <v>3366.67</v>
      </c>
      <c r="E6224">
        <v>3366.67</v>
      </c>
      <c r="F6224">
        <v>3366.67</v>
      </c>
      <c r="G6224">
        <v>3366.67</v>
      </c>
    </row>
    <row r="6225" spans="1:7" x14ac:dyDescent="0.3">
      <c r="A6225" t="s">
        <v>36</v>
      </c>
      <c r="B6225" t="s">
        <v>1626</v>
      </c>
      <c r="C6225">
        <v>1714</v>
      </c>
      <c r="D6225">
        <v>8310.86</v>
      </c>
      <c r="E6225">
        <v>6240</v>
      </c>
      <c r="F6225">
        <v>0</v>
      </c>
      <c r="G6225">
        <v>73850</v>
      </c>
    </row>
    <row r="6226" spans="1:7" x14ac:dyDescent="0.3">
      <c r="A6226" t="s">
        <v>36</v>
      </c>
      <c r="B6226" t="s">
        <v>1627</v>
      </c>
      <c r="C6226">
        <v>587</v>
      </c>
      <c r="D6226">
        <v>3952.49</v>
      </c>
      <c r="E6226">
        <v>2966.67</v>
      </c>
      <c r="F6226">
        <v>0</v>
      </c>
      <c r="G6226">
        <v>35166.67</v>
      </c>
    </row>
    <row r="6227" spans="1:7" x14ac:dyDescent="0.3">
      <c r="A6227" t="s">
        <v>36</v>
      </c>
      <c r="B6227" t="s">
        <v>365</v>
      </c>
      <c r="C6227">
        <v>4</v>
      </c>
      <c r="D6227">
        <v>3132.33</v>
      </c>
      <c r="E6227">
        <v>2690</v>
      </c>
      <c r="F6227">
        <v>0</v>
      </c>
      <c r="G6227">
        <v>8250</v>
      </c>
    </row>
    <row r="6228" spans="1:7" x14ac:dyDescent="0.3">
      <c r="A6228" t="s">
        <v>34</v>
      </c>
      <c r="B6228" t="s">
        <v>1626</v>
      </c>
      <c r="C6228">
        <v>1459</v>
      </c>
      <c r="D6228">
        <v>9036.01</v>
      </c>
      <c r="E6228">
        <v>6416.67</v>
      </c>
      <c r="F6228">
        <v>0</v>
      </c>
      <c r="G6228">
        <v>143875.67000000001</v>
      </c>
    </row>
    <row r="6229" spans="1:7" x14ac:dyDescent="0.3">
      <c r="A6229" t="s">
        <v>34</v>
      </c>
      <c r="B6229" t="s">
        <v>1627</v>
      </c>
      <c r="C6229">
        <v>619</v>
      </c>
      <c r="D6229">
        <v>3217.23</v>
      </c>
      <c r="E6229">
        <v>2476.67</v>
      </c>
      <c r="F6229">
        <v>0</v>
      </c>
      <c r="G6229">
        <v>45566.67</v>
      </c>
    </row>
    <row r="6230" spans="1:7" x14ac:dyDescent="0.3">
      <c r="A6230" t="s">
        <v>34</v>
      </c>
      <c r="B6230" t="s">
        <v>365</v>
      </c>
      <c r="C6230">
        <v>2</v>
      </c>
      <c r="D6230">
        <v>2750</v>
      </c>
      <c r="E6230">
        <v>0</v>
      </c>
      <c r="F6230">
        <v>0</v>
      </c>
      <c r="G6230">
        <v>5500</v>
      </c>
    </row>
    <row r="6231" spans="1:7" x14ac:dyDescent="0.3">
      <c r="A6231" t="s">
        <v>33</v>
      </c>
      <c r="B6231" t="s">
        <v>1626</v>
      </c>
      <c r="C6231">
        <v>1336</v>
      </c>
      <c r="D6231">
        <v>9046.91</v>
      </c>
      <c r="E6231">
        <v>6875</v>
      </c>
      <c r="F6231">
        <v>0</v>
      </c>
      <c r="G6231">
        <v>590000</v>
      </c>
    </row>
    <row r="6232" spans="1:7" x14ac:dyDescent="0.3">
      <c r="A6232" t="s">
        <v>33</v>
      </c>
      <c r="B6232" t="s">
        <v>1627</v>
      </c>
      <c r="C6232">
        <v>600</v>
      </c>
      <c r="D6232">
        <v>3260.95</v>
      </c>
      <c r="E6232">
        <v>2526.67</v>
      </c>
      <c r="F6232">
        <v>0</v>
      </c>
      <c r="G6232">
        <v>21916.67</v>
      </c>
    </row>
    <row r="6233" spans="1:7" x14ac:dyDescent="0.3">
      <c r="A6233" t="s">
        <v>33</v>
      </c>
      <c r="B6233" t="s">
        <v>365</v>
      </c>
      <c r="C6233">
        <v>1</v>
      </c>
      <c r="D6233">
        <v>1616.67</v>
      </c>
      <c r="E6233">
        <v>1616.67</v>
      </c>
      <c r="F6233">
        <v>1616.67</v>
      </c>
      <c r="G6233">
        <v>1616.67</v>
      </c>
    </row>
    <row r="6234" spans="1:7" x14ac:dyDescent="0.3">
      <c r="A6234" t="s">
        <v>49</v>
      </c>
      <c r="B6234" t="s">
        <v>1626</v>
      </c>
      <c r="C6234">
        <v>9485</v>
      </c>
      <c r="D6234">
        <v>9444.7900000000009</v>
      </c>
      <c r="E6234">
        <v>7100</v>
      </c>
      <c r="F6234">
        <v>0</v>
      </c>
      <c r="G6234">
        <v>590000</v>
      </c>
    </row>
    <row r="6235" spans="1:7" x14ac:dyDescent="0.3">
      <c r="A6235" t="s">
        <v>49</v>
      </c>
      <c r="B6235" t="s">
        <v>1627</v>
      </c>
      <c r="C6235">
        <v>3823</v>
      </c>
      <c r="D6235">
        <v>3414.16</v>
      </c>
      <c r="E6235">
        <v>2616.67</v>
      </c>
      <c r="F6235">
        <v>0</v>
      </c>
      <c r="G6235">
        <v>48183.33</v>
      </c>
    </row>
    <row r="6236" spans="1:7" x14ac:dyDescent="0.3">
      <c r="A6236" t="s">
        <v>49</v>
      </c>
      <c r="B6236" t="s">
        <v>365</v>
      </c>
      <c r="C6236">
        <v>14</v>
      </c>
      <c r="D6236">
        <v>1583.43</v>
      </c>
      <c r="E6236">
        <v>1416</v>
      </c>
      <c r="F6236">
        <v>0</v>
      </c>
      <c r="G6236">
        <v>9333.33</v>
      </c>
    </row>
    <row r="6238" spans="1:7" x14ac:dyDescent="0.3">
      <c r="A6238" t="s">
        <v>1988</v>
      </c>
    </row>
    <row r="6239" spans="1:7" x14ac:dyDescent="0.3">
      <c r="A6239" t="s">
        <v>44</v>
      </c>
      <c r="B6239" t="s">
        <v>1989</v>
      </c>
      <c r="C6239" t="s">
        <v>32</v>
      </c>
      <c r="D6239" t="s">
        <v>45</v>
      </c>
      <c r="E6239" t="s">
        <v>46</v>
      </c>
      <c r="F6239" t="s">
        <v>47</v>
      </c>
      <c r="G6239" t="s">
        <v>48</v>
      </c>
    </row>
    <row r="6240" spans="1:7" x14ac:dyDescent="0.3">
      <c r="A6240" t="s">
        <v>35</v>
      </c>
      <c r="B6240" t="s">
        <v>1990</v>
      </c>
      <c r="C6240">
        <v>3046</v>
      </c>
      <c r="D6240">
        <v>8482.32</v>
      </c>
      <c r="E6240">
        <v>5833.33</v>
      </c>
      <c r="F6240">
        <v>0</v>
      </c>
      <c r="G6240">
        <v>151333.32999999999</v>
      </c>
    </row>
    <row r="6241" spans="1:7" x14ac:dyDescent="0.3">
      <c r="A6241" t="s">
        <v>35</v>
      </c>
      <c r="B6241" t="s">
        <v>1991</v>
      </c>
      <c r="C6241">
        <v>72</v>
      </c>
      <c r="D6241">
        <v>3784.2</v>
      </c>
      <c r="E6241">
        <v>3316.67</v>
      </c>
      <c r="F6241">
        <v>506.67</v>
      </c>
      <c r="G6241">
        <v>16466.669999999998</v>
      </c>
    </row>
    <row r="6242" spans="1:7" x14ac:dyDescent="0.3">
      <c r="A6242" t="s">
        <v>35</v>
      </c>
      <c r="B6242" t="s">
        <v>365</v>
      </c>
      <c r="C6242">
        <v>27</v>
      </c>
      <c r="D6242">
        <v>5726.91</v>
      </c>
      <c r="E6242">
        <v>4716.67</v>
      </c>
      <c r="F6242">
        <v>210</v>
      </c>
      <c r="G6242">
        <v>20176.669999999998</v>
      </c>
    </row>
    <row r="6243" spans="1:7" x14ac:dyDescent="0.3">
      <c r="A6243" t="s">
        <v>37</v>
      </c>
      <c r="B6243" t="s">
        <v>1990</v>
      </c>
      <c r="C6243">
        <v>3725</v>
      </c>
      <c r="D6243">
        <v>8153.43</v>
      </c>
      <c r="E6243">
        <v>5826.67</v>
      </c>
      <c r="F6243">
        <v>0</v>
      </c>
      <c r="G6243">
        <v>126333.33</v>
      </c>
    </row>
    <row r="6244" spans="1:7" x14ac:dyDescent="0.3">
      <c r="A6244" t="s">
        <v>37</v>
      </c>
      <c r="B6244" t="s">
        <v>1991</v>
      </c>
      <c r="C6244">
        <v>119</v>
      </c>
      <c r="D6244">
        <v>4368.63</v>
      </c>
      <c r="E6244">
        <v>2900</v>
      </c>
      <c r="F6244">
        <v>0</v>
      </c>
      <c r="G6244">
        <v>36666.67</v>
      </c>
    </row>
    <row r="6245" spans="1:7" x14ac:dyDescent="0.3">
      <c r="A6245" t="s">
        <v>37</v>
      </c>
      <c r="B6245" t="s">
        <v>365</v>
      </c>
      <c r="C6245">
        <v>11</v>
      </c>
      <c r="D6245">
        <v>9513.69</v>
      </c>
      <c r="E6245">
        <v>4100</v>
      </c>
      <c r="F6245">
        <v>531.66999999999996</v>
      </c>
      <c r="G6245">
        <v>45741.67</v>
      </c>
    </row>
    <row r="6246" spans="1:7" x14ac:dyDescent="0.3">
      <c r="A6246" t="s">
        <v>36</v>
      </c>
      <c r="B6246" t="s">
        <v>1990</v>
      </c>
      <c r="C6246">
        <v>2199</v>
      </c>
      <c r="D6246">
        <v>7341.95</v>
      </c>
      <c r="E6246">
        <v>5060</v>
      </c>
      <c r="F6246">
        <v>0</v>
      </c>
      <c r="G6246">
        <v>73850</v>
      </c>
    </row>
    <row r="6247" spans="1:7" x14ac:dyDescent="0.3">
      <c r="A6247" t="s">
        <v>36</v>
      </c>
      <c r="B6247" t="s">
        <v>1991</v>
      </c>
      <c r="C6247">
        <v>83</v>
      </c>
      <c r="D6247">
        <v>7323.09</v>
      </c>
      <c r="E6247">
        <v>5433.33</v>
      </c>
      <c r="F6247">
        <v>383.33</v>
      </c>
      <c r="G6247">
        <v>43446.67</v>
      </c>
    </row>
    <row r="6248" spans="1:7" x14ac:dyDescent="0.3">
      <c r="A6248" t="s">
        <v>36</v>
      </c>
      <c r="B6248" t="s">
        <v>365</v>
      </c>
      <c r="C6248">
        <v>23</v>
      </c>
      <c r="D6248">
        <v>7392.5</v>
      </c>
      <c r="E6248">
        <v>2350</v>
      </c>
      <c r="F6248">
        <v>0</v>
      </c>
      <c r="G6248">
        <v>29833.33</v>
      </c>
    </row>
    <row r="6249" spans="1:7" x14ac:dyDescent="0.3">
      <c r="A6249" t="s">
        <v>34</v>
      </c>
      <c r="B6249" t="s">
        <v>1990</v>
      </c>
      <c r="C6249">
        <v>1982</v>
      </c>
      <c r="D6249">
        <v>7734.37</v>
      </c>
      <c r="E6249">
        <v>5253</v>
      </c>
      <c r="F6249">
        <v>0</v>
      </c>
      <c r="G6249">
        <v>143875.67000000001</v>
      </c>
    </row>
    <row r="6250" spans="1:7" x14ac:dyDescent="0.3">
      <c r="A6250" t="s">
        <v>34</v>
      </c>
      <c r="B6250" t="s">
        <v>1991</v>
      </c>
      <c r="C6250">
        <v>77</v>
      </c>
      <c r="D6250">
        <v>7313.62</v>
      </c>
      <c r="E6250">
        <v>4375</v>
      </c>
      <c r="F6250">
        <v>0</v>
      </c>
      <c r="G6250">
        <v>73066.67</v>
      </c>
    </row>
    <row r="6251" spans="1:7" x14ac:dyDescent="0.3">
      <c r="A6251" t="s">
        <v>34</v>
      </c>
      <c r="B6251" t="s">
        <v>365</v>
      </c>
      <c r="C6251">
        <v>21</v>
      </c>
      <c r="D6251">
        <v>3015.79</v>
      </c>
      <c r="E6251">
        <v>1568.33</v>
      </c>
      <c r="F6251">
        <v>0</v>
      </c>
      <c r="G6251">
        <v>11703.33</v>
      </c>
    </row>
    <row r="6252" spans="1:7" x14ac:dyDescent="0.3">
      <c r="A6252" t="s">
        <v>33</v>
      </c>
      <c r="B6252" t="s">
        <v>1990</v>
      </c>
      <c r="C6252">
        <v>1905</v>
      </c>
      <c r="D6252">
        <v>7314.32</v>
      </c>
      <c r="E6252">
        <v>5266.67</v>
      </c>
      <c r="F6252">
        <v>0</v>
      </c>
      <c r="G6252">
        <v>590000</v>
      </c>
    </row>
    <row r="6253" spans="1:7" s="5" customFormat="1" x14ac:dyDescent="0.3">
      <c r="A6253" s="5" t="s">
        <v>33</v>
      </c>
      <c r="B6253" s="5" t="s">
        <v>1991</v>
      </c>
      <c r="C6253" s="5">
        <v>26</v>
      </c>
      <c r="D6253" s="5">
        <v>5072.0600000000004</v>
      </c>
      <c r="E6253" s="5">
        <v>4080</v>
      </c>
      <c r="F6253" s="5">
        <v>700</v>
      </c>
      <c r="G6253" s="5">
        <v>35500</v>
      </c>
    </row>
    <row r="6254" spans="1:7" x14ac:dyDescent="0.3">
      <c r="A6254" t="s">
        <v>33</v>
      </c>
      <c r="B6254" t="s">
        <v>365</v>
      </c>
      <c r="C6254">
        <v>6</v>
      </c>
      <c r="D6254">
        <v>5927.98</v>
      </c>
      <c r="E6254">
        <v>3983.33</v>
      </c>
      <c r="F6254">
        <v>2866.67</v>
      </c>
      <c r="G6254">
        <v>10766.67</v>
      </c>
    </row>
    <row r="6255" spans="1:7" x14ac:dyDescent="0.3">
      <c r="A6255" t="s">
        <v>49</v>
      </c>
      <c r="B6255" t="s">
        <v>1990</v>
      </c>
      <c r="C6255">
        <v>12857</v>
      </c>
      <c r="D6255">
        <v>7967.48</v>
      </c>
      <c r="E6255">
        <v>5533.33</v>
      </c>
      <c r="F6255">
        <v>0</v>
      </c>
      <c r="G6255">
        <v>590000</v>
      </c>
    </row>
    <row r="6256" spans="1:7" x14ac:dyDescent="0.3">
      <c r="A6256" t="s">
        <v>49</v>
      </c>
      <c r="B6256" t="s">
        <v>1991</v>
      </c>
      <c r="C6256">
        <v>377</v>
      </c>
      <c r="D6256">
        <v>5549.91</v>
      </c>
      <c r="E6256">
        <v>3450</v>
      </c>
      <c r="F6256">
        <v>0</v>
      </c>
      <c r="G6256">
        <v>73066.67</v>
      </c>
    </row>
    <row r="6257" spans="1:7" x14ac:dyDescent="0.3">
      <c r="A6257" t="s">
        <v>49</v>
      </c>
      <c r="B6257" t="s">
        <v>365</v>
      </c>
      <c r="C6257">
        <v>88</v>
      </c>
      <c r="D6257">
        <v>5351.8</v>
      </c>
      <c r="E6257">
        <v>3466.67</v>
      </c>
      <c r="F6257">
        <v>0</v>
      </c>
      <c r="G6257">
        <v>45741.67</v>
      </c>
    </row>
    <row r="6259" spans="1:7" x14ac:dyDescent="0.3">
      <c r="A6259" t="s">
        <v>1992</v>
      </c>
    </row>
    <row r="6260" spans="1:7" x14ac:dyDescent="0.3">
      <c r="A6260" t="s">
        <v>44</v>
      </c>
      <c r="B6260" t="s">
        <v>257</v>
      </c>
      <c r="C6260" t="s">
        <v>32</v>
      </c>
      <c r="D6260" t="s">
        <v>45</v>
      </c>
      <c r="E6260" t="s">
        <v>46</v>
      </c>
      <c r="F6260" t="s">
        <v>47</v>
      </c>
      <c r="G6260" t="s">
        <v>48</v>
      </c>
    </row>
    <row r="6261" spans="1:7" x14ac:dyDescent="0.3">
      <c r="A6261" t="s">
        <v>35</v>
      </c>
      <c r="B6261" t="s">
        <v>258</v>
      </c>
      <c r="C6261">
        <v>2873</v>
      </c>
      <c r="D6261">
        <v>8548.3799999999992</v>
      </c>
      <c r="E6261">
        <v>5883.33</v>
      </c>
      <c r="F6261">
        <v>0</v>
      </c>
      <c r="G6261">
        <v>151333.32999999999</v>
      </c>
    </row>
    <row r="6262" spans="1:7" x14ac:dyDescent="0.3">
      <c r="A6262" t="s">
        <v>35</v>
      </c>
      <c r="B6262" t="s">
        <v>260</v>
      </c>
      <c r="C6262">
        <v>272</v>
      </c>
      <c r="D6262">
        <v>6798.09</v>
      </c>
      <c r="E6262">
        <v>4646.67</v>
      </c>
      <c r="F6262">
        <v>0</v>
      </c>
      <c r="G6262">
        <v>48115</v>
      </c>
    </row>
    <row r="6263" spans="1:7" x14ac:dyDescent="0.3">
      <c r="A6263" t="s">
        <v>37</v>
      </c>
      <c r="B6263" t="s">
        <v>258</v>
      </c>
      <c r="C6263">
        <v>3855</v>
      </c>
      <c r="D6263">
        <v>8042.52</v>
      </c>
      <c r="E6263">
        <v>5666.67</v>
      </c>
      <c r="F6263">
        <v>0</v>
      </c>
      <c r="G6263">
        <v>126333.33</v>
      </c>
    </row>
    <row r="6264" spans="1:7" x14ac:dyDescent="0.3">
      <c r="A6264" t="s">
        <v>36</v>
      </c>
      <c r="B6264" t="s">
        <v>258</v>
      </c>
      <c r="C6264">
        <v>2100</v>
      </c>
      <c r="D6264">
        <v>7321.55</v>
      </c>
      <c r="E6264">
        <v>4991.67</v>
      </c>
      <c r="F6264">
        <v>0</v>
      </c>
      <c r="G6264">
        <v>73850</v>
      </c>
    </row>
    <row r="6265" spans="1:7" x14ac:dyDescent="0.3">
      <c r="A6265" t="s">
        <v>36</v>
      </c>
      <c r="B6265" t="s">
        <v>260</v>
      </c>
      <c r="C6265">
        <v>205</v>
      </c>
      <c r="D6265">
        <v>9866.0400000000009</v>
      </c>
      <c r="E6265">
        <v>6290</v>
      </c>
      <c r="F6265">
        <v>0</v>
      </c>
      <c r="G6265">
        <v>50500</v>
      </c>
    </row>
    <row r="6266" spans="1:7" x14ac:dyDescent="0.3">
      <c r="A6266" t="s">
        <v>34</v>
      </c>
      <c r="B6266" t="s">
        <v>258</v>
      </c>
      <c r="C6266">
        <v>1221</v>
      </c>
      <c r="D6266">
        <v>6219.67</v>
      </c>
      <c r="E6266">
        <v>4080</v>
      </c>
      <c r="F6266">
        <v>0</v>
      </c>
      <c r="G6266">
        <v>63183.33</v>
      </c>
    </row>
    <row r="6267" spans="1:7" x14ac:dyDescent="0.3">
      <c r="A6267" t="s">
        <v>34</v>
      </c>
      <c r="B6267" t="s">
        <v>260</v>
      </c>
      <c r="C6267">
        <v>859</v>
      </c>
      <c r="D6267">
        <v>8494.1299999999992</v>
      </c>
      <c r="E6267">
        <v>5666.67</v>
      </c>
      <c r="F6267">
        <v>0</v>
      </c>
      <c r="G6267">
        <v>143875.67000000001</v>
      </c>
    </row>
    <row r="6268" spans="1:7" x14ac:dyDescent="0.3">
      <c r="A6268" t="s">
        <v>33</v>
      </c>
      <c r="B6268" t="s">
        <v>258</v>
      </c>
      <c r="C6268">
        <v>1937</v>
      </c>
      <c r="D6268">
        <v>7278.18</v>
      </c>
      <c r="E6268">
        <v>5233.33</v>
      </c>
      <c r="F6268">
        <v>0</v>
      </c>
      <c r="G6268">
        <v>590000</v>
      </c>
    </row>
    <row r="6269" spans="1:7" x14ac:dyDescent="0.3">
      <c r="A6269" t="s">
        <v>49</v>
      </c>
      <c r="B6269" t="s">
        <v>258</v>
      </c>
      <c r="C6269">
        <v>11986</v>
      </c>
      <c r="D6269">
        <v>7830.45</v>
      </c>
      <c r="E6269">
        <v>5433.33</v>
      </c>
      <c r="F6269">
        <v>0</v>
      </c>
      <c r="G6269">
        <v>590000</v>
      </c>
    </row>
    <row r="6270" spans="1:7" x14ac:dyDescent="0.3">
      <c r="A6270" t="s">
        <v>49</v>
      </c>
      <c r="B6270" t="s">
        <v>260</v>
      </c>
      <c r="C6270">
        <v>1336</v>
      </c>
      <c r="D6270">
        <v>8157.45</v>
      </c>
      <c r="E6270">
        <v>5433.33</v>
      </c>
      <c r="F6270">
        <v>0</v>
      </c>
      <c r="G6270">
        <v>143875.67000000001</v>
      </c>
    </row>
    <row r="6272" spans="1:7" x14ac:dyDescent="0.3">
      <c r="A6272" t="s">
        <v>1993</v>
      </c>
    </row>
    <row r="6273" spans="1:52" x14ac:dyDescent="0.3">
      <c r="A6273" t="s">
        <v>44</v>
      </c>
      <c r="B6273" t="s">
        <v>1994</v>
      </c>
      <c r="C6273" t="s">
        <v>1995</v>
      </c>
      <c r="D6273" t="s">
        <v>1996</v>
      </c>
      <c r="E6273" t="s">
        <v>1997</v>
      </c>
      <c r="F6273" t="s">
        <v>1998</v>
      </c>
      <c r="G6273" t="s">
        <v>1999</v>
      </c>
      <c r="H6273" t="s">
        <v>2000</v>
      </c>
      <c r="I6273" t="s">
        <v>2001</v>
      </c>
      <c r="J6273" t="s">
        <v>2002</v>
      </c>
      <c r="K6273" t="s">
        <v>2003</v>
      </c>
      <c r="L6273" t="s">
        <v>2004</v>
      </c>
      <c r="M6273" t="s">
        <v>2005</v>
      </c>
      <c r="N6273" t="s">
        <v>2006</v>
      </c>
      <c r="O6273" t="s">
        <v>2007</v>
      </c>
      <c r="P6273" t="s">
        <v>2008</v>
      </c>
      <c r="Q6273" t="s">
        <v>2009</v>
      </c>
      <c r="R6273" t="s">
        <v>2010</v>
      </c>
      <c r="S6273" t="s">
        <v>2011</v>
      </c>
      <c r="T6273" t="s">
        <v>2012</v>
      </c>
      <c r="U6273" t="s">
        <v>2013</v>
      </c>
      <c r="V6273" t="s">
        <v>2014</v>
      </c>
      <c r="W6273" t="s">
        <v>2015</v>
      </c>
      <c r="X6273" t="s">
        <v>2016</v>
      </c>
      <c r="Y6273" t="s">
        <v>2017</v>
      </c>
      <c r="Z6273" t="s">
        <v>2018</v>
      </c>
      <c r="AA6273" t="s">
        <v>2019</v>
      </c>
      <c r="AB6273" t="s">
        <v>2020</v>
      </c>
      <c r="AC6273" t="s">
        <v>2021</v>
      </c>
      <c r="AD6273" t="s">
        <v>2022</v>
      </c>
      <c r="AE6273" t="s">
        <v>2023</v>
      </c>
      <c r="AF6273" t="s">
        <v>2024</v>
      </c>
      <c r="AG6273" t="s">
        <v>2025</v>
      </c>
      <c r="AH6273" t="s">
        <v>2026</v>
      </c>
      <c r="AI6273" t="s">
        <v>2027</v>
      </c>
      <c r="AJ6273" t="s">
        <v>2028</v>
      </c>
      <c r="AK6273" t="s">
        <v>2029</v>
      </c>
      <c r="AL6273" t="s">
        <v>2030</v>
      </c>
      <c r="AM6273" t="s">
        <v>2031</v>
      </c>
      <c r="AN6273" t="s">
        <v>2032</v>
      </c>
      <c r="AO6273" t="s">
        <v>2033</v>
      </c>
      <c r="AP6273" t="s">
        <v>2034</v>
      </c>
      <c r="AQ6273" t="s">
        <v>2035</v>
      </c>
      <c r="AR6273" t="s">
        <v>2036</v>
      </c>
      <c r="AS6273" t="s">
        <v>2037</v>
      </c>
      <c r="AT6273" t="s">
        <v>2038</v>
      </c>
      <c r="AU6273" t="s">
        <v>2039</v>
      </c>
      <c r="AV6273" t="s">
        <v>2040</v>
      </c>
      <c r="AW6273" t="s">
        <v>2041</v>
      </c>
      <c r="AX6273" t="s">
        <v>2042</v>
      </c>
      <c r="AY6273" t="s">
        <v>2043</v>
      </c>
    </row>
    <row r="6274" spans="1:52" x14ac:dyDescent="0.3">
      <c r="A6274" t="s">
        <v>35</v>
      </c>
      <c r="B6274">
        <v>2820</v>
      </c>
      <c r="C6274">
        <v>1003.65</v>
      </c>
      <c r="D6274">
        <v>0</v>
      </c>
      <c r="E6274">
        <v>0</v>
      </c>
      <c r="F6274">
        <v>40000</v>
      </c>
      <c r="G6274">
        <v>2729</v>
      </c>
      <c r="H6274">
        <v>385.05</v>
      </c>
      <c r="I6274">
        <v>300</v>
      </c>
      <c r="J6274">
        <v>0</v>
      </c>
      <c r="K6274">
        <v>8000</v>
      </c>
      <c r="L6274">
        <v>2557</v>
      </c>
      <c r="M6274">
        <v>758.89</v>
      </c>
      <c r="N6274">
        <v>500</v>
      </c>
      <c r="O6274">
        <v>0</v>
      </c>
      <c r="P6274">
        <v>10000</v>
      </c>
      <c r="Q6274">
        <v>3014</v>
      </c>
      <c r="R6274">
        <v>873.29</v>
      </c>
      <c r="S6274">
        <v>690</v>
      </c>
      <c r="T6274">
        <v>0</v>
      </c>
      <c r="U6274">
        <v>7000</v>
      </c>
      <c r="V6274">
        <v>2388</v>
      </c>
      <c r="W6274">
        <v>1109.74</v>
      </c>
      <c r="X6274">
        <v>0</v>
      </c>
      <c r="Y6274">
        <v>0</v>
      </c>
      <c r="Z6274">
        <v>20000</v>
      </c>
      <c r="AA6274">
        <v>2462</v>
      </c>
      <c r="AB6274">
        <v>439.88</v>
      </c>
      <c r="AC6274">
        <v>100</v>
      </c>
      <c r="AD6274">
        <v>0</v>
      </c>
      <c r="AE6274">
        <v>26000</v>
      </c>
      <c r="AF6274">
        <v>3074</v>
      </c>
      <c r="AG6274">
        <v>507.6</v>
      </c>
      <c r="AH6274">
        <v>450</v>
      </c>
      <c r="AI6274">
        <v>0</v>
      </c>
      <c r="AJ6274">
        <v>8000</v>
      </c>
      <c r="AK6274">
        <v>2219</v>
      </c>
      <c r="AL6274">
        <v>761.34</v>
      </c>
      <c r="AM6274">
        <v>0</v>
      </c>
      <c r="AN6274">
        <v>0</v>
      </c>
      <c r="AO6274">
        <v>80000</v>
      </c>
      <c r="AP6274">
        <v>2255</v>
      </c>
      <c r="AQ6274">
        <v>134.25</v>
      </c>
      <c r="AR6274">
        <v>0</v>
      </c>
      <c r="AS6274">
        <v>0</v>
      </c>
      <c r="AT6274">
        <v>60000</v>
      </c>
      <c r="AU6274">
        <v>1890</v>
      </c>
      <c r="AV6274">
        <v>303.83999999999997</v>
      </c>
      <c r="AW6274">
        <v>0</v>
      </c>
      <c r="AX6274">
        <v>0</v>
      </c>
      <c r="AY6274">
        <v>15000</v>
      </c>
    </row>
    <row r="6275" spans="1:52" x14ac:dyDescent="0.3">
      <c r="A6275" t="s">
        <v>37</v>
      </c>
      <c r="B6275">
        <v>2930</v>
      </c>
      <c r="C6275">
        <v>671.5</v>
      </c>
      <c r="D6275">
        <v>0</v>
      </c>
      <c r="E6275">
        <v>0</v>
      </c>
      <c r="F6275">
        <v>70000</v>
      </c>
      <c r="G6275">
        <v>2957</v>
      </c>
      <c r="H6275">
        <v>187.09</v>
      </c>
      <c r="I6275">
        <v>30</v>
      </c>
      <c r="J6275">
        <v>0</v>
      </c>
      <c r="K6275">
        <v>2500</v>
      </c>
      <c r="L6275">
        <v>3576</v>
      </c>
      <c r="M6275">
        <v>816.06</v>
      </c>
      <c r="N6275">
        <v>500</v>
      </c>
      <c r="O6275">
        <v>0</v>
      </c>
      <c r="P6275">
        <v>20000</v>
      </c>
      <c r="Q6275">
        <v>3770</v>
      </c>
      <c r="R6275">
        <v>1171.79</v>
      </c>
      <c r="S6275">
        <v>1000</v>
      </c>
      <c r="T6275">
        <v>0</v>
      </c>
      <c r="U6275">
        <v>25000</v>
      </c>
      <c r="V6275">
        <v>2946</v>
      </c>
      <c r="W6275">
        <v>1306.1500000000001</v>
      </c>
      <c r="X6275">
        <v>300</v>
      </c>
      <c r="Y6275">
        <v>0</v>
      </c>
      <c r="Z6275">
        <v>60000</v>
      </c>
      <c r="AA6275">
        <v>3133</v>
      </c>
      <c r="AB6275">
        <v>435.09</v>
      </c>
      <c r="AC6275">
        <v>200</v>
      </c>
      <c r="AD6275">
        <v>0</v>
      </c>
      <c r="AE6275">
        <v>16004</v>
      </c>
      <c r="AF6275">
        <v>3762</v>
      </c>
      <c r="AG6275">
        <v>457.96</v>
      </c>
      <c r="AH6275">
        <v>400</v>
      </c>
      <c r="AI6275">
        <v>0</v>
      </c>
      <c r="AJ6275">
        <v>7000</v>
      </c>
      <c r="AK6275">
        <v>2662</v>
      </c>
      <c r="AL6275">
        <v>462.12</v>
      </c>
      <c r="AM6275">
        <v>0</v>
      </c>
      <c r="AN6275">
        <v>0</v>
      </c>
      <c r="AO6275">
        <v>15000</v>
      </c>
      <c r="AP6275">
        <v>2536</v>
      </c>
      <c r="AQ6275">
        <v>226.59</v>
      </c>
      <c r="AR6275">
        <v>0</v>
      </c>
      <c r="AS6275">
        <v>0</v>
      </c>
      <c r="AT6275">
        <v>30000</v>
      </c>
      <c r="AU6275">
        <v>2501</v>
      </c>
      <c r="AV6275">
        <v>518.75</v>
      </c>
      <c r="AW6275">
        <v>0</v>
      </c>
      <c r="AX6275">
        <v>0</v>
      </c>
      <c r="AY6275">
        <v>20000</v>
      </c>
    </row>
    <row r="6276" spans="1:52" x14ac:dyDescent="0.3">
      <c r="A6276" t="s">
        <v>36</v>
      </c>
      <c r="B6276">
        <v>1195</v>
      </c>
      <c r="C6276">
        <v>1302.76</v>
      </c>
      <c r="D6276">
        <v>0</v>
      </c>
      <c r="E6276">
        <v>0</v>
      </c>
      <c r="F6276">
        <v>10000</v>
      </c>
      <c r="G6276">
        <v>1986</v>
      </c>
      <c r="H6276">
        <v>326.45</v>
      </c>
      <c r="I6276">
        <v>250</v>
      </c>
      <c r="J6276">
        <v>0</v>
      </c>
      <c r="K6276">
        <v>5000</v>
      </c>
      <c r="L6276">
        <v>1940</v>
      </c>
      <c r="M6276">
        <v>732.69</v>
      </c>
      <c r="N6276">
        <v>500</v>
      </c>
      <c r="O6276">
        <v>0</v>
      </c>
      <c r="P6276">
        <v>8000</v>
      </c>
      <c r="Q6276">
        <v>2157</v>
      </c>
      <c r="R6276">
        <v>1025.74</v>
      </c>
      <c r="S6276">
        <v>800</v>
      </c>
      <c r="T6276">
        <v>0</v>
      </c>
      <c r="U6276">
        <v>7000</v>
      </c>
      <c r="V6276">
        <v>1476</v>
      </c>
      <c r="W6276">
        <v>1568.08</v>
      </c>
      <c r="X6276">
        <v>800</v>
      </c>
      <c r="Y6276">
        <v>0</v>
      </c>
      <c r="Z6276">
        <v>18000</v>
      </c>
      <c r="AA6276">
        <v>1321</v>
      </c>
      <c r="AB6276">
        <v>541.12</v>
      </c>
      <c r="AC6276">
        <v>300</v>
      </c>
      <c r="AD6276">
        <v>0</v>
      </c>
      <c r="AE6276">
        <v>12000</v>
      </c>
      <c r="AF6276">
        <v>2170</v>
      </c>
      <c r="AG6276">
        <v>503.54</v>
      </c>
      <c r="AH6276">
        <v>500</v>
      </c>
      <c r="AI6276">
        <v>0</v>
      </c>
      <c r="AJ6276">
        <v>7200</v>
      </c>
      <c r="AK6276">
        <v>1035</v>
      </c>
      <c r="AL6276">
        <v>557.41999999999996</v>
      </c>
      <c r="AM6276">
        <v>0</v>
      </c>
      <c r="AN6276">
        <v>0</v>
      </c>
      <c r="AO6276">
        <v>16000</v>
      </c>
      <c r="AP6276">
        <v>997</v>
      </c>
      <c r="AQ6276">
        <v>464.16</v>
      </c>
      <c r="AR6276">
        <v>0</v>
      </c>
      <c r="AS6276">
        <v>0</v>
      </c>
      <c r="AT6276">
        <v>70000</v>
      </c>
      <c r="AU6276">
        <v>1097</v>
      </c>
      <c r="AV6276">
        <v>824.39</v>
      </c>
      <c r="AW6276">
        <v>0</v>
      </c>
      <c r="AX6276">
        <v>0</v>
      </c>
      <c r="AY6276">
        <v>10000</v>
      </c>
    </row>
    <row r="6277" spans="1:52" x14ac:dyDescent="0.3">
      <c r="A6277" t="s">
        <v>34</v>
      </c>
      <c r="B6277">
        <v>1824</v>
      </c>
      <c r="C6277">
        <v>659.3</v>
      </c>
      <c r="D6277">
        <v>0</v>
      </c>
      <c r="E6277">
        <v>0</v>
      </c>
      <c r="F6277">
        <v>20000</v>
      </c>
      <c r="G6277">
        <v>1906</v>
      </c>
      <c r="H6277">
        <v>216.14</v>
      </c>
      <c r="I6277">
        <v>150</v>
      </c>
      <c r="J6277">
        <v>0</v>
      </c>
      <c r="K6277">
        <v>6500</v>
      </c>
      <c r="L6277">
        <v>1831</v>
      </c>
      <c r="M6277">
        <v>569.41999999999996</v>
      </c>
      <c r="N6277">
        <v>400</v>
      </c>
      <c r="O6277">
        <v>0</v>
      </c>
      <c r="P6277">
        <v>12000</v>
      </c>
      <c r="Q6277">
        <v>1964</v>
      </c>
      <c r="R6277">
        <v>903.09</v>
      </c>
      <c r="S6277">
        <v>700</v>
      </c>
      <c r="T6277">
        <v>0</v>
      </c>
      <c r="U6277">
        <v>8000</v>
      </c>
      <c r="V6277">
        <v>1865</v>
      </c>
      <c r="W6277">
        <v>785.67</v>
      </c>
      <c r="X6277">
        <v>0</v>
      </c>
      <c r="Y6277">
        <v>0</v>
      </c>
      <c r="Z6277">
        <v>15450</v>
      </c>
      <c r="AA6277">
        <v>1900</v>
      </c>
      <c r="AB6277">
        <v>458.91</v>
      </c>
      <c r="AC6277">
        <v>0</v>
      </c>
      <c r="AD6277">
        <v>0</v>
      </c>
      <c r="AE6277">
        <v>60250</v>
      </c>
      <c r="AF6277">
        <v>2040</v>
      </c>
      <c r="AG6277">
        <v>485.44</v>
      </c>
      <c r="AH6277">
        <v>450</v>
      </c>
      <c r="AI6277">
        <v>0</v>
      </c>
      <c r="AJ6277">
        <v>5000</v>
      </c>
      <c r="AK6277">
        <v>1754</v>
      </c>
      <c r="AL6277">
        <v>217.2</v>
      </c>
      <c r="AM6277">
        <v>0</v>
      </c>
      <c r="AN6277">
        <v>0</v>
      </c>
      <c r="AO6277">
        <v>25000</v>
      </c>
      <c r="AP6277">
        <v>1808</v>
      </c>
      <c r="AQ6277">
        <v>315.42</v>
      </c>
      <c r="AR6277">
        <v>0</v>
      </c>
      <c r="AS6277">
        <v>0</v>
      </c>
      <c r="AT6277">
        <v>100000</v>
      </c>
      <c r="AU6277">
        <v>1663</v>
      </c>
      <c r="AV6277">
        <v>359.37</v>
      </c>
      <c r="AW6277">
        <v>0</v>
      </c>
      <c r="AX6277">
        <v>0</v>
      </c>
      <c r="AY6277">
        <v>14600</v>
      </c>
    </row>
    <row r="6278" spans="1:52" x14ac:dyDescent="0.3">
      <c r="A6278" t="s">
        <v>33</v>
      </c>
      <c r="B6278">
        <v>1725</v>
      </c>
      <c r="C6278">
        <v>411.84</v>
      </c>
      <c r="D6278">
        <v>0</v>
      </c>
      <c r="E6278">
        <v>0</v>
      </c>
      <c r="F6278">
        <v>19000</v>
      </c>
      <c r="G6278">
        <v>1752</v>
      </c>
      <c r="H6278">
        <v>206.77</v>
      </c>
      <c r="I6278">
        <v>140</v>
      </c>
      <c r="J6278">
        <v>0</v>
      </c>
      <c r="K6278">
        <v>2100</v>
      </c>
      <c r="L6278">
        <v>1814</v>
      </c>
      <c r="M6278">
        <v>571.04999999999995</v>
      </c>
      <c r="N6278">
        <v>500</v>
      </c>
      <c r="O6278">
        <v>0</v>
      </c>
      <c r="P6278">
        <v>8000</v>
      </c>
      <c r="Q6278">
        <v>1896</v>
      </c>
      <c r="R6278">
        <v>886.32</v>
      </c>
      <c r="S6278">
        <v>700</v>
      </c>
      <c r="T6278">
        <v>0</v>
      </c>
      <c r="U6278">
        <v>5000</v>
      </c>
      <c r="V6278">
        <v>1666</v>
      </c>
      <c r="W6278">
        <v>921.77</v>
      </c>
      <c r="X6278">
        <v>250</v>
      </c>
      <c r="Y6278">
        <v>0</v>
      </c>
      <c r="Z6278">
        <v>10000</v>
      </c>
      <c r="AA6278">
        <v>1680</v>
      </c>
      <c r="AB6278">
        <v>364.04</v>
      </c>
      <c r="AC6278">
        <v>60</v>
      </c>
      <c r="AD6278">
        <v>0</v>
      </c>
      <c r="AE6278">
        <v>25000</v>
      </c>
      <c r="AF6278">
        <v>1915</v>
      </c>
      <c r="AG6278">
        <v>445.26</v>
      </c>
      <c r="AH6278">
        <v>400</v>
      </c>
      <c r="AI6278">
        <v>0</v>
      </c>
      <c r="AJ6278">
        <v>2000</v>
      </c>
      <c r="AK6278">
        <v>1598</v>
      </c>
      <c r="AL6278">
        <v>328.71</v>
      </c>
      <c r="AM6278">
        <v>0</v>
      </c>
      <c r="AN6278">
        <v>0</v>
      </c>
      <c r="AO6278">
        <v>20000</v>
      </c>
      <c r="AP6278">
        <v>1545</v>
      </c>
      <c r="AQ6278">
        <v>156.46</v>
      </c>
      <c r="AR6278">
        <v>0</v>
      </c>
      <c r="AS6278">
        <v>0</v>
      </c>
      <c r="AT6278">
        <v>25000</v>
      </c>
      <c r="AU6278">
        <v>1509</v>
      </c>
      <c r="AV6278">
        <v>448.94</v>
      </c>
      <c r="AW6278">
        <v>0</v>
      </c>
      <c r="AX6278">
        <v>0</v>
      </c>
      <c r="AY6278">
        <v>10000</v>
      </c>
    </row>
    <row r="6279" spans="1:52" x14ac:dyDescent="0.3">
      <c r="A6279" t="s">
        <v>49</v>
      </c>
      <c r="B6279">
        <v>10494</v>
      </c>
      <c r="C6279">
        <v>766.25</v>
      </c>
      <c r="D6279">
        <v>0</v>
      </c>
      <c r="E6279">
        <v>0</v>
      </c>
      <c r="F6279">
        <v>70000</v>
      </c>
      <c r="G6279">
        <v>11330</v>
      </c>
      <c r="H6279">
        <v>267.86</v>
      </c>
      <c r="I6279">
        <v>200</v>
      </c>
      <c r="J6279">
        <v>0</v>
      </c>
      <c r="K6279">
        <v>8000</v>
      </c>
      <c r="L6279">
        <v>11718</v>
      </c>
      <c r="M6279">
        <v>708.17</v>
      </c>
      <c r="N6279">
        <v>500</v>
      </c>
      <c r="O6279">
        <v>0</v>
      </c>
      <c r="P6279">
        <v>20000</v>
      </c>
      <c r="Q6279">
        <v>12801</v>
      </c>
      <c r="R6279">
        <v>979.61</v>
      </c>
      <c r="S6279">
        <v>800</v>
      </c>
      <c r="T6279">
        <v>0</v>
      </c>
      <c r="U6279">
        <v>25000</v>
      </c>
      <c r="V6279">
        <v>10341</v>
      </c>
      <c r="W6279">
        <v>1088.1600000000001</v>
      </c>
      <c r="X6279">
        <v>0</v>
      </c>
      <c r="Y6279">
        <v>0</v>
      </c>
      <c r="Z6279">
        <v>60000</v>
      </c>
      <c r="AA6279">
        <v>10496</v>
      </c>
      <c r="AB6279">
        <v>435.83</v>
      </c>
      <c r="AC6279">
        <v>150</v>
      </c>
      <c r="AD6279">
        <v>0</v>
      </c>
      <c r="AE6279">
        <v>60250</v>
      </c>
      <c r="AF6279">
        <v>12961</v>
      </c>
      <c r="AG6279">
        <v>479.31</v>
      </c>
      <c r="AH6279">
        <v>450</v>
      </c>
      <c r="AI6279">
        <v>0</v>
      </c>
      <c r="AJ6279">
        <v>8000</v>
      </c>
      <c r="AK6279">
        <v>9268</v>
      </c>
      <c r="AL6279">
        <v>483.25</v>
      </c>
      <c r="AM6279">
        <v>0</v>
      </c>
      <c r="AN6279">
        <v>0</v>
      </c>
      <c r="AO6279">
        <v>80000</v>
      </c>
      <c r="AP6279">
        <v>9141</v>
      </c>
      <c r="AQ6279">
        <v>211.8</v>
      </c>
      <c r="AR6279">
        <v>0</v>
      </c>
      <c r="AS6279">
        <v>0</v>
      </c>
      <c r="AT6279">
        <v>100000</v>
      </c>
      <c r="AU6279">
        <v>8660</v>
      </c>
      <c r="AV6279">
        <v>428.68</v>
      </c>
      <c r="AW6279">
        <v>0</v>
      </c>
      <c r="AX6279">
        <v>0</v>
      </c>
      <c r="AY6279">
        <v>20000</v>
      </c>
    </row>
    <row r="6281" spans="1:52" x14ac:dyDescent="0.3">
      <c r="A6281" t="s">
        <v>2044</v>
      </c>
    </row>
    <row r="6282" spans="1:52" x14ac:dyDescent="0.3">
      <c r="A6282" t="s">
        <v>44</v>
      </c>
      <c r="B6282" t="s">
        <v>361</v>
      </c>
      <c r="C6282" t="s">
        <v>1994</v>
      </c>
      <c r="D6282" t="s">
        <v>1995</v>
      </c>
      <c r="E6282" t="s">
        <v>1996</v>
      </c>
      <c r="F6282" t="s">
        <v>1997</v>
      </c>
      <c r="G6282" t="s">
        <v>1998</v>
      </c>
      <c r="H6282" t="s">
        <v>1999</v>
      </c>
      <c r="I6282" t="s">
        <v>2000</v>
      </c>
      <c r="J6282" t="s">
        <v>2001</v>
      </c>
      <c r="K6282" t="s">
        <v>2002</v>
      </c>
      <c r="L6282" t="s">
        <v>2003</v>
      </c>
      <c r="M6282" t="s">
        <v>2004</v>
      </c>
      <c r="N6282" t="s">
        <v>2005</v>
      </c>
      <c r="O6282" t="s">
        <v>2006</v>
      </c>
      <c r="P6282" t="s">
        <v>2007</v>
      </c>
      <c r="Q6282" t="s">
        <v>2008</v>
      </c>
      <c r="R6282" t="s">
        <v>2009</v>
      </c>
      <c r="S6282" t="s">
        <v>2010</v>
      </c>
      <c r="T6282" t="s">
        <v>2011</v>
      </c>
      <c r="U6282" t="s">
        <v>2012</v>
      </c>
      <c r="V6282" t="s">
        <v>2013</v>
      </c>
      <c r="W6282" t="s">
        <v>2014</v>
      </c>
      <c r="X6282" t="s">
        <v>2015</v>
      </c>
      <c r="Y6282" t="s">
        <v>2016</v>
      </c>
      <c r="Z6282" t="s">
        <v>2017</v>
      </c>
      <c r="AA6282" t="s">
        <v>2018</v>
      </c>
      <c r="AB6282" t="s">
        <v>2019</v>
      </c>
      <c r="AC6282" t="s">
        <v>2020</v>
      </c>
      <c r="AD6282" t="s">
        <v>2021</v>
      </c>
      <c r="AE6282" t="s">
        <v>2022</v>
      </c>
      <c r="AF6282" t="s">
        <v>2023</v>
      </c>
      <c r="AG6282" t="s">
        <v>2024</v>
      </c>
      <c r="AH6282" t="s">
        <v>2025</v>
      </c>
      <c r="AI6282" t="s">
        <v>2026</v>
      </c>
      <c r="AJ6282" t="s">
        <v>2027</v>
      </c>
      <c r="AK6282" t="s">
        <v>2028</v>
      </c>
      <c r="AL6282" t="s">
        <v>2029</v>
      </c>
      <c r="AM6282" t="s">
        <v>2030</v>
      </c>
      <c r="AN6282" t="s">
        <v>2031</v>
      </c>
      <c r="AO6282" t="s">
        <v>2032</v>
      </c>
      <c r="AP6282" t="s">
        <v>2033</v>
      </c>
      <c r="AQ6282" t="s">
        <v>2034</v>
      </c>
      <c r="AR6282" t="s">
        <v>2035</v>
      </c>
      <c r="AS6282" t="s">
        <v>2036</v>
      </c>
      <c r="AT6282" t="s">
        <v>2037</v>
      </c>
      <c r="AU6282" t="s">
        <v>2038</v>
      </c>
      <c r="AV6282" t="s">
        <v>2039</v>
      </c>
      <c r="AW6282" t="s">
        <v>2040</v>
      </c>
      <c r="AX6282" t="s">
        <v>2041</v>
      </c>
      <c r="AY6282" t="s">
        <v>2042</v>
      </c>
      <c r="AZ6282" t="s">
        <v>2043</v>
      </c>
    </row>
    <row r="6283" spans="1:52" x14ac:dyDescent="0.3">
      <c r="A6283" t="s">
        <v>35</v>
      </c>
      <c r="B6283" t="s">
        <v>339</v>
      </c>
      <c r="C6283">
        <v>784</v>
      </c>
      <c r="D6283">
        <v>472.74</v>
      </c>
      <c r="E6283">
        <v>0</v>
      </c>
      <c r="F6283">
        <v>0</v>
      </c>
      <c r="G6283">
        <v>11000</v>
      </c>
      <c r="H6283">
        <v>795</v>
      </c>
      <c r="I6283">
        <v>352.36</v>
      </c>
      <c r="J6283">
        <v>200</v>
      </c>
      <c r="K6283">
        <v>0</v>
      </c>
      <c r="L6283">
        <v>2000</v>
      </c>
      <c r="M6283">
        <v>730</v>
      </c>
      <c r="N6283">
        <v>491.29</v>
      </c>
      <c r="O6283">
        <v>300</v>
      </c>
      <c r="P6283">
        <v>0</v>
      </c>
      <c r="Q6283">
        <v>5000</v>
      </c>
      <c r="R6283">
        <v>861</v>
      </c>
      <c r="S6283">
        <v>804.56</v>
      </c>
      <c r="T6283">
        <v>600</v>
      </c>
      <c r="U6283">
        <v>0</v>
      </c>
      <c r="V6283">
        <v>6000</v>
      </c>
      <c r="W6283">
        <v>709</v>
      </c>
      <c r="X6283">
        <v>819.8</v>
      </c>
      <c r="Y6283">
        <v>0</v>
      </c>
      <c r="Z6283">
        <v>0</v>
      </c>
      <c r="AA6283">
        <v>15000</v>
      </c>
      <c r="AB6283">
        <v>735</v>
      </c>
      <c r="AC6283">
        <v>256.23</v>
      </c>
      <c r="AD6283">
        <v>0</v>
      </c>
      <c r="AE6283">
        <v>0</v>
      </c>
      <c r="AF6283">
        <v>7000</v>
      </c>
      <c r="AG6283">
        <v>862</v>
      </c>
      <c r="AH6283">
        <v>416.85</v>
      </c>
      <c r="AI6283">
        <v>330</v>
      </c>
      <c r="AJ6283">
        <v>0</v>
      </c>
      <c r="AK6283">
        <v>2000</v>
      </c>
      <c r="AL6283">
        <v>672</v>
      </c>
      <c r="AM6283">
        <v>206.29</v>
      </c>
      <c r="AN6283">
        <v>0</v>
      </c>
      <c r="AO6283">
        <v>0</v>
      </c>
      <c r="AP6283">
        <v>8000</v>
      </c>
      <c r="AQ6283">
        <v>685</v>
      </c>
      <c r="AR6283">
        <v>67.97</v>
      </c>
      <c r="AS6283">
        <v>0</v>
      </c>
      <c r="AT6283">
        <v>0</v>
      </c>
      <c r="AU6283">
        <v>30000</v>
      </c>
      <c r="AV6283">
        <v>590</v>
      </c>
      <c r="AW6283">
        <v>201.06</v>
      </c>
      <c r="AX6283">
        <v>0</v>
      </c>
      <c r="AY6283">
        <v>0</v>
      </c>
      <c r="AZ6283">
        <v>7500</v>
      </c>
    </row>
    <row r="6284" spans="1:52" x14ac:dyDescent="0.3">
      <c r="A6284" t="s">
        <v>35</v>
      </c>
      <c r="B6284" t="s">
        <v>340</v>
      </c>
      <c r="C6284">
        <v>2000</v>
      </c>
      <c r="D6284">
        <v>1179.94</v>
      </c>
      <c r="E6284">
        <v>0</v>
      </c>
      <c r="F6284">
        <v>0</v>
      </c>
      <c r="G6284">
        <v>40000</v>
      </c>
      <c r="H6284">
        <v>1907</v>
      </c>
      <c r="I6284">
        <v>399.71</v>
      </c>
      <c r="J6284">
        <v>300</v>
      </c>
      <c r="K6284">
        <v>0</v>
      </c>
      <c r="L6284">
        <v>8000</v>
      </c>
      <c r="M6284">
        <v>1794</v>
      </c>
      <c r="N6284">
        <v>866.61</v>
      </c>
      <c r="O6284">
        <v>500</v>
      </c>
      <c r="P6284">
        <v>0</v>
      </c>
      <c r="Q6284">
        <v>10000</v>
      </c>
      <c r="R6284">
        <v>2116</v>
      </c>
      <c r="S6284">
        <v>898.15</v>
      </c>
      <c r="T6284">
        <v>700</v>
      </c>
      <c r="U6284">
        <v>0</v>
      </c>
      <c r="V6284">
        <v>7000</v>
      </c>
      <c r="W6284">
        <v>1664</v>
      </c>
      <c r="X6284">
        <v>1213.6300000000001</v>
      </c>
      <c r="Y6284">
        <v>0</v>
      </c>
      <c r="Z6284">
        <v>0</v>
      </c>
      <c r="AA6284">
        <v>20000</v>
      </c>
      <c r="AB6284">
        <v>1695</v>
      </c>
      <c r="AC6284">
        <v>515.39</v>
      </c>
      <c r="AD6284">
        <v>200</v>
      </c>
      <c r="AE6284">
        <v>0</v>
      </c>
      <c r="AF6284">
        <v>26000</v>
      </c>
      <c r="AG6284">
        <v>2174</v>
      </c>
      <c r="AH6284">
        <v>540.37</v>
      </c>
      <c r="AI6284">
        <v>500</v>
      </c>
      <c r="AJ6284">
        <v>0</v>
      </c>
      <c r="AK6284">
        <v>8000</v>
      </c>
      <c r="AL6284">
        <v>1532</v>
      </c>
      <c r="AM6284">
        <v>969.4</v>
      </c>
      <c r="AN6284">
        <v>0</v>
      </c>
      <c r="AO6284">
        <v>0</v>
      </c>
      <c r="AP6284">
        <v>35000</v>
      </c>
      <c r="AQ6284">
        <v>1555</v>
      </c>
      <c r="AR6284">
        <v>152.29</v>
      </c>
      <c r="AS6284">
        <v>0</v>
      </c>
      <c r="AT6284">
        <v>0</v>
      </c>
      <c r="AU6284">
        <v>60000</v>
      </c>
      <c r="AV6284">
        <v>1287</v>
      </c>
      <c r="AW6284">
        <v>350.69</v>
      </c>
      <c r="AX6284">
        <v>0</v>
      </c>
      <c r="AY6284">
        <v>0</v>
      </c>
      <c r="AZ6284">
        <v>15000</v>
      </c>
    </row>
    <row r="6285" spans="1:52" x14ac:dyDescent="0.3">
      <c r="A6285" t="s">
        <v>35</v>
      </c>
      <c r="B6285" t="s">
        <v>365</v>
      </c>
      <c r="C6285">
        <v>36</v>
      </c>
      <c r="D6285">
        <v>2893.06</v>
      </c>
      <c r="E6285">
        <v>0</v>
      </c>
      <c r="F6285">
        <v>0</v>
      </c>
      <c r="G6285">
        <v>9000</v>
      </c>
      <c r="H6285">
        <v>27</v>
      </c>
      <c r="I6285">
        <v>325.99</v>
      </c>
      <c r="J6285">
        <v>270</v>
      </c>
      <c r="K6285">
        <v>0</v>
      </c>
      <c r="L6285">
        <v>1000</v>
      </c>
      <c r="M6285">
        <v>33</v>
      </c>
      <c r="N6285">
        <v>642.84</v>
      </c>
      <c r="O6285">
        <v>500</v>
      </c>
      <c r="P6285">
        <v>0</v>
      </c>
      <c r="Q6285">
        <v>3000</v>
      </c>
      <c r="R6285">
        <v>37</v>
      </c>
      <c r="S6285">
        <v>1079.06</v>
      </c>
      <c r="T6285">
        <v>1000</v>
      </c>
      <c r="U6285">
        <v>200</v>
      </c>
      <c r="V6285">
        <v>3000</v>
      </c>
      <c r="W6285">
        <v>15</v>
      </c>
      <c r="X6285">
        <v>3380.87</v>
      </c>
      <c r="Y6285">
        <v>4000</v>
      </c>
      <c r="Z6285">
        <v>0</v>
      </c>
      <c r="AA6285">
        <v>8000</v>
      </c>
      <c r="AB6285">
        <v>32</v>
      </c>
      <c r="AC6285">
        <v>555.16</v>
      </c>
      <c r="AD6285">
        <v>200</v>
      </c>
      <c r="AE6285">
        <v>0</v>
      </c>
      <c r="AF6285">
        <v>3000</v>
      </c>
      <c r="AG6285">
        <v>38</v>
      </c>
      <c r="AH6285">
        <v>663.34</v>
      </c>
      <c r="AI6285">
        <v>600</v>
      </c>
      <c r="AJ6285">
        <v>175</v>
      </c>
      <c r="AK6285">
        <v>1500</v>
      </c>
      <c r="AL6285">
        <v>15</v>
      </c>
      <c r="AM6285">
        <v>2459.5500000000002</v>
      </c>
      <c r="AN6285">
        <v>0</v>
      </c>
      <c r="AO6285">
        <v>0</v>
      </c>
      <c r="AP6285">
        <v>80000</v>
      </c>
      <c r="AQ6285">
        <v>15</v>
      </c>
      <c r="AR6285">
        <v>1110.96</v>
      </c>
      <c r="AS6285">
        <v>0</v>
      </c>
      <c r="AT6285">
        <v>0</v>
      </c>
      <c r="AU6285">
        <v>40000</v>
      </c>
      <c r="AV6285">
        <v>13</v>
      </c>
      <c r="AW6285">
        <v>589.95000000000005</v>
      </c>
      <c r="AX6285">
        <v>0</v>
      </c>
      <c r="AY6285">
        <v>0</v>
      </c>
      <c r="AZ6285">
        <v>7000</v>
      </c>
    </row>
    <row r="6286" spans="1:52" x14ac:dyDescent="0.3">
      <c r="A6286" t="s">
        <v>37</v>
      </c>
      <c r="B6286" t="s">
        <v>339</v>
      </c>
      <c r="C6286">
        <v>800</v>
      </c>
      <c r="D6286">
        <v>148.04</v>
      </c>
      <c r="E6286">
        <v>0</v>
      </c>
      <c r="F6286">
        <v>0</v>
      </c>
      <c r="G6286">
        <v>23000</v>
      </c>
      <c r="H6286">
        <v>802</v>
      </c>
      <c r="I6286">
        <v>145.56</v>
      </c>
      <c r="J6286">
        <v>0</v>
      </c>
      <c r="K6286">
        <v>0</v>
      </c>
      <c r="L6286">
        <v>2400</v>
      </c>
      <c r="M6286">
        <v>977</v>
      </c>
      <c r="N6286">
        <v>708.53</v>
      </c>
      <c r="O6286">
        <v>500</v>
      </c>
      <c r="P6286">
        <v>0</v>
      </c>
      <c r="Q6286">
        <v>6000</v>
      </c>
      <c r="R6286">
        <v>1074</v>
      </c>
      <c r="S6286">
        <v>1151.52</v>
      </c>
      <c r="T6286">
        <v>900</v>
      </c>
      <c r="U6286">
        <v>0</v>
      </c>
      <c r="V6286">
        <v>25000</v>
      </c>
      <c r="W6286">
        <v>795</v>
      </c>
      <c r="X6286">
        <v>850.7</v>
      </c>
      <c r="Y6286">
        <v>0</v>
      </c>
      <c r="Z6286">
        <v>0</v>
      </c>
      <c r="AA6286">
        <v>15000</v>
      </c>
      <c r="AB6286">
        <v>856</v>
      </c>
      <c r="AC6286">
        <v>363.72</v>
      </c>
      <c r="AD6286">
        <v>150</v>
      </c>
      <c r="AE6286">
        <v>0</v>
      </c>
      <c r="AF6286">
        <v>5000</v>
      </c>
      <c r="AG6286">
        <v>1038</v>
      </c>
      <c r="AH6286">
        <v>411.83</v>
      </c>
      <c r="AI6286">
        <v>310</v>
      </c>
      <c r="AJ6286">
        <v>0</v>
      </c>
      <c r="AK6286">
        <v>7000</v>
      </c>
      <c r="AL6286">
        <v>698</v>
      </c>
      <c r="AM6286">
        <v>173.59</v>
      </c>
      <c r="AN6286">
        <v>0</v>
      </c>
      <c r="AO6286">
        <v>0</v>
      </c>
      <c r="AP6286">
        <v>10000</v>
      </c>
      <c r="AQ6286">
        <v>696</v>
      </c>
      <c r="AR6286">
        <v>192.34</v>
      </c>
      <c r="AS6286">
        <v>0</v>
      </c>
      <c r="AT6286">
        <v>0</v>
      </c>
      <c r="AU6286">
        <v>20000</v>
      </c>
      <c r="AV6286">
        <v>662</v>
      </c>
      <c r="AW6286">
        <v>437.2</v>
      </c>
      <c r="AX6286">
        <v>0</v>
      </c>
      <c r="AY6286">
        <v>0</v>
      </c>
      <c r="AZ6286">
        <v>10000</v>
      </c>
    </row>
    <row r="6287" spans="1:52" x14ac:dyDescent="0.3">
      <c r="A6287" t="s">
        <v>37</v>
      </c>
      <c r="B6287" t="s">
        <v>340</v>
      </c>
      <c r="C6287">
        <v>2098</v>
      </c>
      <c r="D6287">
        <v>861.46</v>
      </c>
      <c r="E6287">
        <v>0</v>
      </c>
      <c r="F6287">
        <v>0</v>
      </c>
      <c r="G6287">
        <v>70000</v>
      </c>
      <c r="H6287">
        <v>2123</v>
      </c>
      <c r="I6287">
        <v>202.5</v>
      </c>
      <c r="J6287">
        <v>60</v>
      </c>
      <c r="K6287">
        <v>0</v>
      </c>
      <c r="L6287">
        <v>2500</v>
      </c>
      <c r="M6287">
        <v>2563</v>
      </c>
      <c r="N6287">
        <v>854.26</v>
      </c>
      <c r="O6287">
        <v>600</v>
      </c>
      <c r="P6287">
        <v>0</v>
      </c>
      <c r="Q6287">
        <v>20000</v>
      </c>
      <c r="R6287">
        <v>2660</v>
      </c>
      <c r="S6287">
        <v>1179.03</v>
      </c>
      <c r="T6287">
        <v>1000</v>
      </c>
      <c r="U6287">
        <v>0</v>
      </c>
      <c r="V6287">
        <v>8000</v>
      </c>
      <c r="W6287">
        <v>2119</v>
      </c>
      <c r="X6287">
        <v>1466.89</v>
      </c>
      <c r="Y6287">
        <v>500</v>
      </c>
      <c r="Z6287">
        <v>0</v>
      </c>
      <c r="AA6287">
        <v>60000</v>
      </c>
      <c r="AB6287">
        <v>2245</v>
      </c>
      <c r="AC6287">
        <v>461.74</v>
      </c>
      <c r="AD6287">
        <v>250</v>
      </c>
      <c r="AE6287">
        <v>0</v>
      </c>
      <c r="AF6287">
        <v>16004</v>
      </c>
      <c r="AG6287">
        <v>2684</v>
      </c>
      <c r="AH6287">
        <v>471.88</v>
      </c>
      <c r="AI6287">
        <v>450</v>
      </c>
      <c r="AJ6287">
        <v>0</v>
      </c>
      <c r="AK6287">
        <v>5000</v>
      </c>
      <c r="AL6287">
        <v>1938</v>
      </c>
      <c r="AM6287">
        <v>560.87</v>
      </c>
      <c r="AN6287">
        <v>0</v>
      </c>
      <c r="AO6287">
        <v>0</v>
      </c>
      <c r="AP6287">
        <v>15000</v>
      </c>
      <c r="AQ6287">
        <v>1818</v>
      </c>
      <c r="AR6287">
        <v>237.04</v>
      </c>
      <c r="AS6287">
        <v>0</v>
      </c>
      <c r="AT6287">
        <v>0</v>
      </c>
      <c r="AU6287">
        <v>30000</v>
      </c>
      <c r="AV6287">
        <v>1813</v>
      </c>
      <c r="AW6287">
        <v>551.46</v>
      </c>
      <c r="AX6287">
        <v>0</v>
      </c>
      <c r="AY6287">
        <v>0</v>
      </c>
      <c r="AZ6287">
        <v>20000</v>
      </c>
    </row>
    <row r="6288" spans="1:52" x14ac:dyDescent="0.3">
      <c r="A6288" t="s">
        <v>37</v>
      </c>
      <c r="B6288" t="s">
        <v>365</v>
      </c>
      <c r="C6288">
        <v>32</v>
      </c>
      <c r="D6288">
        <v>1008.62</v>
      </c>
      <c r="E6288">
        <v>0</v>
      </c>
      <c r="F6288">
        <v>0</v>
      </c>
      <c r="G6288">
        <v>10000</v>
      </c>
      <c r="H6288">
        <v>32</v>
      </c>
      <c r="I6288">
        <v>195.18</v>
      </c>
      <c r="J6288">
        <v>0</v>
      </c>
      <c r="K6288">
        <v>0</v>
      </c>
      <c r="L6288">
        <v>2000</v>
      </c>
      <c r="M6288">
        <v>36</v>
      </c>
      <c r="N6288">
        <v>963.54</v>
      </c>
      <c r="O6288">
        <v>800</v>
      </c>
      <c r="P6288">
        <v>0</v>
      </c>
      <c r="Q6288">
        <v>3500</v>
      </c>
      <c r="R6288">
        <v>36</v>
      </c>
      <c r="S6288">
        <v>1226.3800000000001</v>
      </c>
      <c r="T6288">
        <v>1000</v>
      </c>
      <c r="U6288">
        <v>0</v>
      </c>
      <c r="V6288">
        <v>3000</v>
      </c>
      <c r="W6288">
        <v>32</v>
      </c>
      <c r="X6288">
        <v>1744.71</v>
      </c>
      <c r="Y6288">
        <v>1000</v>
      </c>
      <c r="Z6288">
        <v>0</v>
      </c>
      <c r="AA6288">
        <v>8000</v>
      </c>
      <c r="AB6288">
        <v>32</v>
      </c>
      <c r="AC6288">
        <v>463.61</v>
      </c>
      <c r="AD6288">
        <v>400</v>
      </c>
      <c r="AE6288">
        <v>0</v>
      </c>
      <c r="AF6288">
        <v>2000</v>
      </c>
      <c r="AG6288">
        <v>40</v>
      </c>
      <c r="AH6288">
        <v>682.61</v>
      </c>
      <c r="AI6288">
        <v>650</v>
      </c>
      <c r="AJ6288">
        <v>250</v>
      </c>
      <c r="AK6288">
        <v>1500</v>
      </c>
      <c r="AL6288">
        <v>26</v>
      </c>
      <c r="AM6288">
        <v>840.42</v>
      </c>
      <c r="AN6288">
        <v>0</v>
      </c>
      <c r="AO6288">
        <v>0</v>
      </c>
      <c r="AP6288">
        <v>7000</v>
      </c>
      <c r="AQ6288">
        <v>22</v>
      </c>
      <c r="AR6288">
        <v>443.63</v>
      </c>
      <c r="AS6288">
        <v>0</v>
      </c>
      <c r="AT6288">
        <v>0</v>
      </c>
      <c r="AU6288">
        <v>5000</v>
      </c>
      <c r="AV6288">
        <v>26</v>
      </c>
      <c r="AW6288">
        <v>296.08999999999997</v>
      </c>
      <c r="AX6288">
        <v>0</v>
      </c>
      <c r="AY6288">
        <v>0</v>
      </c>
      <c r="AZ6288">
        <v>2500</v>
      </c>
    </row>
    <row r="6289" spans="1:52" x14ac:dyDescent="0.3">
      <c r="A6289" t="s">
        <v>36</v>
      </c>
      <c r="B6289" t="s">
        <v>339</v>
      </c>
      <c r="C6289">
        <v>436</v>
      </c>
      <c r="D6289">
        <v>716.49</v>
      </c>
      <c r="E6289">
        <v>0</v>
      </c>
      <c r="F6289">
        <v>0</v>
      </c>
      <c r="G6289">
        <v>6000</v>
      </c>
      <c r="H6289">
        <v>656</v>
      </c>
      <c r="I6289">
        <v>265.13</v>
      </c>
      <c r="J6289">
        <v>215</v>
      </c>
      <c r="K6289">
        <v>0</v>
      </c>
      <c r="L6289">
        <v>5000</v>
      </c>
      <c r="M6289">
        <v>631</v>
      </c>
      <c r="N6289">
        <v>539.41</v>
      </c>
      <c r="O6289">
        <v>400</v>
      </c>
      <c r="P6289">
        <v>0</v>
      </c>
      <c r="Q6289">
        <v>8000</v>
      </c>
      <c r="R6289">
        <v>704</v>
      </c>
      <c r="S6289">
        <v>963.2</v>
      </c>
      <c r="T6289">
        <v>800</v>
      </c>
      <c r="U6289">
        <v>0</v>
      </c>
      <c r="V6289">
        <v>6500</v>
      </c>
      <c r="W6289">
        <v>486</v>
      </c>
      <c r="X6289">
        <v>1107.5999999999999</v>
      </c>
      <c r="Y6289">
        <v>450</v>
      </c>
      <c r="Z6289">
        <v>0</v>
      </c>
      <c r="AA6289">
        <v>10000</v>
      </c>
      <c r="AB6289">
        <v>452</v>
      </c>
      <c r="AC6289">
        <v>371.89</v>
      </c>
      <c r="AD6289">
        <v>250</v>
      </c>
      <c r="AE6289">
        <v>0</v>
      </c>
      <c r="AF6289">
        <v>5000</v>
      </c>
      <c r="AG6289">
        <v>705</v>
      </c>
      <c r="AH6289">
        <v>412.29</v>
      </c>
      <c r="AI6289">
        <v>350</v>
      </c>
      <c r="AJ6289">
        <v>0</v>
      </c>
      <c r="AK6289">
        <v>2000</v>
      </c>
      <c r="AL6289">
        <v>356</v>
      </c>
      <c r="AM6289">
        <v>214.45</v>
      </c>
      <c r="AN6289">
        <v>0</v>
      </c>
      <c r="AO6289">
        <v>0</v>
      </c>
      <c r="AP6289">
        <v>16000</v>
      </c>
      <c r="AQ6289">
        <v>362</v>
      </c>
      <c r="AR6289">
        <v>264.67</v>
      </c>
      <c r="AS6289">
        <v>0</v>
      </c>
      <c r="AT6289">
        <v>0</v>
      </c>
      <c r="AU6289">
        <v>50000</v>
      </c>
      <c r="AV6289">
        <v>387</v>
      </c>
      <c r="AW6289">
        <v>500.38</v>
      </c>
      <c r="AX6289">
        <v>0</v>
      </c>
      <c r="AY6289">
        <v>0</v>
      </c>
      <c r="AZ6289">
        <v>10000</v>
      </c>
    </row>
    <row r="6290" spans="1:52" x14ac:dyDescent="0.3">
      <c r="A6290" t="s">
        <v>36</v>
      </c>
      <c r="B6290" t="s">
        <v>340</v>
      </c>
      <c r="C6290">
        <v>740</v>
      </c>
      <c r="D6290">
        <v>1695.26</v>
      </c>
      <c r="E6290">
        <v>0</v>
      </c>
      <c r="F6290">
        <v>0</v>
      </c>
      <c r="G6290">
        <v>10000</v>
      </c>
      <c r="H6290">
        <v>1279</v>
      </c>
      <c r="I6290">
        <v>357.52</v>
      </c>
      <c r="J6290">
        <v>300</v>
      </c>
      <c r="K6290">
        <v>0</v>
      </c>
      <c r="L6290">
        <v>5000</v>
      </c>
      <c r="M6290">
        <v>1255</v>
      </c>
      <c r="N6290">
        <v>816.01</v>
      </c>
      <c r="O6290">
        <v>550</v>
      </c>
      <c r="P6290">
        <v>0</v>
      </c>
      <c r="Q6290">
        <v>7000</v>
      </c>
      <c r="R6290">
        <v>1394</v>
      </c>
      <c r="S6290">
        <v>1060.05</v>
      </c>
      <c r="T6290">
        <v>800</v>
      </c>
      <c r="U6290">
        <v>0</v>
      </c>
      <c r="V6290">
        <v>6500</v>
      </c>
      <c r="W6290">
        <v>947</v>
      </c>
      <c r="X6290">
        <v>1802.04</v>
      </c>
      <c r="Y6290">
        <v>1000</v>
      </c>
      <c r="Z6290">
        <v>0</v>
      </c>
      <c r="AA6290">
        <v>18000</v>
      </c>
      <c r="AB6290">
        <v>839</v>
      </c>
      <c r="AC6290">
        <v>618.34</v>
      </c>
      <c r="AD6290">
        <v>400</v>
      </c>
      <c r="AE6290">
        <v>0</v>
      </c>
      <c r="AF6290">
        <v>12000</v>
      </c>
      <c r="AG6290">
        <v>1404</v>
      </c>
      <c r="AH6290">
        <v>543.04999999999995</v>
      </c>
      <c r="AI6290">
        <v>500</v>
      </c>
      <c r="AJ6290">
        <v>0</v>
      </c>
      <c r="AK6290">
        <v>7200</v>
      </c>
      <c r="AL6290">
        <v>663</v>
      </c>
      <c r="AM6290">
        <v>717.38</v>
      </c>
      <c r="AN6290">
        <v>0</v>
      </c>
      <c r="AO6290">
        <v>0</v>
      </c>
      <c r="AP6290">
        <v>10000</v>
      </c>
      <c r="AQ6290">
        <v>623</v>
      </c>
      <c r="AR6290">
        <v>598.03</v>
      </c>
      <c r="AS6290">
        <v>0</v>
      </c>
      <c r="AT6290">
        <v>0</v>
      </c>
      <c r="AU6290">
        <v>70000</v>
      </c>
      <c r="AV6290">
        <v>693</v>
      </c>
      <c r="AW6290">
        <v>979.1</v>
      </c>
      <c r="AX6290">
        <v>300</v>
      </c>
      <c r="AY6290">
        <v>0</v>
      </c>
      <c r="AZ6290">
        <v>8000</v>
      </c>
    </row>
    <row r="6291" spans="1:52" x14ac:dyDescent="0.3">
      <c r="A6291" t="s">
        <v>36</v>
      </c>
      <c r="B6291" t="s">
        <v>365</v>
      </c>
      <c r="C6291">
        <v>19</v>
      </c>
      <c r="D6291">
        <v>114.61</v>
      </c>
      <c r="E6291">
        <v>0</v>
      </c>
      <c r="F6291">
        <v>0</v>
      </c>
      <c r="G6291">
        <v>3000</v>
      </c>
      <c r="H6291">
        <v>51</v>
      </c>
      <c r="I6291">
        <v>284.39999999999998</v>
      </c>
      <c r="J6291">
        <v>200</v>
      </c>
      <c r="K6291">
        <v>0</v>
      </c>
      <c r="L6291">
        <v>1300</v>
      </c>
      <c r="M6291">
        <v>54</v>
      </c>
      <c r="N6291">
        <v>910.53</v>
      </c>
      <c r="O6291">
        <v>700</v>
      </c>
      <c r="P6291">
        <v>0</v>
      </c>
      <c r="Q6291">
        <v>2500</v>
      </c>
      <c r="R6291">
        <v>59</v>
      </c>
      <c r="S6291">
        <v>903.43</v>
      </c>
      <c r="T6291">
        <v>650</v>
      </c>
      <c r="U6291">
        <v>100</v>
      </c>
      <c r="V6291">
        <v>7000</v>
      </c>
      <c r="W6291">
        <v>43</v>
      </c>
      <c r="X6291">
        <v>1179.4100000000001</v>
      </c>
      <c r="Y6291">
        <v>1000</v>
      </c>
      <c r="Z6291">
        <v>0</v>
      </c>
      <c r="AA6291">
        <v>3200</v>
      </c>
      <c r="AB6291">
        <v>30</v>
      </c>
      <c r="AC6291">
        <v>725.01</v>
      </c>
      <c r="AD6291">
        <v>200</v>
      </c>
      <c r="AE6291">
        <v>0</v>
      </c>
      <c r="AF6291">
        <v>5000</v>
      </c>
      <c r="AG6291">
        <v>61</v>
      </c>
      <c r="AH6291">
        <v>640.89</v>
      </c>
      <c r="AI6291">
        <v>600</v>
      </c>
      <c r="AJ6291">
        <v>100</v>
      </c>
      <c r="AK6291">
        <v>1500</v>
      </c>
      <c r="AL6291">
        <v>16</v>
      </c>
      <c r="AM6291">
        <v>459.21</v>
      </c>
      <c r="AN6291">
        <v>0</v>
      </c>
      <c r="AO6291">
        <v>0</v>
      </c>
      <c r="AP6291">
        <v>1000</v>
      </c>
      <c r="AQ6291">
        <v>12</v>
      </c>
      <c r="AR6291">
        <v>0</v>
      </c>
      <c r="AS6291">
        <v>0</v>
      </c>
      <c r="AT6291">
        <v>0</v>
      </c>
      <c r="AU6291">
        <v>0</v>
      </c>
      <c r="AV6291">
        <v>17</v>
      </c>
      <c r="AW6291">
        <v>996.87</v>
      </c>
      <c r="AX6291">
        <v>500</v>
      </c>
      <c r="AY6291">
        <v>0</v>
      </c>
      <c r="AZ6291">
        <v>7800</v>
      </c>
    </row>
    <row r="6292" spans="1:52" x14ac:dyDescent="0.3">
      <c r="A6292" t="s">
        <v>34</v>
      </c>
      <c r="B6292" t="s">
        <v>339</v>
      </c>
      <c r="C6292">
        <v>466</v>
      </c>
      <c r="D6292">
        <v>549</v>
      </c>
      <c r="E6292">
        <v>0</v>
      </c>
      <c r="F6292">
        <v>0</v>
      </c>
      <c r="G6292">
        <v>20000</v>
      </c>
      <c r="H6292">
        <v>496</v>
      </c>
      <c r="I6292">
        <v>187.26</v>
      </c>
      <c r="J6292">
        <v>100</v>
      </c>
      <c r="K6292">
        <v>0</v>
      </c>
      <c r="L6292">
        <v>3000</v>
      </c>
      <c r="M6292">
        <v>473</v>
      </c>
      <c r="N6292">
        <v>522.70000000000005</v>
      </c>
      <c r="O6292">
        <v>400</v>
      </c>
      <c r="P6292">
        <v>0</v>
      </c>
      <c r="Q6292">
        <v>12000</v>
      </c>
      <c r="R6292">
        <v>516</v>
      </c>
      <c r="S6292">
        <v>943.79</v>
      </c>
      <c r="T6292">
        <v>700</v>
      </c>
      <c r="U6292">
        <v>0</v>
      </c>
      <c r="V6292">
        <v>6000</v>
      </c>
      <c r="W6292">
        <v>486</v>
      </c>
      <c r="X6292">
        <v>733.36</v>
      </c>
      <c r="Y6292">
        <v>0</v>
      </c>
      <c r="Z6292">
        <v>0</v>
      </c>
      <c r="AA6292">
        <v>15450</v>
      </c>
      <c r="AB6292">
        <v>500</v>
      </c>
      <c r="AC6292">
        <v>482.15</v>
      </c>
      <c r="AD6292">
        <v>0</v>
      </c>
      <c r="AE6292">
        <v>0</v>
      </c>
      <c r="AF6292">
        <v>17000</v>
      </c>
      <c r="AG6292">
        <v>540</v>
      </c>
      <c r="AH6292">
        <v>495.34</v>
      </c>
      <c r="AI6292">
        <v>410</v>
      </c>
      <c r="AJ6292">
        <v>0</v>
      </c>
      <c r="AK6292">
        <v>5000</v>
      </c>
      <c r="AL6292">
        <v>465</v>
      </c>
      <c r="AM6292">
        <v>59.2</v>
      </c>
      <c r="AN6292">
        <v>0</v>
      </c>
      <c r="AO6292">
        <v>0</v>
      </c>
      <c r="AP6292">
        <v>10000</v>
      </c>
      <c r="AQ6292">
        <v>464</v>
      </c>
      <c r="AR6292">
        <v>759.99</v>
      </c>
      <c r="AS6292">
        <v>0</v>
      </c>
      <c r="AT6292">
        <v>0</v>
      </c>
      <c r="AU6292">
        <v>100000</v>
      </c>
      <c r="AV6292">
        <v>443</v>
      </c>
      <c r="AW6292">
        <v>458.06</v>
      </c>
      <c r="AX6292">
        <v>0</v>
      </c>
      <c r="AY6292">
        <v>0</v>
      </c>
      <c r="AZ6292">
        <v>14600</v>
      </c>
    </row>
    <row r="6293" spans="1:52" x14ac:dyDescent="0.3">
      <c r="A6293" t="s">
        <v>34</v>
      </c>
      <c r="B6293" t="s">
        <v>340</v>
      </c>
      <c r="C6293">
        <v>1341</v>
      </c>
      <c r="D6293">
        <v>705.12</v>
      </c>
      <c r="E6293">
        <v>0</v>
      </c>
      <c r="F6293">
        <v>0</v>
      </c>
      <c r="G6293">
        <v>18000</v>
      </c>
      <c r="H6293">
        <v>1392</v>
      </c>
      <c r="I6293">
        <v>228.14</v>
      </c>
      <c r="J6293">
        <v>170</v>
      </c>
      <c r="K6293">
        <v>0</v>
      </c>
      <c r="L6293">
        <v>6500</v>
      </c>
      <c r="M6293">
        <v>1342</v>
      </c>
      <c r="N6293">
        <v>584.71</v>
      </c>
      <c r="O6293">
        <v>400</v>
      </c>
      <c r="P6293">
        <v>0</v>
      </c>
      <c r="Q6293">
        <v>9004</v>
      </c>
      <c r="R6293">
        <v>1427</v>
      </c>
      <c r="S6293">
        <v>871.11</v>
      </c>
      <c r="T6293">
        <v>650</v>
      </c>
      <c r="U6293">
        <v>0</v>
      </c>
      <c r="V6293">
        <v>8000</v>
      </c>
      <c r="W6293">
        <v>1361</v>
      </c>
      <c r="X6293">
        <v>808.82</v>
      </c>
      <c r="Y6293">
        <v>0</v>
      </c>
      <c r="Z6293">
        <v>0</v>
      </c>
      <c r="AA6293">
        <v>15000</v>
      </c>
      <c r="AB6293">
        <v>1381</v>
      </c>
      <c r="AC6293">
        <v>447.11</v>
      </c>
      <c r="AD6293">
        <v>0</v>
      </c>
      <c r="AE6293">
        <v>0</v>
      </c>
      <c r="AF6293">
        <v>60250</v>
      </c>
      <c r="AG6293">
        <v>1477</v>
      </c>
      <c r="AH6293">
        <v>479.4</v>
      </c>
      <c r="AI6293">
        <v>450</v>
      </c>
      <c r="AJ6293">
        <v>0</v>
      </c>
      <c r="AK6293">
        <v>4600</v>
      </c>
      <c r="AL6293">
        <v>1274</v>
      </c>
      <c r="AM6293">
        <v>306.68</v>
      </c>
      <c r="AN6293">
        <v>0</v>
      </c>
      <c r="AO6293">
        <v>0</v>
      </c>
      <c r="AP6293">
        <v>25000</v>
      </c>
      <c r="AQ6293">
        <v>1327</v>
      </c>
      <c r="AR6293">
        <v>87.55</v>
      </c>
      <c r="AS6293">
        <v>0</v>
      </c>
      <c r="AT6293">
        <v>0</v>
      </c>
      <c r="AU6293">
        <v>23000</v>
      </c>
      <c r="AV6293">
        <v>1206</v>
      </c>
      <c r="AW6293">
        <v>302.68</v>
      </c>
      <c r="AX6293">
        <v>0</v>
      </c>
      <c r="AY6293">
        <v>0</v>
      </c>
      <c r="AZ6293">
        <v>11000</v>
      </c>
    </row>
    <row r="6294" spans="1:52" x14ac:dyDescent="0.3">
      <c r="A6294" t="s">
        <v>34</v>
      </c>
      <c r="B6294" t="s">
        <v>365</v>
      </c>
      <c r="C6294">
        <v>17</v>
      </c>
      <c r="D6294">
        <v>1293.29</v>
      </c>
      <c r="E6294">
        <v>0</v>
      </c>
      <c r="F6294">
        <v>0</v>
      </c>
      <c r="G6294">
        <v>6000</v>
      </c>
      <c r="H6294">
        <v>18</v>
      </c>
      <c r="I6294">
        <v>395.59</v>
      </c>
      <c r="J6294">
        <v>400</v>
      </c>
      <c r="K6294">
        <v>0</v>
      </c>
      <c r="L6294">
        <v>1500</v>
      </c>
      <c r="M6294">
        <v>16</v>
      </c>
      <c r="N6294">
        <v>1175.42</v>
      </c>
      <c r="O6294">
        <v>500</v>
      </c>
      <c r="P6294">
        <v>0</v>
      </c>
      <c r="Q6294">
        <v>4000</v>
      </c>
      <c r="R6294">
        <v>21</v>
      </c>
      <c r="S6294">
        <v>1454.02</v>
      </c>
      <c r="T6294">
        <v>1200</v>
      </c>
      <c r="U6294">
        <v>200</v>
      </c>
      <c r="V6294">
        <v>3500</v>
      </c>
      <c r="W6294">
        <v>18</v>
      </c>
      <c r="X6294">
        <v>1027.5999999999999</v>
      </c>
      <c r="Y6294">
        <v>200</v>
      </c>
      <c r="Z6294">
        <v>0</v>
      </c>
      <c r="AA6294">
        <v>5000</v>
      </c>
      <c r="AB6294">
        <v>19</v>
      </c>
      <c r="AC6294">
        <v>428.06</v>
      </c>
      <c r="AD6294">
        <v>0</v>
      </c>
      <c r="AE6294">
        <v>0</v>
      </c>
      <c r="AF6294">
        <v>9000</v>
      </c>
      <c r="AG6294">
        <v>23</v>
      </c>
      <c r="AH6294">
        <v>526.34</v>
      </c>
      <c r="AI6294">
        <v>600</v>
      </c>
      <c r="AJ6294">
        <v>0</v>
      </c>
      <c r="AK6294">
        <v>1000</v>
      </c>
      <c r="AL6294">
        <v>15</v>
      </c>
      <c r="AM6294">
        <v>41.15</v>
      </c>
      <c r="AN6294">
        <v>0</v>
      </c>
      <c r="AO6294">
        <v>0</v>
      </c>
      <c r="AP6294">
        <v>2000</v>
      </c>
      <c r="AQ6294">
        <v>17</v>
      </c>
      <c r="AR6294">
        <v>0</v>
      </c>
      <c r="AS6294">
        <v>0</v>
      </c>
      <c r="AT6294">
        <v>0</v>
      </c>
      <c r="AU6294">
        <v>0</v>
      </c>
      <c r="AV6294">
        <v>14</v>
      </c>
      <c r="AW6294">
        <v>506.6</v>
      </c>
      <c r="AX6294">
        <v>0</v>
      </c>
      <c r="AY6294">
        <v>0</v>
      </c>
      <c r="AZ6294">
        <v>7200</v>
      </c>
    </row>
    <row r="6295" spans="1:52" x14ac:dyDescent="0.3">
      <c r="A6295" t="s">
        <v>33</v>
      </c>
      <c r="B6295" t="s">
        <v>339</v>
      </c>
      <c r="C6295">
        <v>446</v>
      </c>
      <c r="D6295">
        <v>45.6</v>
      </c>
      <c r="E6295">
        <v>0</v>
      </c>
      <c r="F6295">
        <v>0</v>
      </c>
      <c r="G6295">
        <v>7000</v>
      </c>
      <c r="H6295">
        <v>441</v>
      </c>
      <c r="I6295">
        <v>198.29</v>
      </c>
      <c r="J6295">
        <v>150</v>
      </c>
      <c r="K6295">
        <v>0</v>
      </c>
      <c r="L6295">
        <v>1500</v>
      </c>
      <c r="M6295">
        <v>472</v>
      </c>
      <c r="N6295">
        <v>505.18</v>
      </c>
      <c r="O6295">
        <v>300</v>
      </c>
      <c r="P6295">
        <v>0</v>
      </c>
      <c r="Q6295">
        <v>8000</v>
      </c>
      <c r="R6295">
        <v>488</v>
      </c>
      <c r="S6295">
        <v>800.73</v>
      </c>
      <c r="T6295">
        <v>600</v>
      </c>
      <c r="U6295">
        <v>0</v>
      </c>
      <c r="V6295">
        <v>4500</v>
      </c>
      <c r="W6295">
        <v>421</v>
      </c>
      <c r="X6295">
        <v>654.64</v>
      </c>
      <c r="Y6295">
        <v>0</v>
      </c>
      <c r="Z6295">
        <v>0</v>
      </c>
      <c r="AA6295">
        <v>8000</v>
      </c>
      <c r="AB6295">
        <v>417</v>
      </c>
      <c r="AC6295">
        <v>319.45</v>
      </c>
      <c r="AD6295">
        <v>0</v>
      </c>
      <c r="AE6295">
        <v>0</v>
      </c>
      <c r="AF6295">
        <v>7800</v>
      </c>
      <c r="AG6295">
        <v>493</v>
      </c>
      <c r="AH6295">
        <v>360.2</v>
      </c>
      <c r="AI6295">
        <v>300</v>
      </c>
      <c r="AJ6295">
        <v>0</v>
      </c>
      <c r="AK6295">
        <v>1500</v>
      </c>
      <c r="AL6295">
        <v>388</v>
      </c>
      <c r="AM6295">
        <v>126.78</v>
      </c>
      <c r="AN6295">
        <v>0</v>
      </c>
      <c r="AO6295">
        <v>0</v>
      </c>
      <c r="AP6295">
        <v>6000</v>
      </c>
      <c r="AQ6295">
        <v>379</v>
      </c>
      <c r="AR6295">
        <v>98.41</v>
      </c>
      <c r="AS6295">
        <v>0</v>
      </c>
      <c r="AT6295">
        <v>0</v>
      </c>
      <c r="AU6295">
        <v>7000</v>
      </c>
      <c r="AV6295">
        <v>357</v>
      </c>
      <c r="AW6295">
        <v>438.22</v>
      </c>
      <c r="AX6295">
        <v>0</v>
      </c>
      <c r="AY6295">
        <v>0</v>
      </c>
      <c r="AZ6295">
        <v>8000</v>
      </c>
    </row>
    <row r="6296" spans="1:52" x14ac:dyDescent="0.3">
      <c r="A6296" t="s">
        <v>33</v>
      </c>
      <c r="B6296" t="s">
        <v>340</v>
      </c>
      <c r="C6296">
        <v>1263</v>
      </c>
      <c r="D6296">
        <v>549.35</v>
      </c>
      <c r="E6296">
        <v>0</v>
      </c>
      <c r="F6296">
        <v>0</v>
      </c>
      <c r="G6296">
        <v>19000</v>
      </c>
      <c r="H6296">
        <v>1295</v>
      </c>
      <c r="I6296">
        <v>209.08</v>
      </c>
      <c r="J6296">
        <v>140</v>
      </c>
      <c r="K6296">
        <v>0</v>
      </c>
      <c r="L6296">
        <v>2100</v>
      </c>
      <c r="M6296">
        <v>1323</v>
      </c>
      <c r="N6296">
        <v>591.33000000000004</v>
      </c>
      <c r="O6296">
        <v>500</v>
      </c>
      <c r="P6296">
        <v>0</v>
      </c>
      <c r="Q6296">
        <v>4000</v>
      </c>
      <c r="R6296">
        <v>1389</v>
      </c>
      <c r="S6296">
        <v>913.28</v>
      </c>
      <c r="T6296">
        <v>800</v>
      </c>
      <c r="U6296">
        <v>0</v>
      </c>
      <c r="V6296">
        <v>5000</v>
      </c>
      <c r="W6296">
        <v>1229</v>
      </c>
      <c r="X6296">
        <v>1015.58</v>
      </c>
      <c r="Y6296">
        <v>400</v>
      </c>
      <c r="Z6296">
        <v>0</v>
      </c>
      <c r="AA6296">
        <v>10000</v>
      </c>
      <c r="AB6296">
        <v>1249</v>
      </c>
      <c r="AC6296">
        <v>376.15</v>
      </c>
      <c r="AD6296">
        <v>100</v>
      </c>
      <c r="AE6296">
        <v>0</v>
      </c>
      <c r="AF6296">
        <v>25000</v>
      </c>
      <c r="AG6296">
        <v>1403</v>
      </c>
      <c r="AH6296">
        <v>473.58</v>
      </c>
      <c r="AI6296">
        <v>450</v>
      </c>
      <c r="AJ6296">
        <v>0</v>
      </c>
      <c r="AK6296">
        <v>2000</v>
      </c>
      <c r="AL6296">
        <v>1194</v>
      </c>
      <c r="AM6296">
        <v>379.15</v>
      </c>
      <c r="AN6296">
        <v>0</v>
      </c>
      <c r="AO6296">
        <v>0</v>
      </c>
      <c r="AP6296">
        <v>20000</v>
      </c>
      <c r="AQ6296">
        <v>1156</v>
      </c>
      <c r="AR6296">
        <v>174.83</v>
      </c>
      <c r="AS6296">
        <v>0</v>
      </c>
      <c r="AT6296">
        <v>0</v>
      </c>
      <c r="AU6296">
        <v>25000</v>
      </c>
      <c r="AV6296">
        <v>1141</v>
      </c>
      <c r="AW6296">
        <v>448.29</v>
      </c>
      <c r="AX6296">
        <v>0</v>
      </c>
      <c r="AY6296">
        <v>0</v>
      </c>
      <c r="AZ6296">
        <v>10000</v>
      </c>
    </row>
    <row r="6297" spans="1:52" x14ac:dyDescent="0.3">
      <c r="A6297" t="s">
        <v>33</v>
      </c>
      <c r="B6297" t="s">
        <v>365</v>
      </c>
      <c r="C6297">
        <v>16</v>
      </c>
      <c r="D6297">
        <v>227.46</v>
      </c>
      <c r="E6297">
        <v>0</v>
      </c>
      <c r="F6297">
        <v>0</v>
      </c>
      <c r="G6297">
        <v>3000</v>
      </c>
      <c r="H6297">
        <v>16</v>
      </c>
      <c r="I6297">
        <v>263.57</v>
      </c>
      <c r="J6297">
        <v>300</v>
      </c>
      <c r="K6297">
        <v>0</v>
      </c>
      <c r="L6297">
        <v>700</v>
      </c>
      <c r="M6297">
        <v>19</v>
      </c>
      <c r="N6297">
        <v>870.41</v>
      </c>
      <c r="O6297">
        <v>800</v>
      </c>
      <c r="P6297">
        <v>200</v>
      </c>
      <c r="Q6297">
        <v>2500</v>
      </c>
      <c r="R6297">
        <v>19</v>
      </c>
      <c r="S6297">
        <v>1210.44</v>
      </c>
      <c r="T6297">
        <v>1000</v>
      </c>
      <c r="U6297">
        <v>180</v>
      </c>
      <c r="V6297">
        <v>3500</v>
      </c>
      <c r="W6297">
        <v>16</v>
      </c>
      <c r="X6297">
        <v>1067.58</v>
      </c>
      <c r="Y6297">
        <v>1000</v>
      </c>
      <c r="Z6297">
        <v>0</v>
      </c>
      <c r="AA6297">
        <v>3000</v>
      </c>
      <c r="AB6297">
        <v>14</v>
      </c>
      <c r="AC6297">
        <v>679.94</v>
      </c>
      <c r="AD6297">
        <v>300</v>
      </c>
      <c r="AE6297">
        <v>0</v>
      </c>
      <c r="AF6297">
        <v>3000</v>
      </c>
      <c r="AG6297">
        <v>19</v>
      </c>
      <c r="AH6297">
        <v>662.43</v>
      </c>
      <c r="AI6297">
        <v>600</v>
      </c>
      <c r="AJ6297">
        <v>140</v>
      </c>
      <c r="AK6297">
        <v>1500</v>
      </c>
      <c r="AL6297">
        <v>16</v>
      </c>
      <c r="AM6297">
        <v>1628.15</v>
      </c>
      <c r="AN6297">
        <v>1000</v>
      </c>
      <c r="AO6297">
        <v>0</v>
      </c>
      <c r="AP6297">
        <v>9000</v>
      </c>
      <c r="AQ6297">
        <v>10</v>
      </c>
      <c r="AR6297">
        <v>338.95</v>
      </c>
      <c r="AS6297">
        <v>0</v>
      </c>
      <c r="AT6297">
        <v>0</v>
      </c>
      <c r="AU6297">
        <v>2000</v>
      </c>
      <c r="AV6297">
        <v>11</v>
      </c>
      <c r="AW6297">
        <v>899.42</v>
      </c>
      <c r="AX6297">
        <v>500</v>
      </c>
      <c r="AY6297">
        <v>0</v>
      </c>
      <c r="AZ6297">
        <v>5000</v>
      </c>
    </row>
    <row r="6298" spans="1:52" x14ac:dyDescent="0.3">
      <c r="A6298" t="s">
        <v>49</v>
      </c>
      <c r="B6298" t="s">
        <v>339</v>
      </c>
      <c r="C6298">
        <v>2932</v>
      </c>
      <c r="D6298">
        <v>358.94</v>
      </c>
      <c r="E6298">
        <v>0</v>
      </c>
      <c r="F6298">
        <v>0</v>
      </c>
      <c r="G6298">
        <v>23000</v>
      </c>
      <c r="H6298">
        <v>3190</v>
      </c>
      <c r="I6298">
        <v>236.7</v>
      </c>
      <c r="J6298">
        <v>150</v>
      </c>
      <c r="K6298">
        <v>0</v>
      </c>
      <c r="L6298">
        <v>5000</v>
      </c>
      <c r="M6298">
        <v>3283</v>
      </c>
      <c r="N6298">
        <v>564.52</v>
      </c>
      <c r="O6298">
        <v>400</v>
      </c>
      <c r="P6298">
        <v>0</v>
      </c>
      <c r="Q6298">
        <v>12000</v>
      </c>
      <c r="R6298">
        <v>3643</v>
      </c>
      <c r="S6298">
        <v>942.68</v>
      </c>
      <c r="T6298">
        <v>700</v>
      </c>
      <c r="U6298">
        <v>0</v>
      </c>
      <c r="V6298">
        <v>25000</v>
      </c>
      <c r="W6298">
        <v>2897</v>
      </c>
      <c r="X6298">
        <v>796.61</v>
      </c>
      <c r="Y6298">
        <v>0</v>
      </c>
      <c r="Z6298">
        <v>0</v>
      </c>
      <c r="AA6298">
        <v>15450</v>
      </c>
      <c r="AB6298">
        <v>2960</v>
      </c>
      <c r="AC6298">
        <v>355.19</v>
      </c>
      <c r="AD6298">
        <v>0</v>
      </c>
      <c r="AE6298">
        <v>0</v>
      </c>
      <c r="AF6298">
        <v>17000</v>
      </c>
      <c r="AG6298">
        <v>3638</v>
      </c>
      <c r="AH6298">
        <v>424.07</v>
      </c>
      <c r="AI6298">
        <v>350</v>
      </c>
      <c r="AJ6298">
        <v>0</v>
      </c>
      <c r="AK6298">
        <v>7000</v>
      </c>
      <c r="AL6298">
        <v>2579</v>
      </c>
      <c r="AM6298">
        <v>149.46</v>
      </c>
      <c r="AN6298">
        <v>0</v>
      </c>
      <c r="AO6298">
        <v>0</v>
      </c>
      <c r="AP6298">
        <v>16000</v>
      </c>
      <c r="AQ6298">
        <v>2586</v>
      </c>
      <c r="AR6298">
        <v>281.99</v>
      </c>
      <c r="AS6298">
        <v>0</v>
      </c>
      <c r="AT6298">
        <v>0</v>
      </c>
      <c r="AU6298">
        <v>100000</v>
      </c>
      <c r="AV6298">
        <v>2439</v>
      </c>
      <c r="AW6298">
        <v>376.12</v>
      </c>
      <c r="AX6298">
        <v>0</v>
      </c>
      <c r="AY6298">
        <v>0</v>
      </c>
      <c r="AZ6298">
        <v>14600</v>
      </c>
    </row>
    <row r="6299" spans="1:52" x14ac:dyDescent="0.3">
      <c r="A6299" t="s">
        <v>49</v>
      </c>
      <c r="B6299" t="s">
        <v>340</v>
      </c>
      <c r="C6299">
        <v>7442</v>
      </c>
      <c r="D6299">
        <v>922.23</v>
      </c>
      <c r="E6299">
        <v>0</v>
      </c>
      <c r="F6299">
        <v>0</v>
      </c>
      <c r="G6299">
        <v>70000</v>
      </c>
      <c r="H6299">
        <v>7996</v>
      </c>
      <c r="I6299">
        <v>280.55</v>
      </c>
      <c r="J6299">
        <v>200</v>
      </c>
      <c r="K6299">
        <v>0</v>
      </c>
      <c r="L6299">
        <v>8000</v>
      </c>
      <c r="M6299">
        <v>8277</v>
      </c>
      <c r="N6299">
        <v>764.16</v>
      </c>
      <c r="O6299">
        <v>500</v>
      </c>
      <c r="P6299">
        <v>0</v>
      </c>
      <c r="Q6299">
        <v>20000</v>
      </c>
      <c r="R6299">
        <v>8986</v>
      </c>
      <c r="S6299">
        <v>991.88</v>
      </c>
      <c r="T6299">
        <v>800</v>
      </c>
      <c r="U6299">
        <v>0</v>
      </c>
      <c r="V6299">
        <v>8000</v>
      </c>
      <c r="W6299">
        <v>7320</v>
      </c>
      <c r="X6299">
        <v>1201.43</v>
      </c>
      <c r="Y6299">
        <v>60</v>
      </c>
      <c r="Z6299">
        <v>0</v>
      </c>
      <c r="AA6299">
        <v>60000</v>
      </c>
      <c r="AB6299">
        <v>7409</v>
      </c>
      <c r="AC6299">
        <v>468.14</v>
      </c>
      <c r="AD6299">
        <v>200</v>
      </c>
      <c r="AE6299">
        <v>0</v>
      </c>
      <c r="AF6299">
        <v>60250</v>
      </c>
      <c r="AG6299">
        <v>9142</v>
      </c>
      <c r="AH6299">
        <v>499.27</v>
      </c>
      <c r="AI6299">
        <v>480</v>
      </c>
      <c r="AJ6299">
        <v>0</v>
      </c>
      <c r="AK6299">
        <v>8000</v>
      </c>
      <c r="AL6299">
        <v>6601</v>
      </c>
      <c r="AM6299">
        <v>610.66999999999996</v>
      </c>
      <c r="AN6299">
        <v>0</v>
      </c>
      <c r="AO6299">
        <v>0</v>
      </c>
      <c r="AP6299">
        <v>35000</v>
      </c>
      <c r="AQ6299">
        <v>6479</v>
      </c>
      <c r="AR6299">
        <v>178.92</v>
      </c>
      <c r="AS6299">
        <v>0</v>
      </c>
      <c r="AT6299">
        <v>0</v>
      </c>
      <c r="AU6299">
        <v>70000</v>
      </c>
      <c r="AV6299">
        <v>6140</v>
      </c>
      <c r="AW6299">
        <v>449.26</v>
      </c>
      <c r="AX6299">
        <v>0</v>
      </c>
      <c r="AY6299">
        <v>0</v>
      </c>
      <c r="AZ6299">
        <v>20000</v>
      </c>
    </row>
    <row r="6300" spans="1:52" x14ac:dyDescent="0.3">
      <c r="A6300" t="s">
        <v>49</v>
      </c>
      <c r="B6300" t="s">
        <v>365</v>
      </c>
      <c r="C6300">
        <v>120</v>
      </c>
      <c r="D6300">
        <v>1472.29</v>
      </c>
      <c r="E6300">
        <v>0</v>
      </c>
      <c r="F6300">
        <v>0</v>
      </c>
      <c r="G6300">
        <v>10000</v>
      </c>
      <c r="H6300">
        <v>144</v>
      </c>
      <c r="I6300">
        <v>290.66000000000003</v>
      </c>
      <c r="J6300">
        <v>250</v>
      </c>
      <c r="K6300">
        <v>0</v>
      </c>
      <c r="L6300">
        <v>2000</v>
      </c>
      <c r="M6300">
        <v>158</v>
      </c>
      <c r="N6300">
        <v>890.96</v>
      </c>
      <c r="O6300">
        <v>600</v>
      </c>
      <c r="P6300">
        <v>0</v>
      </c>
      <c r="Q6300">
        <v>4000</v>
      </c>
      <c r="R6300">
        <v>172</v>
      </c>
      <c r="S6300">
        <v>1167.2</v>
      </c>
      <c r="T6300">
        <v>1000</v>
      </c>
      <c r="U6300">
        <v>0</v>
      </c>
      <c r="V6300">
        <v>7000</v>
      </c>
      <c r="W6300">
        <v>124</v>
      </c>
      <c r="X6300">
        <v>1550.08</v>
      </c>
      <c r="Y6300">
        <v>1000</v>
      </c>
      <c r="Z6300">
        <v>0</v>
      </c>
      <c r="AA6300">
        <v>8000</v>
      </c>
      <c r="AB6300">
        <v>127</v>
      </c>
      <c r="AC6300">
        <v>539.11</v>
      </c>
      <c r="AD6300">
        <v>200</v>
      </c>
      <c r="AE6300">
        <v>0</v>
      </c>
      <c r="AF6300">
        <v>9000</v>
      </c>
      <c r="AG6300">
        <v>181</v>
      </c>
      <c r="AH6300">
        <v>636.54</v>
      </c>
      <c r="AI6300">
        <v>600</v>
      </c>
      <c r="AJ6300">
        <v>0</v>
      </c>
      <c r="AK6300">
        <v>1500</v>
      </c>
      <c r="AL6300">
        <v>88</v>
      </c>
      <c r="AM6300">
        <v>1148.81</v>
      </c>
      <c r="AN6300">
        <v>0</v>
      </c>
      <c r="AO6300">
        <v>0</v>
      </c>
      <c r="AP6300">
        <v>80000</v>
      </c>
      <c r="AQ6300">
        <v>76</v>
      </c>
      <c r="AR6300">
        <v>460.04</v>
      </c>
      <c r="AS6300">
        <v>0</v>
      </c>
      <c r="AT6300">
        <v>0</v>
      </c>
      <c r="AU6300">
        <v>40000</v>
      </c>
      <c r="AV6300">
        <v>81</v>
      </c>
      <c r="AW6300">
        <v>585.66</v>
      </c>
      <c r="AX6300">
        <v>0</v>
      </c>
      <c r="AY6300">
        <v>0</v>
      </c>
      <c r="AZ6300">
        <v>7800</v>
      </c>
    </row>
    <row r="6302" spans="1:52" x14ac:dyDescent="0.3">
      <c r="A6302" t="s">
        <v>2045</v>
      </c>
    </row>
    <row r="6303" spans="1:52" x14ac:dyDescent="0.3">
      <c r="A6303" t="s">
        <v>44</v>
      </c>
      <c r="B6303" t="s">
        <v>209</v>
      </c>
      <c r="C6303" t="s">
        <v>1994</v>
      </c>
      <c r="D6303" t="s">
        <v>1995</v>
      </c>
      <c r="E6303" t="s">
        <v>1996</v>
      </c>
      <c r="F6303" t="s">
        <v>1997</v>
      </c>
      <c r="G6303" t="s">
        <v>1998</v>
      </c>
      <c r="H6303" t="s">
        <v>1999</v>
      </c>
      <c r="I6303" t="s">
        <v>2000</v>
      </c>
      <c r="J6303" t="s">
        <v>2001</v>
      </c>
      <c r="K6303" t="s">
        <v>2002</v>
      </c>
      <c r="L6303" t="s">
        <v>2003</v>
      </c>
      <c r="M6303" t="s">
        <v>2004</v>
      </c>
      <c r="N6303" t="s">
        <v>2005</v>
      </c>
      <c r="O6303" t="s">
        <v>2006</v>
      </c>
      <c r="P6303" t="s">
        <v>2007</v>
      </c>
      <c r="Q6303" t="s">
        <v>2008</v>
      </c>
      <c r="R6303" t="s">
        <v>2009</v>
      </c>
      <c r="S6303" t="s">
        <v>2010</v>
      </c>
      <c r="T6303" t="s">
        <v>2011</v>
      </c>
      <c r="U6303" t="s">
        <v>2012</v>
      </c>
      <c r="V6303" t="s">
        <v>2013</v>
      </c>
      <c r="W6303" t="s">
        <v>2014</v>
      </c>
      <c r="X6303" t="s">
        <v>2015</v>
      </c>
      <c r="Y6303" t="s">
        <v>2016</v>
      </c>
      <c r="Z6303" t="s">
        <v>2017</v>
      </c>
      <c r="AA6303" t="s">
        <v>2018</v>
      </c>
      <c r="AB6303" t="s">
        <v>2019</v>
      </c>
      <c r="AC6303" t="s">
        <v>2020</v>
      </c>
      <c r="AD6303" t="s">
        <v>2021</v>
      </c>
      <c r="AE6303" t="s">
        <v>2022</v>
      </c>
      <c r="AF6303" t="s">
        <v>2023</v>
      </c>
      <c r="AG6303" t="s">
        <v>2024</v>
      </c>
      <c r="AH6303" t="s">
        <v>2025</v>
      </c>
      <c r="AI6303" t="s">
        <v>2026</v>
      </c>
      <c r="AJ6303" t="s">
        <v>2027</v>
      </c>
      <c r="AK6303" t="s">
        <v>2028</v>
      </c>
      <c r="AL6303" t="s">
        <v>2029</v>
      </c>
      <c r="AM6303" t="s">
        <v>2030</v>
      </c>
      <c r="AN6303" t="s">
        <v>2031</v>
      </c>
      <c r="AO6303" t="s">
        <v>2032</v>
      </c>
      <c r="AP6303" t="s">
        <v>2033</v>
      </c>
      <c r="AQ6303" t="s">
        <v>2034</v>
      </c>
      <c r="AR6303" t="s">
        <v>2035</v>
      </c>
      <c r="AS6303" t="s">
        <v>2036</v>
      </c>
      <c r="AT6303" t="s">
        <v>2037</v>
      </c>
      <c r="AU6303" t="s">
        <v>2038</v>
      </c>
      <c r="AV6303" t="s">
        <v>2039</v>
      </c>
      <c r="AW6303" t="s">
        <v>2040</v>
      </c>
      <c r="AX6303" t="s">
        <v>2041</v>
      </c>
      <c r="AY6303" t="s">
        <v>2042</v>
      </c>
      <c r="AZ6303" t="s">
        <v>2043</v>
      </c>
    </row>
    <row r="6304" spans="1:52" x14ac:dyDescent="0.3">
      <c r="A6304" t="s">
        <v>35</v>
      </c>
      <c r="B6304" t="s">
        <v>210</v>
      </c>
      <c r="C6304">
        <v>123</v>
      </c>
      <c r="D6304">
        <v>4064.63</v>
      </c>
      <c r="E6304">
        <v>5000</v>
      </c>
      <c r="F6304">
        <v>0</v>
      </c>
      <c r="G6304">
        <v>10000</v>
      </c>
      <c r="H6304">
        <v>112</v>
      </c>
      <c r="I6304">
        <v>351.21</v>
      </c>
      <c r="J6304">
        <v>300</v>
      </c>
      <c r="K6304">
        <v>0</v>
      </c>
      <c r="L6304">
        <v>1200</v>
      </c>
      <c r="M6304">
        <v>117</v>
      </c>
      <c r="N6304">
        <v>859.99</v>
      </c>
      <c r="O6304">
        <v>500</v>
      </c>
      <c r="P6304">
        <v>0</v>
      </c>
      <c r="Q6304">
        <v>7000</v>
      </c>
      <c r="R6304">
        <v>124</v>
      </c>
      <c r="S6304">
        <v>720.42</v>
      </c>
      <c r="T6304">
        <v>500</v>
      </c>
      <c r="U6304">
        <v>0</v>
      </c>
      <c r="V6304">
        <v>3000</v>
      </c>
      <c r="W6304">
        <v>94</v>
      </c>
      <c r="X6304">
        <v>960.92</v>
      </c>
      <c r="Y6304">
        <v>0</v>
      </c>
      <c r="Z6304">
        <v>0</v>
      </c>
      <c r="AA6304">
        <v>13000</v>
      </c>
      <c r="AB6304">
        <v>119</v>
      </c>
      <c r="AC6304">
        <v>478.32</v>
      </c>
      <c r="AD6304">
        <v>300</v>
      </c>
      <c r="AE6304">
        <v>0</v>
      </c>
      <c r="AF6304">
        <v>4200</v>
      </c>
      <c r="AG6304">
        <v>136</v>
      </c>
      <c r="AH6304">
        <v>528.5</v>
      </c>
      <c r="AI6304">
        <v>500</v>
      </c>
      <c r="AJ6304">
        <v>0</v>
      </c>
      <c r="AK6304">
        <v>1300</v>
      </c>
      <c r="AL6304">
        <v>99</v>
      </c>
      <c r="AM6304">
        <v>458.83</v>
      </c>
      <c r="AN6304">
        <v>0</v>
      </c>
      <c r="AO6304">
        <v>0</v>
      </c>
      <c r="AP6304">
        <v>8000</v>
      </c>
      <c r="AQ6304">
        <v>96</v>
      </c>
      <c r="AR6304">
        <v>51.6</v>
      </c>
      <c r="AS6304">
        <v>0</v>
      </c>
      <c r="AT6304">
        <v>0</v>
      </c>
      <c r="AU6304">
        <v>12000</v>
      </c>
      <c r="AV6304">
        <v>87</v>
      </c>
      <c r="AW6304">
        <v>209.23</v>
      </c>
      <c r="AX6304">
        <v>0</v>
      </c>
      <c r="AY6304">
        <v>0</v>
      </c>
      <c r="AZ6304">
        <v>7500</v>
      </c>
    </row>
    <row r="6305" spans="1:52" x14ac:dyDescent="0.3">
      <c r="A6305" t="s">
        <v>35</v>
      </c>
      <c r="B6305" t="s">
        <v>212</v>
      </c>
      <c r="C6305">
        <v>2211</v>
      </c>
      <c r="D6305">
        <v>482.96</v>
      </c>
      <c r="E6305">
        <v>0</v>
      </c>
      <c r="F6305">
        <v>0</v>
      </c>
      <c r="G6305">
        <v>17000</v>
      </c>
      <c r="H6305">
        <v>2121</v>
      </c>
      <c r="I6305">
        <v>334.43</v>
      </c>
      <c r="J6305">
        <v>230</v>
      </c>
      <c r="K6305">
        <v>0</v>
      </c>
      <c r="L6305">
        <v>8000</v>
      </c>
      <c r="M6305">
        <v>1973</v>
      </c>
      <c r="N6305">
        <v>663.3</v>
      </c>
      <c r="O6305">
        <v>400</v>
      </c>
      <c r="P6305">
        <v>0</v>
      </c>
      <c r="Q6305">
        <v>10000</v>
      </c>
      <c r="R6305">
        <v>2355</v>
      </c>
      <c r="S6305">
        <v>829.55</v>
      </c>
      <c r="T6305">
        <v>600</v>
      </c>
      <c r="U6305">
        <v>0</v>
      </c>
      <c r="V6305">
        <v>7000</v>
      </c>
      <c r="W6305">
        <v>1867</v>
      </c>
      <c r="X6305">
        <v>986.44</v>
      </c>
      <c r="Y6305">
        <v>0</v>
      </c>
      <c r="Z6305">
        <v>0</v>
      </c>
      <c r="AA6305">
        <v>20000</v>
      </c>
      <c r="AB6305">
        <v>1888</v>
      </c>
      <c r="AC6305">
        <v>350.03</v>
      </c>
      <c r="AD6305">
        <v>50</v>
      </c>
      <c r="AE6305">
        <v>0</v>
      </c>
      <c r="AF6305">
        <v>7000</v>
      </c>
      <c r="AG6305">
        <v>2383</v>
      </c>
      <c r="AH6305">
        <v>477.3</v>
      </c>
      <c r="AI6305">
        <v>400</v>
      </c>
      <c r="AJ6305">
        <v>0</v>
      </c>
      <c r="AK6305">
        <v>8000</v>
      </c>
      <c r="AL6305">
        <v>1708</v>
      </c>
      <c r="AM6305">
        <v>539.58000000000004</v>
      </c>
      <c r="AN6305">
        <v>0</v>
      </c>
      <c r="AO6305">
        <v>0</v>
      </c>
      <c r="AP6305">
        <v>12000</v>
      </c>
      <c r="AQ6305">
        <v>1750</v>
      </c>
      <c r="AR6305">
        <v>112.16</v>
      </c>
      <c r="AS6305">
        <v>0</v>
      </c>
      <c r="AT6305">
        <v>0</v>
      </c>
      <c r="AU6305">
        <v>60000</v>
      </c>
      <c r="AV6305">
        <v>1469</v>
      </c>
      <c r="AW6305">
        <v>319.49</v>
      </c>
      <c r="AX6305">
        <v>0</v>
      </c>
      <c r="AY6305">
        <v>0</v>
      </c>
      <c r="AZ6305">
        <v>15000</v>
      </c>
    </row>
    <row r="6306" spans="1:52" x14ac:dyDescent="0.3">
      <c r="A6306" t="s">
        <v>35</v>
      </c>
      <c r="B6306" t="s">
        <v>216</v>
      </c>
      <c r="C6306">
        <v>486</v>
      </c>
      <c r="D6306">
        <v>1678.22</v>
      </c>
      <c r="E6306">
        <v>0</v>
      </c>
      <c r="F6306">
        <v>0</v>
      </c>
      <c r="G6306">
        <v>40000</v>
      </c>
      <c r="H6306">
        <v>496</v>
      </c>
      <c r="I6306">
        <v>515.63</v>
      </c>
      <c r="J6306">
        <v>400</v>
      </c>
      <c r="K6306">
        <v>0</v>
      </c>
      <c r="L6306">
        <v>3000</v>
      </c>
      <c r="M6306">
        <v>467</v>
      </c>
      <c r="N6306">
        <v>961.41</v>
      </c>
      <c r="O6306">
        <v>600</v>
      </c>
      <c r="P6306">
        <v>0</v>
      </c>
      <c r="Q6306">
        <v>10000</v>
      </c>
      <c r="R6306">
        <v>535</v>
      </c>
      <c r="S6306">
        <v>1017.39</v>
      </c>
      <c r="T6306">
        <v>850</v>
      </c>
      <c r="U6306">
        <v>0</v>
      </c>
      <c r="V6306">
        <v>7000</v>
      </c>
      <c r="W6306">
        <v>427</v>
      </c>
      <c r="X6306">
        <v>1454.93</v>
      </c>
      <c r="Y6306">
        <v>0</v>
      </c>
      <c r="Z6306">
        <v>0</v>
      </c>
      <c r="AA6306">
        <v>15000</v>
      </c>
      <c r="AB6306">
        <v>455</v>
      </c>
      <c r="AC6306">
        <v>638.47</v>
      </c>
      <c r="AD6306">
        <v>300</v>
      </c>
      <c r="AE6306">
        <v>0</v>
      </c>
      <c r="AF6306">
        <v>26000</v>
      </c>
      <c r="AG6306">
        <v>555</v>
      </c>
      <c r="AH6306">
        <v>580.6</v>
      </c>
      <c r="AI6306">
        <v>500</v>
      </c>
      <c r="AJ6306">
        <v>0</v>
      </c>
      <c r="AK6306">
        <v>2000</v>
      </c>
      <c r="AL6306">
        <v>412</v>
      </c>
      <c r="AM6306">
        <v>1333.42</v>
      </c>
      <c r="AN6306">
        <v>0</v>
      </c>
      <c r="AO6306">
        <v>0</v>
      </c>
      <c r="AP6306">
        <v>80000</v>
      </c>
      <c r="AQ6306">
        <v>409</v>
      </c>
      <c r="AR6306">
        <v>201.72</v>
      </c>
      <c r="AS6306">
        <v>0</v>
      </c>
      <c r="AT6306">
        <v>0</v>
      </c>
      <c r="AU6306">
        <v>50000</v>
      </c>
      <c r="AV6306">
        <v>334</v>
      </c>
      <c r="AW6306">
        <v>291.45999999999998</v>
      </c>
      <c r="AX6306">
        <v>0</v>
      </c>
      <c r="AY6306">
        <v>0</v>
      </c>
      <c r="AZ6306">
        <v>6000</v>
      </c>
    </row>
    <row r="6307" spans="1:52" x14ac:dyDescent="0.3">
      <c r="A6307" t="s">
        <v>37</v>
      </c>
      <c r="B6307" t="s">
        <v>210</v>
      </c>
      <c r="C6307">
        <v>117</v>
      </c>
      <c r="D6307">
        <v>7484.72</v>
      </c>
      <c r="E6307">
        <v>6000</v>
      </c>
      <c r="F6307">
        <v>0</v>
      </c>
      <c r="G6307">
        <v>70000</v>
      </c>
      <c r="H6307">
        <v>102</v>
      </c>
      <c r="I6307">
        <v>267.58999999999997</v>
      </c>
      <c r="J6307">
        <v>150</v>
      </c>
      <c r="K6307">
        <v>0</v>
      </c>
      <c r="L6307">
        <v>1500</v>
      </c>
      <c r="M6307">
        <v>122</v>
      </c>
      <c r="N6307">
        <v>848.02</v>
      </c>
      <c r="O6307">
        <v>500</v>
      </c>
      <c r="P6307">
        <v>0</v>
      </c>
      <c r="Q6307">
        <v>4000</v>
      </c>
      <c r="R6307">
        <v>124</v>
      </c>
      <c r="S6307">
        <v>978.53</v>
      </c>
      <c r="T6307">
        <v>900</v>
      </c>
      <c r="U6307">
        <v>0</v>
      </c>
      <c r="V6307">
        <v>3500</v>
      </c>
      <c r="W6307">
        <v>103</v>
      </c>
      <c r="X6307">
        <v>1105.94</v>
      </c>
      <c r="Y6307">
        <v>0</v>
      </c>
      <c r="Z6307">
        <v>0</v>
      </c>
      <c r="AA6307">
        <v>8000</v>
      </c>
      <c r="AB6307">
        <v>113</v>
      </c>
      <c r="AC6307">
        <v>487.88</v>
      </c>
      <c r="AD6307">
        <v>350</v>
      </c>
      <c r="AE6307">
        <v>0</v>
      </c>
      <c r="AF6307">
        <v>5000</v>
      </c>
      <c r="AG6307">
        <v>138</v>
      </c>
      <c r="AH6307">
        <v>477.53</v>
      </c>
      <c r="AI6307">
        <v>400</v>
      </c>
      <c r="AJ6307">
        <v>0</v>
      </c>
      <c r="AK6307">
        <v>2000</v>
      </c>
      <c r="AL6307">
        <v>94</v>
      </c>
      <c r="AM6307">
        <v>877</v>
      </c>
      <c r="AN6307">
        <v>400</v>
      </c>
      <c r="AO6307">
        <v>0</v>
      </c>
      <c r="AP6307">
        <v>8000</v>
      </c>
      <c r="AQ6307">
        <v>91</v>
      </c>
      <c r="AR6307">
        <v>825.33</v>
      </c>
      <c r="AS6307">
        <v>0</v>
      </c>
      <c r="AT6307">
        <v>0</v>
      </c>
      <c r="AU6307">
        <v>20000</v>
      </c>
      <c r="AV6307">
        <v>86</v>
      </c>
      <c r="AW6307">
        <v>833.39</v>
      </c>
      <c r="AX6307">
        <v>0</v>
      </c>
      <c r="AY6307">
        <v>0</v>
      </c>
      <c r="AZ6307">
        <v>8000</v>
      </c>
    </row>
    <row r="6308" spans="1:52" x14ac:dyDescent="0.3">
      <c r="A6308" t="s">
        <v>37</v>
      </c>
      <c r="B6308" t="s">
        <v>212</v>
      </c>
      <c r="C6308">
        <v>2715</v>
      </c>
      <c r="D6308">
        <v>290.83999999999997</v>
      </c>
      <c r="E6308">
        <v>0</v>
      </c>
      <c r="F6308">
        <v>0</v>
      </c>
      <c r="G6308">
        <v>16500</v>
      </c>
      <c r="H6308">
        <v>2766</v>
      </c>
      <c r="I6308">
        <v>181.57</v>
      </c>
      <c r="J6308">
        <v>26</v>
      </c>
      <c r="K6308">
        <v>0</v>
      </c>
      <c r="L6308">
        <v>2400</v>
      </c>
      <c r="M6308">
        <v>3349</v>
      </c>
      <c r="N6308">
        <v>805.68</v>
      </c>
      <c r="O6308">
        <v>500</v>
      </c>
      <c r="P6308">
        <v>0</v>
      </c>
      <c r="Q6308">
        <v>20000</v>
      </c>
      <c r="R6308">
        <v>3539</v>
      </c>
      <c r="S6308">
        <v>1173.56</v>
      </c>
      <c r="T6308">
        <v>1000</v>
      </c>
      <c r="U6308">
        <v>0</v>
      </c>
      <c r="V6308">
        <v>25000</v>
      </c>
      <c r="W6308">
        <v>2762</v>
      </c>
      <c r="X6308">
        <v>1292.7</v>
      </c>
      <c r="Y6308">
        <v>300</v>
      </c>
      <c r="Z6308">
        <v>0</v>
      </c>
      <c r="AA6308">
        <v>60000</v>
      </c>
      <c r="AB6308">
        <v>2932</v>
      </c>
      <c r="AC6308">
        <v>429.81</v>
      </c>
      <c r="AD6308">
        <v>200</v>
      </c>
      <c r="AE6308">
        <v>0</v>
      </c>
      <c r="AF6308">
        <v>16004</v>
      </c>
      <c r="AG6308">
        <v>3513</v>
      </c>
      <c r="AH6308">
        <v>453.51</v>
      </c>
      <c r="AI6308">
        <v>400</v>
      </c>
      <c r="AJ6308">
        <v>0</v>
      </c>
      <c r="AK6308">
        <v>7000</v>
      </c>
      <c r="AL6308">
        <v>2495</v>
      </c>
      <c r="AM6308">
        <v>423.26</v>
      </c>
      <c r="AN6308">
        <v>0</v>
      </c>
      <c r="AO6308">
        <v>0</v>
      </c>
      <c r="AP6308">
        <v>15000</v>
      </c>
      <c r="AQ6308">
        <v>2370</v>
      </c>
      <c r="AR6308">
        <v>194.03</v>
      </c>
      <c r="AS6308">
        <v>0</v>
      </c>
      <c r="AT6308">
        <v>0</v>
      </c>
      <c r="AU6308">
        <v>30000</v>
      </c>
      <c r="AV6308">
        <v>2346</v>
      </c>
      <c r="AW6308">
        <v>500.99</v>
      </c>
      <c r="AX6308">
        <v>0</v>
      </c>
      <c r="AY6308">
        <v>0</v>
      </c>
      <c r="AZ6308">
        <v>20000</v>
      </c>
    </row>
    <row r="6309" spans="1:52" x14ac:dyDescent="0.3">
      <c r="A6309" t="s">
        <v>37</v>
      </c>
      <c r="B6309" t="s">
        <v>216</v>
      </c>
      <c r="C6309">
        <v>98</v>
      </c>
      <c r="D6309">
        <v>865.05</v>
      </c>
      <c r="E6309">
        <v>0</v>
      </c>
      <c r="F6309">
        <v>0</v>
      </c>
      <c r="G6309">
        <v>10000</v>
      </c>
      <c r="H6309">
        <v>89</v>
      </c>
      <c r="I6309">
        <v>243.98</v>
      </c>
      <c r="J6309">
        <v>150</v>
      </c>
      <c r="K6309">
        <v>0</v>
      </c>
      <c r="L6309">
        <v>2500</v>
      </c>
      <c r="M6309">
        <v>105</v>
      </c>
      <c r="N6309">
        <v>1113.67</v>
      </c>
      <c r="O6309">
        <v>800</v>
      </c>
      <c r="P6309">
        <v>0</v>
      </c>
      <c r="Q6309">
        <v>10000</v>
      </c>
      <c r="R6309">
        <v>107</v>
      </c>
      <c r="S6309">
        <v>1389.27</v>
      </c>
      <c r="T6309">
        <v>1000</v>
      </c>
      <c r="U6309">
        <v>0</v>
      </c>
      <c r="V6309">
        <v>6000</v>
      </c>
      <c r="W6309">
        <v>81</v>
      </c>
      <c r="X6309">
        <v>2110.15</v>
      </c>
      <c r="Y6309">
        <v>2000</v>
      </c>
      <c r="Z6309">
        <v>0</v>
      </c>
      <c r="AA6309">
        <v>10000</v>
      </c>
      <c r="AB6309">
        <v>88</v>
      </c>
      <c r="AC6309">
        <v>536.09</v>
      </c>
      <c r="AD6309">
        <v>300</v>
      </c>
      <c r="AE6309">
        <v>0</v>
      </c>
      <c r="AF6309">
        <v>8000</v>
      </c>
      <c r="AG6309">
        <v>111</v>
      </c>
      <c r="AH6309">
        <v>574.71</v>
      </c>
      <c r="AI6309">
        <v>500</v>
      </c>
      <c r="AJ6309">
        <v>0</v>
      </c>
      <c r="AK6309">
        <v>5000</v>
      </c>
      <c r="AL6309">
        <v>73</v>
      </c>
      <c r="AM6309">
        <v>1116.98</v>
      </c>
      <c r="AN6309">
        <v>500</v>
      </c>
      <c r="AO6309">
        <v>0</v>
      </c>
      <c r="AP6309">
        <v>10000</v>
      </c>
      <c r="AQ6309">
        <v>75</v>
      </c>
      <c r="AR6309">
        <v>249.65</v>
      </c>
      <c r="AS6309">
        <v>0</v>
      </c>
      <c r="AT6309">
        <v>0</v>
      </c>
      <c r="AU6309">
        <v>5000</v>
      </c>
      <c r="AV6309">
        <v>69</v>
      </c>
      <c r="AW6309">
        <v>631.94000000000005</v>
      </c>
      <c r="AX6309">
        <v>0</v>
      </c>
      <c r="AY6309">
        <v>0</v>
      </c>
      <c r="AZ6309">
        <v>5000</v>
      </c>
    </row>
    <row r="6310" spans="1:52" x14ac:dyDescent="0.3">
      <c r="A6310" t="s">
        <v>36</v>
      </c>
      <c r="B6310" t="s">
        <v>210</v>
      </c>
      <c r="C6310">
        <v>126</v>
      </c>
      <c r="D6310">
        <v>3243.24</v>
      </c>
      <c r="E6310">
        <v>3500</v>
      </c>
      <c r="F6310">
        <v>0</v>
      </c>
      <c r="G6310">
        <v>9500</v>
      </c>
      <c r="H6310">
        <v>139</v>
      </c>
      <c r="I6310">
        <v>337.15</v>
      </c>
      <c r="J6310">
        <v>250</v>
      </c>
      <c r="K6310">
        <v>0</v>
      </c>
      <c r="L6310">
        <v>5000</v>
      </c>
      <c r="M6310">
        <v>134</v>
      </c>
      <c r="N6310">
        <v>760.47</v>
      </c>
      <c r="O6310">
        <v>500</v>
      </c>
      <c r="P6310">
        <v>0</v>
      </c>
      <c r="Q6310">
        <v>8000</v>
      </c>
      <c r="R6310">
        <v>146</v>
      </c>
      <c r="S6310">
        <v>920.17</v>
      </c>
      <c r="T6310">
        <v>800</v>
      </c>
      <c r="U6310">
        <v>0</v>
      </c>
      <c r="V6310">
        <v>4000</v>
      </c>
      <c r="W6310">
        <v>105</v>
      </c>
      <c r="X6310">
        <v>844</v>
      </c>
      <c r="Y6310">
        <v>0</v>
      </c>
      <c r="Z6310">
        <v>0</v>
      </c>
      <c r="AA6310">
        <v>10000</v>
      </c>
      <c r="AB6310">
        <v>124</v>
      </c>
      <c r="AC6310">
        <v>410.36</v>
      </c>
      <c r="AD6310">
        <v>330</v>
      </c>
      <c r="AE6310">
        <v>0</v>
      </c>
      <c r="AF6310">
        <v>5000</v>
      </c>
      <c r="AG6310">
        <v>161</v>
      </c>
      <c r="AH6310">
        <v>551.88</v>
      </c>
      <c r="AI6310">
        <v>450</v>
      </c>
      <c r="AJ6310">
        <v>0</v>
      </c>
      <c r="AK6310">
        <v>7200</v>
      </c>
      <c r="AL6310">
        <v>92</v>
      </c>
      <c r="AM6310">
        <v>508.42</v>
      </c>
      <c r="AN6310">
        <v>0</v>
      </c>
      <c r="AO6310">
        <v>0</v>
      </c>
      <c r="AP6310">
        <v>3000</v>
      </c>
      <c r="AQ6310">
        <v>91</v>
      </c>
      <c r="AR6310">
        <v>800.84</v>
      </c>
      <c r="AS6310">
        <v>0</v>
      </c>
      <c r="AT6310">
        <v>0</v>
      </c>
      <c r="AU6310">
        <v>50000</v>
      </c>
      <c r="AV6310">
        <v>98</v>
      </c>
      <c r="AW6310">
        <v>580.48</v>
      </c>
      <c r="AX6310">
        <v>0</v>
      </c>
      <c r="AY6310">
        <v>0</v>
      </c>
      <c r="AZ6310">
        <v>10000</v>
      </c>
    </row>
    <row r="6311" spans="1:52" x14ac:dyDescent="0.3">
      <c r="A6311" t="s">
        <v>36</v>
      </c>
      <c r="B6311" t="s">
        <v>212</v>
      </c>
      <c r="C6311">
        <v>905</v>
      </c>
      <c r="D6311">
        <v>741.47</v>
      </c>
      <c r="E6311">
        <v>0</v>
      </c>
      <c r="F6311">
        <v>0</v>
      </c>
      <c r="G6311">
        <v>8000</v>
      </c>
      <c r="H6311">
        <v>1607</v>
      </c>
      <c r="I6311">
        <v>325.13</v>
      </c>
      <c r="J6311">
        <v>250</v>
      </c>
      <c r="K6311">
        <v>0</v>
      </c>
      <c r="L6311">
        <v>5000</v>
      </c>
      <c r="M6311">
        <v>1587</v>
      </c>
      <c r="N6311">
        <v>698.55</v>
      </c>
      <c r="O6311">
        <v>500</v>
      </c>
      <c r="P6311">
        <v>0</v>
      </c>
      <c r="Q6311">
        <v>7000</v>
      </c>
      <c r="R6311">
        <v>1758</v>
      </c>
      <c r="S6311">
        <v>1022.49</v>
      </c>
      <c r="T6311">
        <v>800</v>
      </c>
      <c r="U6311">
        <v>0</v>
      </c>
      <c r="V6311">
        <v>7000</v>
      </c>
      <c r="W6311">
        <v>1169</v>
      </c>
      <c r="X6311">
        <v>1634.29</v>
      </c>
      <c r="Y6311">
        <v>900</v>
      </c>
      <c r="Z6311">
        <v>0</v>
      </c>
      <c r="AA6311">
        <v>18000</v>
      </c>
      <c r="AB6311">
        <v>1019</v>
      </c>
      <c r="AC6311">
        <v>562.64</v>
      </c>
      <c r="AD6311">
        <v>300</v>
      </c>
      <c r="AE6311">
        <v>0</v>
      </c>
      <c r="AF6311">
        <v>10000</v>
      </c>
      <c r="AG6311">
        <v>1744</v>
      </c>
      <c r="AH6311">
        <v>492.54</v>
      </c>
      <c r="AI6311">
        <v>500</v>
      </c>
      <c r="AJ6311">
        <v>0</v>
      </c>
      <c r="AK6311">
        <v>2000</v>
      </c>
      <c r="AL6311">
        <v>792</v>
      </c>
      <c r="AM6311">
        <v>526.61</v>
      </c>
      <c r="AN6311">
        <v>0</v>
      </c>
      <c r="AO6311">
        <v>0</v>
      </c>
      <c r="AP6311">
        <v>16000</v>
      </c>
      <c r="AQ6311">
        <v>760</v>
      </c>
      <c r="AR6311">
        <v>345.69</v>
      </c>
      <c r="AS6311">
        <v>0</v>
      </c>
      <c r="AT6311">
        <v>0</v>
      </c>
      <c r="AU6311">
        <v>17000</v>
      </c>
      <c r="AV6311">
        <v>846</v>
      </c>
      <c r="AW6311">
        <v>875.49</v>
      </c>
      <c r="AX6311">
        <v>0</v>
      </c>
      <c r="AY6311">
        <v>0</v>
      </c>
      <c r="AZ6311">
        <v>10000</v>
      </c>
    </row>
    <row r="6312" spans="1:52" x14ac:dyDescent="0.3">
      <c r="A6312" t="s">
        <v>36</v>
      </c>
      <c r="B6312" t="s">
        <v>216</v>
      </c>
      <c r="C6312">
        <v>164</v>
      </c>
      <c r="D6312">
        <v>1362.08</v>
      </c>
      <c r="E6312">
        <v>0</v>
      </c>
      <c r="F6312">
        <v>0</v>
      </c>
      <c r="G6312">
        <v>10000</v>
      </c>
      <c r="H6312">
        <v>240</v>
      </c>
      <c r="I6312">
        <v>325.64</v>
      </c>
      <c r="J6312">
        <v>250</v>
      </c>
      <c r="K6312">
        <v>0</v>
      </c>
      <c r="L6312">
        <v>5000</v>
      </c>
      <c r="M6312">
        <v>219</v>
      </c>
      <c r="N6312">
        <v>929.5</v>
      </c>
      <c r="O6312">
        <v>600</v>
      </c>
      <c r="P6312">
        <v>0</v>
      </c>
      <c r="Q6312">
        <v>3200</v>
      </c>
      <c r="R6312">
        <v>253</v>
      </c>
      <c r="S6312">
        <v>1138.51</v>
      </c>
      <c r="T6312">
        <v>900</v>
      </c>
      <c r="U6312">
        <v>0</v>
      </c>
      <c r="V6312">
        <v>6500</v>
      </c>
      <c r="W6312">
        <v>202</v>
      </c>
      <c r="X6312">
        <v>1701.99</v>
      </c>
      <c r="Y6312">
        <v>1000</v>
      </c>
      <c r="Z6312">
        <v>0</v>
      </c>
      <c r="AA6312">
        <v>7500</v>
      </c>
      <c r="AB6312">
        <v>178</v>
      </c>
      <c r="AC6312">
        <v>573.94000000000005</v>
      </c>
      <c r="AD6312">
        <v>400</v>
      </c>
      <c r="AE6312">
        <v>0</v>
      </c>
      <c r="AF6312">
        <v>12000</v>
      </c>
      <c r="AG6312">
        <v>265</v>
      </c>
      <c r="AH6312">
        <v>524.74</v>
      </c>
      <c r="AI6312">
        <v>500</v>
      </c>
      <c r="AJ6312">
        <v>0</v>
      </c>
      <c r="AK6312">
        <v>2000</v>
      </c>
      <c r="AL6312">
        <v>151</v>
      </c>
      <c r="AM6312">
        <v>731.82</v>
      </c>
      <c r="AN6312">
        <v>500</v>
      </c>
      <c r="AO6312">
        <v>0</v>
      </c>
      <c r="AP6312">
        <v>5000</v>
      </c>
      <c r="AQ6312">
        <v>146</v>
      </c>
      <c r="AR6312">
        <v>723.43</v>
      </c>
      <c r="AS6312">
        <v>0</v>
      </c>
      <c r="AT6312">
        <v>0</v>
      </c>
      <c r="AU6312">
        <v>70000</v>
      </c>
      <c r="AV6312">
        <v>153</v>
      </c>
      <c r="AW6312">
        <v>787.7</v>
      </c>
      <c r="AX6312">
        <v>0</v>
      </c>
      <c r="AY6312">
        <v>0</v>
      </c>
      <c r="AZ6312">
        <v>7800</v>
      </c>
    </row>
    <row r="6313" spans="1:52" x14ac:dyDescent="0.3">
      <c r="A6313" t="s">
        <v>34</v>
      </c>
      <c r="B6313" t="s">
        <v>210</v>
      </c>
      <c r="C6313">
        <v>223</v>
      </c>
      <c r="D6313">
        <v>2471.15</v>
      </c>
      <c r="E6313">
        <v>1500</v>
      </c>
      <c r="F6313">
        <v>0</v>
      </c>
      <c r="G6313">
        <v>20000</v>
      </c>
      <c r="H6313">
        <v>213</v>
      </c>
      <c r="I6313">
        <v>254.03</v>
      </c>
      <c r="J6313">
        <v>200</v>
      </c>
      <c r="K6313">
        <v>0</v>
      </c>
      <c r="L6313">
        <v>4000</v>
      </c>
      <c r="M6313">
        <v>218</v>
      </c>
      <c r="N6313">
        <v>540.11</v>
      </c>
      <c r="O6313">
        <v>350</v>
      </c>
      <c r="P6313">
        <v>0</v>
      </c>
      <c r="Q6313">
        <v>5000</v>
      </c>
      <c r="R6313">
        <v>229</v>
      </c>
      <c r="S6313">
        <v>790.59</v>
      </c>
      <c r="T6313">
        <v>650</v>
      </c>
      <c r="U6313">
        <v>0</v>
      </c>
      <c r="V6313">
        <v>4600</v>
      </c>
      <c r="W6313">
        <v>216</v>
      </c>
      <c r="X6313">
        <v>669.19</v>
      </c>
      <c r="Y6313">
        <v>0</v>
      </c>
      <c r="Z6313">
        <v>0</v>
      </c>
      <c r="AA6313">
        <v>10000</v>
      </c>
      <c r="AB6313">
        <v>223</v>
      </c>
      <c r="AC6313">
        <v>712.7</v>
      </c>
      <c r="AD6313">
        <v>100</v>
      </c>
      <c r="AE6313">
        <v>0</v>
      </c>
      <c r="AF6313">
        <v>60250</v>
      </c>
      <c r="AG6313">
        <v>252</v>
      </c>
      <c r="AH6313">
        <v>520.94000000000005</v>
      </c>
      <c r="AI6313">
        <v>450</v>
      </c>
      <c r="AJ6313">
        <v>0</v>
      </c>
      <c r="AK6313">
        <v>4600</v>
      </c>
      <c r="AL6313">
        <v>188</v>
      </c>
      <c r="AM6313">
        <v>166.8</v>
      </c>
      <c r="AN6313">
        <v>0</v>
      </c>
      <c r="AO6313">
        <v>0</v>
      </c>
      <c r="AP6313">
        <v>7000</v>
      </c>
      <c r="AQ6313">
        <v>198</v>
      </c>
      <c r="AR6313">
        <v>25.02</v>
      </c>
      <c r="AS6313">
        <v>0</v>
      </c>
      <c r="AT6313">
        <v>0</v>
      </c>
      <c r="AU6313">
        <v>1000</v>
      </c>
      <c r="AV6313">
        <v>184</v>
      </c>
      <c r="AW6313">
        <v>345.49</v>
      </c>
      <c r="AX6313">
        <v>0</v>
      </c>
      <c r="AY6313">
        <v>0</v>
      </c>
      <c r="AZ6313">
        <v>5000</v>
      </c>
    </row>
    <row r="6314" spans="1:52" x14ac:dyDescent="0.3">
      <c r="A6314" t="s">
        <v>34</v>
      </c>
      <c r="B6314" t="s">
        <v>212</v>
      </c>
      <c r="C6314">
        <v>1423</v>
      </c>
      <c r="D6314">
        <v>175.75</v>
      </c>
      <c r="E6314">
        <v>0</v>
      </c>
      <c r="F6314">
        <v>0</v>
      </c>
      <c r="G6314">
        <v>10000</v>
      </c>
      <c r="H6314">
        <v>1491</v>
      </c>
      <c r="I6314">
        <v>205.75</v>
      </c>
      <c r="J6314">
        <v>130</v>
      </c>
      <c r="K6314">
        <v>0</v>
      </c>
      <c r="L6314">
        <v>6500</v>
      </c>
      <c r="M6314">
        <v>1422</v>
      </c>
      <c r="N6314">
        <v>569.02</v>
      </c>
      <c r="O6314">
        <v>400</v>
      </c>
      <c r="P6314">
        <v>0</v>
      </c>
      <c r="Q6314">
        <v>12000</v>
      </c>
      <c r="R6314">
        <v>1527</v>
      </c>
      <c r="S6314">
        <v>922.72</v>
      </c>
      <c r="T6314">
        <v>700</v>
      </c>
      <c r="U6314">
        <v>0</v>
      </c>
      <c r="V6314">
        <v>8000</v>
      </c>
      <c r="W6314">
        <v>1459</v>
      </c>
      <c r="X6314">
        <v>748.89</v>
      </c>
      <c r="Y6314">
        <v>0</v>
      </c>
      <c r="Z6314">
        <v>0</v>
      </c>
      <c r="AA6314">
        <v>15450</v>
      </c>
      <c r="AB6314">
        <v>1482</v>
      </c>
      <c r="AC6314">
        <v>400.41</v>
      </c>
      <c r="AD6314">
        <v>0</v>
      </c>
      <c r="AE6314">
        <v>0</v>
      </c>
      <c r="AF6314">
        <v>17000</v>
      </c>
      <c r="AG6314">
        <v>1557</v>
      </c>
      <c r="AH6314">
        <v>466.01</v>
      </c>
      <c r="AI6314">
        <v>400</v>
      </c>
      <c r="AJ6314">
        <v>0</v>
      </c>
      <c r="AK6314">
        <v>4770</v>
      </c>
      <c r="AL6314">
        <v>1392</v>
      </c>
      <c r="AM6314">
        <v>220.15</v>
      </c>
      <c r="AN6314">
        <v>0</v>
      </c>
      <c r="AO6314">
        <v>0</v>
      </c>
      <c r="AP6314">
        <v>25000</v>
      </c>
      <c r="AQ6314">
        <v>1437</v>
      </c>
      <c r="AR6314">
        <v>375.64</v>
      </c>
      <c r="AS6314">
        <v>0</v>
      </c>
      <c r="AT6314">
        <v>0</v>
      </c>
      <c r="AU6314">
        <v>100000</v>
      </c>
      <c r="AV6314">
        <v>1311</v>
      </c>
      <c r="AW6314">
        <v>325.17</v>
      </c>
      <c r="AX6314">
        <v>0</v>
      </c>
      <c r="AY6314">
        <v>0</v>
      </c>
      <c r="AZ6314">
        <v>14600</v>
      </c>
    </row>
    <row r="6315" spans="1:52" x14ac:dyDescent="0.3">
      <c r="A6315" t="s">
        <v>34</v>
      </c>
      <c r="B6315" t="s">
        <v>216</v>
      </c>
      <c r="C6315">
        <v>178</v>
      </c>
      <c r="D6315">
        <v>911.2</v>
      </c>
      <c r="E6315">
        <v>0</v>
      </c>
      <c r="F6315">
        <v>0</v>
      </c>
      <c r="G6315">
        <v>18000</v>
      </c>
      <c r="H6315">
        <v>202</v>
      </c>
      <c r="I6315">
        <v>231.19</v>
      </c>
      <c r="J6315">
        <v>150</v>
      </c>
      <c r="K6315">
        <v>0</v>
      </c>
      <c r="L6315">
        <v>2000</v>
      </c>
      <c r="M6315">
        <v>191</v>
      </c>
      <c r="N6315">
        <v>605.97</v>
      </c>
      <c r="O6315">
        <v>500</v>
      </c>
      <c r="P6315">
        <v>0</v>
      </c>
      <c r="Q6315">
        <v>4000</v>
      </c>
      <c r="R6315">
        <v>208</v>
      </c>
      <c r="S6315">
        <v>929.71</v>
      </c>
      <c r="T6315">
        <v>700</v>
      </c>
      <c r="U6315">
        <v>0</v>
      </c>
      <c r="V6315">
        <v>4100</v>
      </c>
      <c r="W6315">
        <v>190</v>
      </c>
      <c r="X6315">
        <v>1119.83</v>
      </c>
      <c r="Y6315">
        <v>0</v>
      </c>
      <c r="Z6315">
        <v>0</v>
      </c>
      <c r="AA6315">
        <v>15000</v>
      </c>
      <c r="AB6315">
        <v>195</v>
      </c>
      <c r="AC6315">
        <v>477.54</v>
      </c>
      <c r="AD6315">
        <v>0</v>
      </c>
      <c r="AE6315">
        <v>0</v>
      </c>
      <c r="AF6315">
        <v>10000</v>
      </c>
      <c r="AG6315">
        <v>231</v>
      </c>
      <c r="AH6315">
        <v>537.63</v>
      </c>
      <c r="AI6315">
        <v>500</v>
      </c>
      <c r="AJ6315">
        <v>0</v>
      </c>
      <c r="AK6315">
        <v>5000</v>
      </c>
      <c r="AL6315">
        <v>174</v>
      </c>
      <c r="AM6315">
        <v>256.06</v>
      </c>
      <c r="AN6315">
        <v>0</v>
      </c>
      <c r="AO6315">
        <v>0</v>
      </c>
      <c r="AP6315">
        <v>10000</v>
      </c>
      <c r="AQ6315">
        <v>173</v>
      </c>
      <c r="AR6315">
        <v>297.17</v>
      </c>
      <c r="AS6315">
        <v>0</v>
      </c>
      <c r="AT6315">
        <v>0</v>
      </c>
      <c r="AU6315">
        <v>7000</v>
      </c>
      <c r="AV6315">
        <v>168</v>
      </c>
      <c r="AW6315">
        <v>566.97</v>
      </c>
      <c r="AX6315">
        <v>0</v>
      </c>
      <c r="AY6315">
        <v>0</v>
      </c>
      <c r="AZ6315">
        <v>11500</v>
      </c>
    </row>
    <row r="6316" spans="1:52" x14ac:dyDescent="0.3">
      <c r="A6316" t="s">
        <v>33</v>
      </c>
      <c r="B6316" t="s">
        <v>210</v>
      </c>
      <c r="C6316">
        <v>59</v>
      </c>
      <c r="D6316">
        <v>2074.37</v>
      </c>
      <c r="E6316">
        <v>1500</v>
      </c>
      <c r="F6316">
        <v>0</v>
      </c>
      <c r="G6316">
        <v>7000</v>
      </c>
      <c r="H6316">
        <v>58</v>
      </c>
      <c r="I6316">
        <v>195.89</v>
      </c>
      <c r="J6316">
        <v>150</v>
      </c>
      <c r="K6316">
        <v>0</v>
      </c>
      <c r="L6316">
        <v>1500</v>
      </c>
      <c r="M6316">
        <v>62</v>
      </c>
      <c r="N6316">
        <v>579.64</v>
      </c>
      <c r="O6316">
        <v>500</v>
      </c>
      <c r="P6316">
        <v>0</v>
      </c>
      <c r="Q6316">
        <v>2800</v>
      </c>
      <c r="R6316">
        <v>60</v>
      </c>
      <c r="S6316">
        <v>812.68</v>
      </c>
      <c r="T6316">
        <v>600</v>
      </c>
      <c r="U6316">
        <v>0</v>
      </c>
      <c r="V6316">
        <v>3500</v>
      </c>
      <c r="W6316">
        <v>57</v>
      </c>
      <c r="X6316">
        <v>697.56</v>
      </c>
      <c r="Y6316">
        <v>0</v>
      </c>
      <c r="Z6316">
        <v>0</v>
      </c>
      <c r="AA6316">
        <v>6000</v>
      </c>
      <c r="AB6316">
        <v>62</v>
      </c>
      <c r="AC6316">
        <v>263.37</v>
      </c>
      <c r="AD6316">
        <v>50</v>
      </c>
      <c r="AE6316">
        <v>0</v>
      </c>
      <c r="AF6316">
        <v>1500</v>
      </c>
      <c r="AG6316">
        <v>66</v>
      </c>
      <c r="AH6316">
        <v>523.57000000000005</v>
      </c>
      <c r="AI6316">
        <v>500</v>
      </c>
      <c r="AJ6316">
        <v>75</v>
      </c>
      <c r="AK6316">
        <v>1400</v>
      </c>
      <c r="AL6316">
        <v>56</v>
      </c>
      <c r="AM6316">
        <v>243.43</v>
      </c>
      <c r="AN6316">
        <v>0</v>
      </c>
      <c r="AO6316">
        <v>0</v>
      </c>
      <c r="AP6316">
        <v>2500</v>
      </c>
      <c r="AQ6316">
        <v>57</v>
      </c>
      <c r="AR6316">
        <v>78.37</v>
      </c>
      <c r="AS6316">
        <v>0</v>
      </c>
      <c r="AT6316">
        <v>0</v>
      </c>
      <c r="AU6316">
        <v>5000</v>
      </c>
      <c r="AV6316">
        <v>60</v>
      </c>
      <c r="AW6316">
        <v>351.74</v>
      </c>
      <c r="AX6316">
        <v>0</v>
      </c>
      <c r="AY6316">
        <v>0</v>
      </c>
      <c r="AZ6316">
        <v>5000</v>
      </c>
    </row>
    <row r="6317" spans="1:52" x14ac:dyDescent="0.3">
      <c r="A6317" t="s">
        <v>33</v>
      </c>
      <c r="B6317" t="s">
        <v>212</v>
      </c>
      <c r="C6317">
        <v>1608</v>
      </c>
      <c r="D6317">
        <v>307.19</v>
      </c>
      <c r="E6317">
        <v>0</v>
      </c>
      <c r="F6317">
        <v>0</v>
      </c>
      <c r="G6317">
        <v>19000</v>
      </c>
      <c r="H6317">
        <v>1633</v>
      </c>
      <c r="I6317">
        <v>199.71</v>
      </c>
      <c r="J6317">
        <v>120</v>
      </c>
      <c r="K6317">
        <v>0</v>
      </c>
      <c r="L6317">
        <v>2100</v>
      </c>
      <c r="M6317">
        <v>1693</v>
      </c>
      <c r="N6317">
        <v>559.98</v>
      </c>
      <c r="O6317">
        <v>450</v>
      </c>
      <c r="P6317">
        <v>0</v>
      </c>
      <c r="Q6317">
        <v>8000</v>
      </c>
      <c r="R6317">
        <v>1769</v>
      </c>
      <c r="S6317">
        <v>882.07</v>
      </c>
      <c r="T6317">
        <v>700</v>
      </c>
      <c r="U6317">
        <v>0</v>
      </c>
      <c r="V6317">
        <v>5000</v>
      </c>
      <c r="W6317">
        <v>1551</v>
      </c>
      <c r="X6317">
        <v>919.73</v>
      </c>
      <c r="Y6317">
        <v>250</v>
      </c>
      <c r="Z6317">
        <v>0</v>
      </c>
      <c r="AA6317">
        <v>10000</v>
      </c>
      <c r="AB6317">
        <v>1556</v>
      </c>
      <c r="AC6317">
        <v>362.97</v>
      </c>
      <c r="AD6317">
        <v>20</v>
      </c>
      <c r="AE6317">
        <v>0</v>
      </c>
      <c r="AF6317">
        <v>25000</v>
      </c>
      <c r="AG6317">
        <v>1780</v>
      </c>
      <c r="AH6317">
        <v>438.58</v>
      </c>
      <c r="AI6317">
        <v>400</v>
      </c>
      <c r="AJ6317">
        <v>0</v>
      </c>
      <c r="AK6317">
        <v>2000</v>
      </c>
      <c r="AL6317">
        <v>1485</v>
      </c>
      <c r="AM6317">
        <v>304.58999999999997</v>
      </c>
      <c r="AN6317">
        <v>0</v>
      </c>
      <c r="AO6317">
        <v>0</v>
      </c>
      <c r="AP6317">
        <v>20000</v>
      </c>
      <c r="AQ6317">
        <v>1443</v>
      </c>
      <c r="AR6317">
        <v>137.15</v>
      </c>
      <c r="AS6317">
        <v>0</v>
      </c>
      <c r="AT6317">
        <v>0</v>
      </c>
      <c r="AU6317">
        <v>12000</v>
      </c>
      <c r="AV6317">
        <v>1403</v>
      </c>
      <c r="AW6317">
        <v>455.49</v>
      </c>
      <c r="AX6317">
        <v>0</v>
      </c>
      <c r="AY6317">
        <v>0</v>
      </c>
      <c r="AZ6317">
        <v>10000</v>
      </c>
    </row>
    <row r="6318" spans="1:52" x14ac:dyDescent="0.3">
      <c r="A6318" t="s">
        <v>33</v>
      </c>
      <c r="B6318" t="s">
        <v>216</v>
      </c>
      <c r="C6318">
        <v>58</v>
      </c>
      <c r="D6318">
        <v>1380.72</v>
      </c>
      <c r="E6318">
        <v>0</v>
      </c>
      <c r="F6318">
        <v>0</v>
      </c>
      <c r="G6318">
        <v>13000</v>
      </c>
      <c r="H6318">
        <v>61</v>
      </c>
      <c r="I6318">
        <v>383.56</v>
      </c>
      <c r="J6318">
        <v>300</v>
      </c>
      <c r="K6318">
        <v>0</v>
      </c>
      <c r="L6318">
        <v>2000</v>
      </c>
      <c r="M6318">
        <v>59</v>
      </c>
      <c r="N6318">
        <v>842.58</v>
      </c>
      <c r="O6318">
        <v>500</v>
      </c>
      <c r="P6318">
        <v>0</v>
      </c>
      <c r="Q6318">
        <v>4000</v>
      </c>
      <c r="R6318">
        <v>67</v>
      </c>
      <c r="S6318">
        <v>1049.01</v>
      </c>
      <c r="T6318">
        <v>1000</v>
      </c>
      <c r="U6318">
        <v>0</v>
      </c>
      <c r="V6318">
        <v>3000</v>
      </c>
      <c r="W6318">
        <v>58</v>
      </c>
      <c r="X6318">
        <v>1177.81</v>
      </c>
      <c r="Y6318">
        <v>900</v>
      </c>
      <c r="Z6318">
        <v>0</v>
      </c>
      <c r="AA6318">
        <v>6000</v>
      </c>
      <c r="AB6318">
        <v>62</v>
      </c>
      <c r="AC6318">
        <v>481.9</v>
      </c>
      <c r="AD6318">
        <v>350</v>
      </c>
      <c r="AE6318">
        <v>0</v>
      </c>
      <c r="AF6318">
        <v>4000</v>
      </c>
      <c r="AG6318">
        <v>69</v>
      </c>
      <c r="AH6318">
        <v>528.9</v>
      </c>
      <c r="AI6318">
        <v>500</v>
      </c>
      <c r="AJ6318">
        <v>100</v>
      </c>
      <c r="AK6318">
        <v>1500</v>
      </c>
      <c r="AL6318">
        <v>57</v>
      </c>
      <c r="AM6318">
        <v>954.45</v>
      </c>
      <c r="AN6318">
        <v>500</v>
      </c>
      <c r="AO6318">
        <v>0</v>
      </c>
      <c r="AP6318">
        <v>6000</v>
      </c>
      <c r="AQ6318">
        <v>45</v>
      </c>
      <c r="AR6318">
        <v>786.28</v>
      </c>
      <c r="AS6318">
        <v>0</v>
      </c>
      <c r="AT6318">
        <v>0</v>
      </c>
      <c r="AU6318">
        <v>25000</v>
      </c>
      <c r="AV6318">
        <v>46</v>
      </c>
      <c r="AW6318">
        <v>395.58</v>
      </c>
      <c r="AX6318">
        <v>0</v>
      </c>
      <c r="AY6318">
        <v>0</v>
      </c>
      <c r="AZ6318">
        <v>3000</v>
      </c>
    </row>
    <row r="6319" spans="1:52" x14ac:dyDescent="0.3">
      <c r="A6319" t="s">
        <v>49</v>
      </c>
      <c r="B6319" t="s">
        <v>210</v>
      </c>
      <c r="C6319">
        <v>648</v>
      </c>
      <c r="D6319">
        <v>3719.41</v>
      </c>
      <c r="E6319">
        <v>3000</v>
      </c>
      <c r="F6319">
        <v>0</v>
      </c>
      <c r="G6319">
        <v>70000</v>
      </c>
      <c r="H6319">
        <v>624</v>
      </c>
      <c r="I6319">
        <v>282.51</v>
      </c>
      <c r="J6319">
        <v>250</v>
      </c>
      <c r="K6319">
        <v>0</v>
      </c>
      <c r="L6319">
        <v>5000</v>
      </c>
      <c r="M6319">
        <v>653</v>
      </c>
      <c r="N6319">
        <v>696.84</v>
      </c>
      <c r="O6319">
        <v>500</v>
      </c>
      <c r="P6319">
        <v>0</v>
      </c>
      <c r="Q6319">
        <v>8000</v>
      </c>
      <c r="R6319">
        <v>683</v>
      </c>
      <c r="S6319">
        <v>824.85</v>
      </c>
      <c r="T6319">
        <v>700</v>
      </c>
      <c r="U6319">
        <v>0</v>
      </c>
      <c r="V6319">
        <v>4600</v>
      </c>
      <c r="W6319">
        <v>575</v>
      </c>
      <c r="X6319">
        <v>827.07</v>
      </c>
      <c r="Y6319">
        <v>0</v>
      </c>
      <c r="Z6319">
        <v>0</v>
      </c>
      <c r="AA6319">
        <v>13000</v>
      </c>
      <c r="AB6319">
        <v>641</v>
      </c>
      <c r="AC6319">
        <v>548.58000000000004</v>
      </c>
      <c r="AD6319">
        <v>200</v>
      </c>
      <c r="AE6319">
        <v>0</v>
      </c>
      <c r="AF6319">
        <v>60250</v>
      </c>
      <c r="AG6319">
        <v>753</v>
      </c>
      <c r="AH6319">
        <v>520.01</v>
      </c>
      <c r="AI6319">
        <v>450</v>
      </c>
      <c r="AJ6319">
        <v>0</v>
      </c>
      <c r="AK6319">
        <v>7200</v>
      </c>
      <c r="AL6319">
        <v>529</v>
      </c>
      <c r="AM6319">
        <v>395.28</v>
      </c>
      <c r="AN6319">
        <v>0</v>
      </c>
      <c r="AO6319">
        <v>0</v>
      </c>
      <c r="AP6319">
        <v>8000</v>
      </c>
      <c r="AQ6319">
        <v>533</v>
      </c>
      <c r="AR6319">
        <v>223.69</v>
      </c>
      <c r="AS6319">
        <v>0</v>
      </c>
      <c r="AT6319">
        <v>0</v>
      </c>
      <c r="AU6319">
        <v>50000</v>
      </c>
      <c r="AV6319">
        <v>515</v>
      </c>
      <c r="AW6319">
        <v>408.15</v>
      </c>
      <c r="AX6319">
        <v>0</v>
      </c>
      <c r="AY6319">
        <v>0</v>
      </c>
      <c r="AZ6319">
        <v>10000</v>
      </c>
    </row>
    <row r="6320" spans="1:52" x14ac:dyDescent="0.3">
      <c r="A6320" t="s">
        <v>49</v>
      </c>
      <c r="B6320" t="s">
        <v>212</v>
      </c>
      <c r="C6320">
        <v>8862</v>
      </c>
      <c r="D6320">
        <v>348.84</v>
      </c>
      <c r="E6320">
        <v>0</v>
      </c>
      <c r="F6320">
        <v>0</v>
      </c>
      <c r="G6320">
        <v>19000</v>
      </c>
      <c r="H6320">
        <v>9618</v>
      </c>
      <c r="I6320">
        <v>240.8</v>
      </c>
      <c r="J6320">
        <v>150</v>
      </c>
      <c r="K6320">
        <v>0</v>
      </c>
      <c r="L6320">
        <v>8000</v>
      </c>
      <c r="M6320">
        <v>10024</v>
      </c>
      <c r="N6320">
        <v>680</v>
      </c>
      <c r="O6320">
        <v>500</v>
      </c>
      <c r="P6320">
        <v>0</v>
      </c>
      <c r="Q6320">
        <v>20000</v>
      </c>
      <c r="R6320">
        <v>10948</v>
      </c>
      <c r="S6320">
        <v>984.22</v>
      </c>
      <c r="T6320">
        <v>800</v>
      </c>
      <c r="U6320">
        <v>0</v>
      </c>
      <c r="V6320">
        <v>25000</v>
      </c>
      <c r="W6320">
        <v>8808</v>
      </c>
      <c r="X6320">
        <v>1059.21</v>
      </c>
      <c r="Y6320">
        <v>0</v>
      </c>
      <c r="Z6320">
        <v>0</v>
      </c>
      <c r="AA6320">
        <v>60000</v>
      </c>
      <c r="AB6320">
        <v>8877</v>
      </c>
      <c r="AC6320">
        <v>399.59</v>
      </c>
      <c r="AD6320">
        <v>100</v>
      </c>
      <c r="AE6320">
        <v>0</v>
      </c>
      <c r="AF6320">
        <v>25000</v>
      </c>
      <c r="AG6320">
        <v>10977</v>
      </c>
      <c r="AH6320">
        <v>461.82</v>
      </c>
      <c r="AI6320">
        <v>400</v>
      </c>
      <c r="AJ6320">
        <v>0</v>
      </c>
      <c r="AK6320">
        <v>8000</v>
      </c>
      <c r="AL6320">
        <v>7872</v>
      </c>
      <c r="AM6320">
        <v>393.07</v>
      </c>
      <c r="AN6320">
        <v>0</v>
      </c>
      <c r="AO6320">
        <v>0</v>
      </c>
      <c r="AP6320">
        <v>25000</v>
      </c>
      <c r="AQ6320">
        <v>7760</v>
      </c>
      <c r="AR6320">
        <v>201.46</v>
      </c>
      <c r="AS6320">
        <v>0</v>
      </c>
      <c r="AT6320">
        <v>0</v>
      </c>
      <c r="AU6320">
        <v>100000</v>
      </c>
      <c r="AV6320">
        <v>7375</v>
      </c>
      <c r="AW6320">
        <v>435.13</v>
      </c>
      <c r="AX6320">
        <v>0</v>
      </c>
      <c r="AY6320">
        <v>0</v>
      </c>
      <c r="AZ6320">
        <v>20000</v>
      </c>
    </row>
    <row r="6321" spans="1:52" x14ac:dyDescent="0.3">
      <c r="A6321" t="s">
        <v>49</v>
      </c>
      <c r="B6321" t="s">
        <v>216</v>
      </c>
      <c r="C6321">
        <v>984</v>
      </c>
      <c r="D6321">
        <v>1460.81</v>
      </c>
      <c r="E6321">
        <v>0</v>
      </c>
      <c r="F6321">
        <v>0</v>
      </c>
      <c r="G6321">
        <v>40000</v>
      </c>
      <c r="H6321">
        <v>1088</v>
      </c>
      <c r="I6321">
        <v>423.29</v>
      </c>
      <c r="J6321">
        <v>300</v>
      </c>
      <c r="K6321">
        <v>0</v>
      </c>
      <c r="L6321">
        <v>5000</v>
      </c>
      <c r="M6321">
        <v>1041</v>
      </c>
      <c r="N6321">
        <v>895.14</v>
      </c>
      <c r="O6321">
        <v>500</v>
      </c>
      <c r="P6321">
        <v>0</v>
      </c>
      <c r="Q6321">
        <v>10000</v>
      </c>
      <c r="R6321">
        <v>1170</v>
      </c>
      <c r="S6321">
        <v>1035.06</v>
      </c>
      <c r="T6321">
        <v>850</v>
      </c>
      <c r="U6321">
        <v>0</v>
      </c>
      <c r="V6321">
        <v>7000</v>
      </c>
      <c r="W6321">
        <v>958</v>
      </c>
      <c r="X6321">
        <v>1419.53</v>
      </c>
      <c r="Y6321">
        <v>0</v>
      </c>
      <c r="Z6321">
        <v>0</v>
      </c>
      <c r="AA6321">
        <v>15000</v>
      </c>
      <c r="AB6321">
        <v>978</v>
      </c>
      <c r="AC6321">
        <v>587.46</v>
      </c>
      <c r="AD6321">
        <v>225</v>
      </c>
      <c r="AE6321">
        <v>0</v>
      </c>
      <c r="AF6321">
        <v>26000</v>
      </c>
      <c r="AG6321">
        <v>1231</v>
      </c>
      <c r="AH6321">
        <v>563.87</v>
      </c>
      <c r="AI6321">
        <v>500</v>
      </c>
      <c r="AJ6321">
        <v>0</v>
      </c>
      <c r="AK6321">
        <v>5000</v>
      </c>
      <c r="AL6321">
        <v>867</v>
      </c>
      <c r="AM6321">
        <v>1058.01</v>
      </c>
      <c r="AN6321">
        <v>0</v>
      </c>
      <c r="AO6321">
        <v>0</v>
      </c>
      <c r="AP6321">
        <v>80000</v>
      </c>
      <c r="AQ6321">
        <v>848</v>
      </c>
      <c r="AR6321">
        <v>265.23</v>
      </c>
      <c r="AS6321">
        <v>0</v>
      </c>
      <c r="AT6321">
        <v>0</v>
      </c>
      <c r="AU6321">
        <v>70000</v>
      </c>
      <c r="AV6321">
        <v>770</v>
      </c>
      <c r="AW6321">
        <v>400.16</v>
      </c>
      <c r="AX6321">
        <v>0</v>
      </c>
      <c r="AY6321">
        <v>0</v>
      </c>
      <c r="AZ6321">
        <v>11500</v>
      </c>
    </row>
    <row r="6323" spans="1:52" x14ac:dyDescent="0.3">
      <c r="A6323" t="s">
        <v>2046</v>
      </c>
    </row>
    <row r="6324" spans="1:52" x14ac:dyDescent="0.3">
      <c r="A6324" t="s">
        <v>44</v>
      </c>
      <c r="B6324" t="s">
        <v>388</v>
      </c>
      <c r="C6324" t="s">
        <v>1994</v>
      </c>
      <c r="D6324" t="s">
        <v>1995</v>
      </c>
      <c r="E6324" t="s">
        <v>1996</v>
      </c>
      <c r="F6324" t="s">
        <v>1997</v>
      </c>
      <c r="G6324" t="s">
        <v>1998</v>
      </c>
      <c r="H6324" t="s">
        <v>1999</v>
      </c>
      <c r="I6324" t="s">
        <v>2000</v>
      </c>
      <c r="J6324" t="s">
        <v>2001</v>
      </c>
      <c r="K6324" t="s">
        <v>2002</v>
      </c>
      <c r="L6324" t="s">
        <v>2003</v>
      </c>
      <c r="M6324" t="s">
        <v>2004</v>
      </c>
      <c r="N6324" t="s">
        <v>2005</v>
      </c>
      <c r="O6324" t="s">
        <v>2006</v>
      </c>
      <c r="P6324" t="s">
        <v>2007</v>
      </c>
      <c r="Q6324" t="s">
        <v>2008</v>
      </c>
      <c r="R6324" t="s">
        <v>2009</v>
      </c>
      <c r="S6324" t="s">
        <v>2010</v>
      </c>
      <c r="T6324" t="s">
        <v>2011</v>
      </c>
      <c r="U6324" t="s">
        <v>2012</v>
      </c>
      <c r="V6324" t="s">
        <v>2013</v>
      </c>
      <c r="W6324" t="s">
        <v>2014</v>
      </c>
      <c r="X6324" t="s">
        <v>2015</v>
      </c>
      <c r="Y6324" t="s">
        <v>2016</v>
      </c>
      <c r="Z6324" t="s">
        <v>2017</v>
      </c>
      <c r="AA6324" t="s">
        <v>2018</v>
      </c>
      <c r="AB6324" t="s">
        <v>2019</v>
      </c>
      <c r="AC6324" t="s">
        <v>2020</v>
      </c>
      <c r="AD6324" t="s">
        <v>2021</v>
      </c>
      <c r="AE6324" t="s">
        <v>2022</v>
      </c>
      <c r="AF6324" t="s">
        <v>2023</v>
      </c>
      <c r="AG6324" t="s">
        <v>2024</v>
      </c>
      <c r="AH6324" t="s">
        <v>2025</v>
      </c>
      <c r="AI6324" t="s">
        <v>2026</v>
      </c>
      <c r="AJ6324" t="s">
        <v>2027</v>
      </c>
      <c r="AK6324" t="s">
        <v>2028</v>
      </c>
      <c r="AL6324" t="s">
        <v>2029</v>
      </c>
      <c r="AM6324" t="s">
        <v>2030</v>
      </c>
      <c r="AN6324" t="s">
        <v>2031</v>
      </c>
      <c r="AO6324" t="s">
        <v>2032</v>
      </c>
      <c r="AP6324" t="s">
        <v>2033</v>
      </c>
      <c r="AQ6324" t="s">
        <v>2034</v>
      </c>
      <c r="AR6324" t="s">
        <v>2035</v>
      </c>
      <c r="AS6324" t="s">
        <v>2036</v>
      </c>
      <c r="AT6324" t="s">
        <v>2037</v>
      </c>
      <c r="AU6324" t="s">
        <v>2038</v>
      </c>
      <c r="AV6324" t="s">
        <v>2039</v>
      </c>
      <c r="AW6324" t="s">
        <v>2040</v>
      </c>
      <c r="AX6324" t="s">
        <v>2041</v>
      </c>
      <c r="AY6324" t="s">
        <v>2042</v>
      </c>
      <c r="AZ6324" t="s">
        <v>2043</v>
      </c>
    </row>
    <row r="6325" spans="1:52" x14ac:dyDescent="0.3">
      <c r="A6325" t="s">
        <v>35</v>
      </c>
      <c r="B6325" t="s">
        <v>389</v>
      </c>
      <c r="C6325">
        <v>1914</v>
      </c>
      <c r="D6325">
        <v>992.18</v>
      </c>
      <c r="E6325">
        <v>0</v>
      </c>
      <c r="F6325">
        <v>0</v>
      </c>
      <c r="G6325">
        <v>17000</v>
      </c>
      <c r="H6325">
        <v>1879</v>
      </c>
      <c r="I6325">
        <v>398.52</v>
      </c>
      <c r="J6325">
        <v>300</v>
      </c>
      <c r="K6325">
        <v>0</v>
      </c>
      <c r="L6325">
        <v>8000</v>
      </c>
      <c r="M6325">
        <v>1787</v>
      </c>
      <c r="N6325">
        <v>761.12</v>
      </c>
      <c r="O6325">
        <v>500</v>
      </c>
      <c r="P6325">
        <v>0</v>
      </c>
      <c r="Q6325">
        <v>10000</v>
      </c>
      <c r="R6325">
        <v>2067</v>
      </c>
      <c r="S6325">
        <v>871.73</v>
      </c>
      <c r="T6325">
        <v>700</v>
      </c>
      <c r="U6325">
        <v>0</v>
      </c>
      <c r="V6325">
        <v>6000</v>
      </c>
      <c r="W6325">
        <v>1619</v>
      </c>
      <c r="X6325">
        <v>847.86</v>
      </c>
      <c r="Y6325">
        <v>0</v>
      </c>
      <c r="Z6325">
        <v>0</v>
      </c>
      <c r="AA6325">
        <v>15000</v>
      </c>
      <c r="AB6325">
        <v>1703</v>
      </c>
      <c r="AC6325">
        <v>472.88</v>
      </c>
      <c r="AD6325">
        <v>150</v>
      </c>
      <c r="AE6325">
        <v>0</v>
      </c>
      <c r="AF6325">
        <v>16000</v>
      </c>
      <c r="AG6325">
        <v>2095</v>
      </c>
      <c r="AH6325">
        <v>520.79</v>
      </c>
      <c r="AI6325">
        <v>450</v>
      </c>
      <c r="AJ6325">
        <v>0</v>
      </c>
      <c r="AK6325">
        <v>8000</v>
      </c>
      <c r="AL6325">
        <v>1521</v>
      </c>
      <c r="AM6325">
        <v>768.41</v>
      </c>
      <c r="AN6325">
        <v>0</v>
      </c>
      <c r="AO6325">
        <v>0</v>
      </c>
      <c r="AP6325">
        <v>80000</v>
      </c>
      <c r="AQ6325">
        <v>1547</v>
      </c>
      <c r="AR6325">
        <v>95.98</v>
      </c>
      <c r="AS6325">
        <v>0</v>
      </c>
      <c r="AT6325">
        <v>0</v>
      </c>
      <c r="AU6325">
        <v>60000</v>
      </c>
      <c r="AV6325">
        <v>1299</v>
      </c>
      <c r="AW6325">
        <v>318.38</v>
      </c>
      <c r="AX6325">
        <v>0</v>
      </c>
      <c r="AY6325">
        <v>0</v>
      </c>
      <c r="AZ6325">
        <v>15000</v>
      </c>
    </row>
    <row r="6326" spans="1:52" x14ac:dyDescent="0.3">
      <c r="A6326" t="s">
        <v>35</v>
      </c>
      <c r="B6326" t="s">
        <v>390</v>
      </c>
      <c r="C6326">
        <v>789</v>
      </c>
      <c r="D6326">
        <v>1096.77</v>
      </c>
      <c r="E6326">
        <v>0</v>
      </c>
      <c r="F6326">
        <v>0</v>
      </c>
      <c r="G6326">
        <v>40000</v>
      </c>
      <c r="H6326">
        <v>738</v>
      </c>
      <c r="I6326">
        <v>346.64</v>
      </c>
      <c r="J6326">
        <v>300</v>
      </c>
      <c r="K6326">
        <v>0</v>
      </c>
      <c r="L6326">
        <v>4500</v>
      </c>
      <c r="M6326">
        <v>664</v>
      </c>
      <c r="N6326">
        <v>698.27</v>
      </c>
      <c r="O6326">
        <v>450</v>
      </c>
      <c r="P6326">
        <v>0</v>
      </c>
      <c r="Q6326">
        <v>10000</v>
      </c>
      <c r="R6326">
        <v>828</v>
      </c>
      <c r="S6326">
        <v>868.4</v>
      </c>
      <c r="T6326">
        <v>600</v>
      </c>
      <c r="U6326">
        <v>0</v>
      </c>
      <c r="V6326">
        <v>7000</v>
      </c>
      <c r="W6326">
        <v>666</v>
      </c>
      <c r="X6326">
        <v>1707.2</v>
      </c>
      <c r="Y6326">
        <v>600</v>
      </c>
      <c r="Z6326">
        <v>0</v>
      </c>
      <c r="AA6326">
        <v>15000</v>
      </c>
      <c r="AB6326">
        <v>662</v>
      </c>
      <c r="AC6326">
        <v>339.74</v>
      </c>
      <c r="AD6326">
        <v>0</v>
      </c>
      <c r="AE6326">
        <v>0</v>
      </c>
      <c r="AF6326">
        <v>26000</v>
      </c>
      <c r="AG6326">
        <v>852</v>
      </c>
      <c r="AH6326">
        <v>442.55</v>
      </c>
      <c r="AI6326">
        <v>400</v>
      </c>
      <c r="AJ6326">
        <v>0</v>
      </c>
      <c r="AK6326">
        <v>2000</v>
      </c>
      <c r="AL6326">
        <v>598</v>
      </c>
      <c r="AM6326">
        <v>715.84</v>
      </c>
      <c r="AN6326">
        <v>0</v>
      </c>
      <c r="AO6326">
        <v>0</v>
      </c>
      <c r="AP6326">
        <v>20000</v>
      </c>
      <c r="AQ6326">
        <v>604</v>
      </c>
      <c r="AR6326">
        <v>179.93</v>
      </c>
      <c r="AS6326">
        <v>0</v>
      </c>
      <c r="AT6326">
        <v>0</v>
      </c>
      <c r="AU6326">
        <v>30000</v>
      </c>
      <c r="AV6326">
        <v>501</v>
      </c>
      <c r="AW6326">
        <v>260.79000000000002</v>
      </c>
      <c r="AX6326">
        <v>0</v>
      </c>
      <c r="AY6326">
        <v>0</v>
      </c>
      <c r="AZ6326">
        <v>7000</v>
      </c>
    </row>
    <row r="6327" spans="1:52" x14ac:dyDescent="0.3">
      <c r="A6327" t="s">
        <v>35</v>
      </c>
      <c r="B6327" t="s">
        <v>365</v>
      </c>
      <c r="C6327">
        <v>117</v>
      </c>
      <c r="D6327">
        <v>589.74</v>
      </c>
      <c r="E6327">
        <v>0</v>
      </c>
      <c r="F6327">
        <v>0</v>
      </c>
      <c r="G6327">
        <v>8000</v>
      </c>
      <c r="H6327">
        <v>112</v>
      </c>
      <c r="I6327">
        <v>400.96</v>
      </c>
      <c r="J6327">
        <v>300</v>
      </c>
      <c r="K6327">
        <v>0</v>
      </c>
      <c r="L6327">
        <v>1500</v>
      </c>
      <c r="M6327">
        <v>106</v>
      </c>
      <c r="N6327">
        <v>1128.77</v>
      </c>
      <c r="O6327">
        <v>900</v>
      </c>
      <c r="P6327">
        <v>100</v>
      </c>
      <c r="Q6327">
        <v>5000</v>
      </c>
      <c r="R6327">
        <v>119</v>
      </c>
      <c r="S6327">
        <v>937.11</v>
      </c>
      <c r="T6327">
        <v>900</v>
      </c>
      <c r="U6327">
        <v>0</v>
      </c>
      <c r="V6327">
        <v>4000</v>
      </c>
      <c r="W6327">
        <v>103</v>
      </c>
      <c r="X6327">
        <v>1724.74</v>
      </c>
      <c r="Y6327">
        <v>500</v>
      </c>
      <c r="Z6327">
        <v>0</v>
      </c>
      <c r="AA6327">
        <v>20000</v>
      </c>
      <c r="AB6327">
        <v>97</v>
      </c>
      <c r="AC6327">
        <v>502.96</v>
      </c>
      <c r="AD6327">
        <v>268</v>
      </c>
      <c r="AE6327">
        <v>0</v>
      </c>
      <c r="AF6327">
        <v>4000</v>
      </c>
      <c r="AG6327">
        <v>127</v>
      </c>
      <c r="AH6327">
        <v>700.98</v>
      </c>
      <c r="AI6327">
        <v>700</v>
      </c>
      <c r="AJ6327">
        <v>150</v>
      </c>
      <c r="AK6327">
        <v>1500</v>
      </c>
      <c r="AL6327">
        <v>100</v>
      </c>
      <c r="AM6327">
        <v>909.18</v>
      </c>
      <c r="AN6327">
        <v>0</v>
      </c>
      <c r="AO6327">
        <v>0</v>
      </c>
      <c r="AP6327">
        <v>9000</v>
      </c>
      <c r="AQ6327">
        <v>104</v>
      </c>
      <c r="AR6327">
        <v>511.68</v>
      </c>
      <c r="AS6327">
        <v>0</v>
      </c>
      <c r="AT6327">
        <v>0</v>
      </c>
      <c r="AU6327">
        <v>30000</v>
      </c>
      <c r="AV6327">
        <v>90</v>
      </c>
      <c r="AW6327">
        <v>311.74</v>
      </c>
      <c r="AX6327">
        <v>0</v>
      </c>
      <c r="AY6327">
        <v>0</v>
      </c>
      <c r="AZ6327">
        <v>7200</v>
      </c>
    </row>
    <row r="6328" spans="1:52" x14ac:dyDescent="0.3">
      <c r="A6328" t="s">
        <v>37</v>
      </c>
      <c r="B6328" t="s">
        <v>389</v>
      </c>
      <c r="C6328">
        <v>1751</v>
      </c>
      <c r="D6328">
        <v>597.21</v>
      </c>
      <c r="E6328">
        <v>0</v>
      </c>
      <c r="F6328">
        <v>0</v>
      </c>
      <c r="G6328">
        <v>37000</v>
      </c>
      <c r="H6328">
        <v>1760</v>
      </c>
      <c r="I6328">
        <v>175.5</v>
      </c>
      <c r="J6328">
        <v>0</v>
      </c>
      <c r="K6328">
        <v>0</v>
      </c>
      <c r="L6328">
        <v>2500</v>
      </c>
      <c r="M6328">
        <v>2171</v>
      </c>
      <c r="N6328">
        <v>804.74</v>
      </c>
      <c r="O6328">
        <v>500</v>
      </c>
      <c r="P6328">
        <v>0</v>
      </c>
      <c r="Q6328">
        <v>10000</v>
      </c>
      <c r="R6328">
        <v>2266</v>
      </c>
      <c r="S6328">
        <v>1194.07</v>
      </c>
      <c r="T6328">
        <v>1000</v>
      </c>
      <c r="U6328">
        <v>0</v>
      </c>
      <c r="V6328">
        <v>25000</v>
      </c>
      <c r="W6328">
        <v>1742</v>
      </c>
      <c r="X6328">
        <v>1067.6099999999999</v>
      </c>
      <c r="Y6328">
        <v>8</v>
      </c>
      <c r="Z6328">
        <v>0</v>
      </c>
      <c r="AA6328">
        <v>17000</v>
      </c>
      <c r="AB6328">
        <v>1912</v>
      </c>
      <c r="AC6328">
        <v>399.07</v>
      </c>
      <c r="AD6328">
        <v>200</v>
      </c>
      <c r="AE6328">
        <v>0</v>
      </c>
      <c r="AF6328">
        <v>16004</v>
      </c>
      <c r="AG6328">
        <v>2258</v>
      </c>
      <c r="AH6328">
        <v>455.51</v>
      </c>
      <c r="AI6328">
        <v>400</v>
      </c>
      <c r="AJ6328">
        <v>0</v>
      </c>
      <c r="AK6328">
        <v>7000</v>
      </c>
      <c r="AL6328">
        <v>1599</v>
      </c>
      <c r="AM6328">
        <v>364.13</v>
      </c>
      <c r="AN6328">
        <v>0</v>
      </c>
      <c r="AO6328">
        <v>0</v>
      </c>
      <c r="AP6328">
        <v>15000</v>
      </c>
      <c r="AQ6328">
        <v>1538</v>
      </c>
      <c r="AR6328">
        <v>148.5</v>
      </c>
      <c r="AS6328">
        <v>0</v>
      </c>
      <c r="AT6328">
        <v>0</v>
      </c>
      <c r="AU6328">
        <v>20000</v>
      </c>
      <c r="AV6328">
        <v>1531</v>
      </c>
      <c r="AW6328">
        <v>426.43</v>
      </c>
      <c r="AX6328">
        <v>0</v>
      </c>
      <c r="AY6328">
        <v>0</v>
      </c>
      <c r="AZ6328">
        <v>9000</v>
      </c>
    </row>
    <row r="6329" spans="1:52" x14ac:dyDescent="0.3">
      <c r="A6329" t="s">
        <v>37</v>
      </c>
      <c r="B6329" t="s">
        <v>390</v>
      </c>
      <c r="C6329">
        <v>986</v>
      </c>
      <c r="D6329">
        <v>852.61</v>
      </c>
      <c r="E6329">
        <v>0</v>
      </c>
      <c r="F6329">
        <v>0</v>
      </c>
      <c r="G6329">
        <v>70000</v>
      </c>
      <c r="H6329">
        <v>1005</v>
      </c>
      <c r="I6329">
        <v>192.57</v>
      </c>
      <c r="J6329">
        <v>50</v>
      </c>
      <c r="K6329">
        <v>0</v>
      </c>
      <c r="L6329">
        <v>2000</v>
      </c>
      <c r="M6329">
        <v>1179</v>
      </c>
      <c r="N6329">
        <v>793.96</v>
      </c>
      <c r="O6329">
        <v>500</v>
      </c>
      <c r="P6329">
        <v>0</v>
      </c>
      <c r="Q6329">
        <v>20000</v>
      </c>
      <c r="R6329">
        <v>1270</v>
      </c>
      <c r="S6329">
        <v>1116.1600000000001</v>
      </c>
      <c r="T6329">
        <v>1000</v>
      </c>
      <c r="U6329">
        <v>0</v>
      </c>
      <c r="V6329">
        <v>8000</v>
      </c>
      <c r="W6329">
        <v>1014</v>
      </c>
      <c r="X6329">
        <v>1633.72</v>
      </c>
      <c r="Y6329">
        <v>600</v>
      </c>
      <c r="Z6329">
        <v>0</v>
      </c>
      <c r="AA6329">
        <v>60000</v>
      </c>
      <c r="AB6329">
        <v>1023</v>
      </c>
      <c r="AC6329">
        <v>477.29</v>
      </c>
      <c r="AD6329">
        <v>200</v>
      </c>
      <c r="AE6329">
        <v>0</v>
      </c>
      <c r="AF6329">
        <v>9600</v>
      </c>
      <c r="AG6329">
        <v>1266</v>
      </c>
      <c r="AH6329">
        <v>432.36</v>
      </c>
      <c r="AI6329">
        <v>400</v>
      </c>
      <c r="AJ6329">
        <v>0</v>
      </c>
      <c r="AK6329">
        <v>2450</v>
      </c>
      <c r="AL6329">
        <v>883</v>
      </c>
      <c r="AM6329">
        <v>526.75</v>
      </c>
      <c r="AN6329">
        <v>0</v>
      </c>
      <c r="AO6329">
        <v>0</v>
      </c>
      <c r="AP6329">
        <v>12000</v>
      </c>
      <c r="AQ6329">
        <v>832</v>
      </c>
      <c r="AR6329">
        <v>339.42</v>
      </c>
      <c r="AS6329">
        <v>0</v>
      </c>
      <c r="AT6329">
        <v>0</v>
      </c>
      <c r="AU6329">
        <v>30000</v>
      </c>
      <c r="AV6329">
        <v>823</v>
      </c>
      <c r="AW6329">
        <v>655.16999999999996</v>
      </c>
      <c r="AX6329">
        <v>0</v>
      </c>
      <c r="AY6329">
        <v>0</v>
      </c>
      <c r="AZ6329">
        <v>20000</v>
      </c>
    </row>
    <row r="6330" spans="1:52" x14ac:dyDescent="0.3">
      <c r="A6330" t="s">
        <v>37</v>
      </c>
      <c r="B6330" t="s">
        <v>365</v>
      </c>
      <c r="C6330">
        <v>193</v>
      </c>
      <c r="D6330">
        <v>353.48</v>
      </c>
      <c r="E6330">
        <v>0</v>
      </c>
      <c r="F6330">
        <v>0</v>
      </c>
      <c r="G6330">
        <v>12000</v>
      </c>
      <c r="H6330">
        <v>192</v>
      </c>
      <c r="I6330">
        <v>259.8</v>
      </c>
      <c r="J6330">
        <v>150</v>
      </c>
      <c r="K6330">
        <v>0</v>
      </c>
      <c r="L6330">
        <v>2000</v>
      </c>
      <c r="M6330">
        <v>226</v>
      </c>
      <c r="N6330">
        <v>1029.08</v>
      </c>
      <c r="O6330">
        <v>800</v>
      </c>
      <c r="P6330">
        <v>0</v>
      </c>
      <c r="Q6330">
        <v>6000</v>
      </c>
      <c r="R6330">
        <v>234</v>
      </c>
      <c r="S6330">
        <v>1270.68</v>
      </c>
      <c r="T6330">
        <v>1100</v>
      </c>
      <c r="U6330">
        <v>0</v>
      </c>
      <c r="V6330">
        <v>8000</v>
      </c>
      <c r="W6330">
        <v>190</v>
      </c>
      <c r="X6330">
        <v>1586.88</v>
      </c>
      <c r="Y6330">
        <v>1400</v>
      </c>
      <c r="Z6330">
        <v>0</v>
      </c>
      <c r="AA6330">
        <v>10000</v>
      </c>
      <c r="AB6330">
        <v>198</v>
      </c>
      <c r="AC6330">
        <v>543.71</v>
      </c>
      <c r="AD6330">
        <v>300</v>
      </c>
      <c r="AE6330">
        <v>0</v>
      </c>
      <c r="AF6330">
        <v>16000</v>
      </c>
      <c r="AG6330">
        <v>238</v>
      </c>
      <c r="AH6330">
        <v>611.91</v>
      </c>
      <c r="AI6330">
        <v>600</v>
      </c>
      <c r="AJ6330">
        <v>0</v>
      </c>
      <c r="AK6330">
        <v>2000</v>
      </c>
      <c r="AL6330">
        <v>180</v>
      </c>
      <c r="AM6330">
        <v>975.15</v>
      </c>
      <c r="AN6330">
        <v>0</v>
      </c>
      <c r="AO6330">
        <v>0</v>
      </c>
      <c r="AP6330">
        <v>15000</v>
      </c>
      <c r="AQ6330">
        <v>166</v>
      </c>
      <c r="AR6330">
        <v>338.03</v>
      </c>
      <c r="AS6330">
        <v>0</v>
      </c>
      <c r="AT6330">
        <v>0</v>
      </c>
      <c r="AU6330">
        <v>20000</v>
      </c>
      <c r="AV6330">
        <v>147</v>
      </c>
      <c r="AW6330">
        <v>653.49</v>
      </c>
      <c r="AX6330">
        <v>0</v>
      </c>
      <c r="AY6330">
        <v>0</v>
      </c>
      <c r="AZ6330">
        <v>10000</v>
      </c>
    </row>
    <row r="6331" spans="1:52" x14ac:dyDescent="0.3">
      <c r="A6331" t="s">
        <v>36</v>
      </c>
      <c r="B6331" t="s">
        <v>389</v>
      </c>
      <c r="C6331">
        <v>804</v>
      </c>
      <c r="D6331">
        <v>1393.62</v>
      </c>
      <c r="E6331">
        <v>0</v>
      </c>
      <c r="F6331">
        <v>0</v>
      </c>
      <c r="G6331">
        <v>9500</v>
      </c>
      <c r="H6331">
        <v>1372</v>
      </c>
      <c r="I6331">
        <v>297.39999999999998</v>
      </c>
      <c r="J6331">
        <v>250</v>
      </c>
      <c r="K6331">
        <v>0</v>
      </c>
      <c r="L6331">
        <v>5000</v>
      </c>
      <c r="M6331">
        <v>1340</v>
      </c>
      <c r="N6331">
        <v>763.43</v>
      </c>
      <c r="O6331">
        <v>500</v>
      </c>
      <c r="P6331">
        <v>0</v>
      </c>
      <c r="Q6331">
        <v>8000</v>
      </c>
      <c r="R6331">
        <v>1487</v>
      </c>
      <c r="S6331">
        <v>985.6</v>
      </c>
      <c r="T6331">
        <v>800</v>
      </c>
      <c r="U6331">
        <v>0</v>
      </c>
      <c r="V6331">
        <v>7000</v>
      </c>
      <c r="W6331">
        <v>994</v>
      </c>
      <c r="X6331">
        <v>1385.71</v>
      </c>
      <c r="Y6331">
        <v>600</v>
      </c>
      <c r="Z6331">
        <v>0</v>
      </c>
      <c r="AA6331">
        <v>10000</v>
      </c>
      <c r="AB6331">
        <v>929</v>
      </c>
      <c r="AC6331">
        <v>529.85</v>
      </c>
      <c r="AD6331">
        <v>300</v>
      </c>
      <c r="AE6331">
        <v>0</v>
      </c>
      <c r="AF6331">
        <v>12000</v>
      </c>
      <c r="AG6331">
        <v>1494</v>
      </c>
      <c r="AH6331">
        <v>492.06</v>
      </c>
      <c r="AI6331">
        <v>460</v>
      </c>
      <c r="AJ6331">
        <v>0</v>
      </c>
      <c r="AK6331">
        <v>2500</v>
      </c>
      <c r="AL6331">
        <v>694</v>
      </c>
      <c r="AM6331">
        <v>503.9</v>
      </c>
      <c r="AN6331">
        <v>0</v>
      </c>
      <c r="AO6331">
        <v>0</v>
      </c>
      <c r="AP6331">
        <v>16000</v>
      </c>
      <c r="AQ6331">
        <v>670</v>
      </c>
      <c r="AR6331">
        <v>201.4</v>
      </c>
      <c r="AS6331">
        <v>0</v>
      </c>
      <c r="AT6331">
        <v>0</v>
      </c>
      <c r="AU6331">
        <v>15000</v>
      </c>
      <c r="AV6331">
        <v>737</v>
      </c>
      <c r="AW6331">
        <v>801.79</v>
      </c>
      <c r="AX6331">
        <v>0</v>
      </c>
      <c r="AY6331">
        <v>0</v>
      </c>
      <c r="AZ6331">
        <v>10000</v>
      </c>
    </row>
    <row r="6332" spans="1:52" x14ac:dyDescent="0.3">
      <c r="A6332" t="s">
        <v>36</v>
      </c>
      <c r="B6332" t="s">
        <v>390</v>
      </c>
      <c r="C6332">
        <v>336</v>
      </c>
      <c r="D6332">
        <v>947.01</v>
      </c>
      <c r="E6332">
        <v>0</v>
      </c>
      <c r="F6332">
        <v>0</v>
      </c>
      <c r="G6332">
        <v>10000</v>
      </c>
      <c r="H6332">
        <v>532</v>
      </c>
      <c r="I6332">
        <v>347.17</v>
      </c>
      <c r="J6332">
        <v>250</v>
      </c>
      <c r="K6332">
        <v>0</v>
      </c>
      <c r="L6332">
        <v>5000</v>
      </c>
      <c r="M6332">
        <v>518</v>
      </c>
      <c r="N6332">
        <v>645.36</v>
      </c>
      <c r="O6332">
        <v>500</v>
      </c>
      <c r="P6332">
        <v>0</v>
      </c>
      <c r="Q6332">
        <v>5000</v>
      </c>
      <c r="R6332">
        <v>581</v>
      </c>
      <c r="S6332">
        <v>1051.56</v>
      </c>
      <c r="T6332">
        <v>800</v>
      </c>
      <c r="U6332">
        <v>0</v>
      </c>
      <c r="V6332">
        <v>5200</v>
      </c>
      <c r="W6332">
        <v>422</v>
      </c>
      <c r="X6332">
        <v>1848.81</v>
      </c>
      <c r="Y6332">
        <v>1500</v>
      </c>
      <c r="Z6332">
        <v>0</v>
      </c>
      <c r="AA6332">
        <v>18000</v>
      </c>
      <c r="AB6332">
        <v>335</v>
      </c>
      <c r="AC6332">
        <v>532.87</v>
      </c>
      <c r="AD6332">
        <v>300</v>
      </c>
      <c r="AE6332">
        <v>0</v>
      </c>
      <c r="AF6332">
        <v>5000</v>
      </c>
      <c r="AG6332">
        <v>580</v>
      </c>
      <c r="AH6332">
        <v>484.94</v>
      </c>
      <c r="AI6332">
        <v>450</v>
      </c>
      <c r="AJ6332">
        <v>0</v>
      </c>
      <c r="AK6332">
        <v>7200</v>
      </c>
      <c r="AL6332">
        <v>288</v>
      </c>
      <c r="AM6332">
        <v>431.21</v>
      </c>
      <c r="AN6332">
        <v>0</v>
      </c>
      <c r="AO6332">
        <v>0</v>
      </c>
      <c r="AP6332">
        <v>10000</v>
      </c>
      <c r="AQ6332">
        <v>288</v>
      </c>
      <c r="AR6332">
        <v>1189.1400000000001</v>
      </c>
      <c r="AS6332">
        <v>0</v>
      </c>
      <c r="AT6332">
        <v>0</v>
      </c>
      <c r="AU6332">
        <v>70000</v>
      </c>
      <c r="AV6332">
        <v>311</v>
      </c>
      <c r="AW6332">
        <v>759.27</v>
      </c>
      <c r="AX6332">
        <v>200</v>
      </c>
      <c r="AY6332">
        <v>0</v>
      </c>
      <c r="AZ6332">
        <v>10000</v>
      </c>
    </row>
    <row r="6333" spans="1:52" x14ac:dyDescent="0.3">
      <c r="A6333" t="s">
        <v>36</v>
      </c>
      <c r="B6333" t="s">
        <v>365</v>
      </c>
      <c r="C6333">
        <v>55</v>
      </c>
      <c r="D6333">
        <v>1852.54</v>
      </c>
      <c r="E6333">
        <v>0</v>
      </c>
      <c r="F6333">
        <v>0</v>
      </c>
      <c r="G6333">
        <v>6000</v>
      </c>
      <c r="H6333">
        <v>82</v>
      </c>
      <c r="I6333">
        <v>555.41</v>
      </c>
      <c r="J6333">
        <v>350</v>
      </c>
      <c r="K6333">
        <v>0</v>
      </c>
      <c r="L6333">
        <v>5000</v>
      </c>
      <c r="M6333">
        <v>82</v>
      </c>
      <c r="N6333">
        <v>789.62</v>
      </c>
      <c r="O6333">
        <v>600</v>
      </c>
      <c r="P6333">
        <v>0</v>
      </c>
      <c r="Q6333">
        <v>3000</v>
      </c>
      <c r="R6333">
        <v>89</v>
      </c>
      <c r="S6333">
        <v>1362.88</v>
      </c>
      <c r="T6333">
        <v>1000</v>
      </c>
      <c r="U6333">
        <v>0</v>
      </c>
      <c r="V6333">
        <v>4000</v>
      </c>
      <c r="W6333">
        <v>60</v>
      </c>
      <c r="X6333">
        <v>2339.9499999999998</v>
      </c>
      <c r="Y6333">
        <v>2000</v>
      </c>
      <c r="Z6333">
        <v>0</v>
      </c>
      <c r="AA6333">
        <v>7000</v>
      </c>
      <c r="AB6333">
        <v>57</v>
      </c>
      <c r="AC6333">
        <v>703.17</v>
      </c>
      <c r="AD6333">
        <v>600</v>
      </c>
      <c r="AE6333">
        <v>0</v>
      </c>
      <c r="AF6333">
        <v>5000</v>
      </c>
      <c r="AG6333">
        <v>96</v>
      </c>
      <c r="AH6333">
        <v>689.74</v>
      </c>
      <c r="AI6333">
        <v>600</v>
      </c>
      <c r="AJ6333">
        <v>100</v>
      </c>
      <c r="AK6333">
        <v>2000</v>
      </c>
      <c r="AL6333">
        <v>53</v>
      </c>
      <c r="AM6333">
        <v>1308.43</v>
      </c>
      <c r="AN6333">
        <v>1000</v>
      </c>
      <c r="AO6333">
        <v>0</v>
      </c>
      <c r="AP6333">
        <v>4000</v>
      </c>
      <c r="AQ6333">
        <v>39</v>
      </c>
      <c r="AR6333">
        <v>0</v>
      </c>
      <c r="AS6333">
        <v>0</v>
      </c>
      <c r="AT6333">
        <v>0</v>
      </c>
      <c r="AU6333">
        <v>0</v>
      </c>
      <c r="AV6333">
        <v>49</v>
      </c>
      <c r="AW6333">
        <v>1351.65</v>
      </c>
      <c r="AX6333">
        <v>1000</v>
      </c>
      <c r="AY6333">
        <v>0</v>
      </c>
      <c r="AZ6333">
        <v>7510</v>
      </c>
    </row>
    <row r="6334" spans="1:52" x14ac:dyDescent="0.3">
      <c r="A6334" t="s">
        <v>34</v>
      </c>
      <c r="B6334" t="s">
        <v>389</v>
      </c>
      <c r="C6334">
        <v>1211</v>
      </c>
      <c r="D6334">
        <v>633.66999999999996</v>
      </c>
      <c r="E6334">
        <v>0</v>
      </c>
      <c r="F6334">
        <v>0</v>
      </c>
      <c r="G6334">
        <v>12000</v>
      </c>
      <c r="H6334">
        <v>1273</v>
      </c>
      <c r="I6334">
        <v>219.9</v>
      </c>
      <c r="J6334">
        <v>150</v>
      </c>
      <c r="K6334">
        <v>0</v>
      </c>
      <c r="L6334">
        <v>4000</v>
      </c>
      <c r="M6334">
        <v>1248</v>
      </c>
      <c r="N6334">
        <v>555</v>
      </c>
      <c r="O6334">
        <v>400</v>
      </c>
      <c r="P6334">
        <v>0</v>
      </c>
      <c r="Q6334">
        <v>8000</v>
      </c>
      <c r="R6334">
        <v>1318</v>
      </c>
      <c r="S6334">
        <v>889.75</v>
      </c>
      <c r="T6334">
        <v>650</v>
      </c>
      <c r="U6334">
        <v>0</v>
      </c>
      <c r="V6334">
        <v>8000</v>
      </c>
      <c r="W6334">
        <v>1219</v>
      </c>
      <c r="X6334">
        <v>524.17999999999995</v>
      </c>
      <c r="Y6334">
        <v>0</v>
      </c>
      <c r="Z6334">
        <v>0</v>
      </c>
      <c r="AA6334">
        <v>10000</v>
      </c>
      <c r="AB6334">
        <v>1266</v>
      </c>
      <c r="AC6334">
        <v>401.53</v>
      </c>
      <c r="AD6334">
        <v>0</v>
      </c>
      <c r="AE6334">
        <v>0</v>
      </c>
      <c r="AF6334">
        <v>17000</v>
      </c>
      <c r="AG6334">
        <v>1354</v>
      </c>
      <c r="AH6334">
        <v>464.68</v>
      </c>
      <c r="AI6334">
        <v>400</v>
      </c>
      <c r="AJ6334">
        <v>0</v>
      </c>
      <c r="AK6334">
        <v>4770</v>
      </c>
      <c r="AL6334">
        <v>1167</v>
      </c>
      <c r="AM6334">
        <v>131.41999999999999</v>
      </c>
      <c r="AN6334">
        <v>0</v>
      </c>
      <c r="AO6334">
        <v>0</v>
      </c>
      <c r="AP6334">
        <v>25000</v>
      </c>
      <c r="AQ6334">
        <v>1200</v>
      </c>
      <c r="AR6334">
        <v>385.19</v>
      </c>
      <c r="AS6334">
        <v>0</v>
      </c>
      <c r="AT6334">
        <v>0</v>
      </c>
      <c r="AU6334">
        <v>100000</v>
      </c>
      <c r="AV6334">
        <v>1118</v>
      </c>
      <c r="AW6334">
        <v>335.14</v>
      </c>
      <c r="AX6334">
        <v>0</v>
      </c>
      <c r="AY6334">
        <v>0</v>
      </c>
      <c r="AZ6334">
        <v>11500</v>
      </c>
    </row>
    <row r="6335" spans="1:52" x14ac:dyDescent="0.3">
      <c r="A6335" t="s">
        <v>34</v>
      </c>
      <c r="B6335" t="s">
        <v>390</v>
      </c>
      <c r="C6335">
        <v>541</v>
      </c>
      <c r="D6335">
        <v>535.01</v>
      </c>
      <c r="E6335">
        <v>0</v>
      </c>
      <c r="F6335">
        <v>0</v>
      </c>
      <c r="G6335">
        <v>15000</v>
      </c>
      <c r="H6335">
        <v>564</v>
      </c>
      <c r="I6335">
        <v>206.18</v>
      </c>
      <c r="J6335">
        <v>120</v>
      </c>
      <c r="K6335">
        <v>0</v>
      </c>
      <c r="L6335">
        <v>6500</v>
      </c>
      <c r="M6335">
        <v>513</v>
      </c>
      <c r="N6335">
        <v>582.30999999999995</v>
      </c>
      <c r="O6335">
        <v>400</v>
      </c>
      <c r="P6335">
        <v>0</v>
      </c>
      <c r="Q6335">
        <v>12000</v>
      </c>
      <c r="R6335">
        <v>574</v>
      </c>
      <c r="S6335">
        <v>901.09</v>
      </c>
      <c r="T6335">
        <v>700</v>
      </c>
      <c r="U6335">
        <v>0</v>
      </c>
      <c r="V6335">
        <v>6000</v>
      </c>
      <c r="W6335">
        <v>576</v>
      </c>
      <c r="X6335">
        <v>1266.74</v>
      </c>
      <c r="Y6335">
        <v>0</v>
      </c>
      <c r="Z6335">
        <v>0</v>
      </c>
      <c r="AA6335">
        <v>15450</v>
      </c>
      <c r="AB6335">
        <v>561</v>
      </c>
      <c r="AC6335">
        <v>582.27</v>
      </c>
      <c r="AD6335">
        <v>0</v>
      </c>
      <c r="AE6335">
        <v>0</v>
      </c>
      <c r="AF6335">
        <v>60250</v>
      </c>
      <c r="AG6335">
        <v>606</v>
      </c>
      <c r="AH6335">
        <v>510.27</v>
      </c>
      <c r="AI6335">
        <v>500</v>
      </c>
      <c r="AJ6335">
        <v>0</v>
      </c>
      <c r="AK6335">
        <v>5000</v>
      </c>
      <c r="AL6335">
        <v>516</v>
      </c>
      <c r="AM6335">
        <v>379.88</v>
      </c>
      <c r="AN6335">
        <v>0</v>
      </c>
      <c r="AO6335">
        <v>0</v>
      </c>
      <c r="AP6335">
        <v>25000</v>
      </c>
      <c r="AQ6335">
        <v>538</v>
      </c>
      <c r="AR6335">
        <v>208.32</v>
      </c>
      <c r="AS6335">
        <v>0</v>
      </c>
      <c r="AT6335">
        <v>0</v>
      </c>
      <c r="AU6335">
        <v>37000</v>
      </c>
      <c r="AV6335">
        <v>477</v>
      </c>
      <c r="AW6335">
        <v>439.06</v>
      </c>
      <c r="AX6335">
        <v>0</v>
      </c>
      <c r="AY6335">
        <v>0</v>
      </c>
      <c r="AZ6335">
        <v>14600</v>
      </c>
    </row>
    <row r="6336" spans="1:52" x14ac:dyDescent="0.3">
      <c r="A6336" t="s">
        <v>34</v>
      </c>
      <c r="B6336" t="s">
        <v>365</v>
      </c>
      <c r="C6336">
        <v>72</v>
      </c>
      <c r="D6336">
        <v>1786.66</v>
      </c>
      <c r="E6336">
        <v>0</v>
      </c>
      <c r="F6336">
        <v>0</v>
      </c>
      <c r="G6336">
        <v>20000</v>
      </c>
      <c r="H6336">
        <v>69</v>
      </c>
      <c r="I6336">
        <v>227.74</v>
      </c>
      <c r="J6336">
        <v>200</v>
      </c>
      <c r="K6336">
        <v>0</v>
      </c>
      <c r="L6336">
        <v>700</v>
      </c>
      <c r="M6336">
        <v>70</v>
      </c>
      <c r="N6336">
        <v>710.91</v>
      </c>
      <c r="O6336">
        <v>500</v>
      </c>
      <c r="P6336">
        <v>0</v>
      </c>
      <c r="Q6336">
        <v>3000</v>
      </c>
      <c r="R6336">
        <v>72</v>
      </c>
      <c r="S6336">
        <v>1133.1600000000001</v>
      </c>
      <c r="T6336">
        <v>1000</v>
      </c>
      <c r="U6336">
        <v>0</v>
      </c>
      <c r="V6336">
        <v>3500</v>
      </c>
      <c r="W6336">
        <v>70</v>
      </c>
      <c r="X6336">
        <v>1143.5</v>
      </c>
      <c r="Y6336">
        <v>0</v>
      </c>
      <c r="Z6336">
        <v>0</v>
      </c>
      <c r="AA6336">
        <v>7000</v>
      </c>
      <c r="AB6336">
        <v>73</v>
      </c>
      <c r="AC6336">
        <v>503.01</v>
      </c>
      <c r="AD6336">
        <v>100</v>
      </c>
      <c r="AE6336">
        <v>0</v>
      </c>
      <c r="AF6336">
        <v>3000</v>
      </c>
      <c r="AG6336">
        <v>80</v>
      </c>
      <c r="AH6336">
        <v>635.41</v>
      </c>
      <c r="AI6336">
        <v>600</v>
      </c>
      <c r="AJ6336">
        <v>0</v>
      </c>
      <c r="AK6336">
        <v>1700</v>
      </c>
      <c r="AL6336">
        <v>71</v>
      </c>
      <c r="AM6336">
        <v>393.26</v>
      </c>
      <c r="AN6336">
        <v>0</v>
      </c>
      <c r="AO6336">
        <v>0</v>
      </c>
      <c r="AP6336">
        <v>3800</v>
      </c>
      <c r="AQ6336">
        <v>70</v>
      </c>
      <c r="AR6336">
        <v>0</v>
      </c>
      <c r="AS6336">
        <v>0</v>
      </c>
      <c r="AT6336">
        <v>0</v>
      </c>
      <c r="AU6336">
        <v>0</v>
      </c>
      <c r="AV6336">
        <v>68</v>
      </c>
      <c r="AW6336">
        <v>222.86</v>
      </c>
      <c r="AX6336">
        <v>0</v>
      </c>
      <c r="AY6336">
        <v>0</v>
      </c>
      <c r="AZ6336">
        <v>3000</v>
      </c>
    </row>
    <row r="6337" spans="1:52" x14ac:dyDescent="0.3">
      <c r="A6337" t="s">
        <v>33</v>
      </c>
      <c r="B6337" t="s">
        <v>389</v>
      </c>
      <c r="C6337">
        <v>961</v>
      </c>
      <c r="D6337">
        <v>404.12</v>
      </c>
      <c r="E6337">
        <v>0</v>
      </c>
      <c r="F6337">
        <v>0</v>
      </c>
      <c r="G6337">
        <v>15000</v>
      </c>
      <c r="H6337">
        <v>986</v>
      </c>
      <c r="I6337">
        <v>182.34</v>
      </c>
      <c r="J6337">
        <v>100</v>
      </c>
      <c r="K6337">
        <v>0</v>
      </c>
      <c r="L6337">
        <v>1500</v>
      </c>
      <c r="M6337">
        <v>1035</v>
      </c>
      <c r="N6337">
        <v>535.34</v>
      </c>
      <c r="O6337">
        <v>400</v>
      </c>
      <c r="P6337">
        <v>0</v>
      </c>
      <c r="Q6337">
        <v>4000</v>
      </c>
      <c r="R6337">
        <v>1077</v>
      </c>
      <c r="S6337">
        <v>846.45</v>
      </c>
      <c r="T6337">
        <v>700</v>
      </c>
      <c r="U6337">
        <v>0</v>
      </c>
      <c r="V6337">
        <v>5000</v>
      </c>
      <c r="W6337">
        <v>916</v>
      </c>
      <c r="X6337">
        <v>737.1</v>
      </c>
      <c r="Y6337">
        <v>0</v>
      </c>
      <c r="Z6337">
        <v>0</v>
      </c>
      <c r="AA6337">
        <v>10000</v>
      </c>
      <c r="AB6337">
        <v>946</v>
      </c>
      <c r="AC6337">
        <v>300.72000000000003</v>
      </c>
      <c r="AD6337">
        <v>100</v>
      </c>
      <c r="AE6337">
        <v>0</v>
      </c>
      <c r="AF6337">
        <v>25000</v>
      </c>
      <c r="AG6337">
        <v>1081</v>
      </c>
      <c r="AH6337">
        <v>410.03</v>
      </c>
      <c r="AI6337">
        <v>400</v>
      </c>
      <c r="AJ6337">
        <v>0</v>
      </c>
      <c r="AK6337">
        <v>2000</v>
      </c>
      <c r="AL6337">
        <v>888</v>
      </c>
      <c r="AM6337">
        <v>287.06</v>
      </c>
      <c r="AN6337">
        <v>0</v>
      </c>
      <c r="AO6337">
        <v>0</v>
      </c>
      <c r="AP6337">
        <v>20000</v>
      </c>
      <c r="AQ6337">
        <v>853</v>
      </c>
      <c r="AR6337">
        <v>55.33</v>
      </c>
      <c r="AS6337">
        <v>0</v>
      </c>
      <c r="AT6337">
        <v>0</v>
      </c>
      <c r="AU6337">
        <v>8000</v>
      </c>
      <c r="AV6337">
        <v>839</v>
      </c>
      <c r="AW6337">
        <v>359.5</v>
      </c>
      <c r="AX6337">
        <v>0</v>
      </c>
      <c r="AY6337">
        <v>0</v>
      </c>
      <c r="AZ6337">
        <v>10000</v>
      </c>
    </row>
    <row r="6338" spans="1:52" x14ac:dyDescent="0.3">
      <c r="A6338" t="s">
        <v>33</v>
      </c>
      <c r="B6338" t="s">
        <v>390</v>
      </c>
      <c r="C6338">
        <v>633</v>
      </c>
      <c r="D6338">
        <v>476.8</v>
      </c>
      <c r="E6338">
        <v>0</v>
      </c>
      <c r="F6338">
        <v>0</v>
      </c>
      <c r="G6338">
        <v>19000</v>
      </c>
      <c r="H6338">
        <v>640</v>
      </c>
      <c r="I6338">
        <v>215.37</v>
      </c>
      <c r="J6338">
        <v>150</v>
      </c>
      <c r="K6338">
        <v>0</v>
      </c>
      <c r="L6338">
        <v>2100</v>
      </c>
      <c r="M6338">
        <v>655</v>
      </c>
      <c r="N6338">
        <v>590.41</v>
      </c>
      <c r="O6338">
        <v>500</v>
      </c>
      <c r="P6338">
        <v>0</v>
      </c>
      <c r="Q6338">
        <v>8000</v>
      </c>
      <c r="R6338">
        <v>686</v>
      </c>
      <c r="S6338">
        <v>943.52</v>
      </c>
      <c r="T6338">
        <v>800</v>
      </c>
      <c r="U6338">
        <v>0</v>
      </c>
      <c r="V6338">
        <v>5000</v>
      </c>
      <c r="W6338">
        <v>632</v>
      </c>
      <c r="X6338">
        <v>1177.26</v>
      </c>
      <c r="Y6338">
        <v>800</v>
      </c>
      <c r="Z6338">
        <v>0</v>
      </c>
      <c r="AA6338">
        <v>8000</v>
      </c>
      <c r="AB6338">
        <v>616</v>
      </c>
      <c r="AC6338">
        <v>373.64</v>
      </c>
      <c r="AD6338">
        <v>0</v>
      </c>
      <c r="AE6338">
        <v>0</v>
      </c>
      <c r="AF6338">
        <v>7800</v>
      </c>
      <c r="AG6338">
        <v>696</v>
      </c>
      <c r="AH6338">
        <v>469.67</v>
      </c>
      <c r="AI6338">
        <v>450</v>
      </c>
      <c r="AJ6338">
        <v>0</v>
      </c>
      <c r="AK6338">
        <v>1500</v>
      </c>
      <c r="AL6338">
        <v>598</v>
      </c>
      <c r="AM6338">
        <v>369.04</v>
      </c>
      <c r="AN6338">
        <v>0</v>
      </c>
      <c r="AO6338">
        <v>0</v>
      </c>
      <c r="AP6338">
        <v>10000</v>
      </c>
      <c r="AQ6338">
        <v>581</v>
      </c>
      <c r="AR6338">
        <v>307.3</v>
      </c>
      <c r="AS6338">
        <v>0</v>
      </c>
      <c r="AT6338">
        <v>0</v>
      </c>
      <c r="AU6338">
        <v>25000</v>
      </c>
      <c r="AV6338">
        <v>564</v>
      </c>
      <c r="AW6338">
        <v>515.02</v>
      </c>
      <c r="AX6338">
        <v>0</v>
      </c>
      <c r="AY6338">
        <v>0</v>
      </c>
      <c r="AZ6338">
        <v>8000</v>
      </c>
    </row>
    <row r="6339" spans="1:52" x14ac:dyDescent="0.3">
      <c r="A6339" t="s">
        <v>33</v>
      </c>
      <c r="B6339" t="s">
        <v>365</v>
      </c>
      <c r="C6339">
        <v>131</v>
      </c>
      <c r="D6339">
        <v>128.31</v>
      </c>
      <c r="E6339">
        <v>0</v>
      </c>
      <c r="F6339">
        <v>0</v>
      </c>
      <c r="G6339">
        <v>10000</v>
      </c>
      <c r="H6339">
        <v>126</v>
      </c>
      <c r="I6339">
        <v>367.77</v>
      </c>
      <c r="J6339">
        <v>300</v>
      </c>
      <c r="K6339">
        <v>0</v>
      </c>
      <c r="L6339">
        <v>2000</v>
      </c>
      <c r="M6339">
        <v>124</v>
      </c>
      <c r="N6339">
        <v>781.23</v>
      </c>
      <c r="O6339">
        <v>600</v>
      </c>
      <c r="P6339">
        <v>100</v>
      </c>
      <c r="Q6339">
        <v>2000</v>
      </c>
      <c r="R6339">
        <v>133</v>
      </c>
      <c r="S6339">
        <v>912.2</v>
      </c>
      <c r="T6339">
        <v>800</v>
      </c>
      <c r="U6339">
        <v>120</v>
      </c>
      <c r="V6339">
        <v>3200</v>
      </c>
      <c r="W6339">
        <v>118</v>
      </c>
      <c r="X6339">
        <v>959.46</v>
      </c>
      <c r="Y6339">
        <v>500</v>
      </c>
      <c r="Z6339">
        <v>0</v>
      </c>
      <c r="AA6339">
        <v>6000</v>
      </c>
      <c r="AB6339">
        <v>118</v>
      </c>
      <c r="AC6339">
        <v>867.17</v>
      </c>
      <c r="AD6339">
        <v>400</v>
      </c>
      <c r="AE6339">
        <v>0</v>
      </c>
      <c r="AF6339">
        <v>5000</v>
      </c>
      <c r="AG6339">
        <v>138</v>
      </c>
      <c r="AH6339">
        <v>607.4</v>
      </c>
      <c r="AI6339">
        <v>600</v>
      </c>
      <c r="AJ6339">
        <v>0</v>
      </c>
      <c r="AK6339">
        <v>1500</v>
      </c>
      <c r="AL6339">
        <v>112</v>
      </c>
      <c r="AM6339">
        <v>451.69</v>
      </c>
      <c r="AN6339">
        <v>0</v>
      </c>
      <c r="AO6339">
        <v>0</v>
      </c>
      <c r="AP6339">
        <v>5000</v>
      </c>
      <c r="AQ6339">
        <v>111</v>
      </c>
      <c r="AR6339">
        <v>123.44</v>
      </c>
      <c r="AS6339">
        <v>0</v>
      </c>
      <c r="AT6339">
        <v>0</v>
      </c>
      <c r="AU6339">
        <v>2000</v>
      </c>
      <c r="AV6339">
        <v>106</v>
      </c>
      <c r="AW6339">
        <v>840.63</v>
      </c>
      <c r="AX6339">
        <v>0</v>
      </c>
      <c r="AY6339">
        <v>0</v>
      </c>
      <c r="AZ6339">
        <v>6000</v>
      </c>
    </row>
    <row r="6340" spans="1:52" x14ac:dyDescent="0.3">
      <c r="A6340" t="s">
        <v>49</v>
      </c>
      <c r="B6340" t="s">
        <v>389</v>
      </c>
      <c r="C6340">
        <v>6641</v>
      </c>
      <c r="D6340">
        <v>760.58</v>
      </c>
      <c r="E6340">
        <v>0</v>
      </c>
      <c r="F6340">
        <v>0</v>
      </c>
      <c r="G6340">
        <v>37000</v>
      </c>
      <c r="H6340">
        <v>7270</v>
      </c>
      <c r="I6340">
        <v>270.45</v>
      </c>
      <c r="J6340">
        <v>200</v>
      </c>
      <c r="K6340">
        <v>0</v>
      </c>
      <c r="L6340">
        <v>8000</v>
      </c>
      <c r="M6340">
        <v>7581</v>
      </c>
      <c r="N6340">
        <v>700.43</v>
      </c>
      <c r="O6340">
        <v>500</v>
      </c>
      <c r="P6340">
        <v>0</v>
      </c>
      <c r="Q6340">
        <v>10000</v>
      </c>
      <c r="R6340">
        <v>8215</v>
      </c>
      <c r="S6340">
        <v>966.62</v>
      </c>
      <c r="T6340">
        <v>800</v>
      </c>
      <c r="U6340">
        <v>0</v>
      </c>
      <c r="V6340">
        <v>25000</v>
      </c>
      <c r="W6340">
        <v>6490</v>
      </c>
      <c r="X6340">
        <v>848.1</v>
      </c>
      <c r="Y6340">
        <v>0</v>
      </c>
      <c r="Z6340">
        <v>0</v>
      </c>
      <c r="AA6340">
        <v>17000</v>
      </c>
      <c r="AB6340">
        <v>6756</v>
      </c>
      <c r="AC6340">
        <v>417.17</v>
      </c>
      <c r="AD6340">
        <v>180</v>
      </c>
      <c r="AE6340">
        <v>0</v>
      </c>
      <c r="AF6340">
        <v>25000</v>
      </c>
      <c r="AG6340">
        <v>8282</v>
      </c>
      <c r="AH6340">
        <v>474.9</v>
      </c>
      <c r="AI6340">
        <v>420</v>
      </c>
      <c r="AJ6340">
        <v>0</v>
      </c>
      <c r="AK6340">
        <v>8000</v>
      </c>
      <c r="AL6340">
        <v>5869</v>
      </c>
      <c r="AM6340">
        <v>447.75</v>
      </c>
      <c r="AN6340">
        <v>0</v>
      </c>
      <c r="AO6340">
        <v>0</v>
      </c>
      <c r="AP6340">
        <v>80000</v>
      </c>
      <c r="AQ6340">
        <v>5808</v>
      </c>
      <c r="AR6340">
        <v>169.89</v>
      </c>
      <c r="AS6340">
        <v>0</v>
      </c>
      <c r="AT6340">
        <v>0</v>
      </c>
      <c r="AU6340">
        <v>100000</v>
      </c>
      <c r="AV6340">
        <v>5524</v>
      </c>
      <c r="AW6340">
        <v>382.75</v>
      </c>
      <c r="AX6340">
        <v>0</v>
      </c>
      <c r="AY6340">
        <v>0</v>
      </c>
      <c r="AZ6340">
        <v>15000</v>
      </c>
    </row>
    <row r="6341" spans="1:52" x14ac:dyDescent="0.3">
      <c r="A6341" t="s">
        <v>49</v>
      </c>
      <c r="B6341" t="s">
        <v>390</v>
      </c>
      <c r="C6341">
        <v>3285</v>
      </c>
      <c r="D6341">
        <v>789.83</v>
      </c>
      <c r="E6341">
        <v>0</v>
      </c>
      <c r="F6341">
        <v>0</v>
      </c>
      <c r="G6341">
        <v>70000</v>
      </c>
      <c r="H6341">
        <v>3479</v>
      </c>
      <c r="I6341">
        <v>250.39</v>
      </c>
      <c r="J6341">
        <v>160</v>
      </c>
      <c r="K6341">
        <v>0</v>
      </c>
      <c r="L6341">
        <v>6500</v>
      </c>
      <c r="M6341">
        <v>3529</v>
      </c>
      <c r="N6341">
        <v>685.77</v>
      </c>
      <c r="O6341">
        <v>500</v>
      </c>
      <c r="P6341">
        <v>0</v>
      </c>
      <c r="Q6341">
        <v>20000</v>
      </c>
      <c r="R6341">
        <v>3939</v>
      </c>
      <c r="S6341">
        <v>982.16</v>
      </c>
      <c r="T6341">
        <v>800</v>
      </c>
      <c r="U6341">
        <v>0</v>
      </c>
      <c r="V6341">
        <v>8000</v>
      </c>
      <c r="W6341">
        <v>3310</v>
      </c>
      <c r="X6341">
        <v>1491.66</v>
      </c>
      <c r="Y6341">
        <v>600</v>
      </c>
      <c r="Z6341">
        <v>0</v>
      </c>
      <c r="AA6341">
        <v>60000</v>
      </c>
      <c r="AB6341">
        <v>3197</v>
      </c>
      <c r="AC6341">
        <v>445.89</v>
      </c>
      <c r="AD6341">
        <v>50</v>
      </c>
      <c r="AE6341">
        <v>0</v>
      </c>
      <c r="AF6341">
        <v>60250</v>
      </c>
      <c r="AG6341">
        <v>4000</v>
      </c>
      <c r="AH6341">
        <v>459.66</v>
      </c>
      <c r="AI6341">
        <v>400</v>
      </c>
      <c r="AJ6341">
        <v>0</v>
      </c>
      <c r="AK6341">
        <v>7200</v>
      </c>
      <c r="AL6341">
        <v>2883</v>
      </c>
      <c r="AM6341">
        <v>504.3</v>
      </c>
      <c r="AN6341">
        <v>0</v>
      </c>
      <c r="AO6341">
        <v>0</v>
      </c>
      <c r="AP6341">
        <v>25000</v>
      </c>
      <c r="AQ6341">
        <v>2843</v>
      </c>
      <c r="AR6341">
        <v>289.52999999999997</v>
      </c>
      <c r="AS6341">
        <v>0</v>
      </c>
      <c r="AT6341">
        <v>0</v>
      </c>
      <c r="AU6341">
        <v>70000</v>
      </c>
      <c r="AV6341">
        <v>2676</v>
      </c>
      <c r="AW6341">
        <v>498.45</v>
      </c>
      <c r="AX6341">
        <v>0</v>
      </c>
      <c r="AY6341">
        <v>0</v>
      </c>
      <c r="AZ6341">
        <v>20000</v>
      </c>
    </row>
    <row r="6342" spans="1:52" x14ac:dyDescent="0.3">
      <c r="A6342" t="s">
        <v>49</v>
      </c>
      <c r="B6342" t="s">
        <v>365</v>
      </c>
      <c r="C6342">
        <v>568</v>
      </c>
      <c r="D6342">
        <v>697.7</v>
      </c>
      <c r="E6342">
        <v>0</v>
      </c>
      <c r="F6342">
        <v>0</v>
      </c>
      <c r="G6342">
        <v>20000</v>
      </c>
      <c r="H6342">
        <v>581</v>
      </c>
      <c r="I6342">
        <v>340.57</v>
      </c>
      <c r="J6342">
        <v>280</v>
      </c>
      <c r="K6342">
        <v>0</v>
      </c>
      <c r="L6342">
        <v>5000</v>
      </c>
      <c r="M6342">
        <v>608</v>
      </c>
      <c r="N6342">
        <v>926.95</v>
      </c>
      <c r="O6342">
        <v>700</v>
      </c>
      <c r="P6342">
        <v>0</v>
      </c>
      <c r="Q6342">
        <v>6000</v>
      </c>
      <c r="R6342">
        <v>647</v>
      </c>
      <c r="S6342">
        <v>1121.48</v>
      </c>
      <c r="T6342">
        <v>1000</v>
      </c>
      <c r="U6342">
        <v>0</v>
      </c>
      <c r="V6342">
        <v>8000</v>
      </c>
      <c r="W6342">
        <v>541</v>
      </c>
      <c r="X6342">
        <v>1456.18</v>
      </c>
      <c r="Y6342">
        <v>800</v>
      </c>
      <c r="Z6342">
        <v>0</v>
      </c>
      <c r="AA6342">
        <v>20000</v>
      </c>
      <c r="AB6342">
        <v>543</v>
      </c>
      <c r="AC6342">
        <v>606.67999999999995</v>
      </c>
      <c r="AD6342">
        <v>300</v>
      </c>
      <c r="AE6342">
        <v>0</v>
      </c>
      <c r="AF6342">
        <v>16000</v>
      </c>
      <c r="AG6342">
        <v>679</v>
      </c>
      <c r="AH6342">
        <v>641.22</v>
      </c>
      <c r="AI6342">
        <v>600</v>
      </c>
      <c r="AJ6342">
        <v>0</v>
      </c>
      <c r="AK6342">
        <v>2000</v>
      </c>
      <c r="AL6342">
        <v>516</v>
      </c>
      <c r="AM6342">
        <v>776.15</v>
      </c>
      <c r="AN6342">
        <v>0</v>
      </c>
      <c r="AO6342">
        <v>0</v>
      </c>
      <c r="AP6342">
        <v>15000</v>
      </c>
      <c r="AQ6342">
        <v>490</v>
      </c>
      <c r="AR6342">
        <v>265.33999999999997</v>
      </c>
      <c r="AS6342">
        <v>0</v>
      </c>
      <c r="AT6342">
        <v>0</v>
      </c>
      <c r="AU6342">
        <v>30000</v>
      </c>
      <c r="AV6342">
        <v>460</v>
      </c>
      <c r="AW6342">
        <v>577.74</v>
      </c>
      <c r="AX6342">
        <v>0</v>
      </c>
      <c r="AY6342">
        <v>0</v>
      </c>
      <c r="AZ6342">
        <v>10000</v>
      </c>
    </row>
    <row r="6344" spans="1:52" x14ac:dyDescent="0.3">
      <c r="A6344" t="s">
        <v>2047</v>
      </c>
    </row>
    <row r="6345" spans="1:52" x14ac:dyDescent="0.3">
      <c r="A6345" t="s">
        <v>44</v>
      </c>
      <c r="B6345" t="s">
        <v>235</v>
      </c>
      <c r="C6345" t="s">
        <v>1994</v>
      </c>
      <c r="D6345" t="s">
        <v>1995</v>
      </c>
      <c r="E6345" t="s">
        <v>1996</v>
      </c>
      <c r="F6345" t="s">
        <v>1997</v>
      </c>
      <c r="G6345" t="s">
        <v>1998</v>
      </c>
      <c r="H6345" t="s">
        <v>1999</v>
      </c>
      <c r="I6345" t="s">
        <v>2000</v>
      </c>
      <c r="J6345" t="s">
        <v>2001</v>
      </c>
      <c r="K6345" t="s">
        <v>2002</v>
      </c>
      <c r="L6345" t="s">
        <v>2003</v>
      </c>
      <c r="M6345" t="s">
        <v>2004</v>
      </c>
      <c r="N6345" t="s">
        <v>2005</v>
      </c>
      <c r="O6345" t="s">
        <v>2006</v>
      </c>
      <c r="P6345" t="s">
        <v>2007</v>
      </c>
      <c r="Q6345" t="s">
        <v>2008</v>
      </c>
      <c r="R6345" t="s">
        <v>2009</v>
      </c>
      <c r="S6345" t="s">
        <v>2010</v>
      </c>
      <c r="T6345" t="s">
        <v>2011</v>
      </c>
      <c r="U6345" t="s">
        <v>2012</v>
      </c>
      <c r="V6345" t="s">
        <v>2013</v>
      </c>
      <c r="W6345" t="s">
        <v>2014</v>
      </c>
      <c r="X6345" t="s">
        <v>2015</v>
      </c>
      <c r="Y6345" t="s">
        <v>2016</v>
      </c>
      <c r="Z6345" t="s">
        <v>2017</v>
      </c>
      <c r="AA6345" t="s">
        <v>2018</v>
      </c>
      <c r="AB6345" t="s">
        <v>2019</v>
      </c>
      <c r="AC6345" t="s">
        <v>2020</v>
      </c>
      <c r="AD6345" t="s">
        <v>2021</v>
      </c>
      <c r="AE6345" t="s">
        <v>2022</v>
      </c>
      <c r="AF6345" t="s">
        <v>2023</v>
      </c>
      <c r="AG6345" t="s">
        <v>2024</v>
      </c>
      <c r="AH6345" t="s">
        <v>2025</v>
      </c>
      <c r="AI6345" t="s">
        <v>2026</v>
      </c>
      <c r="AJ6345" t="s">
        <v>2027</v>
      </c>
      <c r="AK6345" t="s">
        <v>2028</v>
      </c>
      <c r="AL6345" t="s">
        <v>2029</v>
      </c>
      <c r="AM6345" t="s">
        <v>2030</v>
      </c>
      <c r="AN6345" t="s">
        <v>2031</v>
      </c>
      <c r="AO6345" t="s">
        <v>2032</v>
      </c>
      <c r="AP6345" t="s">
        <v>2033</v>
      </c>
      <c r="AQ6345" t="s">
        <v>2034</v>
      </c>
      <c r="AR6345" t="s">
        <v>2035</v>
      </c>
      <c r="AS6345" t="s">
        <v>2036</v>
      </c>
      <c r="AT6345" t="s">
        <v>2037</v>
      </c>
      <c r="AU6345" t="s">
        <v>2038</v>
      </c>
      <c r="AV6345" t="s">
        <v>2039</v>
      </c>
      <c r="AW6345" t="s">
        <v>2040</v>
      </c>
      <c r="AX6345" t="s">
        <v>2041</v>
      </c>
      <c r="AY6345" t="s">
        <v>2042</v>
      </c>
      <c r="AZ6345" t="s">
        <v>2043</v>
      </c>
    </row>
    <row r="6346" spans="1:52" x14ac:dyDescent="0.3">
      <c r="A6346" t="s">
        <v>35</v>
      </c>
      <c r="B6346" t="s">
        <v>236</v>
      </c>
      <c r="C6346">
        <v>1465</v>
      </c>
      <c r="D6346">
        <v>277.45</v>
      </c>
      <c r="E6346">
        <v>0</v>
      </c>
      <c r="F6346">
        <v>0</v>
      </c>
      <c r="G6346">
        <v>40000</v>
      </c>
      <c r="H6346">
        <v>1363</v>
      </c>
      <c r="I6346">
        <v>160.72999999999999</v>
      </c>
      <c r="J6346">
        <v>0</v>
      </c>
      <c r="K6346">
        <v>0</v>
      </c>
      <c r="L6346">
        <v>8000</v>
      </c>
      <c r="M6346">
        <v>1329</v>
      </c>
      <c r="N6346">
        <v>670.49</v>
      </c>
      <c r="O6346">
        <v>500</v>
      </c>
      <c r="P6346">
        <v>0</v>
      </c>
      <c r="Q6346">
        <v>10000</v>
      </c>
      <c r="R6346">
        <v>1560</v>
      </c>
      <c r="S6346">
        <v>971.77</v>
      </c>
      <c r="T6346">
        <v>800</v>
      </c>
      <c r="U6346">
        <v>0</v>
      </c>
      <c r="V6346">
        <v>6500</v>
      </c>
      <c r="W6346">
        <v>1254</v>
      </c>
      <c r="X6346">
        <v>1270.3599999999999</v>
      </c>
      <c r="Y6346">
        <v>300</v>
      </c>
      <c r="Z6346">
        <v>0</v>
      </c>
      <c r="AA6346">
        <v>20000</v>
      </c>
      <c r="AB6346">
        <v>1260</v>
      </c>
      <c r="AC6346">
        <v>384.24</v>
      </c>
      <c r="AD6346">
        <v>100</v>
      </c>
      <c r="AE6346">
        <v>0</v>
      </c>
      <c r="AF6346">
        <v>26000</v>
      </c>
      <c r="AG6346">
        <v>1578</v>
      </c>
      <c r="AH6346">
        <v>484.45</v>
      </c>
      <c r="AI6346">
        <v>450</v>
      </c>
      <c r="AJ6346">
        <v>0</v>
      </c>
      <c r="AK6346">
        <v>2000</v>
      </c>
      <c r="AL6346">
        <v>1141</v>
      </c>
      <c r="AM6346">
        <v>313.37</v>
      </c>
      <c r="AN6346">
        <v>0</v>
      </c>
      <c r="AO6346">
        <v>0</v>
      </c>
      <c r="AP6346">
        <v>80000</v>
      </c>
      <c r="AQ6346">
        <v>1159</v>
      </c>
      <c r="AR6346">
        <v>319.3</v>
      </c>
      <c r="AS6346">
        <v>0</v>
      </c>
      <c r="AT6346">
        <v>0</v>
      </c>
      <c r="AU6346">
        <v>60000</v>
      </c>
      <c r="AV6346">
        <v>968</v>
      </c>
      <c r="AW6346">
        <v>363.44</v>
      </c>
      <c r="AX6346">
        <v>0</v>
      </c>
      <c r="AY6346">
        <v>0</v>
      </c>
      <c r="AZ6346">
        <v>7500</v>
      </c>
    </row>
    <row r="6347" spans="1:52" x14ac:dyDescent="0.3">
      <c r="A6347" t="s">
        <v>35</v>
      </c>
      <c r="B6347" t="s">
        <v>238</v>
      </c>
      <c r="C6347">
        <v>1355</v>
      </c>
      <c r="D6347">
        <v>1304.79</v>
      </c>
      <c r="E6347">
        <v>0</v>
      </c>
      <c r="F6347">
        <v>0</v>
      </c>
      <c r="G6347">
        <v>17000</v>
      </c>
      <c r="H6347">
        <v>1366</v>
      </c>
      <c r="I6347">
        <v>473.51</v>
      </c>
      <c r="J6347">
        <v>400</v>
      </c>
      <c r="K6347">
        <v>0</v>
      </c>
      <c r="L6347">
        <v>6000</v>
      </c>
      <c r="M6347">
        <v>1228</v>
      </c>
      <c r="N6347">
        <v>795.46</v>
      </c>
      <c r="O6347">
        <v>500</v>
      </c>
      <c r="P6347">
        <v>0</v>
      </c>
      <c r="Q6347">
        <v>10000</v>
      </c>
      <c r="R6347">
        <v>1454</v>
      </c>
      <c r="S6347">
        <v>830.26</v>
      </c>
      <c r="T6347">
        <v>600</v>
      </c>
      <c r="U6347">
        <v>0</v>
      </c>
      <c r="V6347">
        <v>7000</v>
      </c>
      <c r="W6347">
        <v>1134</v>
      </c>
      <c r="X6347">
        <v>1044.46</v>
      </c>
      <c r="Y6347">
        <v>0</v>
      </c>
      <c r="Z6347">
        <v>0</v>
      </c>
      <c r="AA6347">
        <v>15000</v>
      </c>
      <c r="AB6347">
        <v>1202</v>
      </c>
      <c r="AC6347">
        <v>461.84</v>
      </c>
      <c r="AD6347">
        <v>100</v>
      </c>
      <c r="AE6347">
        <v>0</v>
      </c>
      <c r="AF6347">
        <v>16000</v>
      </c>
      <c r="AG6347">
        <v>1496</v>
      </c>
      <c r="AH6347">
        <v>517.30999999999995</v>
      </c>
      <c r="AI6347">
        <v>450</v>
      </c>
      <c r="AJ6347">
        <v>0</v>
      </c>
      <c r="AK6347">
        <v>8000</v>
      </c>
      <c r="AL6347">
        <v>1078</v>
      </c>
      <c r="AM6347">
        <v>925.95</v>
      </c>
      <c r="AN6347">
        <v>0</v>
      </c>
      <c r="AO6347">
        <v>0</v>
      </c>
      <c r="AP6347">
        <v>35000</v>
      </c>
      <c r="AQ6347">
        <v>1096</v>
      </c>
      <c r="AR6347">
        <v>68.3</v>
      </c>
      <c r="AS6347">
        <v>0</v>
      </c>
      <c r="AT6347">
        <v>0</v>
      </c>
      <c r="AU6347">
        <v>30000</v>
      </c>
      <c r="AV6347">
        <v>922</v>
      </c>
      <c r="AW6347">
        <v>282.25</v>
      </c>
      <c r="AX6347">
        <v>0</v>
      </c>
      <c r="AY6347">
        <v>0</v>
      </c>
      <c r="AZ6347">
        <v>15000</v>
      </c>
    </row>
    <row r="6348" spans="1:52" x14ac:dyDescent="0.3">
      <c r="A6348" t="s">
        <v>37</v>
      </c>
      <c r="B6348" t="s">
        <v>236</v>
      </c>
      <c r="C6348">
        <v>1683</v>
      </c>
      <c r="D6348">
        <v>135.97</v>
      </c>
      <c r="E6348">
        <v>0</v>
      </c>
      <c r="F6348">
        <v>0</v>
      </c>
      <c r="G6348">
        <v>70000</v>
      </c>
      <c r="H6348">
        <v>1643</v>
      </c>
      <c r="I6348">
        <v>86.84</v>
      </c>
      <c r="J6348">
        <v>0</v>
      </c>
      <c r="K6348">
        <v>0</v>
      </c>
      <c r="L6348">
        <v>2500</v>
      </c>
      <c r="M6348">
        <v>2058</v>
      </c>
      <c r="N6348">
        <v>745.87</v>
      </c>
      <c r="O6348">
        <v>500</v>
      </c>
      <c r="P6348">
        <v>0</v>
      </c>
      <c r="Q6348">
        <v>10000</v>
      </c>
      <c r="R6348">
        <v>2176</v>
      </c>
      <c r="S6348">
        <v>1157.3499999999999</v>
      </c>
      <c r="T6348">
        <v>950</v>
      </c>
      <c r="U6348">
        <v>0</v>
      </c>
      <c r="V6348">
        <v>25000</v>
      </c>
      <c r="W6348">
        <v>1705</v>
      </c>
      <c r="X6348">
        <v>1144.3800000000001</v>
      </c>
      <c r="Y6348">
        <v>300</v>
      </c>
      <c r="Z6348">
        <v>0</v>
      </c>
      <c r="AA6348">
        <v>12000</v>
      </c>
      <c r="AB6348">
        <v>1803</v>
      </c>
      <c r="AC6348">
        <v>452.7</v>
      </c>
      <c r="AD6348">
        <v>200</v>
      </c>
      <c r="AE6348">
        <v>0</v>
      </c>
      <c r="AF6348">
        <v>16000</v>
      </c>
      <c r="AG6348">
        <v>2145</v>
      </c>
      <c r="AH6348">
        <v>439.14</v>
      </c>
      <c r="AI6348">
        <v>400</v>
      </c>
      <c r="AJ6348">
        <v>0</v>
      </c>
      <c r="AK6348">
        <v>7000</v>
      </c>
      <c r="AL6348">
        <v>1476</v>
      </c>
      <c r="AM6348">
        <v>225.74</v>
      </c>
      <c r="AN6348">
        <v>0</v>
      </c>
      <c r="AO6348">
        <v>0</v>
      </c>
      <c r="AP6348">
        <v>12000</v>
      </c>
      <c r="AQ6348">
        <v>1453</v>
      </c>
      <c r="AR6348">
        <v>230.24</v>
      </c>
      <c r="AS6348">
        <v>0</v>
      </c>
      <c r="AT6348">
        <v>0</v>
      </c>
      <c r="AU6348">
        <v>30000</v>
      </c>
      <c r="AV6348">
        <v>1454</v>
      </c>
      <c r="AW6348">
        <v>448.24</v>
      </c>
      <c r="AX6348">
        <v>0</v>
      </c>
      <c r="AY6348">
        <v>0</v>
      </c>
      <c r="AZ6348">
        <v>10000</v>
      </c>
    </row>
    <row r="6349" spans="1:52" x14ac:dyDescent="0.3">
      <c r="A6349" t="s">
        <v>37</v>
      </c>
      <c r="B6349" t="s">
        <v>238</v>
      </c>
      <c r="C6349">
        <v>1247</v>
      </c>
      <c r="D6349">
        <v>1404.29</v>
      </c>
      <c r="E6349">
        <v>0</v>
      </c>
      <c r="F6349">
        <v>0</v>
      </c>
      <c r="G6349">
        <v>37000</v>
      </c>
      <c r="H6349">
        <v>1314</v>
      </c>
      <c r="I6349">
        <v>313.94</v>
      </c>
      <c r="J6349">
        <v>300</v>
      </c>
      <c r="K6349">
        <v>0</v>
      </c>
      <c r="L6349">
        <v>2000</v>
      </c>
      <c r="M6349">
        <v>1518</v>
      </c>
      <c r="N6349">
        <v>908.65</v>
      </c>
      <c r="O6349">
        <v>600</v>
      </c>
      <c r="P6349">
        <v>0</v>
      </c>
      <c r="Q6349">
        <v>20000</v>
      </c>
      <c r="R6349">
        <v>1594</v>
      </c>
      <c r="S6349">
        <v>1190.95</v>
      </c>
      <c r="T6349">
        <v>1000</v>
      </c>
      <c r="U6349">
        <v>0</v>
      </c>
      <c r="V6349">
        <v>8000</v>
      </c>
      <c r="W6349">
        <v>1241</v>
      </c>
      <c r="X6349">
        <v>1524.38</v>
      </c>
      <c r="Y6349">
        <v>300</v>
      </c>
      <c r="Z6349">
        <v>0</v>
      </c>
      <c r="AA6349">
        <v>60000</v>
      </c>
      <c r="AB6349">
        <v>1330</v>
      </c>
      <c r="AC6349">
        <v>411.61</v>
      </c>
      <c r="AD6349">
        <v>200</v>
      </c>
      <c r="AE6349">
        <v>0</v>
      </c>
      <c r="AF6349">
        <v>16004</v>
      </c>
      <c r="AG6349">
        <v>1617</v>
      </c>
      <c r="AH6349">
        <v>482.25</v>
      </c>
      <c r="AI6349">
        <v>450</v>
      </c>
      <c r="AJ6349">
        <v>0</v>
      </c>
      <c r="AK6349">
        <v>6000</v>
      </c>
      <c r="AL6349">
        <v>1186</v>
      </c>
      <c r="AM6349">
        <v>755.97</v>
      </c>
      <c r="AN6349">
        <v>0</v>
      </c>
      <c r="AO6349">
        <v>0</v>
      </c>
      <c r="AP6349">
        <v>15000</v>
      </c>
      <c r="AQ6349">
        <v>1083</v>
      </c>
      <c r="AR6349">
        <v>221.65</v>
      </c>
      <c r="AS6349">
        <v>0</v>
      </c>
      <c r="AT6349">
        <v>0</v>
      </c>
      <c r="AU6349">
        <v>20000</v>
      </c>
      <c r="AV6349">
        <v>1047</v>
      </c>
      <c r="AW6349">
        <v>614.44000000000005</v>
      </c>
      <c r="AX6349">
        <v>0</v>
      </c>
      <c r="AY6349">
        <v>0</v>
      </c>
      <c r="AZ6349">
        <v>20000</v>
      </c>
    </row>
    <row r="6350" spans="1:52" x14ac:dyDescent="0.3">
      <c r="A6350" t="s">
        <v>36</v>
      </c>
      <c r="B6350" t="s">
        <v>236</v>
      </c>
      <c r="C6350">
        <v>772</v>
      </c>
      <c r="D6350">
        <v>515.55999999999995</v>
      </c>
      <c r="E6350">
        <v>0</v>
      </c>
      <c r="F6350">
        <v>0</v>
      </c>
      <c r="G6350">
        <v>9500</v>
      </c>
      <c r="H6350">
        <v>1316</v>
      </c>
      <c r="I6350">
        <v>297.81</v>
      </c>
      <c r="J6350">
        <v>230</v>
      </c>
      <c r="K6350">
        <v>0</v>
      </c>
      <c r="L6350">
        <v>5000</v>
      </c>
      <c r="M6350">
        <v>1312</v>
      </c>
      <c r="N6350">
        <v>730.52</v>
      </c>
      <c r="O6350">
        <v>500</v>
      </c>
      <c r="P6350">
        <v>0</v>
      </c>
      <c r="Q6350">
        <v>8000</v>
      </c>
      <c r="R6350">
        <v>1473</v>
      </c>
      <c r="S6350">
        <v>929.37</v>
      </c>
      <c r="T6350">
        <v>700</v>
      </c>
      <c r="U6350">
        <v>0</v>
      </c>
      <c r="V6350">
        <v>7000</v>
      </c>
      <c r="W6350">
        <v>1047</v>
      </c>
      <c r="X6350">
        <v>1367.22</v>
      </c>
      <c r="Y6350">
        <v>700</v>
      </c>
      <c r="Z6350">
        <v>0</v>
      </c>
      <c r="AA6350">
        <v>18000</v>
      </c>
      <c r="AB6350">
        <v>873</v>
      </c>
      <c r="AC6350">
        <v>498.98</v>
      </c>
      <c r="AD6350">
        <v>200</v>
      </c>
      <c r="AE6350">
        <v>0</v>
      </c>
      <c r="AF6350">
        <v>12000</v>
      </c>
      <c r="AG6350">
        <v>1463</v>
      </c>
      <c r="AH6350">
        <v>509.43</v>
      </c>
      <c r="AI6350">
        <v>500</v>
      </c>
      <c r="AJ6350">
        <v>0</v>
      </c>
      <c r="AK6350">
        <v>7200</v>
      </c>
      <c r="AL6350">
        <v>678</v>
      </c>
      <c r="AM6350">
        <v>337.96</v>
      </c>
      <c r="AN6350">
        <v>0</v>
      </c>
      <c r="AO6350">
        <v>0</v>
      </c>
      <c r="AP6350">
        <v>10000</v>
      </c>
      <c r="AQ6350">
        <v>677</v>
      </c>
      <c r="AR6350">
        <v>332.06</v>
      </c>
      <c r="AS6350">
        <v>0</v>
      </c>
      <c r="AT6350">
        <v>0</v>
      </c>
      <c r="AU6350">
        <v>50000</v>
      </c>
      <c r="AV6350">
        <v>729</v>
      </c>
      <c r="AW6350">
        <v>711.81</v>
      </c>
      <c r="AX6350">
        <v>0</v>
      </c>
      <c r="AY6350">
        <v>0</v>
      </c>
      <c r="AZ6350">
        <v>10000</v>
      </c>
    </row>
    <row r="6351" spans="1:52" x14ac:dyDescent="0.3">
      <c r="A6351" t="s">
        <v>36</v>
      </c>
      <c r="B6351" t="s">
        <v>238</v>
      </c>
      <c r="C6351">
        <v>423</v>
      </c>
      <c r="D6351">
        <v>1776.55</v>
      </c>
      <c r="E6351">
        <v>0</v>
      </c>
      <c r="F6351">
        <v>0</v>
      </c>
      <c r="G6351">
        <v>10000</v>
      </c>
      <c r="H6351">
        <v>670</v>
      </c>
      <c r="I6351">
        <v>347.35</v>
      </c>
      <c r="J6351">
        <v>300</v>
      </c>
      <c r="K6351">
        <v>0</v>
      </c>
      <c r="L6351">
        <v>5000</v>
      </c>
      <c r="M6351">
        <v>628</v>
      </c>
      <c r="N6351">
        <v>734.31</v>
      </c>
      <c r="O6351">
        <v>500</v>
      </c>
      <c r="P6351">
        <v>0</v>
      </c>
      <c r="Q6351">
        <v>5000</v>
      </c>
      <c r="R6351">
        <v>684</v>
      </c>
      <c r="S6351">
        <v>1099.43</v>
      </c>
      <c r="T6351">
        <v>800</v>
      </c>
      <c r="U6351">
        <v>0</v>
      </c>
      <c r="V6351">
        <v>5000</v>
      </c>
      <c r="W6351">
        <v>429</v>
      </c>
      <c r="X6351">
        <v>1795.87</v>
      </c>
      <c r="Y6351">
        <v>1000</v>
      </c>
      <c r="Z6351">
        <v>0</v>
      </c>
      <c r="AA6351">
        <v>10000</v>
      </c>
      <c r="AB6351">
        <v>448</v>
      </c>
      <c r="AC6351">
        <v>570.74</v>
      </c>
      <c r="AD6351">
        <v>400</v>
      </c>
      <c r="AE6351">
        <v>0</v>
      </c>
      <c r="AF6351">
        <v>10000</v>
      </c>
      <c r="AG6351">
        <v>707</v>
      </c>
      <c r="AH6351">
        <v>499.25</v>
      </c>
      <c r="AI6351">
        <v>480</v>
      </c>
      <c r="AJ6351">
        <v>0</v>
      </c>
      <c r="AK6351">
        <v>2500</v>
      </c>
      <c r="AL6351">
        <v>357</v>
      </c>
      <c r="AM6351">
        <v>738.44</v>
      </c>
      <c r="AN6351">
        <v>0</v>
      </c>
      <c r="AO6351">
        <v>0</v>
      </c>
      <c r="AP6351">
        <v>16000</v>
      </c>
      <c r="AQ6351">
        <v>320</v>
      </c>
      <c r="AR6351">
        <v>608.07000000000005</v>
      </c>
      <c r="AS6351">
        <v>0</v>
      </c>
      <c r="AT6351">
        <v>0</v>
      </c>
      <c r="AU6351">
        <v>70000</v>
      </c>
      <c r="AV6351">
        <v>368</v>
      </c>
      <c r="AW6351">
        <v>915.63</v>
      </c>
      <c r="AX6351">
        <v>300</v>
      </c>
      <c r="AY6351">
        <v>0</v>
      </c>
      <c r="AZ6351">
        <v>10000</v>
      </c>
    </row>
    <row r="6352" spans="1:52" x14ac:dyDescent="0.3">
      <c r="A6352" t="s">
        <v>34</v>
      </c>
      <c r="B6352" t="s">
        <v>236</v>
      </c>
      <c r="C6352">
        <v>660</v>
      </c>
      <c r="D6352">
        <v>91.37</v>
      </c>
      <c r="E6352">
        <v>0</v>
      </c>
      <c r="F6352">
        <v>0</v>
      </c>
      <c r="G6352">
        <v>6000</v>
      </c>
      <c r="H6352">
        <v>675</v>
      </c>
      <c r="I6352">
        <v>146.55000000000001</v>
      </c>
      <c r="J6352">
        <v>0</v>
      </c>
      <c r="K6352">
        <v>0</v>
      </c>
      <c r="L6352">
        <v>4000</v>
      </c>
      <c r="M6352">
        <v>650</v>
      </c>
      <c r="N6352">
        <v>546.32000000000005</v>
      </c>
      <c r="O6352">
        <v>400</v>
      </c>
      <c r="P6352">
        <v>0</v>
      </c>
      <c r="Q6352">
        <v>8000</v>
      </c>
      <c r="R6352">
        <v>696</v>
      </c>
      <c r="S6352">
        <v>1025.92</v>
      </c>
      <c r="T6352">
        <v>700</v>
      </c>
      <c r="U6352">
        <v>0</v>
      </c>
      <c r="V6352">
        <v>8000</v>
      </c>
      <c r="W6352">
        <v>665</v>
      </c>
      <c r="X6352">
        <v>838.16</v>
      </c>
      <c r="Y6352">
        <v>0</v>
      </c>
      <c r="Z6352">
        <v>0</v>
      </c>
      <c r="AA6352">
        <v>10000</v>
      </c>
      <c r="AB6352">
        <v>673</v>
      </c>
      <c r="AC6352">
        <v>401.51</v>
      </c>
      <c r="AD6352">
        <v>0</v>
      </c>
      <c r="AE6352">
        <v>0</v>
      </c>
      <c r="AF6352">
        <v>17000</v>
      </c>
      <c r="AG6352">
        <v>702</v>
      </c>
      <c r="AH6352">
        <v>476.81</v>
      </c>
      <c r="AI6352">
        <v>400</v>
      </c>
      <c r="AJ6352">
        <v>0</v>
      </c>
      <c r="AK6352">
        <v>4770</v>
      </c>
      <c r="AL6352">
        <v>638</v>
      </c>
      <c r="AM6352">
        <v>47.82</v>
      </c>
      <c r="AN6352">
        <v>0</v>
      </c>
      <c r="AO6352">
        <v>0</v>
      </c>
      <c r="AP6352">
        <v>25000</v>
      </c>
      <c r="AQ6352">
        <v>656</v>
      </c>
      <c r="AR6352">
        <v>734.85</v>
      </c>
      <c r="AS6352">
        <v>0</v>
      </c>
      <c r="AT6352">
        <v>0</v>
      </c>
      <c r="AU6352">
        <v>100000</v>
      </c>
      <c r="AV6352">
        <v>608</v>
      </c>
      <c r="AW6352">
        <v>484.62</v>
      </c>
      <c r="AX6352">
        <v>0</v>
      </c>
      <c r="AY6352">
        <v>0</v>
      </c>
      <c r="AZ6352">
        <v>11500</v>
      </c>
    </row>
    <row r="6353" spans="1:52" x14ac:dyDescent="0.3">
      <c r="A6353" t="s">
        <v>34</v>
      </c>
      <c r="B6353" t="s">
        <v>238</v>
      </c>
      <c r="C6353">
        <v>1164</v>
      </c>
      <c r="D6353">
        <v>892.28</v>
      </c>
      <c r="E6353">
        <v>0</v>
      </c>
      <c r="F6353">
        <v>0</v>
      </c>
      <c r="G6353">
        <v>20000</v>
      </c>
      <c r="H6353">
        <v>1231</v>
      </c>
      <c r="I6353">
        <v>245.12</v>
      </c>
      <c r="J6353">
        <v>200</v>
      </c>
      <c r="K6353">
        <v>0</v>
      </c>
      <c r="L6353">
        <v>6500</v>
      </c>
      <c r="M6353">
        <v>1181</v>
      </c>
      <c r="N6353">
        <v>578.99</v>
      </c>
      <c r="O6353">
        <v>400</v>
      </c>
      <c r="P6353">
        <v>0</v>
      </c>
      <c r="Q6353">
        <v>12000</v>
      </c>
      <c r="R6353">
        <v>1268</v>
      </c>
      <c r="S6353">
        <v>848.73</v>
      </c>
      <c r="T6353">
        <v>650</v>
      </c>
      <c r="U6353">
        <v>0</v>
      </c>
      <c r="V6353">
        <v>6500</v>
      </c>
      <c r="W6353">
        <v>1200</v>
      </c>
      <c r="X6353">
        <v>764.3</v>
      </c>
      <c r="Y6353">
        <v>0</v>
      </c>
      <c r="Z6353">
        <v>0</v>
      </c>
      <c r="AA6353">
        <v>15450</v>
      </c>
      <c r="AB6353">
        <v>1227</v>
      </c>
      <c r="AC6353">
        <v>482.71</v>
      </c>
      <c r="AD6353">
        <v>0</v>
      </c>
      <c r="AE6353">
        <v>0</v>
      </c>
      <c r="AF6353">
        <v>60250</v>
      </c>
      <c r="AG6353">
        <v>1338</v>
      </c>
      <c r="AH6353">
        <v>489.12</v>
      </c>
      <c r="AI6353">
        <v>450</v>
      </c>
      <c r="AJ6353">
        <v>0</v>
      </c>
      <c r="AK6353">
        <v>5000</v>
      </c>
      <c r="AL6353">
        <v>1116</v>
      </c>
      <c r="AM6353">
        <v>289</v>
      </c>
      <c r="AN6353">
        <v>0</v>
      </c>
      <c r="AO6353">
        <v>0</v>
      </c>
      <c r="AP6353">
        <v>25000</v>
      </c>
      <c r="AQ6353">
        <v>1152</v>
      </c>
      <c r="AR6353">
        <v>141.69999999999999</v>
      </c>
      <c r="AS6353">
        <v>0</v>
      </c>
      <c r="AT6353">
        <v>0</v>
      </c>
      <c r="AU6353">
        <v>37000</v>
      </c>
      <c r="AV6353">
        <v>1055</v>
      </c>
      <c r="AW6353">
        <v>306.52</v>
      </c>
      <c r="AX6353">
        <v>0</v>
      </c>
      <c r="AY6353">
        <v>0</v>
      </c>
      <c r="AZ6353">
        <v>14600</v>
      </c>
    </row>
    <row r="6354" spans="1:52" x14ac:dyDescent="0.3">
      <c r="A6354" t="s">
        <v>33</v>
      </c>
      <c r="B6354" t="s">
        <v>236</v>
      </c>
      <c r="C6354">
        <v>1010</v>
      </c>
      <c r="D6354">
        <v>97.6</v>
      </c>
      <c r="E6354">
        <v>0</v>
      </c>
      <c r="F6354">
        <v>0</v>
      </c>
      <c r="G6354">
        <v>10000</v>
      </c>
      <c r="H6354">
        <v>979</v>
      </c>
      <c r="I6354">
        <v>100.57</v>
      </c>
      <c r="J6354">
        <v>0</v>
      </c>
      <c r="K6354">
        <v>0</v>
      </c>
      <c r="L6354">
        <v>1500</v>
      </c>
      <c r="M6354">
        <v>1038</v>
      </c>
      <c r="N6354">
        <v>519.03</v>
      </c>
      <c r="O6354">
        <v>400</v>
      </c>
      <c r="P6354">
        <v>0</v>
      </c>
      <c r="Q6354">
        <v>8000</v>
      </c>
      <c r="R6354">
        <v>1100</v>
      </c>
      <c r="S6354">
        <v>797.34</v>
      </c>
      <c r="T6354">
        <v>700</v>
      </c>
      <c r="U6354">
        <v>0</v>
      </c>
      <c r="V6354">
        <v>5000</v>
      </c>
      <c r="W6354">
        <v>988</v>
      </c>
      <c r="X6354">
        <v>855.62</v>
      </c>
      <c r="Y6354">
        <v>350</v>
      </c>
      <c r="Z6354">
        <v>0</v>
      </c>
      <c r="AA6354">
        <v>7500</v>
      </c>
      <c r="AB6354">
        <v>958</v>
      </c>
      <c r="AC6354">
        <v>345.99</v>
      </c>
      <c r="AD6354">
        <v>0</v>
      </c>
      <c r="AE6354">
        <v>0</v>
      </c>
      <c r="AF6354">
        <v>25000</v>
      </c>
      <c r="AG6354">
        <v>1099</v>
      </c>
      <c r="AH6354">
        <v>414.07</v>
      </c>
      <c r="AI6354">
        <v>350</v>
      </c>
      <c r="AJ6354">
        <v>0</v>
      </c>
      <c r="AK6354">
        <v>2000</v>
      </c>
      <c r="AL6354">
        <v>930</v>
      </c>
      <c r="AM6354">
        <v>162.16999999999999</v>
      </c>
      <c r="AN6354">
        <v>0</v>
      </c>
      <c r="AO6354">
        <v>0</v>
      </c>
      <c r="AP6354">
        <v>20000</v>
      </c>
      <c r="AQ6354">
        <v>911</v>
      </c>
      <c r="AR6354">
        <v>127.72</v>
      </c>
      <c r="AS6354">
        <v>0</v>
      </c>
      <c r="AT6354">
        <v>0</v>
      </c>
      <c r="AU6354">
        <v>8000</v>
      </c>
      <c r="AV6354">
        <v>880</v>
      </c>
      <c r="AW6354">
        <v>413.75</v>
      </c>
      <c r="AX6354">
        <v>0</v>
      </c>
      <c r="AY6354">
        <v>0</v>
      </c>
      <c r="AZ6354">
        <v>10000</v>
      </c>
    </row>
    <row r="6355" spans="1:52" x14ac:dyDescent="0.3">
      <c r="A6355" t="s">
        <v>33</v>
      </c>
      <c r="B6355" t="s">
        <v>238</v>
      </c>
      <c r="C6355">
        <v>715</v>
      </c>
      <c r="D6355">
        <v>748.04</v>
      </c>
      <c r="E6355">
        <v>0</v>
      </c>
      <c r="F6355">
        <v>0</v>
      </c>
      <c r="G6355">
        <v>19000</v>
      </c>
      <c r="H6355">
        <v>773</v>
      </c>
      <c r="I6355">
        <v>306.72000000000003</v>
      </c>
      <c r="J6355">
        <v>250</v>
      </c>
      <c r="K6355">
        <v>0</v>
      </c>
      <c r="L6355">
        <v>2100</v>
      </c>
      <c r="M6355">
        <v>776</v>
      </c>
      <c r="N6355">
        <v>623.85</v>
      </c>
      <c r="O6355">
        <v>500</v>
      </c>
      <c r="P6355">
        <v>0</v>
      </c>
      <c r="Q6355">
        <v>4000</v>
      </c>
      <c r="R6355">
        <v>796</v>
      </c>
      <c r="S6355">
        <v>979.57</v>
      </c>
      <c r="T6355">
        <v>800</v>
      </c>
      <c r="U6355">
        <v>0</v>
      </c>
      <c r="V6355">
        <v>4000</v>
      </c>
      <c r="W6355">
        <v>678</v>
      </c>
      <c r="X6355">
        <v>994.57</v>
      </c>
      <c r="Y6355">
        <v>0</v>
      </c>
      <c r="Z6355">
        <v>0</v>
      </c>
      <c r="AA6355">
        <v>10000</v>
      </c>
      <c r="AB6355">
        <v>722</v>
      </c>
      <c r="AC6355">
        <v>381.87</v>
      </c>
      <c r="AD6355">
        <v>100</v>
      </c>
      <c r="AE6355">
        <v>0</v>
      </c>
      <c r="AF6355">
        <v>5000</v>
      </c>
      <c r="AG6355">
        <v>816</v>
      </c>
      <c r="AH6355">
        <v>476.99</v>
      </c>
      <c r="AI6355">
        <v>460</v>
      </c>
      <c r="AJ6355">
        <v>0</v>
      </c>
      <c r="AK6355">
        <v>1500</v>
      </c>
      <c r="AL6355">
        <v>668</v>
      </c>
      <c r="AM6355">
        <v>500.44</v>
      </c>
      <c r="AN6355">
        <v>0</v>
      </c>
      <c r="AO6355">
        <v>0</v>
      </c>
      <c r="AP6355">
        <v>10000</v>
      </c>
      <c r="AQ6355">
        <v>634</v>
      </c>
      <c r="AR6355">
        <v>187.14</v>
      </c>
      <c r="AS6355">
        <v>0</v>
      </c>
      <c r="AT6355">
        <v>0</v>
      </c>
      <c r="AU6355">
        <v>25000</v>
      </c>
      <c r="AV6355">
        <v>629</v>
      </c>
      <c r="AW6355">
        <v>485.15</v>
      </c>
      <c r="AX6355">
        <v>0</v>
      </c>
      <c r="AY6355">
        <v>0</v>
      </c>
      <c r="AZ6355">
        <v>7000</v>
      </c>
    </row>
    <row r="6356" spans="1:52" x14ac:dyDescent="0.3">
      <c r="A6356" t="s">
        <v>49</v>
      </c>
      <c r="B6356" t="s">
        <v>236</v>
      </c>
      <c r="C6356">
        <v>5590</v>
      </c>
      <c r="D6356">
        <v>173.06</v>
      </c>
      <c r="E6356">
        <v>0</v>
      </c>
      <c r="F6356">
        <v>0</v>
      </c>
      <c r="G6356">
        <v>70000</v>
      </c>
      <c r="H6356">
        <v>5976</v>
      </c>
      <c r="I6356">
        <v>134.22</v>
      </c>
      <c r="J6356">
        <v>0</v>
      </c>
      <c r="K6356">
        <v>0</v>
      </c>
      <c r="L6356">
        <v>8000</v>
      </c>
      <c r="M6356">
        <v>6387</v>
      </c>
      <c r="N6356">
        <v>659.8</v>
      </c>
      <c r="O6356">
        <v>500</v>
      </c>
      <c r="P6356">
        <v>0</v>
      </c>
      <c r="Q6356">
        <v>10000</v>
      </c>
      <c r="R6356">
        <v>7005</v>
      </c>
      <c r="S6356">
        <v>1013.05</v>
      </c>
      <c r="T6356">
        <v>800</v>
      </c>
      <c r="U6356">
        <v>0</v>
      </c>
      <c r="V6356">
        <v>25000</v>
      </c>
      <c r="W6356">
        <v>5659</v>
      </c>
      <c r="X6356">
        <v>1079.05</v>
      </c>
      <c r="Y6356">
        <v>300</v>
      </c>
      <c r="Z6356">
        <v>0</v>
      </c>
      <c r="AA6356">
        <v>20000</v>
      </c>
      <c r="AB6356">
        <v>5567</v>
      </c>
      <c r="AC6356">
        <v>412.42</v>
      </c>
      <c r="AD6356">
        <v>120</v>
      </c>
      <c r="AE6356">
        <v>0</v>
      </c>
      <c r="AF6356">
        <v>26000</v>
      </c>
      <c r="AG6356">
        <v>6987</v>
      </c>
      <c r="AH6356">
        <v>454.83</v>
      </c>
      <c r="AI6356">
        <v>400</v>
      </c>
      <c r="AJ6356">
        <v>0</v>
      </c>
      <c r="AK6356">
        <v>7200</v>
      </c>
      <c r="AL6356">
        <v>4863</v>
      </c>
      <c r="AM6356">
        <v>207.53</v>
      </c>
      <c r="AN6356">
        <v>0</v>
      </c>
      <c r="AO6356">
        <v>0</v>
      </c>
      <c r="AP6356">
        <v>80000</v>
      </c>
      <c r="AQ6356">
        <v>4856</v>
      </c>
      <c r="AR6356">
        <v>310.04000000000002</v>
      </c>
      <c r="AS6356">
        <v>0</v>
      </c>
      <c r="AT6356">
        <v>0</v>
      </c>
      <c r="AU6356">
        <v>100000</v>
      </c>
      <c r="AV6356">
        <v>4639</v>
      </c>
      <c r="AW6356">
        <v>446.21</v>
      </c>
      <c r="AX6356">
        <v>0</v>
      </c>
      <c r="AY6356">
        <v>0</v>
      </c>
      <c r="AZ6356">
        <v>11500</v>
      </c>
    </row>
    <row r="6357" spans="1:52" x14ac:dyDescent="0.3">
      <c r="A6357" t="s">
        <v>49</v>
      </c>
      <c r="B6357" t="s">
        <v>238</v>
      </c>
      <c r="C6357">
        <v>4904</v>
      </c>
      <c r="D6357">
        <v>1176.78</v>
      </c>
      <c r="E6357">
        <v>0</v>
      </c>
      <c r="F6357">
        <v>0</v>
      </c>
      <c r="G6357">
        <v>37000</v>
      </c>
      <c r="H6357">
        <v>5354</v>
      </c>
      <c r="I6357">
        <v>356.78</v>
      </c>
      <c r="J6357">
        <v>300</v>
      </c>
      <c r="K6357">
        <v>0</v>
      </c>
      <c r="L6357">
        <v>6500</v>
      </c>
      <c r="M6357">
        <v>5331</v>
      </c>
      <c r="N6357">
        <v>743.34</v>
      </c>
      <c r="O6357">
        <v>500</v>
      </c>
      <c r="P6357">
        <v>0</v>
      </c>
      <c r="Q6357">
        <v>20000</v>
      </c>
      <c r="R6357">
        <v>5796</v>
      </c>
      <c r="S6357">
        <v>954.83</v>
      </c>
      <c r="T6357">
        <v>800</v>
      </c>
      <c r="U6357">
        <v>0</v>
      </c>
      <c r="V6357">
        <v>8000</v>
      </c>
      <c r="W6357">
        <v>4682</v>
      </c>
      <c r="X6357">
        <v>1094.77</v>
      </c>
      <c r="Y6357">
        <v>0</v>
      </c>
      <c r="Z6357">
        <v>0</v>
      </c>
      <c r="AA6357">
        <v>60000</v>
      </c>
      <c r="AB6357">
        <v>4929</v>
      </c>
      <c r="AC6357">
        <v>452.01</v>
      </c>
      <c r="AD6357">
        <v>200</v>
      </c>
      <c r="AE6357">
        <v>0</v>
      </c>
      <c r="AF6357">
        <v>60250</v>
      </c>
      <c r="AG6357">
        <v>5974</v>
      </c>
      <c r="AH6357">
        <v>496.68</v>
      </c>
      <c r="AI6357">
        <v>450</v>
      </c>
      <c r="AJ6357">
        <v>0</v>
      </c>
      <c r="AK6357">
        <v>8000</v>
      </c>
      <c r="AL6357">
        <v>4405</v>
      </c>
      <c r="AM6357">
        <v>667.66</v>
      </c>
      <c r="AN6357">
        <v>0</v>
      </c>
      <c r="AO6357">
        <v>0</v>
      </c>
      <c r="AP6357">
        <v>35000</v>
      </c>
      <c r="AQ6357">
        <v>4285</v>
      </c>
      <c r="AR6357">
        <v>146.04</v>
      </c>
      <c r="AS6357">
        <v>0</v>
      </c>
      <c r="AT6357">
        <v>0</v>
      </c>
      <c r="AU6357">
        <v>70000</v>
      </c>
      <c r="AV6357">
        <v>4021</v>
      </c>
      <c r="AW6357">
        <v>416.44</v>
      </c>
      <c r="AX6357">
        <v>0</v>
      </c>
      <c r="AY6357">
        <v>0</v>
      </c>
      <c r="AZ6357">
        <v>20000</v>
      </c>
    </row>
    <row r="6359" spans="1:52" x14ac:dyDescent="0.3">
      <c r="A6359" t="s">
        <v>2048</v>
      </c>
    </row>
    <row r="6360" spans="1:52" x14ac:dyDescent="0.3">
      <c r="A6360" t="s">
        <v>44</v>
      </c>
      <c r="B6360" t="s">
        <v>2049</v>
      </c>
      <c r="C6360" t="s">
        <v>2050</v>
      </c>
      <c r="D6360" t="s">
        <v>2051</v>
      </c>
      <c r="E6360" t="s">
        <v>2052</v>
      </c>
      <c r="F6360" t="s">
        <v>2053</v>
      </c>
      <c r="G6360" t="s">
        <v>2054</v>
      </c>
      <c r="H6360" t="s">
        <v>2055</v>
      </c>
      <c r="I6360" t="s">
        <v>2056</v>
      </c>
      <c r="J6360" t="s">
        <v>2057</v>
      </c>
      <c r="K6360" t="s">
        <v>2058</v>
      </c>
      <c r="L6360" t="s">
        <v>2059</v>
      </c>
      <c r="M6360" t="s">
        <v>2060</v>
      </c>
      <c r="N6360" t="s">
        <v>2061</v>
      </c>
      <c r="O6360" t="s">
        <v>2062</v>
      </c>
      <c r="P6360" t="s">
        <v>2063</v>
      </c>
      <c r="Q6360" t="s">
        <v>2064</v>
      </c>
      <c r="R6360" t="s">
        <v>2065</v>
      </c>
      <c r="S6360" t="s">
        <v>2066</v>
      </c>
      <c r="T6360" t="s">
        <v>2067</v>
      </c>
      <c r="U6360" t="s">
        <v>2068</v>
      </c>
      <c r="V6360" t="s">
        <v>2069</v>
      </c>
      <c r="W6360" t="s">
        <v>2070</v>
      </c>
      <c r="X6360" t="s">
        <v>2071</v>
      </c>
      <c r="Y6360" t="s">
        <v>2072</v>
      </c>
      <c r="Z6360" t="s">
        <v>2073</v>
      </c>
      <c r="AA6360" t="s">
        <v>2074</v>
      </c>
      <c r="AB6360" t="s">
        <v>2075</v>
      </c>
      <c r="AC6360" t="s">
        <v>2076</v>
      </c>
      <c r="AD6360" t="s">
        <v>2077</v>
      </c>
      <c r="AE6360" t="s">
        <v>2078</v>
      </c>
      <c r="AF6360" t="s">
        <v>2079</v>
      </c>
      <c r="AG6360" t="s">
        <v>2080</v>
      </c>
      <c r="AH6360" t="s">
        <v>2081</v>
      </c>
      <c r="AI6360" t="s">
        <v>2082</v>
      </c>
      <c r="AJ6360" t="s">
        <v>2083</v>
      </c>
      <c r="AK6360" t="s">
        <v>2084</v>
      </c>
      <c r="AL6360" t="s">
        <v>2085</v>
      </c>
      <c r="AM6360" t="s">
        <v>2086</v>
      </c>
      <c r="AN6360" t="s">
        <v>2087</v>
      </c>
      <c r="AO6360" t="s">
        <v>2088</v>
      </c>
      <c r="AP6360" t="s">
        <v>2089</v>
      </c>
      <c r="AQ6360" t="s">
        <v>2090</v>
      </c>
      <c r="AR6360" t="s">
        <v>2091</v>
      </c>
      <c r="AS6360" t="s">
        <v>2092</v>
      </c>
      <c r="AT6360" t="s">
        <v>2093</v>
      </c>
    </row>
    <row r="6361" spans="1:52" x14ac:dyDescent="0.3">
      <c r="A6361" t="s">
        <v>35</v>
      </c>
      <c r="B6361">
        <v>2354</v>
      </c>
      <c r="C6361">
        <v>3013.5</v>
      </c>
      <c r="D6361">
        <v>0</v>
      </c>
      <c r="E6361">
        <v>0</v>
      </c>
      <c r="F6361">
        <v>200000</v>
      </c>
      <c r="G6361">
        <v>2271</v>
      </c>
      <c r="H6361">
        <v>809.84</v>
      </c>
      <c r="I6361">
        <v>0</v>
      </c>
      <c r="J6361">
        <v>0</v>
      </c>
      <c r="K6361">
        <v>100000</v>
      </c>
      <c r="L6361">
        <v>2843</v>
      </c>
      <c r="M6361">
        <v>5470.91</v>
      </c>
      <c r="N6361">
        <v>3000</v>
      </c>
      <c r="O6361">
        <v>0</v>
      </c>
      <c r="P6361">
        <v>100000</v>
      </c>
      <c r="Q6361">
        <v>2488</v>
      </c>
      <c r="R6361">
        <v>4528.9399999999996</v>
      </c>
      <c r="S6361">
        <v>2000</v>
      </c>
      <c r="T6361">
        <v>0</v>
      </c>
      <c r="U6361">
        <v>100000</v>
      </c>
      <c r="V6361">
        <v>2374</v>
      </c>
      <c r="W6361">
        <v>2195.5100000000002</v>
      </c>
      <c r="X6361">
        <v>0</v>
      </c>
      <c r="Y6361">
        <v>0</v>
      </c>
      <c r="Z6361">
        <v>100000</v>
      </c>
      <c r="AA6361">
        <v>2204</v>
      </c>
      <c r="AB6361">
        <v>1897.86</v>
      </c>
      <c r="AC6361">
        <v>0</v>
      </c>
      <c r="AD6361">
        <v>0</v>
      </c>
      <c r="AE6361">
        <v>100000</v>
      </c>
      <c r="AF6361">
        <v>2006</v>
      </c>
      <c r="AG6361">
        <v>2204.36</v>
      </c>
      <c r="AH6361">
        <v>0</v>
      </c>
      <c r="AI6361">
        <v>0</v>
      </c>
      <c r="AJ6361">
        <v>100000</v>
      </c>
      <c r="AK6361">
        <v>1684</v>
      </c>
      <c r="AL6361">
        <v>3344.65</v>
      </c>
      <c r="AM6361">
        <v>0</v>
      </c>
      <c r="AN6361">
        <v>0</v>
      </c>
      <c r="AO6361">
        <v>200000</v>
      </c>
      <c r="AP6361">
        <v>1804</v>
      </c>
      <c r="AQ6361">
        <v>1153.51</v>
      </c>
      <c r="AR6361">
        <v>0</v>
      </c>
      <c r="AS6361">
        <v>0</v>
      </c>
      <c r="AT6361">
        <v>100000</v>
      </c>
    </row>
    <row r="6362" spans="1:52" x14ac:dyDescent="0.3">
      <c r="A6362" t="s">
        <v>37</v>
      </c>
      <c r="B6362">
        <v>2846</v>
      </c>
      <c r="C6362">
        <v>5050.0600000000004</v>
      </c>
      <c r="D6362">
        <v>0</v>
      </c>
      <c r="E6362">
        <v>0</v>
      </c>
      <c r="F6362">
        <v>130000</v>
      </c>
      <c r="G6362">
        <v>2749</v>
      </c>
      <c r="H6362">
        <v>1043.21</v>
      </c>
      <c r="I6362">
        <v>0</v>
      </c>
      <c r="J6362">
        <v>0</v>
      </c>
      <c r="K6362">
        <v>100000</v>
      </c>
      <c r="L6362">
        <v>3614</v>
      </c>
      <c r="M6362">
        <v>5124.6899999999996</v>
      </c>
      <c r="N6362">
        <v>2300</v>
      </c>
      <c r="O6362">
        <v>0</v>
      </c>
      <c r="P6362">
        <v>200000</v>
      </c>
      <c r="Q6362">
        <v>3127</v>
      </c>
      <c r="R6362">
        <v>3996.81</v>
      </c>
      <c r="S6362">
        <v>2000</v>
      </c>
      <c r="T6362">
        <v>0</v>
      </c>
      <c r="U6362">
        <v>60000</v>
      </c>
      <c r="V6362">
        <v>2753</v>
      </c>
      <c r="W6362">
        <v>1396.34</v>
      </c>
      <c r="X6362">
        <v>0</v>
      </c>
      <c r="Y6362">
        <v>0</v>
      </c>
      <c r="Z6362">
        <v>50000</v>
      </c>
      <c r="AA6362">
        <v>2490</v>
      </c>
      <c r="AB6362">
        <v>476.48</v>
      </c>
      <c r="AC6362">
        <v>0</v>
      </c>
      <c r="AD6362">
        <v>0</v>
      </c>
      <c r="AE6362">
        <v>100000</v>
      </c>
      <c r="AF6362">
        <v>2420</v>
      </c>
      <c r="AG6362">
        <v>1448.45</v>
      </c>
      <c r="AH6362">
        <v>0</v>
      </c>
      <c r="AI6362">
        <v>0</v>
      </c>
      <c r="AJ6362">
        <v>100000</v>
      </c>
      <c r="AK6362">
        <v>2185</v>
      </c>
      <c r="AL6362">
        <v>4967.7700000000004</v>
      </c>
      <c r="AM6362">
        <v>0</v>
      </c>
      <c r="AN6362">
        <v>0</v>
      </c>
      <c r="AO6362">
        <v>300000</v>
      </c>
      <c r="AP6362">
        <v>2320</v>
      </c>
      <c r="AQ6362">
        <v>1167.6600000000001</v>
      </c>
      <c r="AR6362">
        <v>0</v>
      </c>
      <c r="AS6362">
        <v>0</v>
      </c>
      <c r="AT6362">
        <v>100000</v>
      </c>
    </row>
    <row r="6363" spans="1:52" x14ac:dyDescent="0.3">
      <c r="A6363" t="s">
        <v>36</v>
      </c>
      <c r="B6363">
        <v>1300</v>
      </c>
      <c r="C6363">
        <v>6232.13</v>
      </c>
      <c r="D6363">
        <v>1000</v>
      </c>
      <c r="E6363">
        <v>0</v>
      </c>
      <c r="F6363">
        <v>200000</v>
      </c>
      <c r="G6363">
        <v>1200</v>
      </c>
      <c r="H6363">
        <v>1402.22</v>
      </c>
      <c r="I6363">
        <v>500</v>
      </c>
      <c r="J6363">
        <v>0</v>
      </c>
      <c r="K6363">
        <v>100000</v>
      </c>
      <c r="L6363">
        <v>1907</v>
      </c>
      <c r="M6363">
        <v>6911.64</v>
      </c>
      <c r="N6363">
        <v>3000</v>
      </c>
      <c r="O6363">
        <v>0</v>
      </c>
      <c r="P6363">
        <v>300000</v>
      </c>
      <c r="Q6363">
        <v>1620</v>
      </c>
      <c r="R6363">
        <v>4368.17</v>
      </c>
      <c r="S6363">
        <v>2500</v>
      </c>
      <c r="T6363">
        <v>0</v>
      </c>
      <c r="U6363">
        <v>50000</v>
      </c>
      <c r="V6363">
        <v>1110</v>
      </c>
      <c r="W6363">
        <v>2439.4699999999998</v>
      </c>
      <c r="X6363">
        <v>0</v>
      </c>
      <c r="Y6363">
        <v>0</v>
      </c>
      <c r="Z6363">
        <v>50000</v>
      </c>
      <c r="AA6363">
        <v>1065</v>
      </c>
      <c r="AB6363">
        <v>3780.37</v>
      </c>
      <c r="AC6363">
        <v>0</v>
      </c>
      <c r="AD6363">
        <v>0</v>
      </c>
      <c r="AE6363">
        <v>100000</v>
      </c>
      <c r="AF6363">
        <v>993</v>
      </c>
      <c r="AG6363">
        <v>2594.54</v>
      </c>
      <c r="AH6363">
        <v>0</v>
      </c>
      <c r="AI6363">
        <v>0</v>
      </c>
      <c r="AJ6363">
        <v>100000</v>
      </c>
      <c r="AK6363">
        <v>988</v>
      </c>
      <c r="AL6363">
        <v>3299.49</v>
      </c>
      <c r="AM6363">
        <v>0</v>
      </c>
      <c r="AN6363">
        <v>0</v>
      </c>
      <c r="AO6363">
        <v>150000</v>
      </c>
      <c r="AP6363">
        <v>1024</v>
      </c>
      <c r="AQ6363">
        <v>3753.07</v>
      </c>
      <c r="AR6363">
        <v>0</v>
      </c>
      <c r="AS6363">
        <v>0</v>
      </c>
      <c r="AT6363">
        <v>100000</v>
      </c>
    </row>
    <row r="6364" spans="1:52" x14ac:dyDescent="0.3">
      <c r="A6364" t="s">
        <v>34</v>
      </c>
      <c r="B6364">
        <v>1879</v>
      </c>
      <c r="C6364">
        <v>2989.21</v>
      </c>
      <c r="D6364">
        <v>0</v>
      </c>
      <c r="E6364">
        <v>0</v>
      </c>
      <c r="F6364">
        <v>180000</v>
      </c>
      <c r="G6364">
        <v>1852</v>
      </c>
      <c r="H6364">
        <v>708.43</v>
      </c>
      <c r="I6364">
        <v>0</v>
      </c>
      <c r="J6364">
        <v>0</v>
      </c>
      <c r="K6364">
        <v>60000</v>
      </c>
      <c r="L6364">
        <v>1964</v>
      </c>
      <c r="M6364">
        <v>7073.8</v>
      </c>
      <c r="N6364">
        <v>3000</v>
      </c>
      <c r="O6364">
        <v>0</v>
      </c>
      <c r="P6364">
        <v>144000</v>
      </c>
      <c r="Q6364">
        <v>1832</v>
      </c>
      <c r="R6364">
        <v>3131.05</v>
      </c>
      <c r="S6364">
        <v>1000</v>
      </c>
      <c r="T6364">
        <v>0</v>
      </c>
      <c r="U6364">
        <v>100000</v>
      </c>
      <c r="V6364">
        <v>1837</v>
      </c>
      <c r="W6364">
        <v>1302.22</v>
      </c>
      <c r="X6364">
        <v>0</v>
      </c>
      <c r="Y6364">
        <v>0</v>
      </c>
      <c r="Z6364">
        <v>84000</v>
      </c>
      <c r="AA6364">
        <v>1876</v>
      </c>
      <c r="AB6364">
        <v>2557.42</v>
      </c>
      <c r="AC6364">
        <v>0</v>
      </c>
      <c r="AD6364">
        <v>0</v>
      </c>
      <c r="AE6364">
        <v>200000</v>
      </c>
      <c r="AF6364">
        <v>1828</v>
      </c>
      <c r="AG6364">
        <v>1357.51</v>
      </c>
      <c r="AH6364">
        <v>0</v>
      </c>
      <c r="AI6364">
        <v>0</v>
      </c>
      <c r="AJ6364">
        <v>100000</v>
      </c>
      <c r="AK6364">
        <v>1522</v>
      </c>
      <c r="AL6364">
        <v>2913.91</v>
      </c>
      <c r="AM6364">
        <v>0</v>
      </c>
      <c r="AN6364">
        <v>0</v>
      </c>
      <c r="AO6364">
        <v>115000</v>
      </c>
      <c r="AP6364">
        <v>1676</v>
      </c>
      <c r="AQ6364">
        <v>1811.45</v>
      </c>
      <c r="AR6364">
        <v>0</v>
      </c>
      <c r="AS6364">
        <v>0</v>
      </c>
      <c r="AT6364">
        <v>100000</v>
      </c>
    </row>
    <row r="6365" spans="1:52" x14ac:dyDescent="0.3">
      <c r="A6365" t="s">
        <v>33</v>
      </c>
      <c r="B6365">
        <v>1662</v>
      </c>
      <c r="C6365">
        <v>3819.32</v>
      </c>
      <c r="D6365">
        <v>400</v>
      </c>
      <c r="E6365">
        <v>0</v>
      </c>
      <c r="F6365">
        <v>100000</v>
      </c>
      <c r="G6365">
        <v>1576</v>
      </c>
      <c r="H6365">
        <v>848.77</v>
      </c>
      <c r="I6365">
        <v>0</v>
      </c>
      <c r="J6365">
        <v>0</v>
      </c>
      <c r="K6365">
        <v>50000</v>
      </c>
      <c r="L6365">
        <v>1817</v>
      </c>
      <c r="M6365">
        <v>7347</v>
      </c>
      <c r="N6365">
        <v>2000</v>
      </c>
      <c r="O6365">
        <v>0</v>
      </c>
      <c r="P6365">
        <v>3500000</v>
      </c>
      <c r="Q6365">
        <v>1730</v>
      </c>
      <c r="R6365">
        <v>3397.6</v>
      </c>
      <c r="S6365">
        <v>2000</v>
      </c>
      <c r="T6365">
        <v>0</v>
      </c>
      <c r="U6365">
        <v>50000</v>
      </c>
      <c r="V6365">
        <v>1626</v>
      </c>
      <c r="W6365">
        <v>849.15</v>
      </c>
      <c r="X6365">
        <v>0</v>
      </c>
      <c r="Y6365">
        <v>0</v>
      </c>
      <c r="Z6365">
        <v>30000</v>
      </c>
      <c r="AA6365">
        <v>1532</v>
      </c>
      <c r="AB6365">
        <v>477.18</v>
      </c>
      <c r="AC6365">
        <v>0</v>
      </c>
      <c r="AD6365">
        <v>0</v>
      </c>
      <c r="AE6365">
        <v>90000</v>
      </c>
      <c r="AF6365">
        <v>1542</v>
      </c>
      <c r="AG6365">
        <v>1056.99</v>
      </c>
      <c r="AH6365">
        <v>0</v>
      </c>
      <c r="AI6365">
        <v>0</v>
      </c>
      <c r="AJ6365">
        <v>100000</v>
      </c>
      <c r="AK6365">
        <v>1345</v>
      </c>
      <c r="AL6365">
        <v>2588.65</v>
      </c>
      <c r="AM6365">
        <v>0</v>
      </c>
      <c r="AN6365">
        <v>0</v>
      </c>
      <c r="AO6365">
        <v>150000</v>
      </c>
      <c r="AP6365">
        <v>1447</v>
      </c>
      <c r="AQ6365">
        <v>1478.54</v>
      </c>
      <c r="AR6365">
        <v>0</v>
      </c>
      <c r="AS6365">
        <v>0</v>
      </c>
      <c r="AT6365">
        <v>80000</v>
      </c>
    </row>
    <row r="6366" spans="1:52" x14ac:dyDescent="0.3">
      <c r="A6366" t="s">
        <v>49</v>
      </c>
      <c r="B6366">
        <v>10041</v>
      </c>
      <c r="C6366">
        <v>3848.07</v>
      </c>
      <c r="D6366">
        <v>0</v>
      </c>
      <c r="E6366">
        <v>0</v>
      </c>
      <c r="F6366">
        <v>200000</v>
      </c>
      <c r="G6366">
        <v>9648</v>
      </c>
      <c r="H6366">
        <v>886.87</v>
      </c>
      <c r="I6366">
        <v>0</v>
      </c>
      <c r="J6366">
        <v>0</v>
      </c>
      <c r="K6366">
        <v>100000</v>
      </c>
      <c r="L6366">
        <v>12145</v>
      </c>
      <c r="M6366">
        <v>6094.91</v>
      </c>
      <c r="N6366">
        <v>3000</v>
      </c>
      <c r="O6366">
        <v>0</v>
      </c>
      <c r="P6366">
        <v>3500000</v>
      </c>
      <c r="Q6366">
        <v>10797</v>
      </c>
      <c r="R6366">
        <v>3908.69</v>
      </c>
      <c r="S6366">
        <v>2000</v>
      </c>
      <c r="T6366">
        <v>0</v>
      </c>
      <c r="U6366">
        <v>100000</v>
      </c>
      <c r="V6366">
        <v>9700</v>
      </c>
      <c r="W6366">
        <v>1576.65</v>
      </c>
      <c r="X6366">
        <v>0</v>
      </c>
      <c r="Y6366">
        <v>0</v>
      </c>
      <c r="Z6366">
        <v>100000</v>
      </c>
      <c r="AA6366">
        <v>9167</v>
      </c>
      <c r="AB6366">
        <v>1528.76</v>
      </c>
      <c r="AC6366">
        <v>0</v>
      </c>
      <c r="AD6366">
        <v>0</v>
      </c>
      <c r="AE6366">
        <v>200000</v>
      </c>
      <c r="AF6366">
        <v>8789</v>
      </c>
      <c r="AG6366">
        <v>1617.11</v>
      </c>
      <c r="AH6366">
        <v>0</v>
      </c>
      <c r="AI6366">
        <v>0</v>
      </c>
      <c r="AJ6366">
        <v>100000</v>
      </c>
      <c r="AK6366">
        <v>7724</v>
      </c>
      <c r="AL6366">
        <v>3568.6</v>
      </c>
      <c r="AM6366">
        <v>0</v>
      </c>
      <c r="AN6366">
        <v>0</v>
      </c>
      <c r="AO6366">
        <v>300000</v>
      </c>
      <c r="AP6366">
        <v>8271</v>
      </c>
      <c r="AQ6366">
        <v>1481.71</v>
      </c>
      <c r="AR6366">
        <v>0</v>
      </c>
      <c r="AS6366">
        <v>0</v>
      </c>
      <c r="AT6366">
        <v>100000</v>
      </c>
    </row>
    <row r="6368" spans="1:52" x14ac:dyDescent="0.3">
      <c r="A6368" t="s">
        <v>2094</v>
      </c>
    </row>
    <row r="6369" spans="1:47" x14ac:dyDescent="0.3">
      <c r="A6369" t="s">
        <v>44</v>
      </c>
      <c r="B6369" t="s">
        <v>235</v>
      </c>
      <c r="C6369" t="s">
        <v>2049</v>
      </c>
      <c r="D6369" t="s">
        <v>2050</v>
      </c>
      <c r="E6369" t="s">
        <v>2051</v>
      </c>
      <c r="F6369" t="s">
        <v>2052</v>
      </c>
      <c r="G6369" t="s">
        <v>2053</v>
      </c>
      <c r="H6369" t="s">
        <v>2054</v>
      </c>
      <c r="I6369" t="s">
        <v>2055</v>
      </c>
      <c r="J6369" t="s">
        <v>2056</v>
      </c>
      <c r="K6369" t="s">
        <v>2057</v>
      </c>
      <c r="L6369" t="s">
        <v>2058</v>
      </c>
      <c r="M6369" t="s">
        <v>2059</v>
      </c>
      <c r="N6369" t="s">
        <v>2060</v>
      </c>
      <c r="O6369" t="s">
        <v>2061</v>
      </c>
      <c r="P6369" t="s">
        <v>2062</v>
      </c>
      <c r="Q6369" t="s">
        <v>2063</v>
      </c>
      <c r="R6369" t="s">
        <v>2064</v>
      </c>
      <c r="S6369" t="s">
        <v>2065</v>
      </c>
      <c r="T6369" t="s">
        <v>2066</v>
      </c>
      <c r="U6369" t="s">
        <v>2067</v>
      </c>
      <c r="V6369" t="s">
        <v>2068</v>
      </c>
      <c r="W6369" t="s">
        <v>2069</v>
      </c>
      <c r="X6369" t="s">
        <v>2070</v>
      </c>
      <c r="Y6369" t="s">
        <v>2071</v>
      </c>
      <c r="Z6369" t="s">
        <v>2072</v>
      </c>
      <c r="AA6369" t="s">
        <v>2073</v>
      </c>
      <c r="AB6369" t="s">
        <v>2074</v>
      </c>
      <c r="AC6369" t="s">
        <v>2075</v>
      </c>
      <c r="AD6369" t="s">
        <v>2076</v>
      </c>
      <c r="AE6369" t="s">
        <v>2077</v>
      </c>
      <c r="AF6369" t="s">
        <v>2078</v>
      </c>
      <c r="AG6369" t="s">
        <v>2079</v>
      </c>
      <c r="AH6369" t="s">
        <v>2080</v>
      </c>
      <c r="AI6369" t="s">
        <v>2081</v>
      </c>
      <c r="AJ6369" t="s">
        <v>2082</v>
      </c>
      <c r="AK6369" t="s">
        <v>2083</v>
      </c>
      <c r="AL6369" t="s">
        <v>2084</v>
      </c>
      <c r="AM6369" t="s">
        <v>2085</v>
      </c>
      <c r="AN6369" t="s">
        <v>2086</v>
      </c>
      <c r="AO6369" t="s">
        <v>2087</v>
      </c>
      <c r="AP6369" t="s">
        <v>2088</v>
      </c>
      <c r="AQ6369" t="s">
        <v>2089</v>
      </c>
      <c r="AR6369" t="s">
        <v>2090</v>
      </c>
      <c r="AS6369" t="s">
        <v>2091</v>
      </c>
      <c r="AT6369" t="s">
        <v>2092</v>
      </c>
      <c r="AU6369" t="s">
        <v>2093</v>
      </c>
    </row>
    <row r="6370" spans="1:47" x14ac:dyDescent="0.3">
      <c r="A6370" t="s">
        <v>35</v>
      </c>
      <c r="B6370" t="s">
        <v>236</v>
      </c>
      <c r="C6370">
        <v>1226</v>
      </c>
      <c r="D6370">
        <v>4358</v>
      </c>
      <c r="E6370">
        <v>0</v>
      </c>
      <c r="F6370">
        <v>0</v>
      </c>
      <c r="G6370">
        <v>200000</v>
      </c>
      <c r="H6370">
        <v>1172</v>
      </c>
      <c r="I6370">
        <v>871.42</v>
      </c>
      <c r="J6370">
        <v>0</v>
      </c>
      <c r="K6370">
        <v>0</v>
      </c>
      <c r="L6370">
        <v>50000</v>
      </c>
      <c r="M6370">
        <v>1475</v>
      </c>
      <c r="N6370">
        <v>5854.75</v>
      </c>
      <c r="O6370">
        <v>3000</v>
      </c>
      <c r="P6370">
        <v>0</v>
      </c>
      <c r="Q6370">
        <v>100000</v>
      </c>
      <c r="R6370">
        <v>1253</v>
      </c>
      <c r="S6370">
        <v>3208.98</v>
      </c>
      <c r="T6370">
        <v>2000</v>
      </c>
      <c r="U6370">
        <v>0</v>
      </c>
      <c r="V6370">
        <v>100000</v>
      </c>
      <c r="W6370">
        <v>1214</v>
      </c>
      <c r="X6370">
        <v>1435.2</v>
      </c>
      <c r="Y6370">
        <v>0</v>
      </c>
      <c r="Z6370">
        <v>0</v>
      </c>
      <c r="AA6370">
        <v>72000</v>
      </c>
      <c r="AB6370">
        <v>1124</v>
      </c>
      <c r="AC6370">
        <v>1636.14</v>
      </c>
      <c r="AD6370">
        <v>0</v>
      </c>
      <c r="AE6370">
        <v>0</v>
      </c>
      <c r="AF6370">
        <v>100000</v>
      </c>
      <c r="AG6370">
        <v>1039</v>
      </c>
      <c r="AH6370">
        <v>1221.3399999999999</v>
      </c>
      <c r="AI6370">
        <v>0</v>
      </c>
      <c r="AJ6370">
        <v>0</v>
      </c>
      <c r="AK6370">
        <v>100000</v>
      </c>
      <c r="AL6370">
        <v>897</v>
      </c>
      <c r="AM6370">
        <v>3224.81</v>
      </c>
      <c r="AN6370">
        <v>0</v>
      </c>
      <c r="AO6370">
        <v>0</v>
      </c>
      <c r="AP6370">
        <v>200000</v>
      </c>
      <c r="AQ6370">
        <v>938</v>
      </c>
      <c r="AR6370">
        <v>1870.81</v>
      </c>
      <c r="AS6370">
        <v>0</v>
      </c>
      <c r="AT6370">
        <v>0</v>
      </c>
      <c r="AU6370">
        <v>60000</v>
      </c>
    </row>
    <row r="6371" spans="1:47" x14ac:dyDescent="0.3">
      <c r="A6371" t="s">
        <v>35</v>
      </c>
      <c r="B6371" t="s">
        <v>238</v>
      </c>
      <c r="C6371">
        <v>1128</v>
      </c>
      <c r="D6371">
        <v>2495.1799999999998</v>
      </c>
      <c r="E6371">
        <v>0</v>
      </c>
      <c r="F6371">
        <v>0</v>
      </c>
      <c r="G6371">
        <v>108000</v>
      </c>
      <c r="H6371">
        <v>1099</v>
      </c>
      <c r="I6371">
        <v>787.59</v>
      </c>
      <c r="J6371">
        <v>0</v>
      </c>
      <c r="K6371">
        <v>0</v>
      </c>
      <c r="L6371">
        <v>100000</v>
      </c>
      <c r="M6371">
        <v>1368</v>
      </c>
      <c r="N6371">
        <v>5309.61</v>
      </c>
      <c r="O6371">
        <v>3000</v>
      </c>
      <c r="P6371">
        <v>0</v>
      </c>
      <c r="Q6371">
        <v>100000</v>
      </c>
      <c r="R6371">
        <v>1235</v>
      </c>
      <c r="S6371">
        <v>5034.6899999999996</v>
      </c>
      <c r="T6371">
        <v>2000</v>
      </c>
      <c r="U6371">
        <v>0</v>
      </c>
      <c r="V6371">
        <v>80000</v>
      </c>
      <c r="W6371">
        <v>1160</v>
      </c>
      <c r="X6371">
        <v>2472.75</v>
      </c>
      <c r="Y6371">
        <v>0</v>
      </c>
      <c r="Z6371">
        <v>0</v>
      </c>
      <c r="AA6371">
        <v>100000</v>
      </c>
      <c r="AB6371">
        <v>1080</v>
      </c>
      <c r="AC6371">
        <v>1991.28</v>
      </c>
      <c r="AD6371">
        <v>0</v>
      </c>
      <c r="AE6371">
        <v>0</v>
      </c>
      <c r="AF6371">
        <v>100000</v>
      </c>
      <c r="AG6371">
        <v>967</v>
      </c>
      <c r="AH6371">
        <v>2580.3000000000002</v>
      </c>
      <c r="AI6371">
        <v>0</v>
      </c>
      <c r="AJ6371">
        <v>0</v>
      </c>
      <c r="AK6371">
        <v>100000</v>
      </c>
      <c r="AL6371">
        <v>787</v>
      </c>
      <c r="AM6371">
        <v>3404.34</v>
      </c>
      <c r="AN6371">
        <v>0</v>
      </c>
      <c r="AO6371">
        <v>0</v>
      </c>
      <c r="AP6371">
        <v>200000</v>
      </c>
      <c r="AQ6371">
        <v>866</v>
      </c>
      <c r="AR6371">
        <v>886.08</v>
      </c>
      <c r="AS6371">
        <v>0</v>
      </c>
      <c r="AT6371">
        <v>0</v>
      </c>
      <c r="AU6371">
        <v>100000</v>
      </c>
    </row>
    <row r="6372" spans="1:47" x14ac:dyDescent="0.3">
      <c r="A6372" t="s">
        <v>37</v>
      </c>
      <c r="B6372" t="s">
        <v>236</v>
      </c>
      <c r="C6372">
        <v>1666</v>
      </c>
      <c r="D6372">
        <v>5456.45</v>
      </c>
      <c r="E6372">
        <v>450</v>
      </c>
      <c r="F6372">
        <v>0</v>
      </c>
      <c r="G6372">
        <v>130000</v>
      </c>
      <c r="H6372">
        <v>1560</v>
      </c>
      <c r="I6372">
        <v>720.16</v>
      </c>
      <c r="J6372">
        <v>0</v>
      </c>
      <c r="K6372">
        <v>0</v>
      </c>
      <c r="L6372">
        <v>50000</v>
      </c>
      <c r="M6372">
        <v>2083</v>
      </c>
      <c r="N6372">
        <v>5062.74</v>
      </c>
      <c r="O6372">
        <v>2500</v>
      </c>
      <c r="P6372">
        <v>0</v>
      </c>
      <c r="Q6372">
        <v>200000</v>
      </c>
      <c r="R6372">
        <v>1773</v>
      </c>
      <c r="S6372">
        <v>3348.51</v>
      </c>
      <c r="T6372">
        <v>2000</v>
      </c>
      <c r="U6372">
        <v>0</v>
      </c>
      <c r="V6372">
        <v>60000</v>
      </c>
      <c r="W6372">
        <v>1558</v>
      </c>
      <c r="X6372">
        <v>1180.17</v>
      </c>
      <c r="Y6372">
        <v>0</v>
      </c>
      <c r="Z6372">
        <v>0</v>
      </c>
      <c r="AA6372">
        <v>50000</v>
      </c>
      <c r="AB6372">
        <v>1423</v>
      </c>
      <c r="AC6372">
        <v>388.3</v>
      </c>
      <c r="AD6372">
        <v>0</v>
      </c>
      <c r="AE6372">
        <v>0</v>
      </c>
      <c r="AF6372">
        <v>60000</v>
      </c>
      <c r="AG6372">
        <v>1395</v>
      </c>
      <c r="AH6372">
        <v>906.89</v>
      </c>
      <c r="AI6372">
        <v>0</v>
      </c>
      <c r="AJ6372">
        <v>0</v>
      </c>
      <c r="AK6372">
        <v>90000</v>
      </c>
      <c r="AL6372">
        <v>1277</v>
      </c>
      <c r="AM6372">
        <v>4157.92</v>
      </c>
      <c r="AN6372">
        <v>0</v>
      </c>
      <c r="AO6372">
        <v>0</v>
      </c>
      <c r="AP6372">
        <v>300000</v>
      </c>
      <c r="AQ6372">
        <v>1381</v>
      </c>
      <c r="AR6372">
        <v>1189.3800000000001</v>
      </c>
      <c r="AS6372">
        <v>0</v>
      </c>
      <c r="AT6372">
        <v>0</v>
      </c>
      <c r="AU6372">
        <v>100000</v>
      </c>
    </row>
    <row r="6373" spans="1:47" x14ac:dyDescent="0.3">
      <c r="A6373" t="s">
        <v>37</v>
      </c>
      <c r="B6373" t="s">
        <v>238</v>
      </c>
      <c r="C6373">
        <v>1180</v>
      </c>
      <c r="D6373">
        <v>4478.08</v>
      </c>
      <c r="E6373">
        <v>0</v>
      </c>
      <c r="F6373">
        <v>0</v>
      </c>
      <c r="G6373">
        <v>100000</v>
      </c>
      <c r="H6373">
        <v>1189</v>
      </c>
      <c r="I6373">
        <v>1446.64</v>
      </c>
      <c r="J6373">
        <v>300</v>
      </c>
      <c r="K6373">
        <v>0</v>
      </c>
      <c r="L6373">
        <v>100000</v>
      </c>
      <c r="M6373">
        <v>1531</v>
      </c>
      <c r="N6373">
        <v>5207.84</v>
      </c>
      <c r="O6373">
        <v>2000</v>
      </c>
      <c r="P6373">
        <v>0</v>
      </c>
      <c r="Q6373">
        <v>150000</v>
      </c>
      <c r="R6373">
        <v>1354</v>
      </c>
      <c r="S6373">
        <v>4827.3999999999996</v>
      </c>
      <c r="T6373">
        <v>3000</v>
      </c>
      <c r="U6373">
        <v>0</v>
      </c>
      <c r="V6373">
        <v>50000</v>
      </c>
      <c r="W6373">
        <v>1195</v>
      </c>
      <c r="X6373">
        <v>1675.23</v>
      </c>
      <c r="Y6373">
        <v>0</v>
      </c>
      <c r="Z6373">
        <v>0</v>
      </c>
      <c r="AA6373">
        <v>50000</v>
      </c>
      <c r="AB6373">
        <v>1067</v>
      </c>
      <c r="AC6373">
        <v>592.34</v>
      </c>
      <c r="AD6373">
        <v>0</v>
      </c>
      <c r="AE6373">
        <v>0</v>
      </c>
      <c r="AF6373">
        <v>100000</v>
      </c>
      <c r="AG6373">
        <v>1025</v>
      </c>
      <c r="AH6373">
        <v>2166.5100000000002</v>
      </c>
      <c r="AI6373">
        <v>0</v>
      </c>
      <c r="AJ6373">
        <v>0</v>
      </c>
      <c r="AK6373">
        <v>100000</v>
      </c>
      <c r="AL6373">
        <v>908</v>
      </c>
      <c r="AM6373">
        <v>6061.86</v>
      </c>
      <c r="AN6373">
        <v>0</v>
      </c>
      <c r="AO6373">
        <v>0</v>
      </c>
      <c r="AP6373">
        <v>300000</v>
      </c>
      <c r="AQ6373">
        <v>939</v>
      </c>
      <c r="AR6373">
        <v>1135.3699999999999</v>
      </c>
      <c r="AS6373">
        <v>0</v>
      </c>
      <c r="AT6373">
        <v>0</v>
      </c>
      <c r="AU6373">
        <v>70000</v>
      </c>
    </row>
    <row r="6374" spans="1:47" x14ac:dyDescent="0.3">
      <c r="A6374" t="s">
        <v>36</v>
      </c>
      <c r="B6374" t="s">
        <v>236</v>
      </c>
      <c r="C6374">
        <v>900</v>
      </c>
      <c r="D6374">
        <v>4155.6400000000003</v>
      </c>
      <c r="E6374">
        <v>1000</v>
      </c>
      <c r="F6374">
        <v>0</v>
      </c>
      <c r="G6374">
        <v>140000</v>
      </c>
      <c r="H6374">
        <v>802</v>
      </c>
      <c r="I6374">
        <v>1211.57</v>
      </c>
      <c r="J6374">
        <v>300</v>
      </c>
      <c r="K6374">
        <v>0</v>
      </c>
      <c r="L6374">
        <v>100000</v>
      </c>
      <c r="M6374">
        <v>1293</v>
      </c>
      <c r="N6374">
        <v>6998.73</v>
      </c>
      <c r="O6374">
        <v>3000</v>
      </c>
      <c r="P6374">
        <v>0</v>
      </c>
      <c r="Q6374">
        <v>300000</v>
      </c>
      <c r="R6374">
        <v>1070</v>
      </c>
      <c r="S6374">
        <v>3478.13</v>
      </c>
      <c r="T6374">
        <v>2000</v>
      </c>
      <c r="U6374">
        <v>0</v>
      </c>
      <c r="V6374">
        <v>40000</v>
      </c>
      <c r="W6374">
        <v>750</v>
      </c>
      <c r="X6374">
        <v>2106.77</v>
      </c>
      <c r="Y6374">
        <v>0</v>
      </c>
      <c r="Z6374">
        <v>0</v>
      </c>
      <c r="AA6374">
        <v>50000</v>
      </c>
      <c r="AB6374">
        <v>714</v>
      </c>
      <c r="AC6374">
        <v>2204.06</v>
      </c>
      <c r="AD6374">
        <v>0</v>
      </c>
      <c r="AE6374">
        <v>0</v>
      </c>
      <c r="AF6374">
        <v>100000</v>
      </c>
      <c r="AG6374">
        <v>663</v>
      </c>
      <c r="AH6374">
        <v>1739.48</v>
      </c>
      <c r="AI6374">
        <v>0</v>
      </c>
      <c r="AJ6374">
        <v>0</v>
      </c>
      <c r="AK6374">
        <v>70000</v>
      </c>
      <c r="AL6374">
        <v>672</v>
      </c>
      <c r="AM6374">
        <v>2542.91</v>
      </c>
      <c r="AN6374">
        <v>0</v>
      </c>
      <c r="AO6374">
        <v>0</v>
      </c>
      <c r="AP6374">
        <v>150000</v>
      </c>
      <c r="AQ6374">
        <v>695</v>
      </c>
      <c r="AR6374">
        <v>2652.49</v>
      </c>
      <c r="AS6374">
        <v>0</v>
      </c>
      <c r="AT6374">
        <v>0</v>
      </c>
      <c r="AU6374">
        <v>100000</v>
      </c>
    </row>
    <row r="6375" spans="1:47" x14ac:dyDescent="0.3">
      <c r="A6375" t="s">
        <v>36</v>
      </c>
      <c r="B6375" t="s">
        <v>238</v>
      </c>
      <c r="C6375">
        <v>400</v>
      </c>
      <c r="D6375">
        <v>8444.2900000000009</v>
      </c>
      <c r="E6375">
        <v>1000</v>
      </c>
      <c r="F6375">
        <v>0</v>
      </c>
      <c r="G6375">
        <v>200000</v>
      </c>
      <c r="H6375">
        <v>398</v>
      </c>
      <c r="I6375">
        <v>1561.45</v>
      </c>
      <c r="J6375">
        <v>700</v>
      </c>
      <c r="K6375">
        <v>0</v>
      </c>
      <c r="L6375">
        <v>23000</v>
      </c>
      <c r="M6375">
        <v>614</v>
      </c>
      <c r="N6375">
        <v>6849.32</v>
      </c>
      <c r="O6375">
        <v>3000</v>
      </c>
      <c r="P6375">
        <v>0</v>
      </c>
      <c r="Q6375">
        <v>100000</v>
      </c>
      <c r="R6375">
        <v>550</v>
      </c>
      <c r="S6375">
        <v>4995.6099999999997</v>
      </c>
      <c r="T6375">
        <v>3000</v>
      </c>
      <c r="U6375">
        <v>0</v>
      </c>
      <c r="V6375">
        <v>50000</v>
      </c>
      <c r="W6375">
        <v>360</v>
      </c>
      <c r="X6375">
        <v>2776.64</v>
      </c>
      <c r="Y6375">
        <v>150</v>
      </c>
      <c r="Z6375">
        <v>0</v>
      </c>
      <c r="AA6375">
        <v>40000</v>
      </c>
      <c r="AB6375">
        <v>351</v>
      </c>
      <c r="AC6375">
        <v>5266.88</v>
      </c>
      <c r="AD6375">
        <v>0</v>
      </c>
      <c r="AE6375">
        <v>0</v>
      </c>
      <c r="AF6375">
        <v>100000</v>
      </c>
      <c r="AG6375">
        <v>330</v>
      </c>
      <c r="AH6375">
        <v>3537.59</v>
      </c>
      <c r="AI6375">
        <v>0</v>
      </c>
      <c r="AJ6375">
        <v>0</v>
      </c>
      <c r="AK6375">
        <v>100000</v>
      </c>
      <c r="AL6375">
        <v>316</v>
      </c>
      <c r="AM6375">
        <v>4137.09</v>
      </c>
      <c r="AN6375">
        <v>0</v>
      </c>
      <c r="AO6375">
        <v>0</v>
      </c>
      <c r="AP6375">
        <v>100000</v>
      </c>
      <c r="AQ6375">
        <v>329</v>
      </c>
      <c r="AR6375">
        <v>4815.05</v>
      </c>
      <c r="AS6375">
        <v>0</v>
      </c>
      <c r="AT6375">
        <v>0</v>
      </c>
      <c r="AU6375">
        <v>100000</v>
      </c>
    </row>
    <row r="6376" spans="1:47" x14ac:dyDescent="0.3">
      <c r="A6376" t="s">
        <v>34</v>
      </c>
      <c r="B6376" t="s">
        <v>236</v>
      </c>
      <c r="C6376">
        <v>678</v>
      </c>
      <c r="D6376">
        <v>3715.19</v>
      </c>
      <c r="E6376">
        <v>0</v>
      </c>
      <c r="F6376">
        <v>0</v>
      </c>
      <c r="G6376">
        <v>100000</v>
      </c>
      <c r="H6376">
        <v>664</v>
      </c>
      <c r="I6376">
        <v>845.21</v>
      </c>
      <c r="J6376">
        <v>0</v>
      </c>
      <c r="K6376">
        <v>0</v>
      </c>
      <c r="L6376">
        <v>25000</v>
      </c>
      <c r="M6376">
        <v>688</v>
      </c>
      <c r="N6376">
        <v>7355.25</v>
      </c>
      <c r="O6376">
        <v>3000</v>
      </c>
      <c r="P6376">
        <v>0</v>
      </c>
      <c r="Q6376">
        <v>144000</v>
      </c>
      <c r="R6376">
        <v>652</v>
      </c>
      <c r="S6376">
        <v>2624.16</v>
      </c>
      <c r="T6376">
        <v>700</v>
      </c>
      <c r="U6376">
        <v>0</v>
      </c>
      <c r="V6376">
        <v>40000</v>
      </c>
      <c r="W6376">
        <v>659</v>
      </c>
      <c r="X6376">
        <v>673.47</v>
      </c>
      <c r="Y6376">
        <v>0</v>
      </c>
      <c r="Z6376">
        <v>0</v>
      </c>
      <c r="AA6376">
        <v>25000</v>
      </c>
      <c r="AB6376">
        <v>660</v>
      </c>
      <c r="AC6376">
        <v>2174.19</v>
      </c>
      <c r="AD6376">
        <v>0</v>
      </c>
      <c r="AE6376">
        <v>0</v>
      </c>
      <c r="AF6376">
        <v>62000</v>
      </c>
      <c r="AG6376">
        <v>651</v>
      </c>
      <c r="AH6376">
        <v>1075.69</v>
      </c>
      <c r="AI6376">
        <v>0</v>
      </c>
      <c r="AJ6376">
        <v>0</v>
      </c>
      <c r="AK6376">
        <v>45000</v>
      </c>
      <c r="AL6376">
        <v>547</v>
      </c>
      <c r="AM6376">
        <v>2260.02</v>
      </c>
      <c r="AN6376">
        <v>0</v>
      </c>
      <c r="AO6376">
        <v>0</v>
      </c>
      <c r="AP6376">
        <v>60000</v>
      </c>
      <c r="AQ6376">
        <v>604</v>
      </c>
      <c r="AR6376">
        <v>2151.91</v>
      </c>
      <c r="AS6376">
        <v>0</v>
      </c>
      <c r="AT6376">
        <v>0</v>
      </c>
      <c r="AU6376">
        <v>60000</v>
      </c>
    </row>
    <row r="6377" spans="1:47" x14ac:dyDescent="0.3">
      <c r="A6377" t="s">
        <v>34</v>
      </c>
      <c r="B6377" t="s">
        <v>238</v>
      </c>
      <c r="C6377">
        <v>1201</v>
      </c>
      <c r="D6377">
        <v>2682.94</v>
      </c>
      <c r="E6377">
        <v>0</v>
      </c>
      <c r="F6377">
        <v>0</v>
      </c>
      <c r="G6377">
        <v>180000</v>
      </c>
      <c r="H6377">
        <v>1188</v>
      </c>
      <c r="I6377">
        <v>652.73</v>
      </c>
      <c r="J6377">
        <v>0</v>
      </c>
      <c r="K6377">
        <v>0</v>
      </c>
      <c r="L6377">
        <v>60000</v>
      </c>
      <c r="M6377">
        <v>1276</v>
      </c>
      <c r="N6377">
        <v>6950.91</v>
      </c>
      <c r="O6377">
        <v>3000</v>
      </c>
      <c r="P6377">
        <v>0</v>
      </c>
      <c r="Q6377">
        <v>100000</v>
      </c>
      <c r="R6377">
        <v>1180</v>
      </c>
      <c r="S6377">
        <v>3349.34</v>
      </c>
      <c r="T6377">
        <v>1000</v>
      </c>
      <c r="U6377">
        <v>0</v>
      </c>
      <c r="V6377">
        <v>100000</v>
      </c>
      <c r="W6377">
        <v>1178</v>
      </c>
      <c r="X6377">
        <v>1557.2</v>
      </c>
      <c r="Y6377">
        <v>0</v>
      </c>
      <c r="Z6377">
        <v>0</v>
      </c>
      <c r="AA6377">
        <v>84000</v>
      </c>
      <c r="AB6377">
        <v>1216</v>
      </c>
      <c r="AC6377">
        <v>2713.63</v>
      </c>
      <c r="AD6377">
        <v>0</v>
      </c>
      <c r="AE6377">
        <v>0</v>
      </c>
      <c r="AF6377">
        <v>200000</v>
      </c>
      <c r="AG6377">
        <v>1177</v>
      </c>
      <c r="AH6377">
        <v>1472</v>
      </c>
      <c r="AI6377">
        <v>0</v>
      </c>
      <c r="AJ6377">
        <v>0</v>
      </c>
      <c r="AK6377">
        <v>100000</v>
      </c>
      <c r="AL6377">
        <v>975</v>
      </c>
      <c r="AM6377">
        <v>3200.18</v>
      </c>
      <c r="AN6377">
        <v>0</v>
      </c>
      <c r="AO6377">
        <v>0</v>
      </c>
      <c r="AP6377">
        <v>115000</v>
      </c>
      <c r="AQ6377">
        <v>1072</v>
      </c>
      <c r="AR6377">
        <v>1664.72</v>
      </c>
      <c r="AS6377">
        <v>0</v>
      </c>
      <c r="AT6377">
        <v>0</v>
      </c>
      <c r="AU6377">
        <v>100000</v>
      </c>
    </row>
    <row r="6378" spans="1:47" x14ac:dyDescent="0.3">
      <c r="A6378" t="s">
        <v>33</v>
      </c>
      <c r="B6378" t="s">
        <v>236</v>
      </c>
      <c r="C6378">
        <v>970</v>
      </c>
      <c r="D6378">
        <v>3983.83</v>
      </c>
      <c r="E6378">
        <v>600</v>
      </c>
      <c r="F6378">
        <v>0</v>
      </c>
      <c r="G6378">
        <v>100000</v>
      </c>
      <c r="H6378">
        <v>925</v>
      </c>
      <c r="I6378">
        <v>787.64</v>
      </c>
      <c r="J6378">
        <v>0</v>
      </c>
      <c r="K6378">
        <v>0</v>
      </c>
      <c r="L6378">
        <v>50000</v>
      </c>
      <c r="M6378">
        <v>1043</v>
      </c>
      <c r="N6378">
        <v>4281.42</v>
      </c>
      <c r="O6378">
        <v>2000</v>
      </c>
      <c r="P6378">
        <v>0</v>
      </c>
      <c r="Q6378">
        <v>100000</v>
      </c>
      <c r="R6378">
        <v>989</v>
      </c>
      <c r="S6378">
        <v>2468.13</v>
      </c>
      <c r="T6378">
        <v>1000</v>
      </c>
      <c r="U6378">
        <v>0</v>
      </c>
      <c r="V6378">
        <v>30000</v>
      </c>
      <c r="W6378">
        <v>951</v>
      </c>
      <c r="X6378">
        <v>643.97</v>
      </c>
      <c r="Y6378">
        <v>0</v>
      </c>
      <c r="Z6378">
        <v>0</v>
      </c>
      <c r="AA6378">
        <v>30000</v>
      </c>
      <c r="AB6378">
        <v>899</v>
      </c>
      <c r="AC6378">
        <v>384.84</v>
      </c>
      <c r="AD6378">
        <v>0</v>
      </c>
      <c r="AE6378">
        <v>0</v>
      </c>
      <c r="AF6378">
        <v>50000</v>
      </c>
      <c r="AG6378">
        <v>912</v>
      </c>
      <c r="AH6378">
        <v>909.69</v>
      </c>
      <c r="AI6378">
        <v>0</v>
      </c>
      <c r="AJ6378">
        <v>0</v>
      </c>
      <c r="AK6378">
        <v>50000</v>
      </c>
      <c r="AL6378">
        <v>812</v>
      </c>
      <c r="AM6378">
        <v>1911.67</v>
      </c>
      <c r="AN6378">
        <v>0</v>
      </c>
      <c r="AO6378">
        <v>0</v>
      </c>
      <c r="AP6378">
        <v>150000</v>
      </c>
      <c r="AQ6378">
        <v>851</v>
      </c>
      <c r="AR6378">
        <v>1883.13</v>
      </c>
      <c r="AS6378">
        <v>0</v>
      </c>
      <c r="AT6378">
        <v>0</v>
      </c>
      <c r="AU6378">
        <v>80000</v>
      </c>
    </row>
    <row r="6379" spans="1:47" x14ac:dyDescent="0.3">
      <c r="A6379" t="s">
        <v>33</v>
      </c>
      <c r="B6379" t="s">
        <v>238</v>
      </c>
      <c r="C6379">
        <v>692</v>
      </c>
      <c r="D6379">
        <v>3647.23</v>
      </c>
      <c r="E6379">
        <v>0</v>
      </c>
      <c r="F6379">
        <v>0</v>
      </c>
      <c r="G6379">
        <v>100000</v>
      </c>
      <c r="H6379">
        <v>651</v>
      </c>
      <c r="I6379">
        <v>913.59</v>
      </c>
      <c r="J6379">
        <v>0</v>
      </c>
      <c r="K6379">
        <v>0</v>
      </c>
      <c r="L6379">
        <v>20000</v>
      </c>
      <c r="M6379">
        <v>774</v>
      </c>
      <c r="N6379">
        <v>10468.290000000001</v>
      </c>
      <c r="O6379">
        <v>2500</v>
      </c>
      <c r="P6379">
        <v>0</v>
      </c>
      <c r="Q6379">
        <v>3500000</v>
      </c>
      <c r="R6379">
        <v>741</v>
      </c>
      <c r="S6379">
        <v>4326.3999999999996</v>
      </c>
      <c r="T6379">
        <v>3000</v>
      </c>
      <c r="U6379">
        <v>0</v>
      </c>
      <c r="V6379">
        <v>50000</v>
      </c>
      <c r="W6379">
        <v>675</v>
      </c>
      <c r="X6379">
        <v>1064.8900000000001</v>
      </c>
      <c r="Y6379">
        <v>0</v>
      </c>
      <c r="Z6379">
        <v>0</v>
      </c>
      <c r="AA6379">
        <v>30000</v>
      </c>
      <c r="AB6379">
        <v>633</v>
      </c>
      <c r="AC6379">
        <v>574.82000000000005</v>
      </c>
      <c r="AD6379">
        <v>0</v>
      </c>
      <c r="AE6379">
        <v>0</v>
      </c>
      <c r="AF6379">
        <v>90000</v>
      </c>
      <c r="AG6379">
        <v>630</v>
      </c>
      <c r="AH6379">
        <v>1216.17</v>
      </c>
      <c r="AI6379">
        <v>0</v>
      </c>
      <c r="AJ6379">
        <v>0</v>
      </c>
      <c r="AK6379">
        <v>100000</v>
      </c>
      <c r="AL6379">
        <v>533</v>
      </c>
      <c r="AM6379">
        <v>3370.29</v>
      </c>
      <c r="AN6379">
        <v>0</v>
      </c>
      <c r="AO6379">
        <v>0</v>
      </c>
      <c r="AP6379">
        <v>100000</v>
      </c>
      <c r="AQ6379">
        <v>596</v>
      </c>
      <c r="AR6379">
        <v>1052.93</v>
      </c>
      <c r="AS6379">
        <v>0</v>
      </c>
      <c r="AT6379">
        <v>0</v>
      </c>
      <c r="AU6379">
        <v>30000</v>
      </c>
    </row>
    <row r="6380" spans="1:47" x14ac:dyDescent="0.3">
      <c r="A6380" t="s">
        <v>49</v>
      </c>
      <c r="B6380" t="s">
        <v>236</v>
      </c>
      <c r="C6380">
        <v>5440</v>
      </c>
      <c r="D6380">
        <v>4579.3</v>
      </c>
      <c r="E6380">
        <v>250</v>
      </c>
      <c r="F6380">
        <v>0</v>
      </c>
      <c r="G6380">
        <v>200000</v>
      </c>
      <c r="H6380">
        <v>5123</v>
      </c>
      <c r="I6380">
        <v>813.33</v>
      </c>
      <c r="J6380">
        <v>0</v>
      </c>
      <c r="K6380">
        <v>0</v>
      </c>
      <c r="L6380">
        <v>100000</v>
      </c>
      <c r="M6380">
        <v>6582</v>
      </c>
      <c r="N6380">
        <v>5541.15</v>
      </c>
      <c r="O6380">
        <v>3000</v>
      </c>
      <c r="P6380">
        <v>0</v>
      </c>
      <c r="Q6380">
        <v>300000</v>
      </c>
      <c r="R6380">
        <v>5737</v>
      </c>
      <c r="S6380">
        <v>3043.03</v>
      </c>
      <c r="T6380">
        <v>1500</v>
      </c>
      <c r="U6380">
        <v>0</v>
      </c>
      <c r="V6380">
        <v>100000</v>
      </c>
      <c r="W6380">
        <v>5132</v>
      </c>
      <c r="X6380">
        <v>1087.72</v>
      </c>
      <c r="Y6380">
        <v>0</v>
      </c>
      <c r="Z6380">
        <v>0</v>
      </c>
      <c r="AA6380">
        <v>72000</v>
      </c>
      <c r="AB6380">
        <v>4820</v>
      </c>
      <c r="AC6380">
        <v>1033.08</v>
      </c>
      <c r="AD6380">
        <v>0</v>
      </c>
      <c r="AE6380">
        <v>0</v>
      </c>
      <c r="AF6380">
        <v>100000</v>
      </c>
      <c r="AG6380">
        <v>4660</v>
      </c>
      <c r="AH6380">
        <v>1038.51</v>
      </c>
      <c r="AI6380">
        <v>0</v>
      </c>
      <c r="AJ6380">
        <v>0</v>
      </c>
      <c r="AK6380">
        <v>100000</v>
      </c>
      <c r="AL6380">
        <v>4205</v>
      </c>
      <c r="AM6380">
        <v>3086.93</v>
      </c>
      <c r="AN6380">
        <v>0</v>
      </c>
      <c r="AO6380">
        <v>0</v>
      </c>
      <c r="AP6380">
        <v>300000</v>
      </c>
      <c r="AQ6380">
        <v>4469</v>
      </c>
      <c r="AR6380">
        <v>1700.07</v>
      </c>
      <c r="AS6380">
        <v>0</v>
      </c>
      <c r="AT6380">
        <v>0</v>
      </c>
      <c r="AU6380">
        <v>100000</v>
      </c>
    </row>
    <row r="6381" spans="1:47" x14ac:dyDescent="0.3">
      <c r="A6381" t="s">
        <v>49</v>
      </c>
      <c r="B6381" t="s">
        <v>238</v>
      </c>
      <c r="C6381">
        <v>4601</v>
      </c>
      <c r="D6381">
        <v>3327.47</v>
      </c>
      <c r="E6381">
        <v>0</v>
      </c>
      <c r="F6381">
        <v>0</v>
      </c>
      <c r="G6381">
        <v>200000</v>
      </c>
      <c r="H6381">
        <v>4525</v>
      </c>
      <c r="I6381">
        <v>935.66</v>
      </c>
      <c r="J6381">
        <v>0</v>
      </c>
      <c r="K6381">
        <v>0</v>
      </c>
      <c r="L6381">
        <v>100000</v>
      </c>
      <c r="M6381">
        <v>5563</v>
      </c>
      <c r="N6381">
        <v>6494.2</v>
      </c>
      <c r="O6381">
        <v>3000</v>
      </c>
      <c r="P6381">
        <v>0</v>
      </c>
      <c r="Q6381">
        <v>3500000</v>
      </c>
      <c r="R6381">
        <v>5060</v>
      </c>
      <c r="S6381">
        <v>4502.57</v>
      </c>
      <c r="T6381">
        <v>2000</v>
      </c>
      <c r="U6381">
        <v>0</v>
      </c>
      <c r="V6381">
        <v>100000</v>
      </c>
      <c r="W6381">
        <v>4568</v>
      </c>
      <c r="X6381">
        <v>1905.04</v>
      </c>
      <c r="Y6381">
        <v>0</v>
      </c>
      <c r="Z6381">
        <v>0</v>
      </c>
      <c r="AA6381">
        <v>100000</v>
      </c>
      <c r="AB6381">
        <v>4347</v>
      </c>
      <c r="AC6381">
        <v>1854.86</v>
      </c>
      <c r="AD6381">
        <v>0</v>
      </c>
      <c r="AE6381">
        <v>0</v>
      </c>
      <c r="AF6381">
        <v>200000</v>
      </c>
      <c r="AG6381">
        <v>4129</v>
      </c>
      <c r="AH6381">
        <v>2018.27</v>
      </c>
      <c r="AI6381">
        <v>0</v>
      </c>
      <c r="AJ6381">
        <v>0</v>
      </c>
      <c r="AK6381">
        <v>100000</v>
      </c>
      <c r="AL6381">
        <v>3519</v>
      </c>
      <c r="AM6381">
        <v>3949.9</v>
      </c>
      <c r="AN6381">
        <v>0</v>
      </c>
      <c r="AO6381">
        <v>0</v>
      </c>
      <c r="AP6381">
        <v>300000</v>
      </c>
      <c r="AQ6381">
        <v>3802</v>
      </c>
      <c r="AR6381">
        <v>1323.87</v>
      </c>
      <c r="AS6381">
        <v>0</v>
      </c>
      <c r="AT6381">
        <v>0</v>
      </c>
      <c r="AU6381">
        <v>100000</v>
      </c>
    </row>
    <row r="6383" spans="1:47" x14ac:dyDescent="0.3">
      <c r="A6383" t="s">
        <v>2095</v>
      </c>
    </row>
    <row r="6384" spans="1:47" x14ac:dyDescent="0.3">
      <c r="A6384" t="s">
        <v>44</v>
      </c>
      <c r="B6384" t="s">
        <v>209</v>
      </c>
      <c r="C6384" t="s">
        <v>2049</v>
      </c>
      <c r="D6384" t="s">
        <v>2050</v>
      </c>
      <c r="E6384" t="s">
        <v>2051</v>
      </c>
      <c r="F6384" t="s">
        <v>2052</v>
      </c>
      <c r="G6384" t="s">
        <v>2053</v>
      </c>
      <c r="H6384" t="s">
        <v>2054</v>
      </c>
      <c r="I6384" t="s">
        <v>2055</v>
      </c>
      <c r="J6384" t="s">
        <v>2056</v>
      </c>
      <c r="K6384" t="s">
        <v>2057</v>
      </c>
      <c r="L6384" t="s">
        <v>2058</v>
      </c>
      <c r="M6384" t="s">
        <v>2059</v>
      </c>
      <c r="N6384" t="s">
        <v>2060</v>
      </c>
      <c r="O6384" t="s">
        <v>2061</v>
      </c>
      <c r="P6384" t="s">
        <v>2062</v>
      </c>
      <c r="Q6384" t="s">
        <v>2063</v>
      </c>
      <c r="R6384" t="s">
        <v>2064</v>
      </c>
      <c r="S6384" t="s">
        <v>2065</v>
      </c>
      <c r="T6384" t="s">
        <v>2066</v>
      </c>
      <c r="U6384" t="s">
        <v>2067</v>
      </c>
      <c r="V6384" t="s">
        <v>2068</v>
      </c>
      <c r="W6384" t="s">
        <v>2069</v>
      </c>
      <c r="X6384" t="s">
        <v>2070</v>
      </c>
      <c r="Y6384" t="s">
        <v>2071</v>
      </c>
      <c r="Z6384" t="s">
        <v>2072</v>
      </c>
      <c r="AA6384" t="s">
        <v>2073</v>
      </c>
      <c r="AB6384" t="s">
        <v>2074</v>
      </c>
      <c r="AC6384" t="s">
        <v>2075</v>
      </c>
      <c r="AD6384" t="s">
        <v>2076</v>
      </c>
      <c r="AE6384" t="s">
        <v>2077</v>
      </c>
      <c r="AF6384" t="s">
        <v>2078</v>
      </c>
      <c r="AG6384" t="s">
        <v>2079</v>
      </c>
      <c r="AH6384" t="s">
        <v>2080</v>
      </c>
      <c r="AI6384" t="s">
        <v>2081</v>
      </c>
      <c r="AJ6384" t="s">
        <v>2082</v>
      </c>
      <c r="AK6384" t="s">
        <v>2083</v>
      </c>
      <c r="AL6384" t="s">
        <v>2084</v>
      </c>
      <c r="AM6384" t="s">
        <v>2085</v>
      </c>
      <c r="AN6384" t="s">
        <v>2086</v>
      </c>
      <c r="AO6384" t="s">
        <v>2087</v>
      </c>
      <c r="AP6384" t="s">
        <v>2088</v>
      </c>
      <c r="AQ6384" t="s">
        <v>2089</v>
      </c>
      <c r="AR6384" t="s">
        <v>2090</v>
      </c>
      <c r="AS6384" t="s">
        <v>2091</v>
      </c>
      <c r="AT6384" t="s">
        <v>2092</v>
      </c>
      <c r="AU6384" t="s">
        <v>2093</v>
      </c>
    </row>
    <row r="6385" spans="1:47" x14ac:dyDescent="0.3">
      <c r="A6385" t="s">
        <v>35</v>
      </c>
      <c r="B6385" t="s">
        <v>210</v>
      </c>
      <c r="C6385">
        <v>101</v>
      </c>
      <c r="D6385">
        <v>2797.09</v>
      </c>
      <c r="E6385">
        <v>0</v>
      </c>
      <c r="F6385">
        <v>0</v>
      </c>
      <c r="G6385">
        <v>200000</v>
      </c>
      <c r="H6385">
        <v>112</v>
      </c>
      <c r="I6385">
        <v>1238.7</v>
      </c>
      <c r="J6385">
        <v>0</v>
      </c>
      <c r="K6385">
        <v>0</v>
      </c>
      <c r="L6385">
        <v>100000</v>
      </c>
      <c r="M6385">
        <v>124</v>
      </c>
      <c r="N6385">
        <v>4758.3100000000004</v>
      </c>
      <c r="O6385">
        <v>2000</v>
      </c>
      <c r="P6385">
        <v>0</v>
      </c>
      <c r="Q6385">
        <v>50000</v>
      </c>
      <c r="R6385">
        <v>119</v>
      </c>
      <c r="S6385">
        <v>3261.4</v>
      </c>
      <c r="T6385">
        <v>2000</v>
      </c>
      <c r="U6385">
        <v>0</v>
      </c>
      <c r="V6385">
        <v>50000</v>
      </c>
      <c r="W6385">
        <v>110</v>
      </c>
      <c r="X6385">
        <v>1551.8</v>
      </c>
      <c r="Y6385">
        <v>0</v>
      </c>
      <c r="Z6385">
        <v>0</v>
      </c>
      <c r="AA6385">
        <v>30000</v>
      </c>
      <c r="AB6385">
        <v>101</v>
      </c>
      <c r="AC6385">
        <v>1192.21</v>
      </c>
      <c r="AD6385">
        <v>0</v>
      </c>
      <c r="AE6385">
        <v>0</v>
      </c>
      <c r="AF6385">
        <v>30000</v>
      </c>
      <c r="AG6385">
        <v>86</v>
      </c>
      <c r="AH6385">
        <v>2426.91</v>
      </c>
      <c r="AI6385">
        <v>0</v>
      </c>
      <c r="AJ6385">
        <v>0</v>
      </c>
      <c r="AK6385">
        <v>100000</v>
      </c>
      <c r="AL6385">
        <v>71</v>
      </c>
      <c r="AM6385">
        <v>6713.84</v>
      </c>
      <c r="AN6385">
        <v>0</v>
      </c>
      <c r="AO6385">
        <v>0</v>
      </c>
      <c r="AP6385">
        <v>100000</v>
      </c>
      <c r="AQ6385">
        <v>81</v>
      </c>
      <c r="AR6385">
        <v>1263.27</v>
      </c>
      <c r="AS6385">
        <v>0</v>
      </c>
      <c r="AT6385">
        <v>0</v>
      </c>
      <c r="AU6385">
        <v>100000</v>
      </c>
    </row>
    <row r="6386" spans="1:47" x14ac:dyDescent="0.3">
      <c r="A6386" t="s">
        <v>35</v>
      </c>
      <c r="B6386" t="s">
        <v>212</v>
      </c>
      <c r="C6386">
        <v>1827</v>
      </c>
      <c r="D6386">
        <v>2799.72</v>
      </c>
      <c r="E6386">
        <v>0</v>
      </c>
      <c r="F6386">
        <v>0</v>
      </c>
      <c r="G6386">
        <v>108000</v>
      </c>
      <c r="H6386">
        <v>1740</v>
      </c>
      <c r="I6386">
        <v>589.80999999999995</v>
      </c>
      <c r="J6386">
        <v>0</v>
      </c>
      <c r="K6386">
        <v>0</v>
      </c>
      <c r="L6386">
        <v>50000</v>
      </c>
      <c r="M6386">
        <v>2205</v>
      </c>
      <c r="N6386">
        <v>5516.1</v>
      </c>
      <c r="O6386">
        <v>3000</v>
      </c>
      <c r="P6386">
        <v>0</v>
      </c>
      <c r="Q6386">
        <v>100000</v>
      </c>
      <c r="R6386">
        <v>1893</v>
      </c>
      <c r="S6386">
        <v>4049.41</v>
      </c>
      <c r="T6386">
        <v>1000</v>
      </c>
      <c r="U6386">
        <v>0</v>
      </c>
      <c r="V6386">
        <v>100000</v>
      </c>
      <c r="W6386">
        <v>1809</v>
      </c>
      <c r="X6386">
        <v>1463.58</v>
      </c>
      <c r="Y6386">
        <v>0</v>
      </c>
      <c r="Z6386">
        <v>0</v>
      </c>
      <c r="AA6386">
        <v>60000</v>
      </c>
      <c r="AB6386">
        <v>1705</v>
      </c>
      <c r="AC6386">
        <v>1554.41</v>
      </c>
      <c r="AD6386">
        <v>0</v>
      </c>
      <c r="AE6386">
        <v>0</v>
      </c>
      <c r="AF6386">
        <v>100000</v>
      </c>
      <c r="AG6386">
        <v>1571</v>
      </c>
      <c r="AH6386">
        <v>1602.59</v>
      </c>
      <c r="AI6386">
        <v>0</v>
      </c>
      <c r="AJ6386">
        <v>0</v>
      </c>
      <c r="AK6386">
        <v>100000</v>
      </c>
      <c r="AL6386">
        <v>1344</v>
      </c>
      <c r="AM6386">
        <v>3183.55</v>
      </c>
      <c r="AN6386">
        <v>0</v>
      </c>
      <c r="AO6386">
        <v>0</v>
      </c>
      <c r="AP6386">
        <v>200000</v>
      </c>
      <c r="AQ6386">
        <v>1400</v>
      </c>
      <c r="AR6386">
        <v>1207.69</v>
      </c>
      <c r="AS6386">
        <v>0</v>
      </c>
      <c r="AT6386">
        <v>0</v>
      </c>
      <c r="AU6386">
        <v>100000</v>
      </c>
    </row>
    <row r="6387" spans="1:47" x14ac:dyDescent="0.3">
      <c r="A6387" t="s">
        <v>35</v>
      </c>
      <c r="B6387" t="s">
        <v>216</v>
      </c>
      <c r="C6387">
        <v>426</v>
      </c>
      <c r="D6387">
        <v>3572.6</v>
      </c>
      <c r="E6387">
        <v>0</v>
      </c>
      <c r="F6387">
        <v>0</v>
      </c>
      <c r="G6387">
        <v>100000</v>
      </c>
      <c r="H6387">
        <v>419</v>
      </c>
      <c r="I6387">
        <v>1214.47</v>
      </c>
      <c r="J6387">
        <v>0</v>
      </c>
      <c r="K6387">
        <v>0</v>
      </c>
      <c r="L6387">
        <v>35000</v>
      </c>
      <c r="M6387">
        <v>514</v>
      </c>
      <c r="N6387">
        <v>5505.53</v>
      </c>
      <c r="O6387">
        <v>3000</v>
      </c>
      <c r="P6387">
        <v>0</v>
      </c>
      <c r="Q6387">
        <v>100000</v>
      </c>
      <c r="R6387">
        <v>476</v>
      </c>
      <c r="S6387">
        <v>5887.21</v>
      </c>
      <c r="T6387">
        <v>3000</v>
      </c>
      <c r="U6387">
        <v>0</v>
      </c>
      <c r="V6387">
        <v>60000</v>
      </c>
      <c r="W6387">
        <v>455</v>
      </c>
      <c r="X6387">
        <v>3971.7</v>
      </c>
      <c r="Y6387">
        <v>0</v>
      </c>
      <c r="Z6387">
        <v>0</v>
      </c>
      <c r="AA6387">
        <v>100000</v>
      </c>
      <c r="AB6387">
        <v>398</v>
      </c>
      <c r="AC6387">
        <v>2828.12</v>
      </c>
      <c r="AD6387">
        <v>0</v>
      </c>
      <c r="AE6387">
        <v>0</v>
      </c>
      <c r="AF6387">
        <v>100000</v>
      </c>
      <c r="AG6387">
        <v>349</v>
      </c>
      <c r="AH6387">
        <v>3616.79</v>
      </c>
      <c r="AI6387">
        <v>0</v>
      </c>
      <c r="AJ6387">
        <v>0</v>
      </c>
      <c r="AK6387">
        <v>100000</v>
      </c>
      <c r="AL6387">
        <v>269</v>
      </c>
      <c r="AM6387">
        <v>2964.8</v>
      </c>
      <c r="AN6387">
        <v>0</v>
      </c>
      <c r="AO6387">
        <v>0</v>
      </c>
      <c r="AP6387">
        <v>100000</v>
      </c>
      <c r="AQ6387">
        <v>323</v>
      </c>
      <c r="AR6387">
        <v>1012.72</v>
      </c>
      <c r="AS6387">
        <v>0</v>
      </c>
      <c r="AT6387">
        <v>0</v>
      </c>
      <c r="AU6387">
        <v>50000</v>
      </c>
    </row>
    <row r="6388" spans="1:47" x14ac:dyDescent="0.3">
      <c r="A6388" t="s">
        <v>37</v>
      </c>
      <c r="B6388" t="s">
        <v>210</v>
      </c>
      <c r="C6388">
        <v>97</v>
      </c>
      <c r="D6388">
        <v>2761.6</v>
      </c>
      <c r="E6388">
        <v>0</v>
      </c>
      <c r="F6388">
        <v>0</v>
      </c>
      <c r="G6388">
        <v>86000</v>
      </c>
      <c r="H6388">
        <v>94</v>
      </c>
      <c r="I6388">
        <v>1281.8900000000001</v>
      </c>
      <c r="J6388">
        <v>600</v>
      </c>
      <c r="K6388">
        <v>0</v>
      </c>
      <c r="L6388">
        <v>6000</v>
      </c>
      <c r="M6388">
        <v>128</v>
      </c>
      <c r="N6388">
        <v>4292.8500000000004</v>
      </c>
      <c r="O6388">
        <v>1800</v>
      </c>
      <c r="P6388">
        <v>0</v>
      </c>
      <c r="Q6388">
        <v>50000</v>
      </c>
      <c r="R6388">
        <v>118</v>
      </c>
      <c r="S6388">
        <v>5140.38</v>
      </c>
      <c r="T6388">
        <v>4000</v>
      </c>
      <c r="U6388">
        <v>0</v>
      </c>
      <c r="V6388">
        <v>30000</v>
      </c>
      <c r="W6388">
        <v>97</v>
      </c>
      <c r="X6388">
        <v>2408.48</v>
      </c>
      <c r="Y6388">
        <v>0</v>
      </c>
      <c r="Z6388">
        <v>0</v>
      </c>
      <c r="AA6388">
        <v>42000</v>
      </c>
      <c r="AB6388">
        <v>86</v>
      </c>
      <c r="AC6388">
        <v>1592.95</v>
      </c>
      <c r="AD6388">
        <v>0</v>
      </c>
      <c r="AE6388">
        <v>0</v>
      </c>
      <c r="AF6388">
        <v>66000</v>
      </c>
      <c r="AG6388">
        <v>83</v>
      </c>
      <c r="AH6388">
        <v>7331.34</v>
      </c>
      <c r="AI6388">
        <v>0</v>
      </c>
      <c r="AJ6388">
        <v>0</v>
      </c>
      <c r="AK6388">
        <v>100000</v>
      </c>
      <c r="AL6388">
        <v>83</v>
      </c>
      <c r="AM6388">
        <v>10261.35</v>
      </c>
      <c r="AN6388">
        <v>0</v>
      </c>
      <c r="AO6388">
        <v>0</v>
      </c>
      <c r="AP6388">
        <v>300000</v>
      </c>
      <c r="AQ6388">
        <v>80</v>
      </c>
      <c r="AR6388">
        <v>1273.5</v>
      </c>
      <c r="AS6388">
        <v>0</v>
      </c>
      <c r="AT6388">
        <v>0</v>
      </c>
      <c r="AU6388">
        <v>24000</v>
      </c>
    </row>
    <row r="6389" spans="1:47" x14ac:dyDescent="0.3">
      <c r="A6389" t="s">
        <v>37</v>
      </c>
      <c r="B6389" t="s">
        <v>212</v>
      </c>
      <c r="C6389">
        <v>2667</v>
      </c>
      <c r="D6389">
        <v>5178.38</v>
      </c>
      <c r="E6389">
        <v>0</v>
      </c>
      <c r="F6389">
        <v>0</v>
      </c>
      <c r="G6389">
        <v>130000</v>
      </c>
      <c r="H6389">
        <v>2570</v>
      </c>
      <c r="I6389">
        <v>987.27</v>
      </c>
      <c r="J6389">
        <v>0</v>
      </c>
      <c r="K6389">
        <v>0</v>
      </c>
      <c r="L6389">
        <v>100000</v>
      </c>
      <c r="M6389">
        <v>3382</v>
      </c>
      <c r="N6389">
        <v>5168.8900000000003</v>
      </c>
      <c r="O6389">
        <v>2400</v>
      </c>
      <c r="P6389">
        <v>0</v>
      </c>
      <c r="Q6389">
        <v>200000</v>
      </c>
      <c r="R6389">
        <v>2922</v>
      </c>
      <c r="S6389">
        <v>3926.55</v>
      </c>
      <c r="T6389">
        <v>2000</v>
      </c>
      <c r="U6389">
        <v>0</v>
      </c>
      <c r="V6389">
        <v>60000</v>
      </c>
      <c r="W6389">
        <v>2569</v>
      </c>
      <c r="X6389">
        <v>1308.78</v>
      </c>
      <c r="Y6389">
        <v>0</v>
      </c>
      <c r="Z6389">
        <v>0</v>
      </c>
      <c r="AA6389">
        <v>50000</v>
      </c>
      <c r="AB6389">
        <v>2328</v>
      </c>
      <c r="AC6389">
        <v>411.91</v>
      </c>
      <c r="AD6389">
        <v>0</v>
      </c>
      <c r="AE6389">
        <v>0</v>
      </c>
      <c r="AF6389">
        <v>100000</v>
      </c>
      <c r="AG6389">
        <v>2273</v>
      </c>
      <c r="AH6389">
        <v>1139.82</v>
      </c>
      <c r="AI6389">
        <v>0</v>
      </c>
      <c r="AJ6389">
        <v>0</v>
      </c>
      <c r="AK6389">
        <v>100000</v>
      </c>
      <c r="AL6389">
        <v>2050</v>
      </c>
      <c r="AM6389">
        <v>4700.34</v>
      </c>
      <c r="AN6389">
        <v>0</v>
      </c>
      <c r="AO6389">
        <v>0</v>
      </c>
      <c r="AP6389">
        <v>300000</v>
      </c>
      <c r="AQ6389">
        <v>2173</v>
      </c>
      <c r="AR6389">
        <v>1154.47</v>
      </c>
      <c r="AS6389">
        <v>0</v>
      </c>
      <c r="AT6389">
        <v>0</v>
      </c>
      <c r="AU6389">
        <v>100000</v>
      </c>
    </row>
    <row r="6390" spans="1:47" x14ac:dyDescent="0.3">
      <c r="A6390" t="s">
        <v>37</v>
      </c>
      <c r="B6390" t="s">
        <v>216</v>
      </c>
      <c r="C6390">
        <v>82</v>
      </c>
      <c r="D6390">
        <v>4229.7299999999996</v>
      </c>
      <c r="E6390">
        <v>0</v>
      </c>
      <c r="F6390">
        <v>0</v>
      </c>
      <c r="G6390">
        <v>50000</v>
      </c>
      <c r="H6390">
        <v>85</v>
      </c>
      <c r="I6390">
        <v>2415.61</v>
      </c>
      <c r="J6390">
        <v>200</v>
      </c>
      <c r="K6390">
        <v>0</v>
      </c>
      <c r="L6390">
        <v>40000</v>
      </c>
      <c r="M6390">
        <v>104</v>
      </c>
      <c r="N6390">
        <v>4852.3100000000004</v>
      </c>
      <c r="O6390">
        <v>2000</v>
      </c>
      <c r="P6390">
        <v>0</v>
      </c>
      <c r="Q6390">
        <v>50000</v>
      </c>
      <c r="R6390">
        <v>87</v>
      </c>
      <c r="S6390">
        <v>4376.6899999999996</v>
      </c>
      <c r="T6390">
        <v>3000</v>
      </c>
      <c r="U6390">
        <v>0</v>
      </c>
      <c r="V6390">
        <v>15000</v>
      </c>
      <c r="W6390">
        <v>87</v>
      </c>
      <c r="X6390">
        <v>2520.58</v>
      </c>
      <c r="Y6390">
        <v>700</v>
      </c>
      <c r="Z6390">
        <v>0</v>
      </c>
      <c r="AA6390">
        <v>19500</v>
      </c>
      <c r="AB6390">
        <v>76</v>
      </c>
      <c r="AC6390">
        <v>716.56</v>
      </c>
      <c r="AD6390">
        <v>0</v>
      </c>
      <c r="AE6390">
        <v>0</v>
      </c>
      <c r="AF6390">
        <v>50000</v>
      </c>
      <c r="AG6390">
        <v>64</v>
      </c>
      <c r="AH6390">
        <v>1520.05</v>
      </c>
      <c r="AI6390">
        <v>0</v>
      </c>
      <c r="AJ6390">
        <v>0</v>
      </c>
      <c r="AK6390">
        <v>18000</v>
      </c>
      <c r="AL6390">
        <v>52</v>
      </c>
      <c r="AM6390">
        <v>4818.22</v>
      </c>
      <c r="AN6390">
        <v>0</v>
      </c>
      <c r="AO6390">
        <v>0</v>
      </c>
      <c r="AP6390">
        <v>80000</v>
      </c>
      <c r="AQ6390">
        <v>67</v>
      </c>
      <c r="AR6390">
        <v>1455.95</v>
      </c>
      <c r="AS6390">
        <v>0</v>
      </c>
      <c r="AT6390">
        <v>0</v>
      </c>
      <c r="AU6390">
        <v>50000</v>
      </c>
    </row>
    <row r="6391" spans="1:47" x14ac:dyDescent="0.3">
      <c r="A6391" t="s">
        <v>36</v>
      </c>
      <c r="B6391" t="s">
        <v>210</v>
      </c>
      <c r="C6391">
        <v>106</v>
      </c>
      <c r="D6391">
        <v>4158.16</v>
      </c>
      <c r="E6391">
        <v>1000</v>
      </c>
      <c r="F6391">
        <v>0</v>
      </c>
      <c r="G6391">
        <v>100000</v>
      </c>
      <c r="H6391">
        <v>113</v>
      </c>
      <c r="I6391">
        <v>1496.64</v>
      </c>
      <c r="J6391">
        <v>900</v>
      </c>
      <c r="K6391">
        <v>0</v>
      </c>
      <c r="L6391">
        <v>35000</v>
      </c>
      <c r="M6391">
        <v>148</v>
      </c>
      <c r="N6391">
        <v>9208.35</v>
      </c>
      <c r="O6391">
        <v>6000</v>
      </c>
      <c r="P6391">
        <v>0</v>
      </c>
      <c r="Q6391">
        <v>100000</v>
      </c>
      <c r="R6391">
        <v>136</v>
      </c>
      <c r="S6391">
        <v>4879.07</v>
      </c>
      <c r="T6391">
        <v>3000</v>
      </c>
      <c r="U6391">
        <v>0</v>
      </c>
      <c r="V6391">
        <v>40000</v>
      </c>
      <c r="W6391">
        <v>99</v>
      </c>
      <c r="X6391">
        <v>2712.48</v>
      </c>
      <c r="Y6391">
        <v>200</v>
      </c>
      <c r="Z6391">
        <v>0</v>
      </c>
      <c r="AA6391">
        <v>40000</v>
      </c>
      <c r="AB6391">
        <v>90</v>
      </c>
      <c r="AC6391">
        <v>6061.5</v>
      </c>
      <c r="AD6391">
        <v>0</v>
      </c>
      <c r="AE6391">
        <v>0</v>
      </c>
      <c r="AF6391">
        <v>100000</v>
      </c>
      <c r="AG6391">
        <v>92</v>
      </c>
      <c r="AH6391">
        <v>4519.3100000000004</v>
      </c>
      <c r="AI6391">
        <v>0</v>
      </c>
      <c r="AJ6391">
        <v>0</v>
      </c>
      <c r="AK6391">
        <v>99000</v>
      </c>
      <c r="AL6391">
        <v>91</v>
      </c>
      <c r="AM6391">
        <v>6269.12</v>
      </c>
      <c r="AN6391">
        <v>0</v>
      </c>
      <c r="AO6391">
        <v>0</v>
      </c>
      <c r="AP6391">
        <v>100000</v>
      </c>
      <c r="AQ6391">
        <v>93</v>
      </c>
      <c r="AR6391">
        <v>10269.52</v>
      </c>
      <c r="AS6391">
        <v>0</v>
      </c>
      <c r="AT6391">
        <v>0</v>
      </c>
      <c r="AU6391">
        <v>100000</v>
      </c>
    </row>
    <row r="6392" spans="1:47" x14ac:dyDescent="0.3">
      <c r="A6392" t="s">
        <v>36</v>
      </c>
      <c r="B6392" t="s">
        <v>212</v>
      </c>
      <c r="C6392">
        <v>1005</v>
      </c>
      <c r="D6392">
        <v>5999.6</v>
      </c>
      <c r="E6392">
        <v>1000</v>
      </c>
      <c r="F6392">
        <v>0</v>
      </c>
      <c r="G6392">
        <v>200000</v>
      </c>
      <c r="H6392">
        <v>918</v>
      </c>
      <c r="I6392">
        <v>1304.3499999999999</v>
      </c>
      <c r="J6392">
        <v>300</v>
      </c>
      <c r="K6392">
        <v>0</v>
      </c>
      <c r="L6392">
        <v>50000</v>
      </c>
      <c r="M6392">
        <v>1529</v>
      </c>
      <c r="N6392">
        <v>6573.25</v>
      </c>
      <c r="O6392">
        <v>3000</v>
      </c>
      <c r="P6392">
        <v>0</v>
      </c>
      <c r="Q6392">
        <v>300000</v>
      </c>
      <c r="R6392">
        <v>1266</v>
      </c>
      <c r="S6392">
        <v>4222.05</v>
      </c>
      <c r="T6392">
        <v>2000</v>
      </c>
      <c r="U6392">
        <v>0</v>
      </c>
      <c r="V6392">
        <v>50000</v>
      </c>
      <c r="W6392">
        <v>849</v>
      </c>
      <c r="X6392">
        <v>2009.35</v>
      </c>
      <c r="Y6392">
        <v>0</v>
      </c>
      <c r="Z6392">
        <v>0</v>
      </c>
      <c r="AA6392">
        <v>40000</v>
      </c>
      <c r="AB6392">
        <v>810</v>
      </c>
      <c r="AC6392">
        <v>3385.11</v>
      </c>
      <c r="AD6392">
        <v>0</v>
      </c>
      <c r="AE6392">
        <v>0</v>
      </c>
      <c r="AF6392">
        <v>100000</v>
      </c>
      <c r="AG6392">
        <v>763</v>
      </c>
      <c r="AH6392">
        <v>2274.6799999999998</v>
      </c>
      <c r="AI6392">
        <v>0</v>
      </c>
      <c r="AJ6392">
        <v>0</v>
      </c>
      <c r="AK6392">
        <v>100000</v>
      </c>
      <c r="AL6392">
        <v>753</v>
      </c>
      <c r="AM6392">
        <v>2438.79</v>
      </c>
      <c r="AN6392">
        <v>0</v>
      </c>
      <c r="AO6392">
        <v>0</v>
      </c>
      <c r="AP6392">
        <v>150000</v>
      </c>
      <c r="AQ6392">
        <v>780</v>
      </c>
      <c r="AR6392">
        <v>2339.29</v>
      </c>
      <c r="AS6392">
        <v>0</v>
      </c>
      <c r="AT6392">
        <v>0</v>
      </c>
      <c r="AU6392">
        <v>100000</v>
      </c>
    </row>
    <row r="6393" spans="1:47" x14ac:dyDescent="0.3">
      <c r="A6393" t="s">
        <v>36</v>
      </c>
      <c r="B6393" t="s">
        <v>216</v>
      </c>
      <c r="C6393">
        <v>189</v>
      </c>
      <c r="D6393">
        <v>9634.81</v>
      </c>
      <c r="E6393">
        <v>2000</v>
      </c>
      <c r="F6393">
        <v>0</v>
      </c>
      <c r="G6393">
        <v>100000</v>
      </c>
      <c r="H6393">
        <v>169</v>
      </c>
      <c r="I6393">
        <v>1834.88</v>
      </c>
      <c r="J6393">
        <v>600</v>
      </c>
      <c r="K6393">
        <v>0</v>
      </c>
      <c r="L6393">
        <v>100000</v>
      </c>
      <c r="M6393">
        <v>230</v>
      </c>
      <c r="N6393">
        <v>6515.61</v>
      </c>
      <c r="O6393">
        <v>3000</v>
      </c>
      <c r="P6393">
        <v>0</v>
      </c>
      <c r="Q6393">
        <v>68000</v>
      </c>
      <c r="R6393">
        <v>218</v>
      </c>
      <c r="S6393">
        <v>4592.1400000000003</v>
      </c>
      <c r="T6393">
        <v>3000</v>
      </c>
      <c r="U6393">
        <v>0</v>
      </c>
      <c r="V6393">
        <v>25000</v>
      </c>
      <c r="W6393">
        <v>162</v>
      </c>
      <c r="X6393">
        <v>4150.21</v>
      </c>
      <c r="Y6393">
        <v>300</v>
      </c>
      <c r="Z6393">
        <v>0</v>
      </c>
      <c r="AA6393">
        <v>50000</v>
      </c>
      <c r="AB6393">
        <v>165</v>
      </c>
      <c r="AC6393">
        <v>3599.58</v>
      </c>
      <c r="AD6393">
        <v>0</v>
      </c>
      <c r="AE6393">
        <v>0</v>
      </c>
      <c r="AF6393">
        <v>50000</v>
      </c>
      <c r="AG6393">
        <v>138</v>
      </c>
      <c r="AH6393">
        <v>2229.0500000000002</v>
      </c>
      <c r="AI6393">
        <v>0</v>
      </c>
      <c r="AJ6393">
        <v>0</v>
      </c>
      <c r="AK6393">
        <v>50000</v>
      </c>
      <c r="AL6393">
        <v>144</v>
      </c>
      <c r="AM6393">
        <v>4418.25</v>
      </c>
      <c r="AN6393">
        <v>0</v>
      </c>
      <c r="AO6393">
        <v>0</v>
      </c>
      <c r="AP6393">
        <v>100000</v>
      </c>
      <c r="AQ6393">
        <v>151</v>
      </c>
      <c r="AR6393">
        <v>3398.42</v>
      </c>
      <c r="AS6393">
        <v>0</v>
      </c>
      <c r="AT6393">
        <v>0</v>
      </c>
      <c r="AU6393">
        <v>81000</v>
      </c>
    </row>
    <row r="6394" spans="1:47" x14ac:dyDescent="0.3">
      <c r="A6394" t="s">
        <v>34</v>
      </c>
      <c r="B6394" t="s">
        <v>210</v>
      </c>
      <c r="C6394">
        <v>213</v>
      </c>
      <c r="D6394">
        <v>2222.2199999999998</v>
      </c>
      <c r="E6394">
        <v>0</v>
      </c>
      <c r="F6394">
        <v>0</v>
      </c>
      <c r="G6394">
        <v>50000</v>
      </c>
      <c r="H6394">
        <v>211</v>
      </c>
      <c r="I6394">
        <v>1127.73</v>
      </c>
      <c r="J6394">
        <v>0</v>
      </c>
      <c r="K6394">
        <v>0</v>
      </c>
      <c r="L6394">
        <v>60000</v>
      </c>
      <c r="M6394">
        <v>242</v>
      </c>
      <c r="N6394">
        <v>8590.67</v>
      </c>
      <c r="O6394">
        <v>3600</v>
      </c>
      <c r="P6394">
        <v>0</v>
      </c>
      <c r="Q6394">
        <v>100000</v>
      </c>
      <c r="R6394">
        <v>217</v>
      </c>
      <c r="S6394">
        <v>3556.42</v>
      </c>
      <c r="T6394">
        <v>1500</v>
      </c>
      <c r="U6394">
        <v>0</v>
      </c>
      <c r="V6394">
        <v>50000</v>
      </c>
      <c r="W6394">
        <v>208</v>
      </c>
      <c r="X6394">
        <v>1807.08</v>
      </c>
      <c r="Y6394">
        <v>0</v>
      </c>
      <c r="Z6394">
        <v>0</v>
      </c>
      <c r="AA6394">
        <v>27000</v>
      </c>
      <c r="AB6394">
        <v>213</v>
      </c>
      <c r="AC6394">
        <v>2789.39</v>
      </c>
      <c r="AD6394">
        <v>0</v>
      </c>
      <c r="AE6394">
        <v>0</v>
      </c>
      <c r="AF6394">
        <v>50400</v>
      </c>
      <c r="AG6394">
        <v>206</v>
      </c>
      <c r="AH6394">
        <v>1846.92</v>
      </c>
      <c r="AI6394">
        <v>0</v>
      </c>
      <c r="AJ6394">
        <v>0</v>
      </c>
      <c r="AK6394">
        <v>100000</v>
      </c>
      <c r="AL6394">
        <v>180</v>
      </c>
      <c r="AM6394">
        <v>4304.3900000000003</v>
      </c>
      <c r="AN6394">
        <v>0</v>
      </c>
      <c r="AO6394">
        <v>0</v>
      </c>
      <c r="AP6394">
        <v>100000</v>
      </c>
      <c r="AQ6394">
        <v>202</v>
      </c>
      <c r="AR6394">
        <v>1639.86</v>
      </c>
      <c r="AS6394">
        <v>0</v>
      </c>
      <c r="AT6394">
        <v>0</v>
      </c>
      <c r="AU6394">
        <v>27400</v>
      </c>
    </row>
    <row r="6395" spans="1:47" x14ac:dyDescent="0.3">
      <c r="A6395" t="s">
        <v>34</v>
      </c>
      <c r="B6395" t="s">
        <v>212</v>
      </c>
      <c r="C6395">
        <v>1473</v>
      </c>
      <c r="D6395">
        <v>2531.4</v>
      </c>
      <c r="E6395">
        <v>0</v>
      </c>
      <c r="F6395">
        <v>0</v>
      </c>
      <c r="G6395">
        <v>100000</v>
      </c>
      <c r="H6395">
        <v>1446</v>
      </c>
      <c r="I6395">
        <v>521.83000000000004</v>
      </c>
      <c r="J6395">
        <v>0</v>
      </c>
      <c r="K6395">
        <v>0</v>
      </c>
      <c r="L6395">
        <v>30000</v>
      </c>
      <c r="M6395">
        <v>1498</v>
      </c>
      <c r="N6395">
        <v>5817.88</v>
      </c>
      <c r="O6395">
        <v>3000</v>
      </c>
      <c r="P6395">
        <v>0</v>
      </c>
      <c r="Q6395">
        <v>100000</v>
      </c>
      <c r="R6395">
        <v>1413</v>
      </c>
      <c r="S6395">
        <v>2811.05</v>
      </c>
      <c r="T6395">
        <v>600</v>
      </c>
      <c r="U6395">
        <v>0</v>
      </c>
      <c r="V6395">
        <v>100000</v>
      </c>
      <c r="W6395">
        <v>1445</v>
      </c>
      <c r="X6395">
        <v>903.94</v>
      </c>
      <c r="Y6395">
        <v>0</v>
      </c>
      <c r="Z6395">
        <v>0</v>
      </c>
      <c r="AA6395">
        <v>60000</v>
      </c>
      <c r="AB6395">
        <v>1463</v>
      </c>
      <c r="AC6395">
        <v>2082.67</v>
      </c>
      <c r="AD6395">
        <v>0</v>
      </c>
      <c r="AE6395">
        <v>0</v>
      </c>
      <c r="AF6395">
        <v>200000</v>
      </c>
      <c r="AG6395">
        <v>1434</v>
      </c>
      <c r="AH6395">
        <v>933.94</v>
      </c>
      <c r="AI6395">
        <v>0</v>
      </c>
      <c r="AJ6395">
        <v>0</v>
      </c>
      <c r="AK6395">
        <v>100000</v>
      </c>
      <c r="AL6395">
        <v>1165</v>
      </c>
      <c r="AM6395">
        <v>2297.11</v>
      </c>
      <c r="AN6395">
        <v>0</v>
      </c>
      <c r="AO6395">
        <v>0</v>
      </c>
      <c r="AP6395">
        <v>100000</v>
      </c>
      <c r="AQ6395">
        <v>1295</v>
      </c>
      <c r="AR6395">
        <v>1609.94</v>
      </c>
      <c r="AS6395">
        <v>0</v>
      </c>
      <c r="AT6395">
        <v>0</v>
      </c>
      <c r="AU6395">
        <v>100000</v>
      </c>
    </row>
    <row r="6396" spans="1:47" x14ac:dyDescent="0.3">
      <c r="A6396" t="s">
        <v>34</v>
      </c>
      <c r="B6396" t="s">
        <v>216</v>
      </c>
      <c r="C6396">
        <v>193</v>
      </c>
      <c r="D6396">
        <v>6319.98</v>
      </c>
      <c r="E6396">
        <v>0</v>
      </c>
      <c r="F6396">
        <v>0</v>
      </c>
      <c r="G6396">
        <v>180000</v>
      </c>
      <c r="H6396">
        <v>195</v>
      </c>
      <c r="I6396">
        <v>1223.75</v>
      </c>
      <c r="J6396">
        <v>0</v>
      </c>
      <c r="K6396">
        <v>0</v>
      </c>
      <c r="L6396">
        <v>25000</v>
      </c>
      <c r="M6396">
        <v>224</v>
      </c>
      <c r="N6396">
        <v>11325.95</v>
      </c>
      <c r="O6396">
        <v>4000</v>
      </c>
      <c r="P6396">
        <v>0</v>
      </c>
      <c r="Q6396">
        <v>144000</v>
      </c>
      <c r="R6396">
        <v>202</v>
      </c>
      <c r="S6396">
        <v>4267.34</v>
      </c>
      <c r="T6396">
        <v>1500</v>
      </c>
      <c r="U6396">
        <v>0</v>
      </c>
      <c r="V6396">
        <v>40000</v>
      </c>
      <c r="W6396">
        <v>184</v>
      </c>
      <c r="X6396">
        <v>2933.15</v>
      </c>
      <c r="Y6396">
        <v>0</v>
      </c>
      <c r="Z6396">
        <v>0</v>
      </c>
      <c r="AA6396">
        <v>84000</v>
      </c>
      <c r="AB6396">
        <v>200</v>
      </c>
      <c r="AC6396">
        <v>4768.29</v>
      </c>
      <c r="AD6396">
        <v>0</v>
      </c>
      <c r="AE6396">
        <v>0</v>
      </c>
      <c r="AF6396">
        <v>62000</v>
      </c>
      <c r="AG6396">
        <v>188</v>
      </c>
      <c r="AH6396">
        <v>3088.1</v>
      </c>
      <c r="AI6396">
        <v>0</v>
      </c>
      <c r="AJ6396">
        <v>0</v>
      </c>
      <c r="AK6396">
        <v>45000</v>
      </c>
      <c r="AL6396">
        <v>177</v>
      </c>
      <c r="AM6396">
        <v>4359.8500000000004</v>
      </c>
      <c r="AN6396">
        <v>0</v>
      </c>
      <c r="AO6396">
        <v>0</v>
      </c>
      <c r="AP6396">
        <v>115000</v>
      </c>
      <c r="AQ6396">
        <v>179</v>
      </c>
      <c r="AR6396">
        <v>3034.05</v>
      </c>
      <c r="AS6396">
        <v>0</v>
      </c>
      <c r="AT6396">
        <v>0</v>
      </c>
      <c r="AU6396">
        <v>100000</v>
      </c>
    </row>
    <row r="6397" spans="1:47" x14ac:dyDescent="0.3">
      <c r="A6397" t="s">
        <v>33</v>
      </c>
      <c r="B6397" t="s">
        <v>210</v>
      </c>
      <c r="C6397">
        <v>61</v>
      </c>
      <c r="D6397">
        <v>2064.4</v>
      </c>
      <c r="E6397">
        <v>0</v>
      </c>
      <c r="F6397">
        <v>0</v>
      </c>
      <c r="G6397">
        <v>50000</v>
      </c>
      <c r="H6397">
        <v>58</v>
      </c>
      <c r="I6397">
        <v>865.58</v>
      </c>
      <c r="J6397">
        <v>0</v>
      </c>
      <c r="K6397">
        <v>0</v>
      </c>
      <c r="L6397">
        <v>10000</v>
      </c>
      <c r="M6397">
        <v>65</v>
      </c>
      <c r="N6397">
        <v>6753.02</v>
      </c>
      <c r="O6397">
        <v>4200</v>
      </c>
      <c r="P6397">
        <v>0</v>
      </c>
      <c r="Q6397">
        <v>60000</v>
      </c>
      <c r="R6397">
        <v>59</v>
      </c>
      <c r="S6397">
        <v>3853.52</v>
      </c>
      <c r="T6397">
        <v>2000</v>
      </c>
      <c r="U6397">
        <v>0</v>
      </c>
      <c r="V6397">
        <v>20000</v>
      </c>
      <c r="W6397">
        <v>58</v>
      </c>
      <c r="X6397">
        <v>1226.8499999999999</v>
      </c>
      <c r="Y6397">
        <v>0</v>
      </c>
      <c r="Z6397">
        <v>0</v>
      </c>
      <c r="AA6397">
        <v>20000</v>
      </c>
      <c r="AB6397">
        <v>53</v>
      </c>
      <c r="AC6397">
        <v>32.43</v>
      </c>
      <c r="AD6397">
        <v>0</v>
      </c>
      <c r="AE6397">
        <v>0</v>
      </c>
      <c r="AF6397">
        <v>1000</v>
      </c>
      <c r="AG6397">
        <v>52</v>
      </c>
      <c r="AH6397">
        <v>490.2</v>
      </c>
      <c r="AI6397">
        <v>0</v>
      </c>
      <c r="AJ6397">
        <v>0</v>
      </c>
      <c r="AK6397">
        <v>6000</v>
      </c>
      <c r="AL6397">
        <v>45</v>
      </c>
      <c r="AM6397">
        <v>3768.04</v>
      </c>
      <c r="AN6397">
        <v>0</v>
      </c>
      <c r="AO6397">
        <v>0</v>
      </c>
      <c r="AP6397">
        <v>30000</v>
      </c>
      <c r="AQ6397">
        <v>55</v>
      </c>
      <c r="AR6397">
        <v>2361.23</v>
      </c>
      <c r="AS6397">
        <v>0</v>
      </c>
      <c r="AT6397">
        <v>0</v>
      </c>
      <c r="AU6397">
        <v>80000</v>
      </c>
    </row>
    <row r="6398" spans="1:47" x14ac:dyDescent="0.3">
      <c r="A6398" t="s">
        <v>33</v>
      </c>
      <c r="B6398" t="s">
        <v>212</v>
      </c>
      <c r="C6398">
        <v>1540</v>
      </c>
      <c r="D6398">
        <v>3727.67</v>
      </c>
      <c r="E6398">
        <v>500</v>
      </c>
      <c r="F6398">
        <v>0</v>
      </c>
      <c r="G6398">
        <v>100000</v>
      </c>
      <c r="H6398">
        <v>1463</v>
      </c>
      <c r="I6398">
        <v>812.92</v>
      </c>
      <c r="J6398">
        <v>0</v>
      </c>
      <c r="K6398">
        <v>0</v>
      </c>
      <c r="L6398">
        <v>50000</v>
      </c>
      <c r="M6398">
        <v>1688</v>
      </c>
      <c r="N6398">
        <v>7574.38</v>
      </c>
      <c r="O6398">
        <v>2000</v>
      </c>
      <c r="P6398">
        <v>0</v>
      </c>
      <c r="Q6398">
        <v>3500000</v>
      </c>
      <c r="R6398">
        <v>1607</v>
      </c>
      <c r="S6398">
        <v>3285.21</v>
      </c>
      <c r="T6398">
        <v>2000</v>
      </c>
      <c r="U6398">
        <v>0</v>
      </c>
      <c r="V6398">
        <v>50000</v>
      </c>
      <c r="W6398">
        <v>1512</v>
      </c>
      <c r="X6398">
        <v>773.67</v>
      </c>
      <c r="Y6398">
        <v>0</v>
      </c>
      <c r="Z6398">
        <v>0</v>
      </c>
      <c r="AA6398">
        <v>30000</v>
      </c>
      <c r="AB6398">
        <v>1432</v>
      </c>
      <c r="AC6398">
        <v>407.41</v>
      </c>
      <c r="AD6398">
        <v>0</v>
      </c>
      <c r="AE6398">
        <v>0</v>
      </c>
      <c r="AF6398">
        <v>50000</v>
      </c>
      <c r="AG6398">
        <v>1448</v>
      </c>
      <c r="AH6398">
        <v>1101.3699999999999</v>
      </c>
      <c r="AI6398">
        <v>0</v>
      </c>
      <c r="AJ6398">
        <v>0</v>
      </c>
      <c r="AK6398">
        <v>100000</v>
      </c>
      <c r="AL6398">
        <v>1261</v>
      </c>
      <c r="AM6398">
        <v>2482.2399999999998</v>
      </c>
      <c r="AN6398">
        <v>0</v>
      </c>
      <c r="AO6398">
        <v>0</v>
      </c>
      <c r="AP6398">
        <v>150000</v>
      </c>
      <c r="AQ6398">
        <v>1351</v>
      </c>
      <c r="AR6398">
        <v>1447.24</v>
      </c>
      <c r="AS6398">
        <v>0</v>
      </c>
      <c r="AT6398">
        <v>0</v>
      </c>
      <c r="AU6398">
        <v>30000</v>
      </c>
    </row>
    <row r="6399" spans="1:47" x14ac:dyDescent="0.3">
      <c r="A6399" t="s">
        <v>33</v>
      </c>
      <c r="B6399" t="s">
        <v>216</v>
      </c>
      <c r="C6399">
        <v>61</v>
      </c>
      <c r="D6399">
        <v>7503.6</v>
      </c>
      <c r="E6399">
        <v>500</v>
      </c>
      <c r="F6399">
        <v>0</v>
      </c>
      <c r="G6399">
        <v>90000</v>
      </c>
      <c r="H6399">
        <v>55</v>
      </c>
      <c r="I6399">
        <v>1661.01</v>
      </c>
      <c r="J6399">
        <v>350</v>
      </c>
      <c r="K6399">
        <v>0</v>
      </c>
      <c r="L6399">
        <v>15000</v>
      </c>
      <c r="M6399">
        <v>64</v>
      </c>
      <c r="N6399">
        <v>2581.83</v>
      </c>
      <c r="O6399">
        <v>1500</v>
      </c>
      <c r="P6399">
        <v>0</v>
      </c>
      <c r="Q6399">
        <v>20000</v>
      </c>
      <c r="R6399">
        <v>64</v>
      </c>
      <c r="S6399">
        <v>5504.75</v>
      </c>
      <c r="T6399">
        <v>5000</v>
      </c>
      <c r="U6399">
        <v>0</v>
      </c>
      <c r="V6399">
        <v>20000</v>
      </c>
      <c r="W6399">
        <v>56</v>
      </c>
      <c r="X6399">
        <v>2264.5500000000002</v>
      </c>
      <c r="Y6399">
        <v>700</v>
      </c>
      <c r="Z6399">
        <v>0</v>
      </c>
      <c r="AA6399">
        <v>30000</v>
      </c>
      <c r="AB6399">
        <v>47</v>
      </c>
      <c r="AC6399">
        <v>2776.68</v>
      </c>
      <c r="AD6399">
        <v>0</v>
      </c>
      <c r="AE6399">
        <v>0</v>
      </c>
      <c r="AF6399">
        <v>90000</v>
      </c>
      <c r="AG6399">
        <v>42</v>
      </c>
      <c r="AH6399">
        <v>382.5</v>
      </c>
      <c r="AI6399">
        <v>0</v>
      </c>
      <c r="AJ6399">
        <v>0</v>
      </c>
      <c r="AK6399">
        <v>5000</v>
      </c>
      <c r="AL6399">
        <v>39</v>
      </c>
      <c r="AM6399">
        <v>4280.51</v>
      </c>
      <c r="AN6399">
        <v>0</v>
      </c>
      <c r="AO6399">
        <v>0</v>
      </c>
      <c r="AP6399">
        <v>50000</v>
      </c>
      <c r="AQ6399">
        <v>41</v>
      </c>
      <c r="AR6399">
        <v>1265.75</v>
      </c>
      <c r="AS6399">
        <v>0</v>
      </c>
      <c r="AT6399">
        <v>0</v>
      </c>
      <c r="AU6399">
        <v>16000</v>
      </c>
    </row>
    <row r="6400" spans="1:47" x14ac:dyDescent="0.3">
      <c r="A6400" t="s">
        <v>49</v>
      </c>
      <c r="B6400" t="s">
        <v>210</v>
      </c>
      <c r="C6400">
        <v>578</v>
      </c>
      <c r="D6400">
        <v>2592.79</v>
      </c>
      <c r="E6400">
        <v>0</v>
      </c>
      <c r="F6400">
        <v>0</v>
      </c>
      <c r="G6400">
        <v>200000</v>
      </c>
      <c r="H6400">
        <v>588</v>
      </c>
      <c r="I6400">
        <v>1193.31</v>
      </c>
      <c r="J6400">
        <v>0</v>
      </c>
      <c r="K6400">
        <v>0</v>
      </c>
      <c r="L6400">
        <v>100000</v>
      </c>
      <c r="M6400">
        <v>707</v>
      </c>
      <c r="N6400">
        <v>7051.58</v>
      </c>
      <c r="O6400">
        <v>3000</v>
      </c>
      <c r="P6400">
        <v>0</v>
      </c>
      <c r="Q6400">
        <v>100000</v>
      </c>
      <c r="R6400">
        <v>649</v>
      </c>
      <c r="S6400">
        <v>3964.16</v>
      </c>
      <c r="T6400">
        <v>2000</v>
      </c>
      <c r="U6400">
        <v>0</v>
      </c>
      <c r="V6400">
        <v>50000</v>
      </c>
      <c r="W6400">
        <v>572</v>
      </c>
      <c r="X6400">
        <v>1861.97</v>
      </c>
      <c r="Y6400">
        <v>0</v>
      </c>
      <c r="Z6400">
        <v>0</v>
      </c>
      <c r="AA6400">
        <v>42000</v>
      </c>
      <c r="AB6400">
        <v>543</v>
      </c>
      <c r="AC6400">
        <v>2239.04</v>
      </c>
      <c r="AD6400">
        <v>0</v>
      </c>
      <c r="AE6400">
        <v>0</v>
      </c>
      <c r="AF6400">
        <v>100000</v>
      </c>
      <c r="AG6400">
        <v>519</v>
      </c>
      <c r="AH6400">
        <v>2959.9</v>
      </c>
      <c r="AI6400">
        <v>0</v>
      </c>
      <c r="AJ6400">
        <v>0</v>
      </c>
      <c r="AK6400">
        <v>100000</v>
      </c>
      <c r="AL6400">
        <v>470</v>
      </c>
      <c r="AM6400">
        <v>5926.56</v>
      </c>
      <c r="AN6400">
        <v>0</v>
      </c>
      <c r="AO6400">
        <v>0</v>
      </c>
      <c r="AP6400">
        <v>300000</v>
      </c>
      <c r="AQ6400">
        <v>511</v>
      </c>
      <c r="AR6400">
        <v>2308.4</v>
      </c>
      <c r="AS6400">
        <v>0</v>
      </c>
      <c r="AT6400">
        <v>0</v>
      </c>
      <c r="AU6400">
        <v>100000</v>
      </c>
    </row>
    <row r="6401" spans="1:47" x14ac:dyDescent="0.3">
      <c r="A6401" t="s">
        <v>49</v>
      </c>
      <c r="B6401" t="s">
        <v>212</v>
      </c>
      <c r="C6401">
        <v>8512</v>
      </c>
      <c r="D6401">
        <v>3823.27</v>
      </c>
      <c r="E6401">
        <v>0</v>
      </c>
      <c r="F6401">
        <v>0</v>
      </c>
      <c r="G6401">
        <v>200000</v>
      </c>
      <c r="H6401">
        <v>8137</v>
      </c>
      <c r="I6401">
        <v>777.96</v>
      </c>
      <c r="J6401">
        <v>0</v>
      </c>
      <c r="K6401">
        <v>0</v>
      </c>
      <c r="L6401">
        <v>100000</v>
      </c>
      <c r="M6401">
        <v>10302</v>
      </c>
      <c r="N6401">
        <v>5913.76</v>
      </c>
      <c r="O6401">
        <v>3000</v>
      </c>
      <c r="P6401">
        <v>0</v>
      </c>
      <c r="Q6401">
        <v>3500000</v>
      </c>
      <c r="R6401">
        <v>9101</v>
      </c>
      <c r="S6401">
        <v>3655.2</v>
      </c>
      <c r="T6401">
        <v>2000</v>
      </c>
      <c r="U6401">
        <v>0</v>
      </c>
      <c r="V6401">
        <v>100000</v>
      </c>
      <c r="W6401">
        <v>8184</v>
      </c>
      <c r="X6401">
        <v>1188.8</v>
      </c>
      <c r="Y6401">
        <v>0</v>
      </c>
      <c r="Z6401">
        <v>0</v>
      </c>
      <c r="AA6401">
        <v>60000</v>
      </c>
      <c r="AB6401">
        <v>7738</v>
      </c>
      <c r="AC6401">
        <v>1164.92</v>
      </c>
      <c r="AD6401">
        <v>0</v>
      </c>
      <c r="AE6401">
        <v>0</v>
      </c>
      <c r="AF6401">
        <v>200000</v>
      </c>
      <c r="AG6401">
        <v>7489</v>
      </c>
      <c r="AH6401">
        <v>1241.5999999999999</v>
      </c>
      <c r="AI6401">
        <v>0</v>
      </c>
      <c r="AJ6401">
        <v>0</v>
      </c>
      <c r="AK6401">
        <v>100000</v>
      </c>
      <c r="AL6401">
        <v>6573</v>
      </c>
      <c r="AM6401">
        <v>3328.81</v>
      </c>
      <c r="AN6401">
        <v>0</v>
      </c>
      <c r="AO6401">
        <v>0</v>
      </c>
      <c r="AP6401">
        <v>300000</v>
      </c>
      <c r="AQ6401">
        <v>6999</v>
      </c>
      <c r="AR6401">
        <v>1369.79</v>
      </c>
      <c r="AS6401">
        <v>0</v>
      </c>
      <c r="AT6401">
        <v>0</v>
      </c>
      <c r="AU6401">
        <v>100000</v>
      </c>
    </row>
    <row r="6402" spans="1:47" x14ac:dyDescent="0.3">
      <c r="A6402" t="s">
        <v>49</v>
      </c>
      <c r="B6402" t="s">
        <v>216</v>
      </c>
      <c r="C6402">
        <v>951</v>
      </c>
      <c r="D6402">
        <v>4701.21</v>
      </c>
      <c r="E6402">
        <v>0</v>
      </c>
      <c r="F6402">
        <v>0</v>
      </c>
      <c r="G6402">
        <v>180000</v>
      </c>
      <c r="H6402">
        <v>923</v>
      </c>
      <c r="I6402">
        <v>1337.29</v>
      </c>
      <c r="J6402">
        <v>0</v>
      </c>
      <c r="K6402">
        <v>0</v>
      </c>
      <c r="L6402">
        <v>100000</v>
      </c>
      <c r="M6402">
        <v>1136</v>
      </c>
      <c r="N6402">
        <v>6658.12</v>
      </c>
      <c r="O6402">
        <v>3000</v>
      </c>
      <c r="P6402">
        <v>0</v>
      </c>
      <c r="Q6402">
        <v>144000</v>
      </c>
      <c r="R6402">
        <v>1047</v>
      </c>
      <c r="S6402">
        <v>5358.25</v>
      </c>
      <c r="T6402">
        <v>3000</v>
      </c>
      <c r="U6402">
        <v>0</v>
      </c>
      <c r="V6402">
        <v>60000</v>
      </c>
      <c r="W6402">
        <v>944</v>
      </c>
      <c r="X6402">
        <v>3615.34</v>
      </c>
      <c r="Y6402">
        <v>0</v>
      </c>
      <c r="Z6402">
        <v>0</v>
      </c>
      <c r="AA6402">
        <v>100000</v>
      </c>
      <c r="AB6402">
        <v>886</v>
      </c>
      <c r="AC6402">
        <v>3195.02</v>
      </c>
      <c r="AD6402">
        <v>0</v>
      </c>
      <c r="AE6402">
        <v>0</v>
      </c>
      <c r="AF6402">
        <v>100000</v>
      </c>
      <c r="AG6402">
        <v>781</v>
      </c>
      <c r="AH6402">
        <v>3187.35</v>
      </c>
      <c r="AI6402">
        <v>0</v>
      </c>
      <c r="AJ6402">
        <v>0</v>
      </c>
      <c r="AK6402">
        <v>100000</v>
      </c>
      <c r="AL6402">
        <v>681</v>
      </c>
      <c r="AM6402">
        <v>3650.78</v>
      </c>
      <c r="AN6402">
        <v>0</v>
      </c>
      <c r="AO6402">
        <v>0</v>
      </c>
      <c r="AP6402">
        <v>115000</v>
      </c>
      <c r="AQ6402">
        <v>761</v>
      </c>
      <c r="AR6402">
        <v>1638.06</v>
      </c>
      <c r="AS6402">
        <v>0</v>
      </c>
      <c r="AT6402">
        <v>0</v>
      </c>
      <c r="AU6402">
        <v>100000</v>
      </c>
    </row>
    <row r="6404" spans="1:47" x14ac:dyDescent="0.3">
      <c r="A6404" t="s">
        <v>2096</v>
      </c>
    </row>
    <row r="6405" spans="1:47" x14ac:dyDescent="0.3">
      <c r="A6405" t="s">
        <v>44</v>
      </c>
      <c r="B6405" t="s">
        <v>388</v>
      </c>
      <c r="C6405" t="s">
        <v>2049</v>
      </c>
      <c r="D6405" t="s">
        <v>2050</v>
      </c>
      <c r="E6405" t="s">
        <v>2051</v>
      </c>
      <c r="F6405" t="s">
        <v>2052</v>
      </c>
      <c r="G6405" t="s">
        <v>2053</v>
      </c>
      <c r="H6405" t="s">
        <v>2054</v>
      </c>
      <c r="I6405" t="s">
        <v>2055</v>
      </c>
      <c r="J6405" t="s">
        <v>2056</v>
      </c>
      <c r="K6405" t="s">
        <v>2057</v>
      </c>
      <c r="L6405" t="s">
        <v>2058</v>
      </c>
      <c r="M6405" t="s">
        <v>2059</v>
      </c>
      <c r="N6405" t="s">
        <v>2060</v>
      </c>
      <c r="O6405" t="s">
        <v>2061</v>
      </c>
      <c r="P6405" t="s">
        <v>2062</v>
      </c>
      <c r="Q6405" t="s">
        <v>2063</v>
      </c>
      <c r="R6405" t="s">
        <v>2064</v>
      </c>
      <c r="S6405" t="s">
        <v>2065</v>
      </c>
      <c r="T6405" t="s">
        <v>2066</v>
      </c>
      <c r="U6405" t="s">
        <v>2067</v>
      </c>
      <c r="V6405" t="s">
        <v>2068</v>
      </c>
      <c r="W6405" t="s">
        <v>2069</v>
      </c>
      <c r="X6405" t="s">
        <v>2070</v>
      </c>
      <c r="Y6405" t="s">
        <v>2071</v>
      </c>
      <c r="Z6405" t="s">
        <v>2072</v>
      </c>
      <c r="AA6405" t="s">
        <v>2073</v>
      </c>
      <c r="AB6405" t="s">
        <v>2074</v>
      </c>
      <c r="AC6405" t="s">
        <v>2075</v>
      </c>
      <c r="AD6405" t="s">
        <v>2076</v>
      </c>
      <c r="AE6405" t="s">
        <v>2077</v>
      </c>
      <c r="AF6405" t="s">
        <v>2078</v>
      </c>
      <c r="AG6405" t="s">
        <v>2079</v>
      </c>
      <c r="AH6405" t="s">
        <v>2080</v>
      </c>
      <c r="AI6405" t="s">
        <v>2081</v>
      </c>
      <c r="AJ6405" t="s">
        <v>2082</v>
      </c>
      <c r="AK6405" t="s">
        <v>2083</v>
      </c>
      <c r="AL6405" t="s">
        <v>2084</v>
      </c>
      <c r="AM6405" t="s">
        <v>2085</v>
      </c>
      <c r="AN6405" t="s">
        <v>2086</v>
      </c>
      <c r="AO6405" t="s">
        <v>2087</v>
      </c>
      <c r="AP6405" t="s">
        <v>2088</v>
      </c>
      <c r="AQ6405" t="s">
        <v>2089</v>
      </c>
      <c r="AR6405" t="s">
        <v>2090</v>
      </c>
      <c r="AS6405" t="s">
        <v>2091</v>
      </c>
      <c r="AT6405" t="s">
        <v>2092</v>
      </c>
      <c r="AU6405" t="s">
        <v>2093</v>
      </c>
    </row>
    <row r="6406" spans="1:47" x14ac:dyDescent="0.3">
      <c r="A6406" t="s">
        <v>35</v>
      </c>
      <c r="B6406" t="s">
        <v>389</v>
      </c>
      <c r="C6406">
        <v>1605</v>
      </c>
      <c r="D6406">
        <v>2717.82</v>
      </c>
      <c r="E6406">
        <v>0</v>
      </c>
      <c r="F6406">
        <v>0</v>
      </c>
      <c r="G6406">
        <v>120000</v>
      </c>
      <c r="H6406">
        <v>1580</v>
      </c>
      <c r="I6406">
        <v>769.73</v>
      </c>
      <c r="J6406">
        <v>0</v>
      </c>
      <c r="K6406">
        <v>0</v>
      </c>
      <c r="L6406">
        <v>100000</v>
      </c>
      <c r="M6406">
        <v>1978</v>
      </c>
      <c r="N6406">
        <v>5372.93</v>
      </c>
      <c r="O6406">
        <v>3000</v>
      </c>
      <c r="P6406">
        <v>0</v>
      </c>
      <c r="Q6406">
        <v>100000</v>
      </c>
      <c r="R6406">
        <v>1717</v>
      </c>
      <c r="S6406">
        <v>4757.29</v>
      </c>
      <c r="T6406">
        <v>2000</v>
      </c>
      <c r="U6406">
        <v>0</v>
      </c>
      <c r="V6406">
        <v>80000</v>
      </c>
      <c r="W6406">
        <v>1642</v>
      </c>
      <c r="X6406">
        <v>2456.2800000000002</v>
      </c>
      <c r="Y6406">
        <v>0</v>
      </c>
      <c r="Z6406">
        <v>0</v>
      </c>
      <c r="AA6406">
        <v>100000</v>
      </c>
      <c r="AB6406">
        <v>1528</v>
      </c>
      <c r="AC6406">
        <v>2247.29</v>
      </c>
      <c r="AD6406">
        <v>0</v>
      </c>
      <c r="AE6406">
        <v>0</v>
      </c>
      <c r="AF6406">
        <v>100000</v>
      </c>
      <c r="AG6406">
        <v>1372</v>
      </c>
      <c r="AH6406">
        <v>2358.4699999999998</v>
      </c>
      <c r="AI6406">
        <v>0</v>
      </c>
      <c r="AJ6406">
        <v>0</v>
      </c>
      <c r="AK6406">
        <v>100000</v>
      </c>
      <c r="AL6406">
        <v>1187</v>
      </c>
      <c r="AM6406">
        <v>3332.19</v>
      </c>
      <c r="AN6406">
        <v>0</v>
      </c>
      <c r="AO6406">
        <v>0</v>
      </c>
      <c r="AP6406">
        <v>200000</v>
      </c>
      <c r="AQ6406">
        <v>1245</v>
      </c>
      <c r="AR6406">
        <v>1016.63</v>
      </c>
      <c r="AS6406">
        <v>0</v>
      </c>
      <c r="AT6406">
        <v>0</v>
      </c>
      <c r="AU6406">
        <v>100000</v>
      </c>
    </row>
    <row r="6407" spans="1:47" x14ac:dyDescent="0.3">
      <c r="A6407" t="s">
        <v>35</v>
      </c>
      <c r="B6407" t="s">
        <v>390</v>
      </c>
      <c r="C6407">
        <v>640</v>
      </c>
      <c r="D6407">
        <v>3727.61</v>
      </c>
      <c r="E6407">
        <v>0</v>
      </c>
      <c r="F6407">
        <v>0</v>
      </c>
      <c r="G6407">
        <v>200000</v>
      </c>
      <c r="H6407">
        <v>592</v>
      </c>
      <c r="I6407">
        <v>928.64</v>
      </c>
      <c r="J6407">
        <v>0</v>
      </c>
      <c r="K6407">
        <v>0</v>
      </c>
      <c r="L6407">
        <v>50000</v>
      </c>
      <c r="M6407">
        <v>750</v>
      </c>
      <c r="N6407">
        <v>4905.87</v>
      </c>
      <c r="O6407">
        <v>2100</v>
      </c>
      <c r="P6407">
        <v>0</v>
      </c>
      <c r="Q6407">
        <v>100000</v>
      </c>
      <c r="R6407">
        <v>664</v>
      </c>
      <c r="S6407">
        <v>3824.8</v>
      </c>
      <c r="T6407">
        <v>1500</v>
      </c>
      <c r="U6407">
        <v>0</v>
      </c>
      <c r="V6407">
        <v>100000</v>
      </c>
      <c r="W6407">
        <v>625</v>
      </c>
      <c r="X6407">
        <v>904.56</v>
      </c>
      <c r="Y6407">
        <v>0</v>
      </c>
      <c r="Z6407">
        <v>0</v>
      </c>
      <c r="AA6407">
        <v>40000</v>
      </c>
      <c r="AB6407">
        <v>588</v>
      </c>
      <c r="AC6407">
        <v>1096.42</v>
      </c>
      <c r="AD6407">
        <v>0</v>
      </c>
      <c r="AE6407">
        <v>0</v>
      </c>
      <c r="AF6407">
        <v>70000</v>
      </c>
      <c r="AG6407">
        <v>551</v>
      </c>
      <c r="AH6407">
        <v>1614.98</v>
      </c>
      <c r="AI6407">
        <v>0</v>
      </c>
      <c r="AJ6407">
        <v>0</v>
      </c>
      <c r="AK6407">
        <v>100000</v>
      </c>
      <c r="AL6407">
        <v>441</v>
      </c>
      <c r="AM6407">
        <v>3321.92</v>
      </c>
      <c r="AN6407">
        <v>0</v>
      </c>
      <c r="AO6407">
        <v>0</v>
      </c>
      <c r="AP6407">
        <v>100000</v>
      </c>
      <c r="AQ6407">
        <v>478</v>
      </c>
      <c r="AR6407">
        <v>1547.78</v>
      </c>
      <c r="AS6407">
        <v>0</v>
      </c>
      <c r="AT6407">
        <v>0</v>
      </c>
      <c r="AU6407">
        <v>100000</v>
      </c>
    </row>
    <row r="6408" spans="1:47" x14ac:dyDescent="0.3">
      <c r="A6408" t="s">
        <v>35</v>
      </c>
      <c r="B6408" t="s">
        <v>365</v>
      </c>
      <c r="C6408">
        <v>109</v>
      </c>
      <c r="D6408">
        <v>3665.07</v>
      </c>
      <c r="E6408">
        <v>0</v>
      </c>
      <c r="F6408">
        <v>0</v>
      </c>
      <c r="G6408">
        <v>100000</v>
      </c>
      <c r="H6408">
        <v>99</v>
      </c>
      <c r="I6408">
        <v>799.49</v>
      </c>
      <c r="J6408">
        <v>0</v>
      </c>
      <c r="K6408">
        <v>0</v>
      </c>
      <c r="L6408">
        <v>10000</v>
      </c>
      <c r="M6408">
        <v>115</v>
      </c>
      <c r="N6408">
        <v>10899.75</v>
      </c>
      <c r="O6408">
        <v>7000</v>
      </c>
      <c r="P6408">
        <v>0</v>
      </c>
      <c r="Q6408">
        <v>70000</v>
      </c>
      <c r="R6408">
        <v>107</v>
      </c>
      <c r="S6408">
        <v>4890.7299999999996</v>
      </c>
      <c r="T6408">
        <v>3500</v>
      </c>
      <c r="U6408">
        <v>0</v>
      </c>
      <c r="V6408">
        <v>40000</v>
      </c>
      <c r="W6408">
        <v>107</v>
      </c>
      <c r="X6408">
        <v>5540.56</v>
      </c>
      <c r="Y6408">
        <v>0</v>
      </c>
      <c r="Z6408">
        <v>0</v>
      </c>
      <c r="AA6408">
        <v>60000</v>
      </c>
      <c r="AB6408">
        <v>88</v>
      </c>
      <c r="AC6408">
        <v>652.28</v>
      </c>
      <c r="AD6408">
        <v>0</v>
      </c>
      <c r="AE6408">
        <v>0</v>
      </c>
      <c r="AF6408">
        <v>20000</v>
      </c>
      <c r="AG6408">
        <v>83</v>
      </c>
      <c r="AH6408">
        <v>3284.01</v>
      </c>
      <c r="AI6408">
        <v>0</v>
      </c>
      <c r="AJ6408">
        <v>0</v>
      </c>
      <c r="AK6408">
        <v>36000</v>
      </c>
      <c r="AL6408">
        <v>56</v>
      </c>
      <c r="AM6408">
        <v>3942.82</v>
      </c>
      <c r="AN6408">
        <v>0</v>
      </c>
      <c r="AO6408">
        <v>0</v>
      </c>
      <c r="AP6408">
        <v>72000</v>
      </c>
      <c r="AQ6408">
        <v>81</v>
      </c>
      <c r="AR6408">
        <v>1228.1400000000001</v>
      </c>
      <c r="AS6408">
        <v>0</v>
      </c>
      <c r="AT6408">
        <v>0</v>
      </c>
      <c r="AU6408">
        <v>40000</v>
      </c>
    </row>
    <row r="6409" spans="1:47" x14ac:dyDescent="0.3">
      <c r="A6409" t="s">
        <v>37</v>
      </c>
      <c r="B6409" t="s">
        <v>389</v>
      </c>
      <c r="C6409">
        <v>1705</v>
      </c>
      <c r="D6409">
        <v>4124.37</v>
      </c>
      <c r="E6409">
        <v>0</v>
      </c>
      <c r="F6409">
        <v>0</v>
      </c>
      <c r="G6409">
        <v>100000</v>
      </c>
      <c r="H6409">
        <v>1657</v>
      </c>
      <c r="I6409">
        <v>959.23</v>
      </c>
      <c r="J6409">
        <v>0</v>
      </c>
      <c r="K6409">
        <v>0</v>
      </c>
      <c r="L6409">
        <v>100000</v>
      </c>
      <c r="M6409">
        <v>2196</v>
      </c>
      <c r="N6409">
        <v>5317.97</v>
      </c>
      <c r="O6409">
        <v>2500</v>
      </c>
      <c r="P6409">
        <v>0</v>
      </c>
      <c r="Q6409">
        <v>200000</v>
      </c>
      <c r="R6409">
        <v>1883</v>
      </c>
      <c r="S6409">
        <v>3758.63</v>
      </c>
      <c r="T6409">
        <v>2000</v>
      </c>
      <c r="U6409">
        <v>0</v>
      </c>
      <c r="V6409">
        <v>50000</v>
      </c>
      <c r="W6409">
        <v>1679</v>
      </c>
      <c r="X6409">
        <v>1498.32</v>
      </c>
      <c r="Y6409">
        <v>0</v>
      </c>
      <c r="Z6409">
        <v>0</v>
      </c>
      <c r="AA6409">
        <v>50000</v>
      </c>
      <c r="AB6409">
        <v>1513</v>
      </c>
      <c r="AC6409">
        <v>443.71</v>
      </c>
      <c r="AD6409">
        <v>0</v>
      </c>
      <c r="AE6409">
        <v>0</v>
      </c>
      <c r="AF6409">
        <v>66000</v>
      </c>
      <c r="AG6409">
        <v>1464</v>
      </c>
      <c r="AH6409">
        <v>1253.32</v>
      </c>
      <c r="AI6409">
        <v>0</v>
      </c>
      <c r="AJ6409">
        <v>0</v>
      </c>
      <c r="AK6409">
        <v>100000</v>
      </c>
      <c r="AL6409">
        <v>1328</v>
      </c>
      <c r="AM6409">
        <v>3956.24</v>
      </c>
      <c r="AN6409">
        <v>0</v>
      </c>
      <c r="AO6409">
        <v>0</v>
      </c>
      <c r="AP6409">
        <v>300000</v>
      </c>
      <c r="AQ6409">
        <v>1443</v>
      </c>
      <c r="AR6409">
        <v>1135.53</v>
      </c>
      <c r="AS6409">
        <v>0</v>
      </c>
      <c r="AT6409">
        <v>0</v>
      </c>
      <c r="AU6409">
        <v>100000</v>
      </c>
    </row>
    <row r="6410" spans="1:47" x14ac:dyDescent="0.3">
      <c r="A6410" t="s">
        <v>37</v>
      </c>
      <c r="B6410" t="s">
        <v>390</v>
      </c>
      <c r="C6410">
        <v>947</v>
      </c>
      <c r="D6410">
        <v>6117.48</v>
      </c>
      <c r="E6410">
        <v>500</v>
      </c>
      <c r="F6410">
        <v>0</v>
      </c>
      <c r="G6410">
        <v>130000</v>
      </c>
      <c r="H6410">
        <v>899</v>
      </c>
      <c r="I6410">
        <v>1040.78</v>
      </c>
      <c r="J6410">
        <v>0</v>
      </c>
      <c r="K6410">
        <v>0</v>
      </c>
      <c r="L6410">
        <v>30000</v>
      </c>
      <c r="M6410">
        <v>1190</v>
      </c>
      <c r="N6410">
        <v>4473.01</v>
      </c>
      <c r="O6410">
        <v>2000</v>
      </c>
      <c r="P6410">
        <v>0</v>
      </c>
      <c r="Q6410">
        <v>150000</v>
      </c>
      <c r="R6410">
        <v>1030</v>
      </c>
      <c r="S6410">
        <v>4012.15</v>
      </c>
      <c r="T6410">
        <v>2000</v>
      </c>
      <c r="U6410">
        <v>0</v>
      </c>
      <c r="V6410">
        <v>60000</v>
      </c>
      <c r="W6410">
        <v>882</v>
      </c>
      <c r="X6410">
        <v>1175.6500000000001</v>
      </c>
      <c r="Y6410">
        <v>0</v>
      </c>
      <c r="Z6410">
        <v>0</v>
      </c>
      <c r="AA6410">
        <v>40000</v>
      </c>
      <c r="AB6410">
        <v>809</v>
      </c>
      <c r="AC6410">
        <v>461.25</v>
      </c>
      <c r="AD6410">
        <v>0</v>
      </c>
      <c r="AE6410">
        <v>0</v>
      </c>
      <c r="AF6410">
        <v>100000</v>
      </c>
      <c r="AG6410">
        <v>794</v>
      </c>
      <c r="AH6410">
        <v>1762.59</v>
      </c>
      <c r="AI6410">
        <v>0</v>
      </c>
      <c r="AJ6410">
        <v>0</v>
      </c>
      <c r="AK6410">
        <v>100000</v>
      </c>
      <c r="AL6410">
        <v>732</v>
      </c>
      <c r="AM6410">
        <v>6567.41</v>
      </c>
      <c r="AN6410">
        <v>0</v>
      </c>
      <c r="AO6410">
        <v>0</v>
      </c>
      <c r="AP6410">
        <v>300000</v>
      </c>
      <c r="AQ6410">
        <v>744</v>
      </c>
      <c r="AR6410">
        <v>1267.46</v>
      </c>
      <c r="AS6410">
        <v>0</v>
      </c>
      <c r="AT6410">
        <v>0</v>
      </c>
      <c r="AU6410">
        <v>40000</v>
      </c>
    </row>
    <row r="6411" spans="1:47" x14ac:dyDescent="0.3">
      <c r="A6411" t="s">
        <v>37</v>
      </c>
      <c r="B6411" t="s">
        <v>365</v>
      </c>
      <c r="C6411">
        <v>194</v>
      </c>
      <c r="D6411">
        <v>7461.63</v>
      </c>
      <c r="E6411">
        <v>1600</v>
      </c>
      <c r="F6411">
        <v>0</v>
      </c>
      <c r="G6411">
        <v>100000</v>
      </c>
      <c r="H6411">
        <v>193</v>
      </c>
      <c r="I6411">
        <v>1721.9</v>
      </c>
      <c r="J6411">
        <v>650</v>
      </c>
      <c r="K6411">
        <v>0</v>
      </c>
      <c r="L6411">
        <v>17000</v>
      </c>
      <c r="M6411">
        <v>228</v>
      </c>
      <c r="N6411">
        <v>6721.53</v>
      </c>
      <c r="O6411">
        <v>3100</v>
      </c>
      <c r="P6411">
        <v>0</v>
      </c>
      <c r="Q6411">
        <v>100000</v>
      </c>
      <c r="R6411">
        <v>214</v>
      </c>
      <c r="S6411">
        <v>5838.47</v>
      </c>
      <c r="T6411">
        <v>5000</v>
      </c>
      <c r="U6411">
        <v>0</v>
      </c>
      <c r="V6411">
        <v>30000</v>
      </c>
      <c r="W6411">
        <v>192</v>
      </c>
      <c r="X6411">
        <v>1578.99</v>
      </c>
      <c r="Y6411">
        <v>0</v>
      </c>
      <c r="Z6411">
        <v>0</v>
      </c>
      <c r="AA6411">
        <v>23000</v>
      </c>
      <c r="AB6411">
        <v>168</v>
      </c>
      <c r="AC6411">
        <v>827.94</v>
      </c>
      <c r="AD6411">
        <v>0</v>
      </c>
      <c r="AE6411">
        <v>0</v>
      </c>
      <c r="AF6411">
        <v>40000</v>
      </c>
      <c r="AG6411">
        <v>162</v>
      </c>
      <c r="AH6411">
        <v>1542.42</v>
      </c>
      <c r="AI6411">
        <v>0</v>
      </c>
      <c r="AJ6411">
        <v>0</v>
      </c>
      <c r="AK6411">
        <v>100000</v>
      </c>
      <c r="AL6411">
        <v>125</v>
      </c>
      <c r="AM6411">
        <v>5702.45</v>
      </c>
      <c r="AN6411">
        <v>0</v>
      </c>
      <c r="AO6411">
        <v>0</v>
      </c>
      <c r="AP6411">
        <v>150000</v>
      </c>
      <c r="AQ6411">
        <v>133</v>
      </c>
      <c r="AR6411">
        <v>925.23</v>
      </c>
      <c r="AS6411">
        <v>0</v>
      </c>
      <c r="AT6411">
        <v>0</v>
      </c>
      <c r="AU6411">
        <v>30000</v>
      </c>
    </row>
    <row r="6412" spans="1:47" x14ac:dyDescent="0.3">
      <c r="A6412" t="s">
        <v>36</v>
      </c>
      <c r="B6412" t="s">
        <v>389</v>
      </c>
      <c r="C6412">
        <v>889</v>
      </c>
      <c r="D6412">
        <v>6029.43</v>
      </c>
      <c r="E6412">
        <v>1000</v>
      </c>
      <c r="F6412">
        <v>0</v>
      </c>
      <c r="G6412">
        <v>200000</v>
      </c>
      <c r="H6412">
        <v>831</v>
      </c>
      <c r="I6412">
        <v>1476.73</v>
      </c>
      <c r="J6412">
        <v>500</v>
      </c>
      <c r="K6412">
        <v>0</v>
      </c>
      <c r="L6412">
        <v>100000</v>
      </c>
      <c r="M6412">
        <v>1331</v>
      </c>
      <c r="N6412">
        <v>6714.39</v>
      </c>
      <c r="O6412">
        <v>3000</v>
      </c>
      <c r="P6412">
        <v>0</v>
      </c>
      <c r="Q6412">
        <v>300000</v>
      </c>
      <c r="R6412">
        <v>1101</v>
      </c>
      <c r="S6412">
        <v>4704.6000000000004</v>
      </c>
      <c r="T6412">
        <v>2500</v>
      </c>
      <c r="U6412">
        <v>0</v>
      </c>
      <c r="V6412">
        <v>50000</v>
      </c>
      <c r="W6412">
        <v>760</v>
      </c>
      <c r="X6412">
        <v>2348.5700000000002</v>
      </c>
      <c r="Y6412">
        <v>0</v>
      </c>
      <c r="Z6412">
        <v>0</v>
      </c>
      <c r="AA6412">
        <v>50000</v>
      </c>
      <c r="AB6412">
        <v>730</v>
      </c>
      <c r="AC6412">
        <v>3622.15</v>
      </c>
      <c r="AD6412">
        <v>0</v>
      </c>
      <c r="AE6412">
        <v>0</v>
      </c>
      <c r="AF6412">
        <v>100000</v>
      </c>
      <c r="AG6412">
        <v>676</v>
      </c>
      <c r="AH6412">
        <v>2363.27</v>
      </c>
      <c r="AI6412">
        <v>0</v>
      </c>
      <c r="AJ6412">
        <v>0</v>
      </c>
      <c r="AK6412">
        <v>100000</v>
      </c>
      <c r="AL6412">
        <v>681</v>
      </c>
      <c r="AM6412">
        <v>2451.0300000000002</v>
      </c>
      <c r="AN6412">
        <v>0</v>
      </c>
      <c r="AO6412">
        <v>0</v>
      </c>
      <c r="AP6412">
        <v>100000</v>
      </c>
      <c r="AQ6412">
        <v>697</v>
      </c>
      <c r="AR6412">
        <v>2600.94</v>
      </c>
      <c r="AS6412">
        <v>0</v>
      </c>
      <c r="AT6412">
        <v>0</v>
      </c>
      <c r="AU6412">
        <v>100000</v>
      </c>
    </row>
    <row r="6413" spans="1:47" x14ac:dyDescent="0.3">
      <c r="A6413" t="s">
        <v>36</v>
      </c>
      <c r="B6413" t="s">
        <v>390</v>
      </c>
      <c r="C6413">
        <v>359</v>
      </c>
      <c r="D6413">
        <v>7068.3</v>
      </c>
      <c r="E6413">
        <v>1000</v>
      </c>
      <c r="F6413">
        <v>0</v>
      </c>
      <c r="G6413">
        <v>130000</v>
      </c>
      <c r="H6413">
        <v>319</v>
      </c>
      <c r="I6413">
        <v>1157.04</v>
      </c>
      <c r="J6413">
        <v>450</v>
      </c>
      <c r="K6413">
        <v>0</v>
      </c>
      <c r="L6413">
        <v>75000</v>
      </c>
      <c r="M6413">
        <v>492</v>
      </c>
      <c r="N6413">
        <v>7169.96</v>
      </c>
      <c r="O6413">
        <v>3000</v>
      </c>
      <c r="P6413">
        <v>0</v>
      </c>
      <c r="Q6413">
        <v>80000</v>
      </c>
      <c r="R6413">
        <v>442</v>
      </c>
      <c r="S6413">
        <v>3461.95</v>
      </c>
      <c r="T6413">
        <v>2000</v>
      </c>
      <c r="U6413">
        <v>0</v>
      </c>
      <c r="V6413">
        <v>40000</v>
      </c>
      <c r="W6413">
        <v>292</v>
      </c>
      <c r="X6413">
        <v>2124.13</v>
      </c>
      <c r="Y6413">
        <v>0</v>
      </c>
      <c r="Z6413">
        <v>0</v>
      </c>
      <c r="AA6413">
        <v>40000</v>
      </c>
      <c r="AB6413">
        <v>288</v>
      </c>
      <c r="AC6413">
        <v>2103.65</v>
      </c>
      <c r="AD6413">
        <v>0</v>
      </c>
      <c r="AE6413">
        <v>0</v>
      </c>
      <c r="AF6413">
        <v>50000</v>
      </c>
      <c r="AG6413">
        <v>271</v>
      </c>
      <c r="AH6413">
        <v>2444.0300000000002</v>
      </c>
      <c r="AI6413">
        <v>0</v>
      </c>
      <c r="AJ6413">
        <v>0</v>
      </c>
      <c r="AK6413">
        <v>99000</v>
      </c>
      <c r="AL6413">
        <v>270</v>
      </c>
      <c r="AM6413">
        <v>5234.67</v>
      </c>
      <c r="AN6413">
        <v>0</v>
      </c>
      <c r="AO6413">
        <v>0</v>
      </c>
      <c r="AP6413">
        <v>150000</v>
      </c>
      <c r="AQ6413">
        <v>278</v>
      </c>
      <c r="AR6413">
        <v>3790.9</v>
      </c>
      <c r="AS6413">
        <v>0</v>
      </c>
      <c r="AT6413">
        <v>0</v>
      </c>
      <c r="AU6413">
        <v>100000</v>
      </c>
    </row>
    <row r="6414" spans="1:47" x14ac:dyDescent="0.3">
      <c r="A6414" t="s">
        <v>36</v>
      </c>
      <c r="B6414" t="s">
        <v>365</v>
      </c>
      <c r="C6414">
        <v>52</v>
      </c>
      <c r="D6414">
        <v>4731.3</v>
      </c>
      <c r="E6414">
        <v>1500</v>
      </c>
      <c r="F6414">
        <v>0</v>
      </c>
      <c r="G6414">
        <v>100000</v>
      </c>
      <c r="H6414">
        <v>50</v>
      </c>
      <c r="I6414">
        <v>1602.64</v>
      </c>
      <c r="J6414">
        <v>1000</v>
      </c>
      <c r="K6414">
        <v>0</v>
      </c>
      <c r="L6414">
        <v>17000</v>
      </c>
      <c r="M6414">
        <v>84</v>
      </c>
      <c r="N6414">
        <v>7889.23</v>
      </c>
      <c r="O6414">
        <v>5000</v>
      </c>
      <c r="P6414">
        <v>0</v>
      </c>
      <c r="Q6414">
        <v>40000</v>
      </c>
      <c r="R6414">
        <v>77</v>
      </c>
      <c r="S6414">
        <v>4546.62</v>
      </c>
      <c r="T6414">
        <v>3000</v>
      </c>
      <c r="U6414">
        <v>0</v>
      </c>
      <c r="V6414">
        <v>20000</v>
      </c>
      <c r="W6414">
        <v>58</v>
      </c>
      <c r="X6414">
        <v>3933.53</v>
      </c>
      <c r="Y6414">
        <v>1000</v>
      </c>
      <c r="Z6414">
        <v>0</v>
      </c>
      <c r="AA6414">
        <v>40000</v>
      </c>
      <c r="AB6414">
        <v>47</v>
      </c>
      <c r="AC6414">
        <v>12874.05</v>
      </c>
      <c r="AD6414">
        <v>0</v>
      </c>
      <c r="AE6414">
        <v>0</v>
      </c>
      <c r="AF6414">
        <v>100000</v>
      </c>
      <c r="AG6414">
        <v>46</v>
      </c>
      <c r="AH6414">
        <v>5091.55</v>
      </c>
      <c r="AI6414">
        <v>2000</v>
      </c>
      <c r="AJ6414">
        <v>0</v>
      </c>
      <c r="AK6414">
        <v>30000</v>
      </c>
      <c r="AL6414">
        <v>37</v>
      </c>
      <c r="AM6414">
        <v>5017</v>
      </c>
      <c r="AN6414">
        <v>0</v>
      </c>
      <c r="AO6414">
        <v>0</v>
      </c>
      <c r="AP6414">
        <v>50000</v>
      </c>
      <c r="AQ6414">
        <v>49</v>
      </c>
      <c r="AR6414">
        <v>12342.39</v>
      </c>
      <c r="AS6414">
        <v>1500</v>
      </c>
      <c r="AT6414">
        <v>0</v>
      </c>
      <c r="AU6414">
        <v>100000</v>
      </c>
    </row>
    <row r="6415" spans="1:47" x14ac:dyDescent="0.3">
      <c r="A6415" t="s">
        <v>34</v>
      </c>
      <c r="B6415" t="s">
        <v>389</v>
      </c>
      <c r="C6415">
        <v>1250</v>
      </c>
      <c r="D6415">
        <v>2557.86</v>
      </c>
      <c r="E6415">
        <v>0</v>
      </c>
      <c r="F6415">
        <v>0</v>
      </c>
      <c r="G6415">
        <v>100000</v>
      </c>
      <c r="H6415">
        <v>1236</v>
      </c>
      <c r="I6415">
        <v>630.37</v>
      </c>
      <c r="J6415">
        <v>0</v>
      </c>
      <c r="K6415">
        <v>0</v>
      </c>
      <c r="L6415">
        <v>30000</v>
      </c>
      <c r="M6415">
        <v>1326</v>
      </c>
      <c r="N6415">
        <v>7269.92</v>
      </c>
      <c r="O6415">
        <v>3000</v>
      </c>
      <c r="P6415">
        <v>0</v>
      </c>
      <c r="Q6415">
        <v>144000</v>
      </c>
      <c r="R6415">
        <v>1229</v>
      </c>
      <c r="S6415">
        <v>2776.38</v>
      </c>
      <c r="T6415">
        <v>620</v>
      </c>
      <c r="U6415">
        <v>0</v>
      </c>
      <c r="V6415">
        <v>100000</v>
      </c>
      <c r="W6415">
        <v>1221</v>
      </c>
      <c r="X6415">
        <v>1330.36</v>
      </c>
      <c r="Y6415">
        <v>0</v>
      </c>
      <c r="Z6415">
        <v>0</v>
      </c>
      <c r="AA6415">
        <v>84000</v>
      </c>
      <c r="AB6415">
        <v>1249</v>
      </c>
      <c r="AC6415">
        <v>2709.49</v>
      </c>
      <c r="AD6415">
        <v>0</v>
      </c>
      <c r="AE6415">
        <v>0</v>
      </c>
      <c r="AF6415">
        <v>200000</v>
      </c>
      <c r="AG6415">
        <v>1218</v>
      </c>
      <c r="AH6415">
        <v>1025.93</v>
      </c>
      <c r="AI6415">
        <v>0</v>
      </c>
      <c r="AJ6415">
        <v>0</v>
      </c>
      <c r="AK6415">
        <v>100000</v>
      </c>
      <c r="AL6415">
        <v>1038</v>
      </c>
      <c r="AM6415">
        <v>2635.68</v>
      </c>
      <c r="AN6415">
        <v>0</v>
      </c>
      <c r="AO6415">
        <v>0</v>
      </c>
      <c r="AP6415">
        <v>100000</v>
      </c>
      <c r="AQ6415">
        <v>1126</v>
      </c>
      <c r="AR6415">
        <v>1462.22</v>
      </c>
      <c r="AS6415">
        <v>0</v>
      </c>
      <c r="AT6415">
        <v>0</v>
      </c>
      <c r="AU6415">
        <v>60000</v>
      </c>
    </row>
    <row r="6416" spans="1:47" x14ac:dyDescent="0.3">
      <c r="A6416" t="s">
        <v>34</v>
      </c>
      <c r="B6416" t="s">
        <v>390</v>
      </c>
      <c r="C6416">
        <v>559</v>
      </c>
      <c r="D6416">
        <v>3868.17</v>
      </c>
      <c r="E6416">
        <v>0</v>
      </c>
      <c r="F6416">
        <v>0</v>
      </c>
      <c r="G6416">
        <v>180000</v>
      </c>
      <c r="H6416">
        <v>545</v>
      </c>
      <c r="I6416">
        <v>954.05</v>
      </c>
      <c r="J6416">
        <v>0</v>
      </c>
      <c r="K6416">
        <v>0</v>
      </c>
      <c r="L6416">
        <v>60000</v>
      </c>
      <c r="M6416">
        <v>561</v>
      </c>
      <c r="N6416">
        <v>6716.92</v>
      </c>
      <c r="O6416">
        <v>3000</v>
      </c>
      <c r="P6416">
        <v>0</v>
      </c>
      <c r="Q6416">
        <v>100000</v>
      </c>
      <c r="R6416">
        <v>528</v>
      </c>
      <c r="S6416">
        <v>3826.38</v>
      </c>
      <c r="T6416">
        <v>1000</v>
      </c>
      <c r="U6416">
        <v>0</v>
      </c>
      <c r="V6416">
        <v>80000</v>
      </c>
      <c r="W6416">
        <v>544</v>
      </c>
      <c r="X6416">
        <v>1276.1600000000001</v>
      </c>
      <c r="Y6416">
        <v>0</v>
      </c>
      <c r="Z6416">
        <v>0</v>
      </c>
      <c r="AA6416">
        <v>27000</v>
      </c>
      <c r="AB6416">
        <v>555</v>
      </c>
      <c r="AC6416">
        <v>2468.04</v>
      </c>
      <c r="AD6416">
        <v>0</v>
      </c>
      <c r="AE6416">
        <v>0</v>
      </c>
      <c r="AF6416">
        <v>62000</v>
      </c>
      <c r="AG6416">
        <v>538</v>
      </c>
      <c r="AH6416">
        <v>2162.0700000000002</v>
      </c>
      <c r="AI6416">
        <v>0</v>
      </c>
      <c r="AJ6416">
        <v>0</v>
      </c>
      <c r="AK6416">
        <v>100000</v>
      </c>
      <c r="AL6416">
        <v>427</v>
      </c>
      <c r="AM6416">
        <v>3460.86</v>
      </c>
      <c r="AN6416">
        <v>0</v>
      </c>
      <c r="AO6416">
        <v>0</v>
      </c>
      <c r="AP6416">
        <v>115000</v>
      </c>
      <c r="AQ6416">
        <v>482</v>
      </c>
      <c r="AR6416">
        <v>2708.65</v>
      </c>
      <c r="AS6416">
        <v>0</v>
      </c>
      <c r="AT6416">
        <v>0</v>
      </c>
      <c r="AU6416">
        <v>100000</v>
      </c>
    </row>
    <row r="6417" spans="1:47" x14ac:dyDescent="0.3">
      <c r="A6417" t="s">
        <v>34</v>
      </c>
      <c r="B6417" t="s">
        <v>365</v>
      </c>
      <c r="C6417">
        <v>70</v>
      </c>
      <c r="D6417">
        <v>3602.62</v>
      </c>
      <c r="E6417">
        <v>0</v>
      </c>
      <c r="F6417">
        <v>0</v>
      </c>
      <c r="G6417">
        <v>100000</v>
      </c>
      <c r="H6417">
        <v>71</v>
      </c>
      <c r="I6417">
        <v>233.86</v>
      </c>
      <c r="J6417">
        <v>0</v>
      </c>
      <c r="K6417">
        <v>0</v>
      </c>
      <c r="L6417">
        <v>3000</v>
      </c>
      <c r="M6417">
        <v>77</v>
      </c>
      <c r="N6417">
        <v>6311.12</v>
      </c>
      <c r="O6417">
        <v>3000</v>
      </c>
      <c r="P6417">
        <v>0</v>
      </c>
      <c r="Q6417">
        <v>60000</v>
      </c>
      <c r="R6417">
        <v>75</v>
      </c>
      <c r="S6417">
        <v>3977.44</v>
      </c>
      <c r="T6417">
        <v>2500</v>
      </c>
      <c r="U6417">
        <v>0</v>
      </c>
      <c r="V6417">
        <v>20000</v>
      </c>
      <c r="W6417">
        <v>72</v>
      </c>
      <c r="X6417">
        <v>1065.04</v>
      </c>
      <c r="Y6417">
        <v>0</v>
      </c>
      <c r="Z6417">
        <v>0</v>
      </c>
      <c r="AA6417">
        <v>15000</v>
      </c>
      <c r="AB6417">
        <v>72</v>
      </c>
      <c r="AC6417">
        <v>818.11</v>
      </c>
      <c r="AD6417">
        <v>0</v>
      </c>
      <c r="AE6417">
        <v>0</v>
      </c>
      <c r="AF6417">
        <v>18000</v>
      </c>
      <c r="AG6417">
        <v>72</v>
      </c>
      <c r="AH6417">
        <v>1023.13</v>
      </c>
      <c r="AI6417">
        <v>0</v>
      </c>
      <c r="AJ6417">
        <v>0</v>
      </c>
      <c r="AK6417">
        <v>18000</v>
      </c>
      <c r="AL6417">
        <v>57</v>
      </c>
      <c r="AM6417">
        <v>3738.93</v>
      </c>
      <c r="AN6417">
        <v>0</v>
      </c>
      <c r="AO6417">
        <v>0</v>
      </c>
      <c r="AP6417">
        <v>80000</v>
      </c>
      <c r="AQ6417">
        <v>68</v>
      </c>
      <c r="AR6417">
        <v>1261.97</v>
      </c>
      <c r="AS6417">
        <v>0</v>
      </c>
      <c r="AT6417">
        <v>0</v>
      </c>
      <c r="AU6417">
        <v>38000</v>
      </c>
    </row>
    <row r="6418" spans="1:47" x14ac:dyDescent="0.3">
      <c r="A6418" t="s">
        <v>33</v>
      </c>
      <c r="B6418" t="s">
        <v>389</v>
      </c>
      <c r="C6418">
        <v>915</v>
      </c>
      <c r="D6418">
        <v>3911.51</v>
      </c>
      <c r="E6418">
        <v>300</v>
      </c>
      <c r="F6418">
        <v>0</v>
      </c>
      <c r="G6418">
        <v>100000</v>
      </c>
      <c r="H6418">
        <v>881</v>
      </c>
      <c r="I6418">
        <v>913.09</v>
      </c>
      <c r="J6418">
        <v>0</v>
      </c>
      <c r="K6418">
        <v>0</v>
      </c>
      <c r="L6418">
        <v>50000</v>
      </c>
      <c r="M6418">
        <v>1038</v>
      </c>
      <c r="N6418">
        <v>4778.2299999999996</v>
      </c>
      <c r="O6418">
        <v>2500</v>
      </c>
      <c r="P6418">
        <v>0</v>
      </c>
      <c r="Q6418">
        <v>80000</v>
      </c>
      <c r="R6418">
        <v>967</v>
      </c>
      <c r="S6418">
        <v>3264.28</v>
      </c>
      <c r="T6418">
        <v>2000</v>
      </c>
      <c r="U6418">
        <v>0</v>
      </c>
      <c r="V6418">
        <v>30000</v>
      </c>
      <c r="W6418">
        <v>908</v>
      </c>
      <c r="X6418">
        <v>768.44</v>
      </c>
      <c r="Y6418">
        <v>0</v>
      </c>
      <c r="Z6418">
        <v>0</v>
      </c>
      <c r="AA6418">
        <v>30000</v>
      </c>
      <c r="AB6418">
        <v>849</v>
      </c>
      <c r="AC6418">
        <v>565.54</v>
      </c>
      <c r="AD6418">
        <v>0</v>
      </c>
      <c r="AE6418">
        <v>0</v>
      </c>
      <c r="AF6418">
        <v>90000</v>
      </c>
      <c r="AG6418">
        <v>855</v>
      </c>
      <c r="AH6418">
        <v>835.18</v>
      </c>
      <c r="AI6418">
        <v>0</v>
      </c>
      <c r="AJ6418">
        <v>0</v>
      </c>
      <c r="AK6418">
        <v>50000</v>
      </c>
      <c r="AL6418">
        <v>770</v>
      </c>
      <c r="AM6418">
        <v>2778.18</v>
      </c>
      <c r="AN6418">
        <v>0</v>
      </c>
      <c r="AO6418">
        <v>0</v>
      </c>
      <c r="AP6418">
        <v>100000</v>
      </c>
      <c r="AQ6418">
        <v>802</v>
      </c>
      <c r="AR6418">
        <v>1390.96</v>
      </c>
      <c r="AS6418">
        <v>0</v>
      </c>
      <c r="AT6418">
        <v>0</v>
      </c>
      <c r="AU6418">
        <v>80000</v>
      </c>
    </row>
    <row r="6419" spans="1:47" x14ac:dyDescent="0.3">
      <c r="A6419" t="s">
        <v>33</v>
      </c>
      <c r="B6419" t="s">
        <v>390</v>
      </c>
      <c r="C6419">
        <v>627</v>
      </c>
      <c r="D6419">
        <v>3591.28</v>
      </c>
      <c r="E6419">
        <v>260</v>
      </c>
      <c r="F6419">
        <v>0</v>
      </c>
      <c r="G6419">
        <v>100000</v>
      </c>
      <c r="H6419">
        <v>587</v>
      </c>
      <c r="I6419">
        <v>729.81</v>
      </c>
      <c r="J6419">
        <v>0</v>
      </c>
      <c r="K6419">
        <v>0</v>
      </c>
      <c r="L6419">
        <v>15000</v>
      </c>
      <c r="M6419">
        <v>656</v>
      </c>
      <c r="N6419">
        <v>11736.01</v>
      </c>
      <c r="O6419">
        <v>2000</v>
      </c>
      <c r="P6419">
        <v>0</v>
      </c>
      <c r="Q6419">
        <v>3500000</v>
      </c>
      <c r="R6419">
        <v>634</v>
      </c>
      <c r="S6419">
        <v>3521.89</v>
      </c>
      <c r="T6419">
        <v>2000</v>
      </c>
      <c r="U6419">
        <v>0</v>
      </c>
      <c r="V6419">
        <v>50000</v>
      </c>
      <c r="W6419">
        <v>599</v>
      </c>
      <c r="X6419">
        <v>885.41</v>
      </c>
      <c r="Y6419">
        <v>0</v>
      </c>
      <c r="Z6419">
        <v>0</v>
      </c>
      <c r="AA6419">
        <v>30000</v>
      </c>
      <c r="AB6419">
        <v>569</v>
      </c>
      <c r="AC6419">
        <v>394.46</v>
      </c>
      <c r="AD6419">
        <v>0</v>
      </c>
      <c r="AE6419">
        <v>0</v>
      </c>
      <c r="AF6419">
        <v>25000</v>
      </c>
      <c r="AG6419">
        <v>573</v>
      </c>
      <c r="AH6419">
        <v>1325.87</v>
      </c>
      <c r="AI6419">
        <v>0</v>
      </c>
      <c r="AJ6419">
        <v>0</v>
      </c>
      <c r="AK6419">
        <v>100000</v>
      </c>
      <c r="AL6419">
        <v>474</v>
      </c>
      <c r="AM6419">
        <v>2391.77</v>
      </c>
      <c r="AN6419">
        <v>0</v>
      </c>
      <c r="AO6419">
        <v>0</v>
      </c>
      <c r="AP6419">
        <v>150000</v>
      </c>
      <c r="AQ6419">
        <v>539</v>
      </c>
      <c r="AR6419">
        <v>1419.6</v>
      </c>
      <c r="AS6419">
        <v>0</v>
      </c>
      <c r="AT6419">
        <v>0</v>
      </c>
      <c r="AU6419">
        <v>30000</v>
      </c>
    </row>
    <row r="6420" spans="1:47" x14ac:dyDescent="0.3">
      <c r="A6420" t="s">
        <v>33</v>
      </c>
      <c r="B6420" t="s">
        <v>365</v>
      </c>
      <c r="C6420">
        <v>120</v>
      </c>
      <c r="D6420">
        <v>4385.26</v>
      </c>
      <c r="E6420">
        <v>2000</v>
      </c>
      <c r="F6420">
        <v>0</v>
      </c>
      <c r="G6420">
        <v>50000</v>
      </c>
      <c r="H6420">
        <v>108</v>
      </c>
      <c r="I6420">
        <v>994.59</v>
      </c>
      <c r="J6420">
        <v>0</v>
      </c>
      <c r="K6420">
        <v>0</v>
      </c>
      <c r="L6420">
        <v>15000</v>
      </c>
      <c r="M6420">
        <v>123</v>
      </c>
      <c r="N6420">
        <v>5165.2700000000004</v>
      </c>
      <c r="O6420">
        <v>3000</v>
      </c>
      <c r="P6420">
        <v>0</v>
      </c>
      <c r="Q6420">
        <v>100000</v>
      </c>
      <c r="R6420">
        <v>129</v>
      </c>
      <c r="S6420">
        <v>3803.77</v>
      </c>
      <c r="T6420">
        <v>3000</v>
      </c>
      <c r="U6420">
        <v>0</v>
      </c>
      <c r="V6420">
        <v>15000</v>
      </c>
      <c r="W6420">
        <v>119</v>
      </c>
      <c r="X6420">
        <v>1319.68</v>
      </c>
      <c r="Y6420">
        <v>0</v>
      </c>
      <c r="Z6420">
        <v>0</v>
      </c>
      <c r="AA6420">
        <v>20000</v>
      </c>
      <c r="AB6420">
        <v>114</v>
      </c>
      <c r="AC6420">
        <v>217.6</v>
      </c>
      <c r="AD6420">
        <v>0</v>
      </c>
      <c r="AE6420">
        <v>0</v>
      </c>
      <c r="AF6420">
        <v>5000</v>
      </c>
      <c r="AG6420">
        <v>114</v>
      </c>
      <c r="AH6420">
        <v>1374.26</v>
      </c>
      <c r="AI6420">
        <v>0</v>
      </c>
      <c r="AJ6420">
        <v>0</v>
      </c>
      <c r="AK6420">
        <v>60000</v>
      </c>
      <c r="AL6420">
        <v>101</v>
      </c>
      <c r="AM6420">
        <v>2017.47</v>
      </c>
      <c r="AN6420">
        <v>0</v>
      </c>
      <c r="AO6420">
        <v>0</v>
      </c>
      <c r="AP6420">
        <v>25000</v>
      </c>
      <c r="AQ6420">
        <v>106</v>
      </c>
      <c r="AR6420">
        <v>2548.8000000000002</v>
      </c>
      <c r="AS6420">
        <v>0</v>
      </c>
      <c r="AT6420">
        <v>0</v>
      </c>
      <c r="AU6420">
        <v>16000</v>
      </c>
    </row>
    <row r="6421" spans="1:47" x14ac:dyDescent="0.3">
      <c r="A6421" t="s">
        <v>49</v>
      </c>
      <c r="B6421" t="s">
        <v>389</v>
      </c>
      <c r="C6421">
        <v>6364</v>
      </c>
      <c r="D6421">
        <v>3380.78</v>
      </c>
      <c r="E6421">
        <v>0</v>
      </c>
      <c r="F6421">
        <v>0</v>
      </c>
      <c r="G6421">
        <v>200000</v>
      </c>
      <c r="H6421">
        <v>6185</v>
      </c>
      <c r="I6421">
        <v>844.22</v>
      </c>
      <c r="J6421">
        <v>0</v>
      </c>
      <c r="K6421">
        <v>0</v>
      </c>
      <c r="L6421">
        <v>100000</v>
      </c>
      <c r="M6421">
        <v>7869</v>
      </c>
      <c r="N6421">
        <v>5765.83</v>
      </c>
      <c r="O6421">
        <v>3000</v>
      </c>
      <c r="P6421">
        <v>0</v>
      </c>
      <c r="Q6421">
        <v>300000</v>
      </c>
      <c r="R6421">
        <v>6897</v>
      </c>
      <c r="S6421">
        <v>3881</v>
      </c>
      <c r="T6421">
        <v>2000</v>
      </c>
      <c r="U6421">
        <v>0</v>
      </c>
      <c r="V6421">
        <v>100000</v>
      </c>
      <c r="W6421">
        <v>6210</v>
      </c>
      <c r="X6421">
        <v>1721.63</v>
      </c>
      <c r="Y6421">
        <v>0</v>
      </c>
      <c r="Z6421">
        <v>0</v>
      </c>
      <c r="AA6421">
        <v>100000</v>
      </c>
      <c r="AB6421">
        <v>5869</v>
      </c>
      <c r="AC6421">
        <v>1756.74</v>
      </c>
      <c r="AD6421">
        <v>0</v>
      </c>
      <c r="AE6421">
        <v>0</v>
      </c>
      <c r="AF6421">
        <v>200000</v>
      </c>
      <c r="AG6421">
        <v>5585</v>
      </c>
      <c r="AH6421">
        <v>1527.52</v>
      </c>
      <c r="AI6421">
        <v>0</v>
      </c>
      <c r="AJ6421">
        <v>0</v>
      </c>
      <c r="AK6421">
        <v>100000</v>
      </c>
      <c r="AL6421">
        <v>5004</v>
      </c>
      <c r="AM6421">
        <v>3192.94</v>
      </c>
      <c r="AN6421">
        <v>0</v>
      </c>
      <c r="AO6421">
        <v>0</v>
      </c>
      <c r="AP6421">
        <v>300000</v>
      </c>
      <c r="AQ6421">
        <v>5313</v>
      </c>
      <c r="AR6421">
        <v>1283.54</v>
      </c>
      <c r="AS6421">
        <v>0</v>
      </c>
      <c r="AT6421">
        <v>0</v>
      </c>
      <c r="AU6421">
        <v>100000</v>
      </c>
    </row>
    <row r="6422" spans="1:47" x14ac:dyDescent="0.3">
      <c r="A6422" t="s">
        <v>49</v>
      </c>
      <c r="B6422" t="s">
        <v>390</v>
      </c>
      <c r="C6422">
        <v>3132</v>
      </c>
      <c r="D6422">
        <v>4576.1899999999996</v>
      </c>
      <c r="E6422">
        <v>0</v>
      </c>
      <c r="F6422">
        <v>0</v>
      </c>
      <c r="G6422">
        <v>200000</v>
      </c>
      <c r="H6422">
        <v>2942</v>
      </c>
      <c r="I6422">
        <v>935.27</v>
      </c>
      <c r="J6422">
        <v>0</v>
      </c>
      <c r="K6422">
        <v>0</v>
      </c>
      <c r="L6422">
        <v>75000</v>
      </c>
      <c r="M6422">
        <v>3649</v>
      </c>
      <c r="N6422">
        <v>6573.88</v>
      </c>
      <c r="O6422">
        <v>2000</v>
      </c>
      <c r="P6422">
        <v>0</v>
      </c>
      <c r="Q6422">
        <v>3500000</v>
      </c>
      <c r="R6422">
        <v>3298</v>
      </c>
      <c r="S6422">
        <v>3796.06</v>
      </c>
      <c r="T6422">
        <v>2000</v>
      </c>
      <c r="U6422">
        <v>0</v>
      </c>
      <c r="V6422">
        <v>100000</v>
      </c>
      <c r="W6422">
        <v>2942</v>
      </c>
      <c r="X6422">
        <v>1095.83</v>
      </c>
      <c r="Y6422">
        <v>0</v>
      </c>
      <c r="Z6422">
        <v>0</v>
      </c>
      <c r="AA6422">
        <v>40000</v>
      </c>
      <c r="AB6422">
        <v>2809</v>
      </c>
      <c r="AC6422">
        <v>1110.74</v>
      </c>
      <c r="AD6422">
        <v>0</v>
      </c>
      <c r="AE6422">
        <v>0</v>
      </c>
      <c r="AF6422">
        <v>100000</v>
      </c>
      <c r="AG6422">
        <v>2727</v>
      </c>
      <c r="AH6422">
        <v>1739.04</v>
      </c>
      <c r="AI6422">
        <v>0</v>
      </c>
      <c r="AJ6422">
        <v>0</v>
      </c>
      <c r="AK6422">
        <v>100000</v>
      </c>
      <c r="AL6422">
        <v>2344</v>
      </c>
      <c r="AM6422">
        <v>4292.92</v>
      </c>
      <c r="AN6422">
        <v>0</v>
      </c>
      <c r="AO6422">
        <v>0</v>
      </c>
      <c r="AP6422">
        <v>300000</v>
      </c>
      <c r="AQ6422">
        <v>2521</v>
      </c>
      <c r="AR6422">
        <v>1767.78</v>
      </c>
      <c r="AS6422">
        <v>0</v>
      </c>
      <c r="AT6422">
        <v>0</v>
      </c>
      <c r="AU6422">
        <v>100000</v>
      </c>
    </row>
    <row r="6423" spans="1:47" x14ac:dyDescent="0.3">
      <c r="A6423" t="s">
        <v>49</v>
      </c>
      <c r="B6423" t="s">
        <v>365</v>
      </c>
      <c r="C6423">
        <v>545</v>
      </c>
      <c r="D6423">
        <v>5160.05</v>
      </c>
      <c r="E6423">
        <v>1000</v>
      </c>
      <c r="F6423">
        <v>0</v>
      </c>
      <c r="G6423">
        <v>100000</v>
      </c>
      <c r="H6423">
        <v>521</v>
      </c>
      <c r="I6423">
        <v>1118.3399999999999</v>
      </c>
      <c r="J6423">
        <v>0</v>
      </c>
      <c r="K6423">
        <v>0</v>
      </c>
      <c r="L6423">
        <v>17000</v>
      </c>
      <c r="M6423">
        <v>627</v>
      </c>
      <c r="N6423">
        <v>7350.67</v>
      </c>
      <c r="O6423">
        <v>3500</v>
      </c>
      <c r="P6423">
        <v>0</v>
      </c>
      <c r="Q6423">
        <v>100000</v>
      </c>
      <c r="R6423">
        <v>602</v>
      </c>
      <c r="S6423">
        <v>4816.1899999999996</v>
      </c>
      <c r="T6423">
        <v>3500</v>
      </c>
      <c r="U6423">
        <v>0</v>
      </c>
      <c r="V6423">
        <v>40000</v>
      </c>
      <c r="W6423">
        <v>548</v>
      </c>
      <c r="X6423">
        <v>2512.25</v>
      </c>
      <c r="Y6423">
        <v>0</v>
      </c>
      <c r="Z6423">
        <v>0</v>
      </c>
      <c r="AA6423">
        <v>60000</v>
      </c>
      <c r="AB6423">
        <v>489</v>
      </c>
      <c r="AC6423">
        <v>1175.9100000000001</v>
      </c>
      <c r="AD6423">
        <v>0</v>
      </c>
      <c r="AE6423">
        <v>0</v>
      </c>
      <c r="AF6423">
        <v>100000</v>
      </c>
      <c r="AG6423">
        <v>477</v>
      </c>
      <c r="AH6423">
        <v>1974.31</v>
      </c>
      <c r="AI6423">
        <v>0</v>
      </c>
      <c r="AJ6423">
        <v>0</v>
      </c>
      <c r="AK6423">
        <v>100000</v>
      </c>
      <c r="AL6423">
        <v>376</v>
      </c>
      <c r="AM6423">
        <v>4040.77</v>
      </c>
      <c r="AN6423">
        <v>0</v>
      </c>
      <c r="AO6423">
        <v>0</v>
      </c>
      <c r="AP6423">
        <v>150000</v>
      </c>
      <c r="AQ6423">
        <v>437</v>
      </c>
      <c r="AR6423">
        <v>2255.89</v>
      </c>
      <c r="AS6423">
        <v>0</v>
      </c>
      <c r="AT6423">
        <v>0</v>
      </c>
      <c r="AU6423">
        <v>100000</v>
      </c>
    </row>
    <row r="6425" spans="1:47" x14ac:dyDescent="0.3">
      <c r="A6425" t="s">
        <v>2097</v>
      </c>
    </row>
    <row r="6426" spans="1:47" x14ac:dyDescent="0.3">
      <c r="A6426" t="s">
        <v>44</v>
      </c>
      <c r="B6426" t="s">
        <v>361</v>
      </c>
      <c r="C6426" t="s">
        <v>2049</v>
      </c>
      <c r="D6426" t="s">
        <v>2050</v>
      </c>
      <c r="E6426" t="s">
        <v>2051</v>
      </c>
      <c r="F6426" t="s">
        <v>2052</v>
      </c>
      <c r="G6426" t="s">
        <v>2053</v>
      </c>
      <c r="H6426" t="s">
        <v>2054</v>
      </c>
      <c r="I6426" t="s">
        <v>2055</v>
      </c>
      <c r="J6426" t="s">
        <v>2056</v>
      </c>
      <c r="K6426" t="s">
        <v>2057</v>
      </c>
      <c r="L6426" t="s">
        <v>2058</v>
      </c>
      <c r="M6426" t="s">
        <v>2059</v>
      </c>
      <c r="N6426" t="s">
        <v>2060</v>
      </c>
      <c r="O6426" t="s">
        <v>2061</v>
      </c>
      <c r="P6426" t="s">
        <v>2062</v>
      </c>
      <c r="Q6426" t="s">
        <v>2063</v>
      </c>
      <c r="R6426" t="s">
        <v>2064</v>
      </c>
      <c r="S6426" t="s">
        <v>2065</v>
      </c>
      <c r="T6426" t="s">
        <v>2066</v>
      </c>
      <c r="U6426" t="s">
        <v>2067</v>
      </c>
      <c r="V6426" t="s">
        <v>2068</v>
      </c>
      <c r="W6426" t="s">
        <v>2069</v>
      </c>
      <c r="X6426" t="s">
        <v>2070</v>
      </c>
      <c r="Y6426" t="s">
        <v>2071</v>
      </c>
      <c r="Z6426" t="s">
        <v>2072</v>
      </c>
      <c r="AA6426" t="s">
        <v>2073</v>
      </c>
      <c r="AB6426" t="s">
        <v>2074</v>
      </c>
      <c r="AC6426" t="s">
        <v>2075</v>
      </c>
      <c r="AD6426" t="s">
        <v>2076</v>
      </c>
      <c r="AE6426" t="s">
        <v>2077</v>
      </c>
      <c r="AF6426" t="s">
        <v>2078</v>
      </c>
      <c r="AG6426" t="s">
        <v>2079</v>
      </c>
      <c r="AH6426" t="s">
        <v>2080</v>
      </c>
      <c r="AI6426" t="s">
        <v>2081</v>
      </c>
      <c r="AJ6426" t="s">
        <v>2082</v>
      </c>
      <c r="AK6426" t="s">
        <v>2083</v>
      </c>
      <c r="AL6426" t="s">
        <v>2084</v>
      </c>
      <c r="AM6426" t="s">
        <v>2085</v>
      </c>
      <c r="AN6426" t="s">
        <v>2086</v>
      </c>
      <c r="AO6426" t="s">
        <v>2087</v>
      </c>
      <c r="AP6426" t="s">
        <v>2088</v>
      </c>
      <c r="AQ6426" t="s">
        <v>2089</v>
      </c>
      <c r="AR6426" t="s">
        <v>2090</v>
      </c>
      <c r="AS6426" t="s">
        <v>2091</v>
      </c>
      <c r="AT6426" t="s">
        <v>2092</v>
      </c>
      <c r="AU6426" t="s">
        <v>2093</v>
      </c>
    </row>
    <row r="6427" spans="1:47" x14ac:dyDescent="0.3">
      <c r="A6427" t="s">
        <v>35</v>
      </c>
      <c r="B6427" t="s">
        <v>339</v>
      </c>
      <c r="C6427">
        <v>702</v>
      </c>
      <c r="D6427">
        <v>2396.7800000000002</v>
      </c>
      <c r="E6427">
        <v>0</v>
      </c>
      <c r="F6427">
        <v>0</v>
      </c>
      <c r="G6427">
        <v>200000</v>
      </c>
      <c r="H6427">
        <v>687</v>
      </c>
      <c r="I6427">
        <v>314.49</v>
      </c>
      <c r="J6427">
        <v>0</v>
      </c>
      <c r="K6427">
        <v>0</v>
      </c>
      <c r="L6427">
        <v>20000</v>
      </c>
      <c r="M6427">
        <v>838</v>
      </c>
      <c r="N6427">
        <v>6170.46</v>
      </c>
      <c r="O6427">
        <v>3500</v>
      </c>
      <c r="P6427">
        <v>0</v>
      </c>
      <c r="Q6427">
        <v>100000</v>
      </c>
      <c r="R6427">
        <v>700</v>
      </c>
      <c r="S6427">
        <v>1913.13</v>
      </c>
      <c r="T6427">
        <v>0</v>
      </c>
      <c r="U6427">
        <v>0</v>
      </c>
      <c r="V6427">
        <v>100000</v>
      </c>
      <c r="W6427">
        <v>692</v>
      </c>
      <c r="X6427">
        <v>924.94</v>
      </c>
      <c r="Y6427">
        <v>0</v>
      </c>
      <c r="Z6427">
        <v>0</v>
      </c>
      <c r="AA6427">
        <v>50000</v>
      </c>
      <c r="AB6427">
        <v>673</v>
      </c>
      <c r="AC6427">
        <v>1686.02</v>
      </c>
      <c r="AD6427">
        <v>0</v>
      </c>
      <c r="AE6427">
        <v>0</v>
      </c>
      <c r="AF6427">
        <v>62000</v>
      </c>
      <c r="AG6427">
        <v>627</v>
      </c>
      <c r="AH6427">
        <v>643.29</v>
      </c>
      <c r="AI6427">
        <v>0</v>
      </c>
      <c r="AJ6427">
        <v>0</v>
      </c>
      <c r="AK6427">
        <v>40000</v>
      </c>
      <c r="AL6427">
        <v>558</v>
      </c>
      <c r="AM6427">
        <v>1272.72</v>
      </c>
      <c r="AN6427">
        <v>0</v>
      </c>
      <c r="AO6427">
        <v>0</v>
      </c>
      <c r="AP6427">
        <v>80000</v>
      </c>
      <c r="AQ6427">
        <v>564</v>
      </c>
      <c r="AR6427">
        <v>715.31</v>
      </c>
      <c r="AS6427">
        <v>0</v>
      </c>
      <c r="AT6427">
        <v>0</v>
      </c>
      <c r="AU6427">
        <v>50000</v>
      </c>
    </row>
    <row r="6428" spans="1:47" x14ac:dyDescent="0.3">
      <c r="A6428" t="s">
        <v>35</v>
      </c>
      <c r="B6428" t="s">
        <v>340</v>
      </c>
      <c r="C6428">
        <v>1634</v>
      </c>
      <c r="D6428">
        <v>3236.29</v>
      </c>
      <c r="E6428">
        <v>0</v>
      </c>
      <c r="F6428">
        <v>0</v>
      </c>
      <c r="G6428">
        <v>120000</v>
      </c>
      <c r="H6428">
        <v>1560</v>
      </c>
      <c r="I6428">
        <v>1005.5</v>
      </c>
      <c r="J6428">
        <v>0</v>
      </c>
      <c r="K6428">
        <v>0</v>
      </c>
      <c r="L6428">
        <v>100000</v>
      </c>
      <c r="M6428">
        <v>1968</v>
      </c>
      <c r="N6428">
        <v>5207.41</v>
      </c>
      <c r="O6428">
        <v>3000</v>
      </c>
      <c r="P6428">
        <v>0</v>
      </c>
      <c r="Q6428">
        <v>100000</v>
      </c>
      <c r="R6428">
        <v>1755</v>
      </c>
      <c r="S6428">
        <v>5557.94</v>
      </c>
      <c r="T6428">
        <v>3000</v>
      </c>
      <c r="U6428">
        <v>0</v>
      </c>
      <c r="V6428">
        <v>80000</v>
      </c>
      <c r="W6428">
        <v>1655</v>
      </c>
      <c r="X6428">
        <v>2686.64</v>
      </c>
      <c r="Y6428">
        <v>0</v>
      </c>
      <c r="Z6428">
        <v>0</v>
      </c>
      <c r="AA6428">
        <v>100000</v>
      </c>
      <c r="AB6428">
        <v>1517</v>
      </c>
      <c r="AC6428">
        <v>1996.89</v>
      </c>
      <c r="AD6428">
        <v>0</v>
      </c>
      <c r="AE6428">
        <v>0</v>
      </c>
      <c r="AF6428">
        <v>100000</v>
      </c>
      <c r="AG6428">
        <v>1365</v>
      </c>
      <c r="AH6428">
        <v>2881.36</v>
      </c>
      <c r="AI6428">
        <v>0</v>
      </c>
      <c r="AJ6428">
        <v>0</v>
      </c>
      <c r="AK6428">
        <v>100000</v>
      </c>
      <c r="AL6428">
        <v>1116</v>
      </c>
      <c r="AM6428">
        <v>4416.96</v>
      </c>
      <c r="AN6428">
        <v>0</v>
      </c>
      <c r="AO6428">
        <v>0</v>
      </c>
      <c r="AP6428">
        <v>200000</v>
      </c>
      <c r="AQ6428">
        <v>1225</v>
      </c>
      <c r="AR6428">
        <v>1365.3</v>
      </c>
      <c r="AS6428">
        <v>0</v>
      </c>
      <c r="AT6428">
        <v>0</v>
      </c>
      <c r="AU6428">
        <v>100000</v>
      </c>
    </row>
    <row r="6429" spans="1:47" x14ac:dyDescent="0.3">
      <c r="A6429" t="s">
        <v>35</v>
      </c>
      <c r="B6429" t="s">
        <v>365</v>
      </c>
      <c r="C6429">
        <v>18</v>
      </c>
      <c r="D6429">
        <v>5598.09</v>
      </c>
      <c r="E6429">
        <v>0</v>
      </c>
      <c r="F6429">
        <v>0</v>
      </c>
      <c r="G6429">
        <v>100000</v>
      </c>
      <c r="H6429">
        <v>24</v>
      </c>
      <c r="I6429">
        <v>1919.7</v>
      </c>
      <c r="J6429">
        <v>0</v>
      </c>
      <c r="K6429">
        <v>0</v>
      </c>
      <c r="L6429">
        <v>25000</v>
      </c>
      <c r="M6429">
        <v>37</v>
      </c>
      <c r="N6429">
        <v>3590.45</v>
      </c>
      <c r="O6429">
        <v>1000</v>
      </c>
      <c r="P6429">
        <v>0</v>
      </c>
      <c r="Q6429">
        <v>50000</v>
      </c>
      <c r="R6429">
        <v>33</v>
      </c>
      <c r="S6429">
        <v>3336.29</v>
      </c>
      <c r="T6429">
        <v>2000</v>
      </c>
      <c r="U6429">
        <v>0</v>
      </c>
      <c r="V6429">
        <v>40000</v>
      </c>
      <c r="W6429">
        <v>27</v>
      </c>
      <c r="X6429">
        <v>3194.51</v>
      </c>
      <c r="Y6429">
        <v>2000</v>
      </c>
      <c r="Z6429">
        <v>0</v>
      </c>
      <c r="AA6429">
        <v>72000</v>
      </c>
      <c r="AB6429">
        <v>14</v>
      </c>
      <c r="AC6429">
        <v>382.06</v>
      </c>
      <c r="AD6429">
        <v>0</v>
      </c>
      <c r="AE6429">
        <v>0</v>
      </c>
      <c r="AF6429">
        <v>4000</v>
      </c>
      <c r="AG6429">
        <v>14</v>
      </c>
      <c r="AH6429">
        <v>5416.21</v>
      </c>
      <c r="AI6429">
        <v>0</v>
      </c>
      <c r="AJ6429">
        <v>0</v>
      </c>
      <c r="AK6429">
        <v>30000</v>
      </c>
      <c r="AL6429">
        <v>10</v>
      </c>
      <c r="AM6429">
        <v>423.05</v>
      </c>
      <c r="AN6429">
        <v>0</v>
      </c>
      <c r="AO6429">
        <v>0</v>
      </c>
      <c r="AP6429">
        <v>5000</v>
      </c>
      <c r="AQ6429">
        <v>15</v>
      </c>
      <c r="AR6429">
        <v>709.72</v>
      </c>
      <c r="AS6429">
        <v>200</v>
      </c>
      <c r="AT6429">
        <v>0</v>
      </c>
      <c r="AU6429">
        <v>10000</v>
      </c>
    </row>
    <row r="6430" spans="1:47" x14ac:dyDescent="0.3">
      <c r="A6430" t="s">
        <v>37</v>
      </c>
      <c r="B6430" t="s">
        <v>339</v>
      </c>
      <c r="C6430">
        <v>778</v>
      </c>
      <c r="D6430">
        <v>3797.17</v>
      </c>
      <c r="E6430">
        <v>0</v>
      </c>
      <c r="F6430">
        <v>0</v>
      </c>
      <c r="G6430">
        <v>100000</v>
      </c>
      <c r="H6430">
        <v>735</v>
      </c>
      <c r="I6430">
        <v>713.07</v>
      </c>
      <c r="J6430">
        <v>0</v>
      </c>
      <c r="K6430">
        <v>0</v>
      </c>
      <c r="L6430">
        <v>40000</v>
      </c>
      <c r="M6430">
        <v>1050</v>
      </c>
      <c r="N6430">
        <v>7273.05</v>
      </c>
      <c r="O6430">
        <v>3500</v>
      </c>
      <c r="P6430">
        <v>0</v>
      </c>
      <c r="Q6430">
        <v>200000</v>
      </c>
      <c r="R6430">
        <v>811</v>
      </c>
      <c r="S6430">
        <v>2678.56</v>
      </c>
      <c r="T6430">
        <v>1000</v>
      </c>
      <c r="U6430">
        <v>0</v>
      </c>
      <c r="V6430">
        <v>60000</v>
      </c>
      <c r="W6430">
        <v>722</v>
      </c>
      <c r="X6430">
        <v>1189.95</v>
      </c>
      <c r="Y6430">
        <v>0</v>
      </c>
      <c r="Z6430">
        <v>0</v>
      </c>
      <c r="AA6430">
        <v>50000</v>
      </c>
      <c r="AB6430">
        <v>683</v>
      </c>
      <c r="AC6430">
        <v>481.69</v>
      </c>
      <c r="AD6430">
        <v>0</v>
      </c>
      <c r="AE6430">
        <v>0</v>
      </c>
      <c r="AF6430">
        <v>50000</v>
      </c>
      <c r="AG6430">
        <v>655</v>
      </c>
      <c r="AH6430">
        <v>839.18</v>
      </c>
      <c r="AI6430">
        <v>0</v>
      </c>
      <c r="AJ6430">
        <v>0</v>
      </c>
      <c r="AK6430">
        <v>100000</v>
      </c>
      <c r="AL6430">
        <v>630</v>
      </c>
      <c r="AM6430">
        <v>3809.69</v>
      </c>
      <c r="AN6430">
        <v>0</v>
      </c>
      <c r="AO6430">
        <v>0</v>
      </c>
      <c r="AP6430">
        <v>300000</v>
      </c>
      <c r="AQ6430">
        <v>616</v>
      </c>
      <c r="AR6430">
        <v>895.84</v>
      </c>
      <c r="AS6430">
        <v>0</v>
      </c>
      <c r="AT6430">
        <v>0</v>
      </c>
      <c r="AU6430">
        <v>40000</v>
      </c>
    </row>
    <row r="6431" spans="1:47" x14ac:dyDescent="0.3">
      <c r="A6431" t="s">
        <v>37</v>
      </c>
      <c r="B6431" t="s">
        <v>340</v>
      </c>
      <c r="C6431">
        <v>2037</v>
      </c>
      <c r="D6431">
        <v>5517.51</v>
      </c>
      <c r="E6431">
        <v>0</v>
      </c>
      <c r="F6431">
        <v>0</v>
      </c>
      <c r="G6431">
        <v>130000</v>
      </c>
      <c r="H6431">
        <v>1985</v>
      </c>
      <c r="I6431">
        <v>1168.7</v>
      </c>
      <c r="J6431">
        <v>0</v>
      </c>
      <c r="K6431">
        <v>0</v>
      </c>
      <c r="L6431">
        <v>100000</v>
      </c>
      <c r="M6431">
        <v>2529</v>
      </c>
      <c r="N6431">
        <v>4238.55</v>
      </c>
      <c r="O6431">
        <v>2000</v>
      </c>
      <c r="P6431">
        <v>0</v>
      </c>
      <c r="Q6431">
        <v>100000</v>
      </c>
      <c r="R6431">
        <v>2280</v>
      </c>
      <c r="S6431">
        <v>4368.8100000000004</v>
      </c>
      <c r="T6431">
        <v>3000</v>
      </c>
      <c r="U6431">
        <v>0</v>
      </c>
      <c r="V6431">
        <v>50000</v>
      </c>
      <c r="W6431">
        <v>1996</v>
      </c>
      <c r="X6431">
        <v>1445.55</v>
      </c>
      <c r="Y6431">
        <v>0</v>
      </c>
      <c r="Z6431">
        <v>0</v>
      </c>
      <c r="AA6431">
        <v>50000</v>
      </c>
      <c r="AB6431">
        <v>1782</v>
      </c>
      <c r="AC6431">
        <v>480.39</v>
      </c>
      <c r="AD6431">
        <v>0</v>
      </c>
      <c r="AE6431">
        <v>0</v>
      </c>
      <c r="AF6431">
        <v>100000</v>
      </c>
      <c r="AG6431">
        <v>1740</v>
      </c>
      <c r="AH6431">
        <v>1673.31</v>
      </c>
      <c r="AI6431">
        <v>0</v>
      </c>
      <c r="AJ6431">
        <v>0</v>
      </c>
      <c r="AK6431">
        <v>100000</v>
      </c>
      <c r="AL6431">
        <v>1529</v>
      </c>
      <c r="AM6431">
        <v>5482.68</v>
      </c>
      <c r="AN6431">
        <v>0</v>
      </c>
      <c r="AO6431">
        <v>0</v>
      </c>
      <c r="AP6431">
        <v>300000</v>
      </c>
      <c r="AQ6431">
        <v>1679</v>
      </c>
      <c r="AR6431">
        <v>1254.01</v>
      </c>
      <c r="AS6431">
        <v>0</v>
      </c>
      <c r="AT6431">
        <v>0</v>
      </c>
      <c r="AU6431">
        <v>100000</v>
      </c>
    </row>
    <row r="6432" spans="1:47" x14ac:dyDescent="0.3">
      <c r="A6432" t="s">
        <v>37</v>
      </c>
      <c r="B6432" t="s">
        <v>365</v>
      </c>
      <c r="C6432">
        <v>31</v>
      </c>
      <c r="D6432">
        <v>5158.75</v>
      </c>
      <c r="E6432">
        <v>0</v>
      </c>
      <c r="F6432">
        <v>0</v>
      </c>
      <c r="G6432">
        <v>80000</v>
      </c>
      <c r="H6432">
        <v>29</v>
      </c>
      <c r="I6432">
        <v>707.94</v>
      </c>
      <c r="J6432">
        <v>500</v>
      </c>
      <c r="K6432">
        <v>0</v>
      </c>
      <c r="L6432">
        <v>5000</v>
      </c>
      <c r="M6432">
        <v>35</v>
      </c>
      <c r="N6432">
        <v>5670.83</v>
      </c>
      <c r="O6432">
        <v>3000</v>
      </c>
      <c r="P6432">
        <v>0</v>
      </c>
      <c r="Q6432">
        <v>40000</v>
      </c>
      <c r="R6432">
        <v>36</v>
      </c>
      <c r="S6432">
        <v>9603.77</v>
      </c>
      <c r="T6432">
        <v>8000</v>
      </c>
      <c r="U6432">
        <v>0</v>
      </c>
      <c r="V6432">
        <v>50000</v>
      </c>
      <c r="W6432">
        <v>35</v>
      </c>
      <c r="X6432">
        <v>2797.27</v>
      </c>
      <c r="Y6432">
        <v>1000</v>
      </c>
      <c r="Z6432">
        <v>0</v>
      </c>
      <c r="AA6432">
        <v>32000</v>
      </c>
      <c r="AB6432">
        <v>25</v>
      </c>
      <c r="AC6432">
        <v>44.44</v>
      </c>
      <c r="AD6432">
        <v>0</v>
      </c>
      <c r="AE6432">
        <v>0</v>
      </c>
      <c r="AF6432">
        <v>1200</v>
      </c>
      <c r="AG6432">
        <v>25</v>
      </c>
      <c r="AH6432">
        <v>1522.89</v>
      </c>
      <c r="AI6432">
        <v>0</v>
      </c>
      <c r="AJ6432">
        <v>0</v>
      </c>
      <c r="AK6432">
        <v>35000</v>
      </c>
      <c r="AL6432">
        <v>26</v>
      </c>
      <c r="AM6432">
        <v>2154.85</v>
      </c>
      <c r="AN6432">
        <v>0</v>
      </c>
      <c r="AO6432">
        <v>0</v>
      </c>
      <c r="AP6432">
        <v>15000</v>
      </c>
      <c r="AQ6432">
        <v>25</v>
      </c>
      <c r="AR6432">
        <v>2125.3000000000002</v>
      </c>
      <c r="AS6432">
        <v>0</v>
      </c>
      <c r="AT6432">
        <v>0</v>
      </c>
      <c r="AU6432">
        <v>40000</v>
      </c>
    </row>
    <row r="6433" spans="1:47" x14ac:dyDescent="0.3">
      <c r="A6433" t="s">
        <v>36</v>
      </c>
      <c r="B6433" t="s">
        <v>339</v>
      </c>
      <c r="C6433">
        <v>453</v>
      </c>
      <c r="D6433">
        <v>6319.98</v>
      </c>
      <c r="E6433">
        <v>650</v>
      </c>
      <c r="F6433">
        <v>0</v>
      </c>
      <c r="G6433">
        <v>130000</v>
      </c>
      <c r="H6433">
        <v>411</v>
      </c>
      <c r="I6433">
        <v>978.63</v>
      </c>
      <c r="J6433">
        <v>0</v>
      </c>
      <c r="K6433">
        <v>0</v>
      </c>
      <c r="L6433">
        <v>75000</v>
      </c>
      <c r="M6433">
        <v>667</v>
      </c>
      <c r="N6433">
        <v>8752.1299999999992</v>
      </c>
      <c r="O6433">
        <v>5000</v>
      </c>
      <c r="P6433">
        <v>0</v>
      </c>
      <c r="Q6433">
        <v>300000</v>
      </c>
      <c r="R6433">
        <v>508</v>
      </c>
      <c r="S6433">
        <v>2473.48</v>
      </c>
      <c r="T6433">
        <v>1000</v>
      </c>
      <c r="U6433">
        <v>0</v>
      </c>
      <c r="V6433">
        <v>40000</v>
      </c>
      <c r="W6433">
        <v>381</v>
      </c>
      <c r="X6433">
        <v>1435.13</v>
      </c>
      <c r="Y6433">
        <v>0</v>
      </c>
      <c r="Z6433">
        <v>0</v>
      </c>
      <c r="AA6433">
        <v>50000</v>
      </c>
      <c r="AB6433">
        <v>388</v>
      </c>
      <c r="AC6433">
        <v>4833.0600000000004</v>
      </c>
      <c r="AD6433">
        <v>0</v>
      </c>
      <c r="AE6433">
        <v>0</v>
      </c>
      <c r="AF6433">
        <v>100000</v>
      </c>
      <c r="AG6433">
        <v>360</v>
      </c>
      <c r="AH6433">
        <v>2280.38</v>
      </c>
      <c r="AI6433">
        <v>0</v>
      </c>
      <c r="AJ6433">
        <v>0</v>
      </c>
      <c r="AK6433">
        <v>100000</v>
      </c>
      <c r="AL6433">
        <v>361</v>
      </c>
      <c r="AM6433">
        <v>2217.13</v>
      </c>
      <c r="AN6433">
        <v>0</v>
      </c>
      <c r="AO6433">
        <v>0</v>
      </c>
      <c r="AP6433">
        <v>100000</v>
      </c>
      <c r="AQ6433">
        <v>381</v>
      </c>
      <c r="AR6433">
        <v>4885.25</v>
      </c>
      <c r="AS6433">
        <v>0</v>
      </c>
      <c r="AT6433">
        <v>0</v>
      </c>
      <c r="AU6433">
        <v>100000</v>
      </c>
    </row>
    <row r="6434" spans="1:47" x14ac:dyDescent="0.3">
      <c r="A6434" t="s">
        <v>36</v>
      </c>
      <c r="B6434" t="s">
        <v>340</v>
      </c>
      <c r="C6434">
        <v>823</v>
      </c>
      <c r="D6434">
        <v>6215.49</v>
      </c>
      <c r="E6434">
        <v>1000</v>
      </c>
      <c r="F6434">
        <v>0</v>
      </c>
      <c r="G6434">
        <v>200000</v>
      </c>
      <c r="H6434">
        <v>769</v>
      </c>
      <c r="I6434">
        <v>1589.39</v>
      </c>
      <c r="J6434">
        <v>700</v>
      </c>
      <c r="K6434">
        <v>0</v>
      </c>
      <c r="L6434">
        <v>100000</v>
      </c>
      <c r="M6434">
        <v>1197</v>
      </c>
      <c r="N6434">
        <v>5821.36</v>
      </c>
      <c r="O6434">
        <v>2000</v>
      </c>
      <c r="P6434">
        <v>0</v>
      </c>
      <c r="Q6434">
        <v>100000</v>
      </c>
      <c r="R6434">
        <v>1064</v>
      </c>
      <c r="S6434">
        <v>5192.1499999999996</v>
      </c>
      <c r="T6434">
        <v>3000</v>
      </c>
      <c r="U6434">
        <v>0</v>
      </c>
      <c r="V6434">
        <v>50000</v>
      </c>
      <c r="W6434">
        <v>698</v>
      </c>
      <c r="X6434">
        <v>2875.6</v>
      </c>
      <c r="Y6434">
        <v>400</v>
      </c>
      <c r="Z6434">
        <v>0</v>
      </c>
      <c r="AA6434">
        <v>40000</v>
      </c>
      <c r="AB6434">
        <v>660</v>
      </c>
      <c r="AC6434">
        <v>3105.95</v>
      </c>
      <c r="AD6434">
        <v>0</v>
      </c>
      <c r="AE6434">
        <v>0</v>
      </c>
      <c r="AF6434">
        <v>100000</v>
      </c>
      <c r="AG6434">
        <v>620</v>
      </c>
      <c r="AH6434">
        <v>2785.19</v>
      </c>
      <c r="AI6434">
        <v>0</v>
      </c>
      <c r="AJ6434">
        <v>0</v>
      </c>
      <c r="AK6434">
        <v>99000</v>
      </c>
      <c r="AL6434">
        <v>614</v>
      </c>
      <c r="AM6434">
        <v>4064.6</v>
      </c>
      <c r="AN6434">
        <v>0</v>
      </c>
      <c r="AO6434">
        <v>0</v>
      </c>
      <c r="AP6434">
        <v>150000</v>
      </c>
      <c r="AQ6434">
        <v>628</v>
      </c>
      <c r="AR6434">
        <v>2849.03</v>
      </c>
      <c r="AS6434">
        <v>0</v>
      </c>
      <c r="AT6434">
        <v>0</v>
      </c>
      <c r="AU6434">
        <v>100000</v>
      </c>
    </row>
    <row r="6435" spans="1:47" x14ac:dyDescent="0.3">
      <c r="A6435" t="s">
        <v>36</v>
      </c>
      <c r="B6435" t="s">
        <v>365</v>
      </c>
      <c r="C6435">
        <v>24</v>
      </c>
      <c r="D6435">
        <v>5194.25</v>
      </c>
      <c r="E6435">
        <v>2500</v>
      </c>
      <c r="F6435">
        <v>0</v>
      </c>
      <c r="G6435">
        <v>27000</v>
      </c>
      <c r="H6435">
        <v>20</v>
      </c>
      <c r="I6435">
        <v>2463.6</v>
      </c>
      <c r="J6435">
        <v>1600</v>
      </c>
      <c r="K6435">
        <v>0</v>
      </c>
      <c r="L6435">
        <v>20000</v>
      </c>
      <c r="M6435">
        <v>43</v>
      </c>
      <c r="N6435">
        <v>8717.17</v>
      </c>
      <c r="O6435">
        <v>2000</v>
      </c>
      <c r="P6435">
        <v>0</v>
      </c>
      <c r="Q6435">
        <v>80000</v>
      </c>
      <c r="R6435">
        <v>48</v>
      </c>
      <c r="S6435">
        <v>3654.44</v>
      </c>
      <c r="T6435">
        <v>2500</v>
      </c>
      <c r="U6435">
        <v>300</v>
      </c>
      <c r="V6435">
        <v>10000</v>
      </c>
      <c r="W6435">
        <v>31</v>
      </c>
      <c r="X6435">
        <v>4070.32</v>
      </c>
      <c r="Y6435">
        <v>900</v>
      </c>
      <c r="Z6435">
        <v>0</v>
      </c>
      <c r="AA6435">
        <v>22000</v>
      </c>
      <c r="AB6435">
        <v>17</v>
      </c>
      <c r="AC6435">
        <v>4609.3599999999997</v>
      </c>
      <c r="AD6435">
        <v>900</v>
      </c>
      <c r="AE6435">
        <v>0</v>
      </c>
      <c r="AF6435">
        <v>54000</v>
      </c>
      <c r="AG6435">
        <v>13</v>
      </c>
      <c r="AH6435">
        <v>2298.25</v>
      </c>
      <c r="AI6435">
        <v>0</v>
      </c>
      <c r="AJ6435">
        <v>0</v>
      </c>
      <c r="AK6435">
        <v>30000</v>
      </c>
      <c r="AL6435">
        <v>13</v>
      </c>
      <c r="AM6435">
        <v>613.35</v>
      </c>
      <c r="AN6435">
        <v>0</v>
      </c>
      <c r="AO6435">
        <v>0</v>
      </c>
      <c r="AP6435">
        <v>10000</v>
      </c>
      <c r="AQ6435">
        <v>15</v>
      </c>
      <c r="AR6435">
        <v>10428.19</v>
      </c>
      <c r="AS6435">
        <v>15000</v>
      </c>
      <c r="AT6435">
        <v>0</v>
      </c>
      <c r="AU6435">
        <v>22000</v>
      </c>
    </row>
    <row r="6436" spans="1:47" x14ac:dyDescent="0.3">
      <c r="A6436" t="s">
        <v>34</v>
      </c>
      <c r="B6436" t="s">
        <v>339</v>
      </c>
      <c r="C6436">
        <v>493</v>
      </c>
      <c r="D6436">
        <v>3074.86</v>
      </c>
      <c r="E6436">
        <v>0</v>
      </c>
      <c r="F6436">
        <v>0</v>
      </c>
      <c r="G6436">
        <v>88000</v>
      </c>
      <c r="H6436">
        <v>481</v>
      </c>
      <c r="I6436">
        <v>644.96</v>
      </c>
      <c r="J6436">
        <v>0</v>
      </c>
      <c r="K6436">
        <v>0</v>
      </c>
      <c r="L6436">
        <v>25000</v>
      </c>
      <c r="M6436">
        <v>526</v>
      </c>
      <c r="N6436">
        <v>9746.43</v>
      </c>
      <c r="O6436">
        <v>5000</v>
      </c>
      <c r="P6436">
        <v>0</v>
      </c>
      <c r="Q6436">
        <v>144000</v>
      </c>
      <c r="R6436">
        <v>482</v>
      </c>
      <c r="S6436">
        <v>2211.0300000000002</v>
      </c>
      <c r="T6436">
        <v>0</v>
      </c>
      <c r="U6436">
        <v>0</v>
      </c>
      <c r="V6436">
        <v>80000</v>
      </c>
      <c r="W6436">
        <v>471</v>
      </c>
      <c r="X6436">
        <v>1337.67</v>
      </c>
      <c r="Y6436">
        <v>0</v>
      </c>
      <c r="Z6436">
        <v>0</v>
      </c>
      <c r="AA6436">
        <v>84000</v>
      </c>
      <c r="AB6436">
        <v>488</v>
      </c>
      <c r="AC6436">
        <v>3748.12</v>
      </c>
      <c r="AD6436">
        <v>0</v>
      </c>
      <c r="AE6436">
        <v>0</v>
      </c>
      <c r="AF6436">
        <v>200000</v>
      </c>
      <c r="AG6436">
        <v>479</v>
      </c>
      <c r="AH6436">
        <v>1358.12</v>
      </c>
      <c r="AI6436">
        <v>0</v>
      </c>
      <c r="AJ6436">
        <v>0</v>
      </c>
      <c r="AK6436">
        <v>60000</v>
      </c>
      <c r="AL6436">
        <v>424</v>
      </c>
      <c r="AM6436">
        <v>1424.63</v>
      </c>
      <c r="AN6436">
        <v>0</v>
      </c>
      <c r="AO6436">
        <v>0</v>
      </c>
      <c r="AP6436">
        <v>100000</v>
      </c>
      <c r="AQ6436">
        <v>452</v>
      </c>
      <c r="AR6436">
        <v>1771.09</v>
      </c>
      <c r="AS6436">
        <v>0</v>
      </c>
      <c r="AT6436">
        <v>0</v>
      </c>
      <c r="AU6436">
        <v>100000</v>
      </c>
    </row>
    <row r="6437" spans="1:47" x14ac:dyDescent="0.3">
      <c r="A6437" t="s">
        <v>34</v>
      </c>
      <c r="B6437" t="s">
        <v>340</v>
      </c>
      <c r="C6437">
        <v>1370</v>
      </c>
      <c r="D6437">
        <v>2673.87</v>
      </c>
      <c r="E6437">
        <v>0</v>
      </c>
      <c r="F6437">
        <v>0</v>
      </c>
      <c r="G6437">
        <v>100000</v>
      </c>
      <c r="H6437">
        <v>1355</v>
      </c>
      <c r="I6437">
        <v>746.57</v>
      </c>
      <c r="J6437">
        <v>0</v>
      </c>
      <c r="K6437">
        <v>0</v>
      </c>
      <c r="L6437">
        <v>60000</v>
      </c>
      <c r="M6437">
        <v>1420</v>
      </c>
      <c r="N6437">
        <v>5562.22</v>
      </c>
      <c r="O6437">
        <v>3000</v>
      </c>
      <c r="P6437">
        <v>0</v>
      </c>
      <c r="Q6437">
        <v>100000</v>
      </c>
      <c r="R6437">
        <v>1335</v>
      </c>
      <c r="S6437">
        <v>3587.24</v>
      </c>
      <c r="T6437">
        <v>1500</v>
      </c>
      <c r="U6437">
        <v>0</v>
      </c>
      <c r="V6437">
        <v>100000</v>
      </c>
      <c r="W6437">
        <v>1348</v>
      </c>
      <c r="X6437">
        <v>1273.55</v>
      </c>
      <c r="Y6437">
        <v>0</v>
      </c>
      <c r="Z6437">
        <v>0</v>
      </c>
      <c r="AA6437">
        <v>50000</v>
      </c>
      <c r="AB6437">
        <v>1370</v>
      </c>
      <c r="AC6437">
        <v>1974.02</v>
      </c>
      <c r="AD6437">
        <v>0</v>
      </c>
      <c r="AE6437">
        <v>0</v>
      </c>
      <c r="AF6437">
        <v>90000</v>
      </c>
      <c r="AG6437">
        <v>1331</v>
      </c>
      <c r="AH6437">
        <v>1311.37</v>
      </c>
      <c r="AI6437">
        <v>0</v>
      </c>
      <c r="AJ6437">
        <v>0</v>
      </c>
      <c r="AK6437">
        <v>100000</v>
      </c>
      <c r="AL6437">
        <v>1085</v>
      </c>
      <c r="AM6437">
        <v>3762.33</v>
      </c>
      <c r="AN6437">
        <v>0</v>
      </c>
      <c r="AO6437">
        <v>0</v>
      </c>
      <c r="AP6437">
        <v>115000</v>
      </c>
      <c r="AQ6437">
        <v>1209</v>
      </c>
      <c r="AR6437">
        <v>1680.7</v>
      </c>
      <c r="AS6437">
        <v>0</v>
      </c>
      <c r="AT6437">
        <v>0</v>
      </c>
      <c r="AU6437">
        <v>100000</v>
      </c>
    </row>
    <row r="6438" spans="1:47" x14ac:dyDescent="0.3">
      <c r="A6438" t="s">
        <v>34</v>
      </c>
      <c r="B6438" t="s">
        <v>365</v>
      </c>
      <c r="C6438">
        <v>16</v>
      </c>
      <c r="D6438">
        <v>21645.66</v>
      </c>
      <c r="E6438">
        <v>0</v>
      </c>
      <c r="F6438">
        <v>0</v>
      </c>
      <c r="G6438">
        <v>180000</v>
      </c>
      <c r="H6438">
        <v>16</v>
      </c>
      <c r="I6438">
        <v>325.45999999999998</v>
      </c>
      <c r="J6438">
        <v>0</v>
      </c>
      <c r="K6438">
        <v>0</v>
      </c>
      <c r="L6438">
        <v>2000</v>
      </c>
      <c r="M6438">
        <v>18</v>
      </c>
      <c r="N6438">
        <v>13149.01</v>
      </c>
      <c r="O6438">
        <v>3000</v>
      </c>
      <c r="P6438">
        <v>200</v>
      </c>
      <c r="Q6438">
        <v>100000</v>
      </c>
      <c r="R6438">
        <v>15</v>
      </c>
      <c r="S6438">
        <v>4586.3</v>
      </c>
      <c r="T6438">
        <v>4000</v>
      </c>
      <c r="U6438">
        <v>0</v>
      </c>
      <c r="V6438">
        <v>20000</v>
      </c>
      <c r="W6438">
        <v>18</v>
      </c>
      <c r="X6438">
        <v>1859.66</v>
      </c>
      <c r="Y6438">
        <v>0</v>
      </c>
      <c r="Z6438">
        <v>0</v>
      </c>
      <c r="AA6438">
        <v>20000</v>
      </c>
      <c r="AB6438">
        <v>18</v>
      </c>
      <c r="AC6438">
        <v>266.67</v>
      </c>
      <c r="AD6438">
        <v>0</v>
      </c>
      <c r="AE6438">
        <v>0</v>
      </c>
      <c r="AF6438">
        <v>4000</v>
      </c>
      <c r="AG6438">
        <v>18</v>
      </c>
      <c r="AH6438">
        <v>3937.23</v>
      </c>
      <c r="AI6438">
        <v>600</v>
      </c>
      <c r="AJ6438">
        <v>0</v>
      </c>
      <c r="AK6438">
        <v>25000</v>
      </c>
      <c r="AL6438">
        <v>13</v>
      </c>
      <c r="AM6438">
        <v>2049.86</v>
      </c>
      <c r="AN6438">
        <v>0</v>
      </c>
      <c r="AO6438">
        <v>0</v>
      </c>
      <c r="AP6438">
        <v>10000</v>
      </c>
      <c r="AQ6438">
        <v>15</v>
      </c>
      <c r="AR6438">
        <v>10757.92</v>
      </c>
      <c r="AS6438">
        <v>0</v>
      </c>
      <c r="AT6438">
        <v>0</v>
      </c>
      <c r="AU6438">
        <v>80000</v>
      </c>
    </row>
    <row r="6439" spans="1:47" x14ac:dyDescent="0.3">
      <c r="A6439" t="s">
        <v>33</v>
      </c>
      <c r="B6439" t="s">
        <v>339</v>
      </c>
      <c r="C6439">
        <v>417</v>
      </c>
      <c r="D6439">
        <v>2546.1</v>
      </c>
      <c r="E6439">
        <v>200</v>
      </c>
      <c r="F6439">
        <v>0</v>
      </c>
      <c r="G6439">
        <v>100000</v>
      </c>
      <c r="H6439">
        <v>392</v>
      </c>
      <c r="I6439">
        <v>657.49</v>
      </c>
      <c r="J6439">
        <v>0</v>
      </c>
      <c r="K6439">
        <v>0</v>
      </c>
      <c r="L6439">
        <v>50000</v>
      </c>
      <c r="M6439">
        <v>482</v>
      </c>
      <c r="N6439">
        <v>17052.259999999998</v>
      </c>
      <c r="O6439">
        <v>4000</v>
      </c>
      <c r="P6439">
        <v>0</v>
      </c>
      <c r="Q6439">
        <v>3500000</v>
      </c>
      <c r="R6439">
        <v>425</v>
      </c>
      <c r="S6439">
        <v>1837.78</v>
      </c>
      <c r="T6439">
        <v>200</v>
      </c>
      <c r="U6439">
        <v>0</v>
      </c>
      <c r="V6439">
        <v>20000</v>
      </c>
      <c r="W6439">
        <v>387</v>
      </c>
      <c r="X6439">
        <v>500.51</v>
      </c>
      <c r="Y6439">
        <v>0</v>
      </c>
      <c r="Z6439">
        <v>0</v>
      </c>
      <c r="AA6439">
        <v>15000</v>
      </c>
      <c r="AB6439">
        <v>375</v>
      </c>
      <c r="AC6439">
        <v>475.18</v>
      </c>
      <c r="AD6439">
        <v>0</v>
      </c>
      <c r="AE6439">
        <v>0</v>
      </c>
      <c r="AF6439">
        <v>25000</v>
      </c>
      <c r="AG6439">
        <v>372</v>
      </c>
      <c r="AH6439">
        <v>474.36</v>
      </c>
      <c r="AI6439">
        <v>0</v>
      </c>
      <c r="AJ6439">
        <v>0</v>
      </c>
      <c r="AK6439">
        <v>25000</v>
      </c>
      <c r="AL6439">
        <v>334</v>
      </c>
      <c r="AM6439">
        <v>1236.6400000000001</v>
      </c>
      <c r="AN6439">
        <v>0</v>
      </c>
      <c r="AO6439">
        <v>0</v>
      </c>
      <c r="AP6439">
        <v>50000</v>
      </c>
      <c r="AQ6439">
        <v>342</v>
      </c>
      <c r="AR6439">
        <v>1326.36</v>
      </c>
      <c r="AS6439">
        <v>0</v>
      </c>
      <c r="AT6439">
        <v>0</v>
      </c>
      <c r="AU6439">
        <v>30000</v>
      </c>
    </row>
    <row r="6440" spans="1:47" x14ac:dyDescent="0.3">
      <c r="A6440" t="s">
        <v>33</v>
      </c>
      <c r="B6440" t="s">
        <v>340</v>
      </c>
      <c r="C6440">
        <v>1232</v>
      </c>
      <c r="D6440">
        <v>4247.95</v>
      </c>
      <c r="E6440">
        <v>500</v>
      </c>
      <c r="F6440">
        <v>0</v>
      </c>
      <c r="G6440">
        <v>100000</v>
      </c>
      <c r="H6440">
        <v>1172</v>
      </c>
      <c r="I6440">
        <v>915.02</v>
      </c>
      <c r="J6440">
        <v>0</v>
      </c>
      <c r="K6440">
        <v>0</v>
      </c>
      <c r="L6440">
        <v>20000</v>
      </c>
      <c r="M6440">
        <v>1319</v>
      </c>
      <c r="N6440">
        <v>3664.09</v>
      </c>
      <c r="O6440">
        <v>2000</v>
      </c>
      <c r="P6440">
        <v>0</v>
      </c>
      <c r="Q6440">
        <v>70000</v>
      </c>
      <c r="R6440">
        <v>1290</v>
      </c>
      <c r="S6440">
        <v>3911.51</v>
      </c>
      <c r="T6440">
        <v>3000</v>
      </c>
      <c r="U6440">
        <v>0</v>
      </c>
      <c r="V6440">
        <v>50000</v>
      </c>
      <c r="W6440">
        <v>1223</v>
      </c>
      <c r="X6440">
        <v>955.13</v>
      </c>
      <c r="Y6440">
        <v>0</v>
      </c>
      <c r="Z6440">
        <v>0</v>
      </c>
      <c r="AA6440">
        <v>30000</v>
      </c>
      <c r="AB6440">
        <v>1147</v>
      </c>
      <c r="AC6440">
        <v>481.75</v>
      </c>
      <c r="AD6440">
        <v>0</v>
      </c>
      <c r="AE6440">
        <v>0</v>
      </c>
      <c r="AF6440">
        <v>90000</v>
      </c>
      <c r="AG6440">
        <v>1160</v>
      </c>
      <c r="AH6440">
        <v>1258.52</v>
      </c>
      <c r="AI6440">
        <v>0</v>
      </c>
      <c r="AJ6440">
        <v>0</v>
      </c>
      <c r="AK6440">
        <v>100000</v>
      </c>
      <c r="AL6440">
        <v>1002</v>
      </c>
      <c r="AM6440">
        <v>3080.09</v>
      </c>
      <c r="AN6440">
        <v>0</v>
      </c>
      <c r="AO6440">
        <v>0</v>
      </c>
      <c r="AP6440">
        <v>150000</v>
      </c>
      <c r="AQ6440">
        <v>1095</v>
      </c>
      <c r="AR6440">
        <v>1522.99</v>
      </c>
      <c r="AS6440">
        <v>0</v>
      </c>
      <c r="AT6440">
        <v>0</v>
      </c>
      <c r="AU6440">
        <v>80000</v>
      </c>
    </row>
    <row r="6441" spans="1:47" x14ac:dyDescent="0.3">
      <c r="A6441" t="s">
        <v>33</v>
      </c>
      <c r="B6441" t="s">
        <v>365</v>
      </c>
      <c r="C6441">
        <v>13</v>
      </c>
      <c r="D6441">
        <v>5885.5</v>
      </c>
      <c r="E6441">
        <v>5000</v>
      </c>
      <c r="F6441">
        <v>0</v>
      </c>
      <c r="G6441">
        <v>21000</v>
      </c>
      <c r="H6441">
        <v>12</v>
      </c>
      <c r="I6441">
        <v>905.99</v>
      </c>
      <c r="J6441">
        <v>1000</v>
      </c>
      <c r="K6441">
        <v>0</v>
      </c>
      <c r="L6441">
        <v>2000</v>
      </c>
      <c r="M6441">
        <v>16</v>
      </c>
      <c r="N6441">
        <v>3186.83</v>
      </c>
      <c r="O6441">
        <v>2000</v>
      </c>
      <c r="P6441">
        <v>0</v>
      </c>
      <c r="Q6441">
        <v>14000</v>
      </c>
      <c r="R6441">
        <v>15</v>
      </c>
      <c r="S6441">
        <v>4999.16</v>
      </c>
      <c r="T6441">
        <v>5000</v>
      </c>
      <c r="U6441">
        <v>2000</v>
      </c>
      <c r="V6441">
        <v>10000</v>
      </c>
      <c r="W6441">
        <v>16</v>
      </c>
      <c r="X6441">
        <v>1461.33</v>
      </c>
      <c r="Y6441">
        <v>900</v>
      </c>
      <c r="Z6441">
        <v>0</v>
      </c>
      <c r="AA6441">
        <v>5000</v>
      </c>
      <c r="AB6441">
        <v>10</v>
      </c>
      <c r="AC6441">
        <v>0</v>
      </c>
      <c r="AD6441">
        <v>0</v>
      </c>
      <c r="AE6441">
        <v>0</v>
      </c>
      <c r="AF6441">
        <v>0</v>
      </c>
      <c r="AG6441">
        <v>10</v>
      </c>
      <c r="AH6441">
        <v>195.21</v>
      </c>
      <c r="AI6441">
        <v>0</v>
      </c>
      <c r="AJ6441">
        <v>0</v>
      </c>
      <c r="AK6441">
        <v>2000</v>
      </c>
      <c r="AL6441">
        <v>9</v>
      </c>
      <c r="AM6441">
        <v>555.08000000000004</v>
      </c>
      <c r="AN6441">
        <v>0</v>
      </c>
      <c r="AO6441">
        <v>0</v>
      </c>
      <c r="AP6441">
        <v>5000</v>
      </c>
      <c r="AQ6441">
        <v>10</v>
      </c>
      <c r="AR6441">
        <v>2061.7399999999998</v>
      </c>
      <c r="AS6441">
        <v>0</v>
      </c>
      <c r="AT6441">
        <v>0</v>
      </c>
      <c r="AU6441">
        <v>8000</v>
      </c>
    </row>
    <row r="6442" spans="1:47" x14ac:dyDescent="0.3">
      <c r="A6442" t="s">
        <v>49</v>
      </c>
      <c r="B6442" t="s">
        <v>339</v>
      </c>
      <c r="C6442">
        <v>2843</v>
      </c>
      <c r="D6442">
        <v>3159.47</v>
      </c>
      <c r="E6442">
        <v>0</v>
      </c>
      <c r="F6442">
        <v>0</v>
      </c>
      <c r="G6442">
        <v>200000</v>
      </c>
      <c r="H6442">
        <v>2706</v>
      </c>
      <c r="I6442">
        <v>580.48</v>
      </c>
      <c r="J6442">
        <v>0</v>
      </c>
      <c r="K6442">
        <v>0</v>
      </c>
      <c r="L6442">
        <v>75000</v>
      </c>
      <c r="M6442">
        <v>3563</v>
      </c>
      <c r="N6442">
        <v>9069.5</v>
      </c>
      <c r="O6442">
        <v>4000</v>
      </c>
      <c r="P6442">
        <v>0</v>
      </c>
      <c r="Q6442">
        <v>3500000</v>
      </c>
      <c r="R6442">
        <v>2926</v>
      </c>
      <c r="S6442">
        <v>2205.33</v>
      </c>
      <c r="T6442">
        <v>300</v>
      </c>
      <c r="U6442">
        <v>0</v>
      </c>
      <c r="V6442">
        <v>100000</v>
      </c>
      <c r="W6442">
        <v>2653</v>
      </c>
      <c r="X6442">
        <v>1052.2</v>
      </c>
      <c r="Y6442">
        <v>0</v>
      </c>
      <c r="Z6442">
        <v>0</v>
      </c>
      <c r="AA6442">
        <v>84000</v>
      </c>
      <c r="AB6442">
        <v>2607</v>
      </c>
      <c r="AC6442">
        <v>1943.08</v>
      </c>
      <c r="AD6442">
        <v>0</v>
      </c>
      <c r="AE6442">
        <v>0</v>
      </c>
      <c r="AF6442">
        <v>200000</v>
      </c>
      <c r="AG6442">
        <v>2493</v>
      </c>
      <c r="AH6442">
        <v>934.75</v>
      </c>
      <c r="AI6442">
        <v>0</v>
      </c>
      <c r="AJ6442">
        <v>0</v>
      </c>
      <c r="AK6442">
        <v>100000</v>
      </c>
      <c r="AL6442">
        <v>2307</v>
      </c>
      <c r="AM6442">
        <v>2029.98</v>
      </c>
      <c r="AN6442">
        <v>0</v>
      </c>
      <c r="AO6442">
        <v>0</v>
      </c>
      <c r="AP6442">
        <v>300000</v>
      </c>
      <c r="AQ6442">
        <v>2355</v>
      </c>
      <c r="AR6442">
        <v>1351.5</v>
      </c>
      <c r="AS6442">
        <v>0</v>
      </c>
      <c r="AT6442">
        <v>0</v>
      </c>
      <c r="AU6442">
        <v>100000</v>
      </c>
    </row>
    <row r="6443" spans="1:47" x14ac:dyDescent="0.3">
      <c r="A6443" t="s">
        <v>49</v>
      </c>
      <c r="B6443" t="s">
        <v>340</v>
      </c>
      <c r="C6443">
        <v>7096</v>
      </c>
      <c r="D6443">
        <v>4069.51</v>
      </c>
      <c r="E6443">
        <v>0</v>
      </c>
      <c r="F6443">
        <v>0</v>
      </c>
      <c r="G6443">
        <v>200000</v>
      </c>
      <c r="H6443">
        <v>6841</v>
      </c>
      <c r="I6443">
        <v>1010.56</v>
      </c>
      <c r="J6443">
        <v>0</v>
      </c>
      <c r="K6443">
        <v>0</v>
      </c>
      <c r="L6443">
        <v>100000</v>
      </c>
      <c r="M6443">
        <v>8433</v>
      </c>
      <c r="N6443">
        <v>4775.2299999999996</v>
      </c>
      <c r="O6443">
        <v>2000</v>
      </c>
      <c r="P6443">
        <v>0</v>
      </c>
      <c r="Q6443">
        <v>100000</v>
      </c>
      <c r="R6443">
        <v>7724</v>
      </c>
      <c r="S6443">
        <v>4554.67</v>
      </c>
      <c r="T6443">
        <v>2700</v>
      </c>
      <c r="U6443">
        <v>0</v>
      </c>
      <c r="V6443">
        <v>100000</v>
      </c>
      <c r="W6443">
        <v>6920</v>
      </c>
      <c r="X6443">
        <v>1768.19</v>
      </c>
      <c r="Y6443">
        <v>0</v>
      </c>
      <c r="Z6443">
        <v>0</v>
      </c>
      <c r="AA6443">
        <v>100000</v>
      </c>
      <c r="AB6443">
        <v>6476</v>
      </c>
      <c r="AC6443">
        <v>1365.6</v>
      </c>
      <c r="AD6443">
        <v>0</v>
      </c>
      <c r="AE6443">
        <v>0</v>
      </c>
      <c r="AF6443">
        <v>100000</v>
      </c>
      <c r="AG6443">
        <v>6216</v>
      </c>
      <c r="AH6443">
        <v>1893.59</v>
      </c>
      <c r="AI6443">
        <v>0</v>
      </c>
      <c r="AJ6443">
        <v>0</v>
      </c>
      <c r="AK6443">
        <v>100000</v>
      </c>
      <c r="AL6443">
        <v>5346</v>
      </c>
      <c r="AM6443">
        <v>4307.8900000000003</v>
      </c>
      <c r="AN6443">
        <v>0</v>
      </c>
      <c r="AO6443">
        <v>0</v>
      </c>
      <c r="AP6443">
        <v>300000</v>
      </c>
      <c r="AQ6443">
        <v>5836</v>
      </c>
      <c r="AR6443">
        <v>1490.76</v>
      </c>
      <c r="AS6443">
        <v>0</v>
      </c>
      <c r="AT6443">
        <v>0</v>
      </c>
      <c r="AU6443">
        <v>100000</v>
      </c>
    </row>
    <row r="6444" spans="1:47" x14ac:dyDescent="0.3">
      <c r="A6444" t="s">
        <v>49</v>
      </c>
      <c r="B6444" t="s">
        <v>365</v>
      </c>
      <c r="C6444">
        <v>102</v>
      </c>
      <c r="D6444">
        <v>8763.36</v>
      </c>
      <c r="E6444">
        <v>0</v>
      </c>
      <c r="F6444">
        <v>0</v>
      </c>
      <c r="G6444">
        <v>180000</v>
      </c>
      <c r="H6444">
        <v>101</v>
      </c>
      <c r="I6444">
        <v>1208</v>
      </c>
      <c r="J6444">
        <v>0</v>
      </c>
      <c r="K6444">
        <v>0</v>
      </c>
      <c r="L6444">
        <v>25000</v>
      </c>
      <c r="M6444">
        <v>149</v>
      </c>
      <c r="N6444">
        <v>6457.57</v>
      </c>
      <c r="O6444">
        <v>2000</v>
      </c>
      <c r="P6444">
        <v>0</v>
      </c>
      <c r="Q6444">
        <v>100000</v>
      </c>
      <c r="R6444">
        <v>147</v>
      </c>
      <c r="S6444">
        <v>5418.14</v>
      </c>
      <c r="T6444">
        <v>4000</v>
      </c>
      <c r="U6444">
        <v>0</v>
      </c>
      <c r="V6444">
        <v>50000</v>
      </c>
      <c r="W6444">
        <v>127</v>
      </c>
      <c r="X6444">
        <v>2682.79</v>
      </c>
      <c r="Y6444">
        <v>1000</v>
      </c>
      <c r="Z6444">
        <v>0</v>
      </c>
      <c r="AA6444">
        <v>72000</v>
      </c>
      <c r="AB6444">
        <v>84</v>
      </c>
      <c r="AC6444">
        <v>515.65</v>
      </c>
      <c r="AD6444">
        <v>0</v>
      </c>
      <c r="AE6444">
        <v>0</v>
      </c>
      <c r="AF6444">
        <v>54000</v>
      </c>
      <c r="AG6444">
        <v>80</v>
      </c>
      <c r="AH6444">
        <v>2949.49</v>
      </c>
      <c r="AI6444">
        <v>0</v>
      </c>
      <c r="AJ6444">
        <v>0</v>
      </c>
      <c r="AK6444">
        <v>35000</v>
      </c>
      <c r="AL6444">
        <v>71</v>
      </c>
      <c r="AM6444">
        <v>1398.71</v>
      </c>
      <c r="AN6444">
        <v>0</v>
      </c>
      <c r="AO6444">
        <v>0</v>
      </c>
      <c r="AP6444">
        <v>15000</v>
      </c>
      <c r="AQ6444">
        <v>80</v>
      </c>
      <c r="AR6444">
        <v>4610.83</v>
      </c>
      <c r="AS6444">
        <v>0</v>
      </c>
      <c r="AT6444">
        <v>0</v>
      </c>
      <c r="AU6444">
        <v>80000</v>
      </c>
    </row>
    <row r="6446" spans="1:47" x14ac:dyDescent="0.3">
      <c r="A6446" t="s">
        <v>2098</v>
      </c>
    </row>
    <row r="6447" spans="1:47" x14ac:dyDescent="0.3">
      <c r="A6447" t="s">
        <v>44</v>
      </c>
      <c r="B6447" t="s">
        <v>32</v>
      </c>
      <c r="C6447" t="s">
        <v>352</v>
      </c>
      <c r="D6447" t="s">
        <v>66</v>
      </c>
      <c r="E6447" t="s">
        <v>193</v>
      </c>
      <c r="F6447" t="s">
        <v>67</v>
      </c>
    </row>
    <row r="6448" spans="1:47" x14ac:dyDescent="0.3">
      <c r="A6448" t="s">
        <v>35</v>
      </c>
      <c r="B6448">
        <v>3145</v>
      </c>
      <c r="C6448" t="s">
        <v>132</v>
      </c>
      <c r="D6448" t="s">
        <v>1497</v>
      </c>
      <c r="E6448" t="s">
        <v>207</v>
      </c>
      <c r="F6448" t="s">
        <v>609</v>
      </c>
    </row>
    <row r="6449" spans="1:7" x14ac:dyDescent="0.3">
      <c r="A6449" t="s">
        <v>37</v>
      </c>
      <c r="B6449">
        <v>3855</v>
      </c>
      <c r="C6449" t="s">
        <v>114</v>
      </c>
      <c r="D6449" t="s">
        <v>1101</v>
      </c>
      <c r="E6449" t="s">
        <v>136</v>
      </c>
      <c r="F6449" t="s">
        <v>631</v>
      </c>
    </row>
    <row r="6450" spans="1:7" x14ac:dyDescent="0.3">
      <c r="A6450" t="s">
        <v>36</v>
      </c>
      <c r="B6450">
        <v>2305</v>
      </c>
      <c r="C6450" t="s">
        <v>253</v>
      </c>
      <c r="D6450" t="s">
        <v>1154</v>
      </c>
      <c r="E6450" t="s">
        <v>136</v>
      </c>
      <c r="F6450" t="s">
        <v>562</v>
      </c>
    </row>
    <row r="6451" spans="1:7" x14ac:dyDescent="0.3">
      <c r="A6451" t="s">
        <v>34</v>
      </c>
      <c r="B6451">
        <v>2080</v>
      </c>
      <c r="C6451" t="s">
        <v>127</v>
      </c>
      <c r="D6451" t="s">
        <v>1498</v>
      </c>
      <c r="E6451" t="s">
        <v>121</v>
      </c>
      <c r="F6451" t="s">
        <v>808</v>
      </c>
    </row>
    <row r="6452" spans="1:7" x14ac:dyDescent="0.3">
      <c r="A6452" t="s">
        <v>33</v>
      </c>
      <c r="B6452">
        <v>1937</v>
      </c>
      <c r="C6452" t="s">
        <v>115</v>
      </c>
      <c r="D6452" t="s">
        <v>593</v>
      </c>
      <c r="E6452" t="s">
        <v>198</v>
      </c>
      <c r="F6452" t="s">
        <v>838</v>
      </c>
    </row>
    <row r="6453" spans="1:7" x14ac:dyDescent="0.3">
      <c r="A6453" t="s">
        <v>49</v>
      </c>
      <c r="B6453">
        <v>13322</v>
      </c>
      <c r="C6453" t="s">
        <v>114</v>
      </c>
      <c r="D6453" t="s">
        <v>1239</v>
      </c>
      <c r="E6453" t="s">
        <v>141</v>
      </c>
      <c r="F6453" t="s">
        <v>538</v>
      </c>
    </row>
    <row r="6455" spans="1:7" x14ac:dyDescent="0.3">
      <c r="A6455" t="s">
        <v>2099</v>
      </c>
    </row>
    <row r="6456" spans="1:7" x14ac:dyDescent="0.3">
      <c r="A6456" t="s">
        <v>44</v>
      </c>
      <c r="B6456" t="s">
        <v>361</v>
      </c>
      <c r="C6456" t="s">
        <v>32</v>
      </c>
      <c r="D6456" t="s">
        <v>352</v>
      </c>
      <c r="E6456" t="s">
        <v>66</v>
      </c>
      <c r="F6456" t="s">
        <v>193</v>
      </c>
      <c r="G6456" t="s">
        <v>67</v>
      </c>
    </row>
    <row r="6457" spans="1:7" x14ac:dyDescent="0.3">
      <c r="A6457" t="s">
        <v>35</v>
      </c>
      <c r="B6457" t="s">
        <v>339</v>
      </c>
      <c r="C6457">
        <v>890</v>
      </c>
      <c r="D6457" t="s">
        <v>108</v>
      </c>
      <c r="E6457" t="s">
        <v>532</v>
      </c>
      <c r="F6457" t="s">
        <v>207</v>
      </c>
      <c r="G6457" t="s">
        <v>562</v>
      </c>
    </row>
    <row r="6458" spans="1:7" x14ac:dyDescent="0.3">
      <c r="A6458" t="s">
        <v>35</v>
      </c>
      <c r="B6458" t="s">
        <v>340</v>
      </c>
      <c r="C6458">
        <v>2215</v>
      </c>
      <c r="D6458" t="s">
        <v>115</v>
      </c>
      <c r="E6458" t="s">
        <v>896</v>
      </c>
      <c r="F6458" t="s">
        <v>207</v>
      </c>
      <c r="G6458" t="s">
        <v>725</v>
      </c>
    </row>
    <row r="6459" spans="1:7" x14ac:dyDescent="0.3">
      <c r="A6459" t="s">
        <v>35</v>
      </c>
      <c r="B6459" t="s">
        <v>365</v>
      </c>
      <c r="C6459">
        <v>40</v>
      </c>
      <c r="D6459" t="s">
        <v>136</v>
      </c>
      <c r="E6459" t="s">
        <v>634</v>
      </c>
      <c r="F6459" t="s">
        <v>99</v>
      </c>
      <c r="G6459" t="s">
        <v>527</v>
      </c>
    </row>
    <row r="6460" spans="1:7" x14ac:dyDescent="0.3">
      <c r="A6460" t="s">
        <v>37</v>
      </c>
      <c r="B6460" t="s">
        <v>339</v>
      </c>
      <c r="C6460">
        <v>1093</v>
      </c>
      <c r="D6460" t="s">
        <v>115</v>
      </c>
      <c r="E6460" t="s">
        <v>1120</v>
      </c>
      <c r="F6460" t="s">
        <v>141</v>
      </c>
      <c r="G6460" t="s">
        <v>625</v>
      </c>
    </row>
    <row r="6461" spans="1:7" x14ac:dyDescent="0.3">
      <c r="A6461" t="s">
        <v>37</v>
      </c>
      <c r="B6461" t="s">
        <v>340</v>
      </c>
      <c r="C6461">
        <v>2721</v>
      </c>
      <c r="D6461" t="s">
        <v>100</v>
      </c>
      <c r="E6461" t="s">
        <v>1474</v>
      </c>
      <c r="F6461" t="s">
        <v>136</v>
      </c>
      <c r="G6461" t="s">
        <v>794</v>
      </c>
    </row>
    <row r="6462" spans="1:7" x14ac:dyDescent="0.3">
      <c r="A6462" t="s">
        <v>37</v>
      </c>
      <c r="B6462" t="s">
        <v>365</v>
      </c>
      <c r="C6462">
        <v>41</v>
      </c>
      <c r="D6462" t="s">
        <v>292</v>
      </c>
      <c r="E6462" t="s">
        <v>1051</v>
      </c>
      <c r="F6462" t="s">
        <v>99</v>
      </c>
      <c r="G6462" t="s">
        <v>1576</v>
      </c>
    </row>
    <row r="6463" spans="1:7" x14ac:dyDescent="0.3">
      <c r="A6463" t="s">
        <v>36</v>
      </c>
      <c r="B6463" t="s">
        <v>339</v>
      </c>
      <c r="C6463">
        <v>770</v>
      </c>
      <c r="D6463" t="s">
        <v>207</v>
      </c>
      <c r="E6463" t="s">
        <v>929</v>
      </c>
      <c r="F6463" t="s">
        <v>132</v>
      </c>
      <c r="G6463" t="s">
        <v>581</v>
      </c>
    </row>
    <row r="6464" spans="1:7" x14ac:dyDescent="0.3">
      <c r="A6464" t="s">
        <v>36</v>
      </c>
      <c r="B6464" t="s">
        <v>340</v>
      </c>
      <c r="C6464">
        <v>1472</v>
      </c>
      <c r="D6464" t="s">
        <v>115</v>
      </c>
      <c r="E6464" t="s">
        <v>899</v>
      </c>
      <c r="F6464" t="s">
        <v>207</v>
      </c>
      <c r="G6464" t="s">
        <v>641</v>
      </c>
    </row>
    <row r="6465" spans="1:7" x14ac:dyDescent="0.3">
      <c r="A6465" t="s">
        <v>36</v>
      </c>
      <c r="B6465" t="s">
        <v>365</v>
      </c>
      <c r="C6465">
        <v>63</v>
      </c>
      <c r="D6465" t="s">
        <v>99</v>
      </c>
      <c r="E6465" t="s">
        <v>951</v>
      </c>
      <c r="F6465" t="s">
        <v>99</v>
      </c>
      <c r="G6465" t="s">
        <v>817</v>
      </c>
    </row>
    <row r="6466" spans="1:7" x14ac:dyDescent="0.3">
      <c r="A6466" t="s">
        <v>34</v>
      </c>
      <c r="B6466" t="s">
        <v>339</v>
      </c>
      <c r="C6466">
        <v>555</v>
      </c>
      <c r="D6466" t="s">
        <v>382</v>
      </c>
      <c r="E6466" t="s">
        <v>797</v>
      </c>
      <c r="F6466" t="s">
        <v>141</v>
      </c>
      <c r="G6466" t="s">
        <v>1474</v>
      </c>
    </row>
    <row r="6467" spans="1:7" x14ac:dyDescent="0.3">
      <c r="A6467" t="s">
        <v>34</v>
      </c>
      <c r="B6467" t="s">
        <v>340</v>
      </c>
      <c r="C6467">
        <v>1497</v>
      </c>
      <c r="D6467" t="s">
        <v>215</v>
      </c>
      <c r="E6467" t="s">
        <v>1176</v>
      </c>
      <c r="F6467" t="s">
        <v>382</v>
      </c>
      <c r="G6467" t="s">
        <v>645</v>
      </c>
    </row>
    <row r="6468" spans="1:7" x14ac:dyDescent="0.3">
      <c r="A6468" t="s">
        <v>34</v>
      </c>
      <c r="B6468" t="s">
        <v>365</v>
      </c>
      <c r="C6468">
        <v>28</v>
      </c>
      <c r="D6468" t="s">
        <v>220</v>
      </c>
      <c r="E6468" t="s">
        <v>1222</v>
      </c>
      <c r="F6468" t="s">
        <v>123</v>
      </c>
      <c r="G6468" t="s">
        <v>941</v>
      </c>
    </row>
    <row r="6469" spans="1:7" x14ac:dyDescent="0.3">
      <c r="A6469" t="s">
        <v>33</v>
      </c>
      <c r="B6469" t="s">
        <v>339</v>
      </c>
      <c r="C6469">
        <v>503</v>
      </c>
      <c r="D6469" t="s">
        <v>253</v>
      </c>
      <c r="E6469" t="s">
        <v>1116</v>
      </c>
      <c r="F6469" t="s">
        <v>136</v>
      </c>
      <c r="G6469" t="s">
        <v>1178</v>
      </c>
    </row>
    <row r="6470" spans="1:7" x14ac:dyDescent="0.3">
      <c r="A6470" t="s">
        <v>33</v>
      </c>
      <c r="B6470" t="s">
        <v>340</v>
      </c>
      <c r="C6470">
        <v>1415</v>
      </c>
      <c r="D6470" t="s">
        <v>115</v>
      </c>
      <c r="E6470" t="s">
        <v>869</v>
      </c>
      <c r="F6470" t="s">
        <v>104</v>
      </c>
      <c r="G6470" t="s">
        <v>742</v>
      </c>
    </row>
    <row r="6471" spans="1:7" x14ac:dyDescent="0.3">
      <c r="A6471" t="s">
        <v>33</v>
      </c>
      <c r="B6471" t="s">
        <v>365</v>
      </c>
      <c r="C6471">
        <v>19</v>
      </c>
      <c r="D6471" t="s">
        <v>99</v>
      </c>
      <c r="E6471" t="s">
        <v>380</v>
      </c>
      <c r="F6471" t="s">
        <v>99</v>
      </c>
      <c r="G6471" t="s">
        <v>680</v>
      </c>
    </row>
    <row r="6472" spans="1:7" x14ac:dyDescent="0.3">
      <c r="A6472" t="s">
        <v>49</v>
      </c>
      <c r="B6472" t="s">
        <v>339</v>
      </c>
      <c r="C6472">
        <v>3811</v>
      </c>
      <c r="D6472" t="s">
        <v>108</v>
      </c>
      <c r="E6472" t="s">
        <v>561</v>
      </c>
      <c r="F6472" t="s">
        <v>141</v>
      </c>
      <c r="G6472" t="s">
        <v>1151</v>
      </c>
    </row>
    <row r="6473" spans="1:7" x14ac:dyDescent="0.3">
      <c r="A6473" t="s">
        <v>49</v>
      </c>
      <c r="B6473" t="s">
        <v>340</v>
      </c>
      <c r="C6473">
        <v>9320</v>
      </c>
      <c r="D6473" t="s">
        <v>114</v>
      </c>
      <c r="E6473" t="s">
        <v>863</v>
      </c>
      <c r="F6473" t="s">
        <v>141</v>
      </c>
      <c r="G6473" t="s">
        <v>944</v>
      </c>
    </row>
    <row r="6474" spans="1:7" x14ac:dyDescent="0.3">
      <c r="A6474" t="s">
        <v>49</v>
      </c>
      <c r="B6474" t="s">
        <v>365</v>
      </c>
      <c r="C6474">
        <v>191</v>
      </c>
      <c r="D6474" t="s">
        <v>128</v>
      </c>
      <c r="E6474" t="s">
        <v>552</v>
      </c>
      <c r="F6474" t="s">
        <v>136</v>
      </c>
      <c r="G6474" t="s">
        <v>496</v>
      </c>
    </row>
    <row r="6476" spans="1:7" x14ac:dyDescent="0.3">
      <c r="A6476" t="s">
        <v>2100</v>
      </c>
    </row>
    <row r="6477" spans="1:7" x14ac:dyDescent="0.3">
      <c r="A6477" t="s">
        <v>44</v>
      </c>
      <c r="B6477" t="s">
        <v>209</v>
      </c>
      <c r="C6477" t="s">
        <v>32</v>
      </c>
      <c r="D6477" t="s">
        <v>66</v>
      </c>
      <c r="E6477" t="s">
        <v>193</v>
      </c>
      <c r="F6477" t="s">
        <v>67</v>
      </c>
      <c r="G6477" t="s">
        <v>352</v>
      </c>
    </row>
    <row r="6478" spans="1:7" x14ac:dyDescent="0.3">
      <c r="A6478" t="s">
        <v>35</v>
      </c>
      <c r="B6478" t="s">
        <v>210</v>
      </c>
      <c r="C6478">
        <v>136</v>
      </c>
      <c r="D6478" t="s">
        <v>666</v>
      </c>
      <c r="E6478" t="s">
        <v>141</v>
      </c>
      <c r="F6478" t="s">
        <v>2101</v>
      </c>
      <c r="G6478" t="s">
        <v>108</v>
      </c>
    </row>
    <row r="6479" spans="1:7" x14ac:dyDescent="0.3">
      <c r="A6479" t="s">
        <v>35</v>
      </c>
      <c r="B6479" t="s">
        <v>212</v>
      </c>
      <c r="C6479">
        <v>2442</v>
      </c>
      <c r="D6479" t="s">
        <v>1239</v>
      </c>
      <c r="E6479" t="s">
        <v>136</v>
      </c>
      <c r="F6479" t="s">
        <v>614</v>
      </c>
      <c r="G6479" t="s">
        <v>253</v>
      </c>
    </row>
    <row r="6480" spans="1:7" x14ac:dyDescent="0.3">
      <c r="A6480" t="s">
        <v>35</v>
      </c>
      <c r="B6480" t="s">
        <v>216</v>
      </c>
      <c r="C6480">
        <v>567</v>
      </c>
      <c r="D6480" t="s">
        <v>927</v>
      </c>
      <c r="E6480" t="s">
        <v>104</v>
      </c>
      <c r="F6480" t="s">
        <v>1179</v>
      </c>
      <c r="G6480" t="s">
        <v>100</v>
      </c>
    </row>
    <row r="6481" spans="1:7" x14ac:dyDescent="0.3">
      <c r="A6481" t="s">
        <v>37</v>
      </c>
      <c r="B6481" t="s">
        <v>210</v>
      </c>
      <c r="C6481">
        <v>138</v>
      </c>
      <c r="D6481" t="s">
        <v>554</v>
      </c>
      <c r="E6481" t="s">
        <v>99</v>
      </c>
      <c r="F6481" t="s">
        <v>698</v>
      </c>
      <c r="G6481" t="s">
        <v>319</v>
      </c>
    </row>
    <row r="6482" spans="1:7" x14ac:dyDescent="0.3">
      <c r="A6482" t="s">
        <v>37</v>
      </c>
      <c r="B6482" t="s">
        <v>212</v>
      </c>
      <c r="C6482">
        <v>3606</v>
      </c>
      <c r="D6482" t="s">
        <v>563</v>
      </c>
      <c r="E6482" t="s">
        <v>141</v>
      </c>
      <c r="F6482" t="s">
        <v>549</v>
      </c>
      <c r="G6482" t="s">
        <v>108</v>
      </c>
    </row>
    <row r="6483" spans="1:7" x14ac:dyDescent="0.3">
      <c r="A6483" t="s">
        <v>37</v>
      </c>
      <c r="B6483" t="s">
        <v>216</v>
      </c>
      <c r="C6483">
        <v>111</v>
      </c>
      <c r="D6483" t="s">
        <v>490</v>
      </c>
      <c r="E6483" t="s">
        <v>99</v>
      </c>
      <c r="F6483" t="s">
        <v>1209</v>
      </c>
      <c r="G6483" t="s">
        <v>103</v>
      </c>
    </row>
    <row r="6484" spans="1:7" x14ac:dyDescent="0.3">
      <c r="A6484" t="s">
        <v>36</v>
      </c>
      <c r="B6484" t="s">
        <v>210</v>
      </c>
      <c r="C6484">
        <v>165</v>
      </c>
      <c r="D6484" t="s">
        <v>1148</v>
      </c>
      <c r="E6484" t="s">
        <v>99</v>
      </c>
      <c r="F6484" t="s">
        <v>951</v>
      </c>
      <c r="G6484" t="s">
        <v>268</v>
      </c>
    </row>
    <row r="6485" spans="1:7" x14ac:dyDescent="0.3">
      <c r="A6485" t="s">
        <v>36</v>
      </c>
      <c r="B6485" t="s">
        <v>212</v>
      </c>
      <c r="C6485">
        <v>1875</v>
      </c>
      <c r="D6485" t="s">
        <v>862</v>
      </c>
      <c r="E6485" t="s">
        <v>207</v>
      </c>
      <c r="F6485" t="s">
        <v>896</v>
      </c>
      <c r="G6485" t="s">
        <v>198</v>
      </c>
    </row>
    <row r="6486" spans="1:7" x14ac:dyDescent="0.3">
      <c r="A6486" t="s">
        <v>36</v>
      </c>
      <c r="B6486" t="s">
        <v>216</v>
      </c>
      <c r="C6486">
        <v>265</v>
      </c>
      <c r="D6486" t="s">
        <v>561</v>
      </c>
      <c r="E6486" t="s">
        <v>215</v>
      </c>
      <c r="F6486" t="s">
        <v>550</v>
      </c>
      <c r="G6486" t="s">
        <v>319</v>
      </c>
    </row>
    <row r="6487" spans="1:7" x14ac:dyDescent="0.3">
      <c r="A6487" t="s">
        <v>34</v>
      </c>
      <c r="B6487" t="s">
        <v>210</v>
      </c>
      <c r="C6487">
        <v>256</v>
      </c>
      <c r="D6487" t="s">
        <v>629</v>
      </c>
      <c r="E6487" t="s">
        <v>115</v>
      </c>
      <c r="F6487" t="s">
        <v>1256</v>
      </c>
      <c r="G6487" t="s">
        <v>128</v>
      </c>
    </row>
    <row r="6488" spans="1:7" x14ac:dyDescent="0.3">
      <c r="A6488" t="s">
        <v>34</v>
      </c>
      <c r="B6488" t="s">
        <v>212</v>
      </c>
      <c r="C6488">
        <v>1582</v>
      </c>
      <c r="D6488" t="s">
        <v>1215</v>
      </c>
      <c r="E6488" t="s">
        <v>121</v>
      </c>
      <c r="F6488" t="s">
        <v>582</v>
      </c>
      <c r="G6488" t="s">
        <v>319</v>
      </c>
    </row>
    <row r="6489" spans="1:7" x14ac:dyDescent="0.3">
      <c r="A6489" t="s">
        <v>34</v>
      </c>
      <c r="B6489" t="s">
        <v>216</v>
      </c>
      <c r="C6489">
        <v>242</v>
      </c>
      <c r="D6489" t="s">
        <v>580</v>
      </c>
      <c r="E6489" t="s">
        <v>127</v>
      </c>
      <c r="F6489" t="s">
        <v>1015</v>
      </c>
      <c r="G6489" t="s">
        <v>316</v>
      </c>
    </row>
    <row r="6490" spans="1:7" x14ac:dyDescent="0.3">
      <c r="A6490" t="s">
        <v>33</v>
      </c>
      <c r="B6490" t="s">
        <v>210</v>
      </c>
      <c r="C6490">
        <v>68</v>
      </c>
      <c r="D6490" t="s">
        <v>605</v>
      </c>
      <c r="E6490" t="s">
        <v>215</v>
      </c>
      <c r="F6490" t="s">
        <v>862</v>
      </c>
      <c r="G6490" t="s">
        <v>99</v>
      </c>
    </row>
    <row r="6491" spans="1:7" x14ac:dyDescent="0.3">
      <c r="A6491" t="s">
        <v>33</v>
      </c>
      <c r="B6491" t="s">
        <v>212</v>
      </c>
      <c r="C6491">
        <v>1800</v>
      </c>
      <c r="D6491" t="s">
        <v>593</v>
      </c>
      <c r="E6491" t="s">
        <v>104</v>
      </c>
      <c r="F6491" t="s">
        <v>838</v>
      </c>
      <c r="G6491" t="s">
        <v>132</v>
      </c>
    </row>
    <row r="6492" spans="1:7" x14ac:dyDescent="0.3">
      <c r="A6492" t="s">
        <v>33</v>
      </c>
      <c r="B6492" t="s">
        <v>216</v>
      </c>
      <c r="C6492">
        <v>69</v>
      </c>
      <c r="D6492" t="s">
        <v>1012</v>
      </c>
      <c r="E6492" t="s">
        <v>99</v>
      </c>
      <c r="F6492" t="s">
        <v>692</v>
      </c>
      <c r="G6492" t="s">
        <v>99</v>
      </c>
    </row>
    <row r="6493" spans="1:7" x14ac:dyDescent="0.3">
      <c r="A6493" t="s">
        <v>49</v>
      </c>
      <c r="B6493" t="s">
        <v>210</v>
      </c>
      <c r="C6493">
        <v>763</v>
      </c>
      <c r="D6493" t="s">
        <v>609</v>
      </c>
      <c r="E6493" t="s">
        <v>141</v>
      </c>
      <c r="F6493" t="s">
        <v>1258</v>
      </c>
      <c r="G6493" t="s">
        <v>127</v>
      </c>
    </row>
    <row r="6494" spans="1:7" x14ac:dyDescent="0.3">
      <c r="A6494" t="s">
        <v>49</v>
      </c>
      <c r="B6494" t="s">
        <v>212</v>
      </c>
      <c r="C6494">
        <v>11305</v>
      </c>
      <c r="D6494" t="s">
        <v>516</v>
      </c>
      <c r="E6494" t="s">
        <v>141</v>
      </c>
      <c r="F6494" t="s">
        <v>631</v>
      </c>
      <c r="G6494" t="s">
        <v>132</v>
      </c>
    </row>
    <row r="6495" spans="1:7" x14ac:dyDescent="0.3">
      <c r="A6495" t="s">
        <v>49</v>
      </c>
      <c r="B6495" t="s">
        <v>216</v>
      </c>
      <c r="C6495">
        <v>1254</v>
      </c>
      <c r="D6495" t="s">
        <v>942</v>
      </c>
      <c r="E6495" t="s">
        <v>253</v>
      </c>
      <c r="F6495" t="s">
        <v>1112</v>
      </c>
      <c r="G6495" t="s">
        <v>126</v>
      </c>
    </row>
    <row r="6497" spans="1:7" x14ac:dyDescent="0.3">
      <c r="A6497" t="s">
        <v>2102</v>
      </c>
    </row>
    <row r="6498" spans="1:7" x14ac:dyDescent="0.3">
      <c r="A6498" t="s">
        <v>44</v>
      </c>
      <c r="B6498" t="s">
        <v>388</v>
      </c>
      <c r="C6498" t="s">
        <v>32</v>
      </c>
      <c r="D6498" t="s">
        <v>352</v>
      </c>
      <c r="E6498" t="s">
        <v>66</v>
      </c>
      <c r="F6498" t="s">
        <v>193</v>
      </c>
      <c r="G6498" t="s">
        <v>67</v>
      </c>
    </row>
    <row r="6499" spans="1:7" x14ac:dyDescent="0.3">
      <c r="A6499" t="s">
        <v>35</v>
      </c>
      <c r="B6499" t="s">
        <v>389</v>
      </c>
      <c r="C6499">
        <v>2141</v>
      </c>
      <c r="D6499" t="s">
        <v>115</v>
      </c>
      <c r="E6499" t="s">
        <v>598</v>
      </c>
      <c r="F6499" t="s">
        <v>207</v>
      </c>
      <c r="G6499" t="s">
        <v>887</v>
      </c>
    </row>
    <row r="6500" spans="1:7" x14ac:dyDescent="0.3">
      <c r="A6500" t="s">
        <v>35</v>
      </c>
      <c r="B6500" t="s">
        <v>390</v>
      </c>
      <c r="C6500">
        <v>875</v>
      </c>
      <c r="D6500" t="s">
        <v>108</v>
      </c>
      <c r="E6500" t="s">
        <v>928</v>
      </c>
      <c r="F6500" t="s">
        <v>141</v>
      </c>
      <c r="G6500" t="s">
        <v>489</v>
      </c>
    </row>
    <row r="6501" spans="1:7" x14ac:dyDescent="0.3">
      <c r="A6501" t="s">
        <v>35</v>
      </c>
      <c r="B6501" t="s">
        <v>365</v>
      </c>
      <c r="C6501">
        <v>129</v>
      </c>
      <c r="D6501" t="s">
        <v>108</v>
      </c>
      <c r="E6501" t="s">
        <v>583</v>
      </c>
      <c r="F6501" t="s">
        <v>99</v>
      </c>
      <c r="G6501" t="s">
        <v>619</v>
      </c>
    </row>
    <row r="6502" spans="1:7" x14ac:dyDescent="0.3">
      <c r="A6502" t="s">
        <v>37</v>
      </c>
      <c r="B6502" t="s">
        <v>389</v>
      </c>
      <c r="C6502">
        <v>2305</v>
      </c>
      <c r="D6502" t="s">
        <v>108</v>
      </c>
      <c r="E6502" t="s">
        <v>1002</v>
      </c>
      <c r="F6502" t="s">
        <v>136</v>
      </c>
      <c r="G6502" t="s">
        <v>565</v>
      </c>
    </row>
    <row r="6503" spans="1:7" x14ac:dyDescent="0.3">
      <c r="A6503" t="s">
        <v>37</v>
      </c>
      <c r="B6503" t="s">
        <v>390</v>
      </c>
      <c r="C6503">
        <v>1309</v>
      </c>
      <c r="D6503" t="s">
        <v>100</v>
      </c>
      <c r="E6503" t="s">
        <v>1223</v>
      </c>
      <c r="F6503" t="s">
        <v>136</v>
      </c>
      <c r="G6503" t="s">
        <v>930</v>
      </c>
    </row>
    <row r="6504" spans="1:7" x14ac:dyDescent="0.3">
      <c r="A6504" t="s">
        <v>37</v>
      </c>
      <c r="B6504" t="s">
        <v>365</v>
      </c>
      <c r="C6504">
        <v>241</v>
      </c>
      <c r="D6504" t="s">
        <v>114</v>
      </c>
      <c r="E6504" t="s">
        <v>516</v>
      </c>
      <c r="F6504" t="s">
        <v>132</v>
      </c>
      <c r="G6504" t="s">
        <v>653</v>
      </c>
    </row>
    <row r="6505" spans="1:7" x14ac:dyDescent="0.3">
      <c r="A6505" t="s">
        <v>36</v>
      </c>
      <c r="B6505" t="s">
        <v>389</v>
      </c>
      <c r="C6505">
        <v>1578</v>
      </c>
      <c r="D6505" t="s">
        <v>136</v>
      </c>
      <c r="E6505" t="s">
        <v>1222</v>
      </c>
      <c r="F6505" t="s">
        <v>141</v>
      </c>
      <c r="G6505" t="s">
        <v>926</v>
      </c>
    </row>
    <row r="6506" spans="1:7" x14ac:dyDescent="0.3">
      <c r="A6506" t="s">
        <v>36</v>
      </c>
      <c r="B6506" t="s">
        <v>390</v>
      </c>
      <c r="C6506">
        <v>627</v>
      </c>
      <c r="D6506" t="s">
        <v>104</v>
      </c>
      <c r="E6506" t="s">
        <v>831</v>
      </c>
      <c r="F6506" t="s">
        <v>136</v>
      </c>
      <c r="G6506" t="s">
        <v>1095</v>
      </c>
    </row>
    <row r="6507" spans="1:7" x14ac:dyDescent="0.3">
      <c r="A6507" t="s">
        <v>36</v>
      </c>
      <c r="B6507" t="s">
        <v>365</v>
      </c>
      <c r="C6507">
        <v>100</v>
      </c>
      <c r="D6507" t="s">
        <v>130</v>
      </c>
      <c r="E6507" t="s">
        <v>1043</v>
      </c>
      <c r="F6507" t="s">
        <v>104</v>
      </c>
      <c r="G6507" t="s">
        <v>563</v>
      </c>
    </row>
    <row r="6508" spans="1:7" x14ac:dyDescent="0.3">
      <c r="A6508" t="s">
        <v>34</v>
      </c>
      <c r="B6508" t="s">
        <v>389</v>
      </c>
      <c r="C6508">
        <v>1385</v>
      </c>
      <c r="D6508" t="s">
        <v>111</v>
      </c>
      <c r="E6508" t="s">
        <v>614</v>
      </c>
      <c r="F6508" t="s">
        <v>121</v>
      </c>
      <c r="G6508" t="s">
        <v>603</v>
      </c>
    </row>
    <row r="6509" spans="1:7" x14ac:dyDescent="0.3">
      <c r="A6509" t="s">
        <v>34</v>
      </c>
      <c r="B6509" t="s">
        <v>390</v>
      </c>
      <c r="C6509">
        <v>615</v>
      </c>
      <c r="D6509" t="s">
        <v>132</v>
      </c>
      <c r="E6509" t="s">
        <v>800</v>
      </c>
      <c r="F6509" t="s">
        <v>126</v>
      </c>
      <c r="G6509" t="s">
        <v>914</v>
      </c>
    </row>
    <row r="6510" spans="1:7" x14ac:dyDescent="0.3">
      <c r="A6510" t="s">
        <v>34</v>
      </c>
      <c r="B6510" t="s">
        <v>365</v>
      </c>
      <c r="C6510">
        <v>80</v>
      </c>
      <c r="D6510" t="s">
        <v>120</v>
      </c>
      <c r="E6510" t="s">
        <v>1194</v>
      </c>
      <c r="F6510" t="s">
        <v>99</v>
      </c>
      <c r="G6510" t="s">
        <v>64</v>
      </c>
    </row>
    <row r="6511" spans="1:7" x14ac:dyDescent="0.3">
      <c r="A6511" t="s">
        <v>33</v>
      </c>
      <c r="B6511" t="s">
        <v>389</v>
      </c>
      <c r="C6511">
        <v>1090</v>
      </c>
      <c r="D6511" t="s">
        <v>108</v>
      </c>
      <c r="E6511" t="s">
        <v>1122</v>
      </c>
      <c r="F6511" t="s">
        <v>207</v>
      </c>
      <c r="G6511" t="s">
        <v>707</v>
      </c>
    </row>
    <row r="6512" spans="1:7" x14ac:dyDescent="0.3">
      <c r="A6512" t="s">
        <v>33</v>
      </c>
      <c r="B6512" t="s">
        <v>390</v>
      </c>
      <c r="C6512">
        <v>708</v>
      </c>
      <c r="D6512" t="s">
        <v>136</v>
      </c>
      <c r="E6512" t="s">
        <v>1174</v>
      </c>
      <c r="F6512" t="s">
        <v>99</v>
      </c>
      <c r="G6512" t="s">
        <v>106</v>
      </c>
    </row>
    <row r="6513" spans="1:7" x14ac:dyDescent="0.3">
      <c r="A6513" t="s">
        <v>33</v>
      </c>
      <c r="B6513" t="s">
        <v>365</v>
      </c>
      <c r="C6513">
        <v>139</v>
      </c>
      <c r="D6513" t="s">
        <v>108</v>
      </c>
      <c r="E6513" t="s">
        <v>300</v>
      </c>
      <c r="F6513" t="s">
        <v>99</v>
      </c>
      <c r="G6513" t="s">
        <v>519</v>
      </c>
    </row>
    <row r="6514" spans="1:7" x14ac:dyDescent="0.3">
      <c r="A6514" t="s">
        <v>49</v>
      </c>
      <c r="B6514" t="s">
        <v>389</v>
      </c>
      <c r="C6514">
        <v>8499</v>
      </c>
      <c r="D6514" t="s">
        <v>114</v>
      </c>
      <c r="E6514" t="s">
        <v>611</v>
      </c>
      <c r="F6514" t="s">
        <v>141</v>
      </c>
      <c r="G6514" t="s">
        <v>577</v>
      </c>
    </row>
    <row r="6515" spans="1:7" x14ac:dyDescent="0.3">
      <c r="A6515" t="s">
        <v>49</v>
      </c>
      <c r="B6515" t="s">
        <v>390</v>
      </c>
      <c r="C6515">
        <v>4134</v>
      </c>
      <c r="D6515" t="s">
        <v>132</v>
      </c>
      <c r="E6515" t="s">
        <v>935</v>
      </c>
      <c r="F6515" t="s">
        <v>141</v>
      </c>
      <c r="G6515" t="s">
        <v>801</v>
      </c>
    </row>
    <row r="6516" spans="1:7" x14ac:dyDescent="0.3">
      <c r="A6516" t="s">
        <v>49</v>
      </c>
      <c r="B6516" t="s">
        <v>365</v>
      </c>
      <c r="C6516">
        <v>689</v>
      </c>
      <c r="D6516" t="s">
        <v>126</v>
      </c>
      <c r="E6516" t="s">
        <v>507</v>
      </c>
      <c r="F6516" t="s">
        <v>207</v>
      </c>
      <c r="G6516" t="s">
        <v>862</v>
      </c>
    </row>
    <row r="6518" spans="1:7" x14ac:dyDescent="0.3">
      <c r="A6518" t="s">
        <v>2103</v>
      </c>
    </row>
    <row r="6519" spans="1:7" x14ac:dyDescent="0.3">
      <c r="A6519" t="s">
        <v>44</v>
      </c>
      <c r="B6519" t="s">
        <v>235</v>
      </c>
      <c r="C6519" t="s">
        <v>32</v>
      </c>
      <c r="D6519" t="s">
        <v>352</v>
      </c>
      <c r="E6519" t="s">
        <v>66</v>
      </c>
      <c r="F6519" t="s">
        <v>193</v>
      </c>
      <c r="G6519" t="s">
        <v>67</v>
      </c>
    </row>
    <row r="6520" spans="1:7" x14ac:dyDescent="0.3">
      <c r="A6520" t="s">
        <v>35</v>
      </c>
      <c r="B6520" t="s">
        <v>236</v>
      </c>
      <c r="C6520">
        <v>1610</v>
      </c>
      <c r="D6520" t="s">
        <v>132</v>
      </c>
      <c r="E6520" t="s">
        <v>1383</v>
      </c>
      <c r="F6520" t="s">
        <v>198</v>
      </c>
      <c r="G6520" t="s">
        <v>946</v>
      </c>
    </row>
    <row r="6521" spans="1:7" x14ac:dyDescent="0.3">
      <c r="A6521" t="s">
        <v>35</v>
      </c>
      <c r="B6521" t="s">
        <v>238</v>
      </c>
      <c r="C6521">
        <v>1535</v>
      </c>
      <c r="D6521" t="s">
        <v>132</v>
      </c>
      <c r="E6521" t="s">
        <v>1239</v>
      </c>
      <c r="F6521" t="s">
        <v>136</v>
      </c>
      <c r="G6521" t="s">
        <v>1113</v>
      </c>
    </row>
    <row r="6522" spans="1:7" x14ac:dyDescent="0.3">
      <c r="A6522" t="s">
        <v>37</v>
      </c>
      <c r="B6522" t="s">
        <v>236</v>
      </c>
      <c r="C6522">
        <v>2211</v>
      </c>
      <c r="D6522" t="s">
        <v>100</v>
      </c>
      <c r="E6522" t="s">
        <v>895</v>
      </c>
      <c r="F6522" t="s">
        <v>253</v>
      </c>
      <c r="G6522" t="s">
        <v>602</v>
      </c>
    </row>
    <row r="6523" spans="1:7" x14ac:dyDescent="0.3">
      <c r="A6523" t="s">
        <v>37</v>
      </c>
      <c r="B6523" t="s">
        <v>238</v>
      </c>
      <c r="C6523">
        <v>1644</v>
      </c>
      <c r="D6523" t="s">
        <v>132</v>
      </c>
      <c r="E6523" t="s">
        <v>935</v>
      </c>
      <c r="F6523" t="s">
        <v>198</v>
      </c>
      <c r="G6523" t="s">
        <v>102</v>
      </c>
    </row>
    <row r="6524" spans="1:7" x14ac:dyDescent="0.3">
      <c r="A6524" t="s">
        <v>36</v>
      </c>
      <c r="B6524" t="s">
        <v>236</v>
      </c>
      <c r="C6524">
        <v>1566</v>
      </c>
      <c r="D6524" t="s">
        <v>207</v>
      </c>
      <c r="E6524" t="s">
        <v>703</v>
      </c>
      <c r="F6524" t="s">
        <v>207</v>
      </c>
      <c r="G6524" t="s">
        <v>1122</v>
      </c>
    </row>
    <row r="6525" spans="1:7" x14ac:dyDescent="0.3">
      <c r="A6525" t="s">
        <v>36</v>
      </c>
      <c r="B6525" t="s">
        <v>238</v>
      </c>
      <c r="C6525">
        <v>739</v>
      </c>
      <c r="D6525" t="s">
        <v>132</v>
      </c>
      <c r="E6525" t="s">
        <v>1179</v>
      </c>
      <c r="F6525" t="s">
        <v>141</v>
      </c>
      <c r="G6525" t="s">
        <v>625</v>
      </c>
    </row>
    <row r="6526" spans="1:7" x14ac:dyDescent="0.3">
      <c r="A6526" t="s">
        <v>34</v>
      </c>
      <c r="B6526" t="s">
        <v>236</v>
      </c>
      <c r="C6526">
        <v>717</v>
      </c>
      <c r="D6526" t="s">
        <v>132</v>
      </c>
      <c r="E6526" t="s">
        <v>1112</v>
      </c>
      <c r="F6526" t="s">
        <v>127</v>
      </c>
      <c r="G6526" t="s">
        <v>572</v>
      </c>
    </row>
    <row r="6527" spans="1:7" x14ac:dyDescent="0.3">
      <c r="A6527" t="s">
        <v>34</v>
      </c>
      <c r="B6527" t="s">
        <v>238</v>
      </c>
      <c r="C6527">
        <v>1363</v>
      </c>
      <c r="D6527" t="s">
        <v>268</v>
      </c>
      <c r="E6527" t="s">
        <v>886</v>
      </c>
      <c r="F6527" t="s">
        <v>114</v>
      </c>
      <c r="G6527" t="s">
        <v>607</v>
      </c>
    </row>
    <row r="6528" spans="1:7" x14ac:dyDescent="0.3">
      <c r="A6528" t="s">
        <v>33</v>
      </c>
      <c r="B6528" t="s">
        <v>236</v>
      </c>
      <c r="C6528">
        <v>1116</v>
      </c>
      <c r="D6528" t="s">
        <v>253</v>
      </c>
      <c r="E6528" t="s">
        <v>61</v>
      </c>
      <c r="F6528" t="s">
        <v>198</v>
      </c>
      <c r="G6528" t="s">
        <v>146</v>
      </c>
    </row>
    <row r="6529" spans="1:7" x14ac:dyDescent="0.3">
      <c r="A6529" t="s">
        <v>33</v>
      </c>
      <c r="B6529" t="s">
        <v>238</v>
      </c>
      <c r="C6529">
        <v>821</v>
      </c>
      <c r="D6529" t="s">
        <v>132</v>
      </c>
      <c r="E6529" t="s">
        <v>520</v>
      </c>
      <c r="F6529" t="s">
        <v>104</v>
      </c>
      <c r="G6529" t="s">
        <v>803</v>
      </c>
    </row>
    <row r="6530" spans="1:7" x14ac:dyDescent="0.3">
      <c r="A6530" t="s">
        <v>49</v>
      </c>
      <c r="B6530" t="s">
        <v>236</v>
      </c>
      <c r="C6530">
        <v>7220</v>
      </c>
      <c r="D6530" t="s">
        <v>132</v>
      </c>
      <c r="E6530" t="s">
        <v>1184</v>
      </c>
      <c r="F6530" t="s">
        <v>253</v>
      </c>
      <c r="G6530" t="s">
        <v>938</v>
      </c>
    </row>
    <row r="6531" spans="1:7" x14ac:dyDescent="0.3">
      <c r="A6531" t="s">
        <v>49</v>
      </c>
      <c r="B6531" t="s">
        <v>238</v>
      </c>
      <c r="C6531">
        <v>6102</v>
      </c>
      <c r="D6531" t="s">
        <v>100</v>
      </c>
      <c r="E6531" t="s">
        <v>550</v>
      </c>
      <c r="F6531" t="s">
        <v>136</v>
      </c>
      <c r="G6531" t="s">
        <v>638</v>
      </c>
    </row>
    <row r="6533" spans="1:7" x14ac:dyDescent="0.3">
      <c r="A6533" t="s">
        <v>2104</v>
      </c>
    </row>
    <row r="6534" spans="1:7" x14ac:dyDescent="0.3">
      <c r="A6534" t="s">
        <v>44</v>
      </c>
      <c r="B6534" t="s">
        <v>1625</v>
      </c>
      <c r="C6534" t="s">
        <v>32</v>
      </c>
      <c r="D6534" t="s">
        <v>352</v>
      </c>
      <c r="E6534" t="s">
        <v>66</v>
      </c>
      <c r="F6534" t="s">
        <v>193</v>
      </c>
      <c r="G6534" t="s">
        <v>67</v>
      </c>
    </row>
    <row r="6535" spans="1:7" x14ac:dyDescent="0.3">
      <c r="A6535" t="s">
        <v>35</v>
      </c>
      <c r="B6535" t="s">
        <v>1626</v>
      </c>
      <c r="C6535">
        <v>2225</v>
      </c>
      <c r="D6535" t="s">
        <v>115</v>
      </c>
      <c r="E6535" t="s">
        <v>567</v>
      </c>
      <c r="F6535" t="s">
        <v>136</v>
      </c>
      <c r="G6535" t="s">
        <v>613</v>
      </c>
    </row>
    <row r="6536" spans="1:7" x14ac:dyDescent="0.3">
      <c r="A6536" t="s">
        <v>35</v>
      </c>
      <c r="B6536" t="s">
        <v>1627</v>
      </c>
      <c r="C6536">
        <v>914</v>
      </c>
      <c r="D6536" t="s">
        <v>114</v>
      </c>
      <c r="E6536" t="s">
        <v>936</v>
      </c>
      <c r="F6536" t="s">
        <v>198</v>
      </c>
      <c r="G6536" t="s">
        <v>594</v>
      </c>
    </row>
    <row r="6537" spans="1:7" x14ac:dyDescent="0.3">
      <c r="A6537" t="s">
        <v>35</v>
      </c>
      <c r="B6537" t="s">
        <v>365</v>
      </c>
      <c r="C6537">
        <v>6</v>
      </c>
      <c r="D6537" t="s">
        <v>99</v>
      </c>
      <c r="E6537" t="s">
        <v>758</v>
      </c>
      <c r="F6537" t="s">
        <v>99</v>
      </c>
      <c r="G6537" t="s">
        <v>124</v>
      </c>
    </row>
    <row r="6538" spans="1:7" x14ac:dyDescent="0.3">
      <c r="A6538" t="s">
        <v>37</v>
      </c>
      <c r="B6538" t="s">
        <v>1626</v>
      </c>
      <c r="C6538">
        <v>2751</v>
      </c>
      <c r="D6538" t="s">
        <v>100</v>
      </c>
      <c r="E6538" t="s">
        <v>646</v>
      </c>
      <c r="F6538" t="s">
        <v>136</v>
      </c>
      <c r="G6538" t="s">
        <v>698</v>
      </c>
    </row>
    <row r="6539" spans="1:7" x14ac:dyDescent="0.3">
      <c r="A6539" t="s">
        <v>37</v>
      </c>
      <c r="B6539" t="s">
        <v>1627</v>
      </c>
      <c r="C6539">
        <v>1103</v>
      </c>
      <c r="D6539" t="s">
        <v>115</v>
      </c>
      <c r="E6539" t="s">
        <v>615</v>
      </c>
      <c r="F6539" t="s">
        <v>136</v>
      </c>
      <c r="G6539" t="s">
        <v>1231</v>
      </c>
    </row>
    <row r="6540" spans="1:7" x14ac:dyDescent="0.3">
      <c r="A6540" t="s">
        <v>37</v>
      </c>
      <c r="B6540" t="s">
        <v>365</v>
      </c>
      <c r="C6540">
        <v>1</v>
      </c>
      <c r="D6540" t="s">
        <v>99</v>
      </c>
      <c r="E6540" t="s">
        <v>211</v>
      </c>
      <c r="F6540" t="s">
        <v>99</v>
      </c>
      <c r="G6540" t="s">
        <v>99</v>
      </c>
    </row>
    <row r="6541" spans="1:7" x14ac:dyDescent="0.3">
      <c r="A6541" t="s">
        <v>36</v>
      </c>
      <c r="B6541" t="s">
        <v>1626</v>
      </c>
      <c r="C6541">
        <v>1714</v>
      </c>
      <c r="D6541" t="s">
        <v>115</v>
      </c>
      <c r="E6541" t="s">
        <v>1098</v>
      </c>
      <c r="F6541" t="s">
        <v>136</v>
      </c>
      <c r="G6541" t="s">
        <v>1151</v>
      </c>
    </row>
    <row r="6542" spans="1:7" x14ac:dyDescent="0.3">
      <c r="A6542" t="s">
        <v>36</v>
      </c>
      <c r="B6542" t="s">
        <v>1627</v>
      </c>
      <c r="C6542">
        <v>587</v>
      </c>
      <c r="D6542" t="s">
        <v>104</v>
      </c>
      <c r="E6542" t="s">
        <v>821</v>
      </c>
      <c r="F6542" t="s">
        <v>141</v>
      </c>
      <c r="G6542" t="s">
        <v>617</v>
      </c>
    </row>
    <row r="6543" spans="1:7" x14ac:dyDescent="0.3">
      <c r="A6543" t="s">
        <v>36</v>
      </c>
      <c r="B6543" t="s">
        <v>365</v>
      </c>
      <c r="C6543">
        <v>4</v>
      </c>
      <c r="D6543" t="s">
        <v>99</v>
      </c>
      <c r="E6543" t="s">
        <v>370</v>
      </c>
      <c r="F6543" t="s">
        <v>99</v>
      </c>
      <c r="G6543" t="s">
        <v>1476</v>
      </c>
    </row>
    <row r="6544" spans="1:7" x14ac:dyDescent="0.3">
      <c r="A6544" t="s">
        <v>34</v>
      </c>
      <c r="B6544" t="s">
        <v>1626</v>
      </c>
      <c r="C6544">
        <v>1459</v>
      </c>
      <c r="D6544" t="s">
        <v>292</v>
      </c>
      <c r="E6544" t="s">
        <v>1178</v>
      </c>
      <c r="F6544" t="s">
        <v>319</v>
      </c>
      <c r="G6544" t="s">
        <v>905</v>
      </c>
    </row>
    <row r="6545" spans="1:7" x14ac:dyDescent="0.3">
      <c r="A6545" t="s">
        <v>34</v>
      </c>
      <c r="B6545" t="s">
        <v>1627</v>
      </c>
      <c r="C6545">
        <v>619</v>
      </c>
      <c r="D6545" t="s">
        <v>108</v>
      </c>
      <c r="E6545" t="s">
        <v>925</v>
      </c>
      <c r="F6545" t="s">
        <v>132</v>
      </c>
      <c r="G6545" t="s">
        <v>808</v>
      </c>
    </row>
    <row r="6546" spans="1:7" x14ac:dyDescent="0.3">
      <c r="A6546" t="s">
        <v>34</v>
      </c>
      <c r="B6546" t="s">
        <v>365</v>
      </c>
      <c r="C6546">
        <v>2</v>
      </c>
      <c r="D6546" t="s">
        <v>99</v>
      </c>
      <c r="E6546" t="s">
        <v>909</v>
      </c>
      <c r="F6546" t="s">
        <v>99</v>
      </c>
      <c r="G6546" t="s">
        <v>909</v>
      </c>
    </row>
    <row r="6547" spans="1:7" x14ac:dyDescent="0.3">
      <c r="A6547" t="s">
        <v>33</v>
      </c>
      <c r="B6547" t="s">
        <v>1626</v>
      </c>
      <c r="C6547">
        <v>1336</v>
      </c>
      <c r="D6547" t="s">
        <v>207</v>
      </c>
      <c r="E6547" t="s">
        <v>520</v>
      </c>
      <c r="F6547" t="s">
        <v>104</v>
      </c>
      <c r="G6547" t="s">
        <v>1057</v>
      </c>
    </row>
    <row r="6548" spans="1:7" x14ac:dyDescent="0.3">
      <c r="A6548" t="s">
        <v>33</v>
      </c>
      <c r="B6548" t="s">
        <v>1627</v>
      </c>
      <c r="C6548">
        <v>600</v>
      </c>
      <c r="D6548" t="s">
        <v>215</v>
      </c>
      <c r="E6548" t="s">
        <v>495</v>
      </c>
      <c r="F6548" t="s">
        <v>136</v>
      </c>
      <c r="G6548" t="s">
        <v>553</v>
      </c>
    </row>
    <row r="6549" spans="1:7" x14ac:dyDescent="0.3">
      <c r="A6549" t="s">
        <v>33</v>
      </c>
      <c r="B6549" t="s">
        <v>365</v>
      </c>
      <c r="C6549">
        <v>1</v>
      </c>
      <c r="D6549" t="s">
        <v>99</v>
      </c>
      <c r="E6549" t="s">
        <v>211</v>
      </c>
      <c r="F6549" t="s">
        <v>99</v>
      </c>
      <c r="G6549" t="s">
        <v>99</v>
      </c>
    </row>
    <row r="6550" spans="1:7" x14ac:dyDescent="0.3">
      <c r="A6550" t="s">
        <v>49</v>
      </c>
      <c r="B6550" t="s">
        <v>1626</v>
      </c>
      <c r="C6550">
        <v>9485</v>
      </c>
      <c r="D6550" t="s">
        <v>114</v>
      </c>
      <c r="E6550" t="s">
        <v>1176</v>
      </c>
      <c r="F6550" t="s">
        <v>141</v>
      </c>
      <c r="G6550" t="s">
        <v>638</v>
      </c>
    </row>
    <row r="6551" spans="1:7" x14ac:dyDescent="0.3">
      <c r="A6551" t="s">
        <v>49</v>
      </c>
      <c r="B6551" t="s">
        <v>1627</v>
      </c>
      <c r="C6551">
        <v>3823</v>
      </c>
      <c r="D6551" t="s">
        <v>108</v>
      </c>
      <c r="E6551" t="s">
        <v>1055</v>
      </c>
      <c r="F6551" t="s">
        <v>136</v>
      </c>
      <c r="G6551" t="s">
        <v>632</v>
      </c>
    </row>
    <row r="6552" spans="1:7" x14ac:dyDescent="0.3">
      <c r="A6552" t="s">
        <v>49</v>
      </c>
      <c r="B6552" t="s">
        <v>365</v>
      </c>
      <c r="C6552">
        <v>14</v>
      </c>
      <c r="D6552" t="s">
        <v>99</v>
      </c>
      <c r="E6552" t="s">
        <v>230</v>
      </c>
      <c r="F6552" t="s">
        <v>99</v>
      </c>
      <c r="G6552" t="s">
        <v>705</v>
      </c>
    </row>
    <row r="6554" spans="1:7" x14ac:dyDescent="0.3">
      <c r="A6554" t="s">
        <v>2105</v>
      </c>
    </row>
    <row r="6555" spans="1:7" x14ac:dyDescent="0.3">
      <c r="A6555" t="s">
        <v>44</v>
      </c>
      <c r="B6555" t="s">
        <v>361</v>
      </c>
      <c r="C6555" t="s">
        <v>32</v>
      </c>
      <c r="D6555" t="s">
        <v>352</v>
      </c>
      <c r="E6555" t="s">
        <v>66</v>
      </c>
      <c r="F6555" t="s">
        <v>193</v>
      </c>
      <c r="G6555" t="s">
        <v>67</v>
      </c>
    </row>
    <row r="6556" spans="1:7" x14ac:dyDescent="0.3">
      <c r="A6556" t="s">
        <v>35</v>
      </c>
      <c r="B6556" t="s">
        <v>339</v>
      </c>
      <c r="C6556">
        <v>890</v>
      </c>
      <c r="D6556" t="s">
        <v>108</v>
      </c>
      <c r="E6556" t="s">
        <v>532</v>
      </c>
      <c r="F6556" t="s">
        <v>207</v>
      </c>
      <c r="G6556" t="s">
        <v>562</v>
      </c>
    </row>
    <row r="6557" spans="1:7" x14ac:dyDescent="0.3">
      <c r="A6557" t="s">
        <v>35</v>
      </c>
      <c r="B6557" t="s">
        <v>340</v>
      </c>
      <c r="C6557">
        <v>2215</v>
      </c>
      <c r="D6557" t="s">
        <v>115</v>
      </c>
      <c r="E6557" t="s">
        <v>896</v>
      </c>
      <c r="F6557" t="s">
        <v>207</v>
      </c>
      <c r="G6557" t="s">
        <v>725</v>
      </c>
    </row>
    <row r="6558" spans="1:7" x14ac:dyDescent="0.3">
      <c r="A6558" t="s">
        <v>35</v>
      </c>
      <c r="B6558" t="s">
        <v>365</v>
      </c>
      <c r="C6558">
        <v>40</v>
      </c>
      <c r="D6558" t="s">
        <v>136</v>
      </c>
      <c r="E6558" t="s">
        <v>634</v>
      </c>
      <c r="F6558" t="s">
        <v>99</v>
      </c>
      <c r="G6558" t="s">
        <v>527</v>
      </c>
    </row>
    <row r="6559" spans="1:7" x14ac:dyDescent="0.3">
      <c r="A6559" t="s">
        <v>37</v>
      </c>
      <c r="B6559" t="s">
        <v>339</v>
      </c>
      <c r="C6559">
        <v>1093</v>
      </c>
      <c r="D6559" t="s">
        <v>115</v>
      </c>
      <c r="E6559" t="s">
        <v>1120</v>
      </c>
      <c r="F6559" t="s">
        <v>141</v>
      </c>
      <c r="G6559" t="s">
        <v>625</v>
      </c>
    </row>
    <row r="6560" spans="1:7" x14ac:dyDescent="0.3">
      <c r="A6560" t="s">
        <v>37</v>
      </c>
      <c r="B6560" t="s">
        <v>340</v>
      </c>
      <c r="C6560">
        <v>2721</v>
      </c>
      <c r="D6560" t="s">
        <v>100</v>
      </c>
      <c r="E6560" t="s">
        <v>1474</v>
      </c>
      <c r="F6560" t="s">
        <v>136</v>
      </c>
      <c r="G6560" t="s">
        <v>794</v>
      </c>
    </row>
    <row r="6561" spans="1:13" x14ac:dyDescent="0.3">
      <c r="A6561" t="s">
        <v>37</v>
      </c>
      <c r="B6561" t="s">
        <v>365</v>
      </c>
      <c r="C6561">
        <v>41</v>
      </c>
      <c r="D6561" t="s">
        <v>292</v>
      </c>
      <c r="E6561" t="s">
        <v>1051</v>
      </c>
      <c r="F6561" t="s">
        <v>99</v>
      </c>
      <c r="G6561" t="s">
        <v>1576</v>
      </c>
    </row>
    <row r="6562" spans="1:13" x14ac:dyDescent="0.3">
      <c r="A6562" t="s">
        <v>36</v>
      </c>
      <c r="B6562" t="s">
        <v>339</v>
      </c>
      <c r="C6562">
        <v>770</v>
      </c>
      <c r="D6562" t="s">
        <v>207</v>
      </c>
      <c r="E6562" t="s">
        <v>929</v>
      </c>
      <c r="F6562" t="s">
        <v>132</v>
      </c>
      <c r="G6562" t="s">
        <v>581</v>
      </c>
    </row>
    <row r="6563" spans="1:13" x14ac:dyDescent="0.3">
      <c r="A6563" t="s">
        <v>36</v>
      </c>
      <c r="B6563" t="s">
        <v>340</v>
      </c>
      <c r="C6563">
        <v>1472</v>
      </c>
      <c r="D6563" t="s">
        <v>115</v>
      </c>
      <c r="E6563" t="s">
        <v>899</v>
      </c>
      <c r="F6563" t="s">
        <v>207</v>
      </c>
      <c r="G6563" t="s">
        <v>641</v>
      </c>
    </row>
    <row r="6564" spans="1:13" x14ac:dyDescent="0.3">
      <c r="A6564" t="s">
        <v>36</v>
      </c>
      <c r="B6564" t="s">
        <v>365</v>
      </c>
      <c r="C6564">
        <v>63</v>
      </c>
      <c r="D6564" t="s">
        <v>99</v>
      </c>
      <c r="E6564" t="s">
        <v>951</v>
      </c>
      <c r="F6564" t="s">
        <v>99</v>
      </c>
      <c r="G6564" t="s">
        <v>817</v>
      </c>
    </row>
    <row r="6565" spans="1:13" x14ac:dyDescent="0.3">
      <c r="A6565" t="s">
        <v>34</v>
      </c>
      <c r="B6565" t="s">
        <v>339</v>
      </c>
      <c r="C6565">
        <v>555</v>
      </c>
      <c r="D6565" t="s">
        <v>382</v>
      </c>
      <c r="E6565" t="s">
        <v>797</v>
      </c>
      <c r="F6565" t="s">
        <v>141</v>
      </c>
      <c r="G6565" t="s">
        <v>1474</v>
      </c>
    </row>
    <row r="6566" spans="1:13" x14ac:dyDescent="0.3">
      <c r="A6566" t="s">
        <v>34</v>
      </c>
      <c r="B6566" t="s">
        <v>340</v>
      </c>
      <c r="C6566">
        <v>1497</v>
      </c>
      <c r="D6566" t="s">
        <v>215</v>
      </c>
      <c r="E6566" t="s">
        <v>1176</v>
      </c>
      <c r="F6566" t="s">
        <v>382</v>
      </c>
      <c r="G6566" t="s">
        <v>645</v>
      </c>
    </row>
    <row r="6567" spans="1:13" x14ac:dyDescent="0.3">
      <c r="A6567" t="s">
        <v>34</v>
      </c>
      <c r="B6567" t="s">
        <v>365</v>
      </c>
      <c r="C6567">
        <v>28</v>
      </c>
      <c r="D6567" t="s">
        <v>220</v>
      </c>
      <c r="E6567" t="s">
        <v>1222</v>
      </c>
      <c r="F6567" t="s">
        <v>123</v>
      </c>
      <c r="G6567" t="s">
        <v>941</v>
      </c>
    </row>
    <row r="6568" spans="1:13" x14ac:dyDescent="0.3">
      <c r="A6568" t="s">
        <v>33</v>
      </c>
      <c r="B6568" t="s">
        <v>339</v>
      </c>
      <c r="C6568">
        <v>503</v>
      </c>
      <c r="D6568" t="s">
        <v>253</v>
      </c>
      <c r="E6568" t="s">
        <v>1116</v>
      </c>
      <c r="F6568" t="s">
        <v>136</v>
      </c>
      <c r="G6568" t="s">
        <v>1178</v>
      </c>
    </row>
    <row r="6569" spans="1:13" x14ac:dyDescent="0.3">
      <c r="A6569" t="s">
        <v>33</v>
      </c>
      <c r="B6569" t="s">
        <v>340</v>
      </c>
      <c r="C6569">
        <v>1415</v>
      </c>
      <c r="D6569" t="s">
        <v>115</v>
      </c>
      <c r="E6569" t="s">
        <v>869</v>
      </c>
      <c r="F6569" t="s">
        <v>104</v>
      </c>
      <c r="G6569" t="s">
        <v>742</v>
      </c>
    </row>
    <row r="6570" spans="1:13" x14ac:dyDescent="0.3">
      <c r="A6570" t="s">
        <v>33</v>
      </c>
      <c r="B6570" t="s">
        <v>365</v>
      </c>
      <c r="C6570">
        <v>19</v>
      </c>
      <c r="D6570" t="s">
        <v>99</v>
      </c>
      <c r="E6570" t="s">
        <v>380</v>
      </c>
      <c r="F6570" t="s">
        <v>99</v>
      </c>
      <c r="G6570" t="s">
        <v>680</v>
      </c>
    </row>
    <row r="6571" spans="1:13" x14ac:dyDescent="0.3">
      <c r="A6571" t="s">
        <v>49</v>
      </c>
      <c r="B6571" t="s">
        <v>339</v>
      </c>
      <c r="C6571">
        <v>3811</v>
      </c>
      <c r="D6571" t="s">
        <v>108</v>
      </c>
      <c r="E6571" t="s">
        <v>561</v>
      </c>
      <c r="F6571" t="s">
        <v>141</v>
      </c>
      <c r="G6571" t="s">
        <v>1151</v>
      </c>
    </row>
    <row r="6572" spans="1:13" x14ac:dyDescent="0.3">
      <c r="A6572" t="s">
        <v>49</v>
      </c>
      <c r="B6572" t="s">
        <v>340</v>
      </c>
      <c r="C6572">
        <v>9320</v>
      </c>
      <c r="D6572" t="s">
        <v>114</v>
      </c>
      <c r="E6572" t="s">
        <v>863</v>
      </c>
      <c r="F6572" t="s">
        <v>141</v>
      </c>
      <c r="G6572" t="s">
        <v>944</v>
      </c>
    </row>
    <row r="6573" spans="1:13" x14ac:dyDescent="0.3">
      <c r="A6573" t="s">
        <v>49</v>
      </c>
      <c r="B6573" t="s">
        <v>365</v>
      </c>
      <c r="C6573">
        <v>191</v>
      </c>
      <c r="D6573" t="s">
        <v>128</v>
      </c>
      <c r="E6573" t="s">
        <v>552</v>
      </c>
      <c r="F6573" t="s">
        <v>136</v>
      </c>
      <c r="G6573" t="s">
        <v>496</v>
      </c>
    </row>
    <row r="6575" spans="1:13" x14ac:dyDescent="0.3">
      <c r="A6575" t="s">
        <v>2106</v>
      </c>
    </row>
    <row r="6576" spans="1:13" x14ac:dyDescent="0.3">
      <c r="A6576" t="s">
        <v>44</v>
      </c>
      <c r="B6576" t="s">
        <v>32</v>
      </c>
      <c r="C6576" t="s">
        <v>2107</v>
      </c>
      <c r="D6576" t="s">
        <v>2108</v>
      </c>
      <c r="E6576" t="s">
        <v>2109</v>
      </c>
      <c r="F6576" t="s">
        <v>2110</v>
      </c>
      <c r="G6576" t="s">
        <v>2111</v>
      </c>
      <c r="H6576" t="s">
        <v>2112</v>
      </c>
      <c r="I6576" t="s">
        <v>2113</v>
      </c>
      <c r="J6576" t="s">
        <v>2114</v>
      </c>
      <c r="K6576" t="s">
        <v>1275</v>
      </c>
      <c r="L6576" t="s">
        <v>83</v>
      </c>
      <c r="M6576" t="s">
        <v>193</v>
      </c>
    </row>
    <row r="6577" spans="1:14" x14ac:dyDescent="0.3">
      <c r="A6577" t="s">
        <v>35</v>
      </c>
      <c r="B6577">
        <v>1458</v>
      </c>
      <c r="C6577" t="s">
        <v>690</v>
      </c>
      <c r="D6577" t="s">
        <v>725</v>
      </c>
      <c r="E6577" t="s">
        <v>1108</v>
      </c>
      <c r="F6577" t="s">
        <v>107</v>
      </c>
      <c r="G6577" t="s">
        <v>268</v>
      </c>
      <c r="H6577" t="s">
        <v>198</v>
      </c>
      <c r="I6577" t="s">
        <v>127</v>
      </c>
      <c r="J6577" t="s">
        <v>1291</v>
      </c>
      <c r="K6577" t="s">
        <v>127</v>
      </c>
      <c r="L6577" t="s">
        <v>104</v>
      </c>
      <c r="M6577" t="s">
        <v>99</v>
      </c>
    </row>
    <row r="6578" spans="1:14" x14ac:dyDescent="0.3">
      <c r="A6578" t="s">
        <v>37</v>
      </c>
      <c r="B6578">
        <v>1701</v>
      </c>
      <c r="C6578" t="s">
        <v>501</v>
      </c>
      <c r="D6578" t="s">
        <v>2115</v>
      </c>
      <c r="E6578" t="s">
        <v>896</v>
      </c>
      <c r="F6578" t="s">
        <v>151</v>
      </c>
      <c r="G6578" t="s">
        <v>120</v>
      </c>
      <c r="H6578" t="s">
        <v>136</v>
      </c>
      <c r="I6578" t="s">
        <v>121</v>
      </c>
      <c r="J6578" t="s">
        <v>546</v>
      </c>
      <c r="K6578" t="s">
        <v>115</v>
      </c>
      <c r="L6578" t="s">
        <v>99</v>
      </c>
      <c r="M6578" t="s">
        <v>99</v>
      </c>
    </row>
    <row r="6579" spans="1:14" x14ac:dyDescent="0.3">
      <c r="A6579" t="s">
        <v>36</v>
      </c>
      <c r="B6579">
        <v>1526</v>
      </c>
      <c r="C6579" t="s">
        <v>534</v>
      </c>
      <c r="D6579" t="s">
        <v>906</v>
      </c>
      <c r="E6579" t="s">
        <v>584</v>
      </c>
      <c r="F6579" t="s">
        <v>112</v>
      </c>
      <c r="G6579" t="s">
        <v>332</v>
      </c>
      <c r="H6579" t="s">
        <v>115</v>
      </c>
      <c r="I6579" t="s">
        <v>123</v>
      </c>
      <c r="J6579" t="s">
        <v>530</v>
      </c>
      <c r="K6579" t="s">
        <v>108</v>
      </c>
      <c r="L6579" t="s">
        <v>99</v>
      </c>
      <c r="M6579" t="s">
        <v>104</v>
      </c>
    </row>
    <row r="6580" spans="1:14" x14ac:dyDescent="0.3">
      <c r="A6580" t="s">
        <v>34</v>
      </c>
      <c r="B6580">
        <v>970</v>
      </c>
      <c r="C6580" t="s">
        <v>116</v>
      </c>
      <c r="D6580" t="s">
        <v>153</v>
      </c>
      <c r="E6580" t="s">
        <v>582</v>
      </c>
      <c r="F6580" t="s">
        <v>474</v>
      </c>
      <c r="G6580" t="s">
        <v>158</v>
      </c>
      <c r="H6580" t="s">
        <v>253</v>
      </c>
      <c r="I6580" t="s">
        <v>107</v>
      </c>
      <c r="J6580" t="s">
        <v>928</v>
      </c>
      <c r="K6580" t="s">
        <v>126</v>
      </c>
      <c r="L6580" t="s">
        <v>136</v>
      </c>
      <c r="M6580" t="s">
        <v>99</v>
      </c>
    </row>
    <row r="6581" spans="1:14" x14ac:dyDescent="0.3">
      <c r="A6581" t="s">
        <v>33</v>
      </c>
      <c r="B6581">
        <v>588</v>
      </c>
      <c r="C6581" t="s">
        <v>807</v>
      </c>
      <c r="D6581" t="s">
        <v>797</v>
      </c>
      <c r="E6581" t="s">
        <v>926</v>
      </c>
      <c r="F6581" t="s">
        <v>115</v>
      </c>
      <c r="G6581" t="s">
        <v>101</v>
      </c>
      <c r="H6581" t="s">
        <v>198</v>
      </c>
      <c r="I6581" t="s">
        <v>115</v>
      </c>
      <c r="J6581" t="s">
        <v>983</v>
      </c>
      <c r="K6581" t="s">
        <v>115</v>
      </c>
      <c r="L6581" t="s">
        <v>99</v>
      </c>
      <c r="M6581" t="s">
        <v>198</v>
      </c>
    </row>
    <row r="6582" spans="1:14" x14ac:dyDescent="0.3">
      <c r="A6582" t="s">
        <v>49</v>
      </c>
      <c r="B6582">
        <v>6243</v>
      </c>
      <c r="C6582" t="s">
        <v>690</v>
      </c>
      <c r="D6582" t="s">
        <v>1232</v>
      </c>
      <c r="E6582" t="s">
        <v>572</v>
      </c>
      <c r="F6582" t="s">
        <v>147</v>
      </c>
      <c r="G6582" t="s">
        <v>157</v>
      </c>
      <c r="H6582" t="s">
        <v>136</v>
      </c>
      <c r="I6582" t="s">
        <v>127</v>
      </c>
      <c r="J6582" t="s">
        <v>949</v>
      </c>
      <c r="K6582" t="s">
        <v>121</v>
      </c>
      <c r="L6582" t="s">
        <v>104</v>
      </c>
      <c r="M6582" t="s">
        <v>99</v>
      </c>
    </row>
    <row r="6584" spans="1:14" x14ac:dyDescent="0.3">
      <c r="A6584" t="s">
        <v>2116</v>
      </c>
    </row>
    <row r="6585" spans="1:14" x14ac:dyDescent="0.3">
      <c r="A6585" t="s">
        <v>44</v>
      </c>
      <c r="B6585" t="s">
        <v>388</v>
      </c>
      <c r="C6585" t="s">
        <v>32</v>
      </c>
      <c r="D6585" t="s">
        <v>2107</v>
      </c>
      <c r="E6585" t="s">
        <v>2108</v>
      </c>
      <c r="F6585" t="s">
        <v>2109</v>
      </c>
      <c r="G6585" t="s">
        <v>2110</v>
      </c>
      <c r="H6585" t="s">
        <v>2111</v>
      </c>
      <c r="I6585" t="s">
        <v>2112</v>
      </c>
      <c r="J6585" t="s">
        <v>2113</v>
      </c>
      <c r="K6585" t="s">
        <v>2114</v>
      </c>
      <c r="L6585" t="s">
        <v>1275</v>
      </c>
      <c r="M6585" t="s">
        <v>83</v>
      </c>
      <c r="N6585" t="s">
        <v>193</v>
      </c>
    </row>
    <row r="6586" spans="1:14" x14ac:dyDescent="0.3">
      <c r="A6586" t="s">
        <v>35</v>
      </c>
      <c r="B6586" t="s">
        <v>389</v>
      </c>
      <c r="C6586">
        <v>1069</v>
      </c>
      <c r="D6586" t="s">
        <v>911</v>
      </c>
      <c r="E6586" t="s">
        <v>532</v>
      </c>
      <c r="F6586" t="s">
        <v>941</v>
      </c>
      <c r="G6586" t="s">
        <v>107</v>
      </c>
      <c r="H6586" t="s">
        <v>103</v>
      </c>
      <c r="I6586" t="s">
        <v>104</v>
      </c>
      <c r="J6586" t="s">
        <v>127</v>
      </c>
      <c r="K6586" t="s">
        <v>649</v>
      </c>
      <c r="L6586" t="s">
        <v>114</v>
      </c>
      <c r="M6586" t="s">
        <v>104</v>
      </c>
      <c r="N6586" t="s">
        <v>99</v>
      </c>
    </row>
    <row r="6587" spans="1:14" x14ac:dyDescent="0.3">
      <c r="A6587" t="s">
        <v>35</v>
      </c>
      <c r="B6587" t="s">
        <v>390</v>
      </c>
      <c r="C6587">
        <v>334</v>
      </c>
      <c r="D6587" t="s">
        <v>1107</v>
      </c>
      <c r="E6587" t="s">
        <v>1206</v>
      </c>
      <c r="F6587" t="s">
        <v>955</v>
      </c>
      <c r="G6587" t="s">
        <v>268</v>
      </c>
      <c r="H6587" t="s">
        <v>215</v>
      </c>
      <c r="I6587" t="s">
        <v>136</v>
      </c>
      <c r="J6587" t="s">
        <v>151</v>
      </c>
      <c r="K6587" t="s">
        <v>1190</v>
      </c>
      <c r="L6587" t="s">
        <v>158</v>
      </c>
      <c r="M6587" t="s">
        <v>198</v>
      </c>
      <c r="N6587" t="s">
        <v>104</v>
      </c>
    </row>
    <row r="6588" spans="1:14" x14ac:dyDescent="0.3">
      <c r="A6588" t="s">
        <v>35</v>
      </c>
      <c r="B6588" t="s">
        <v>365</v>
      </c>
      <c r="C6588">
        <v>55</v>
      </c>
      <c r="D6588" t="s">
        <v>184</v>
      </c>
      <c r="E6588" t="s">
        <v>1150</v>
      </c>
      <c r="F6588" t="s">
        <v>102</v>
      </c>
      <c r="G6588" t="s">
        <v>204</v>
      </c>
      <c r="H6588" t="s">
        <v>319</v>
      </c>
      <c r="I6588" t="s">
        <v>99</v>
      </c>
      <c r="J6588" t="s">
        <v>114</v>
      </c>
      <c r="K6588" t="s">
        <v>460</v>
      </c>
      <c r="L6588" t="s">
        <v>99</v>
      </c>
      <c r="M6588" t="s">
        <v>99</v>
      </c>
      <c r="N6588" t="s">
        <v>99</v>
      </c>
    </row>
    <row r="6589" spans="1:14" x14ac:dyDescent="0.3">
      <c r="A6589" t="s">
        <v>37</v>
      </c>
      <c r="B6589" t="s">
        <v>389</v>
      </c>
      <c r="C6589">
        <v>1082</v>
      </c>
      <c r="D6589" t="s">
        <v>357</v>
      </c>
      <c r="E6589" t="s">
        <v>1415</v>
      </c>
      <c r="F6589" t="s">
        <v>213</v>
      </c>
      <c r="G6589" t="s">
        <v>114</v>
      </c>
      <c r="H6589" t="s">
        <v>127</v>
      </c>
      <c r="I6589" t="s">
        <v>198</v>
      </c>
      <c r="J6589" t="s">
        <v>132</v>
      </c>
      <c r="K6589" t="s">
        <v>275</v>
      </c>
      <c r="L6589" t="s">
        <v>132</v>
      </c>
      <c r="M6589" t="s">
        <v>99</v>
      </c>
      <c r="N6589" t="s">
        <v>99</v>
      </c>
    </row>
    <row r="6590" spans="1:14" x14ac:dyDescent="0.3">
      <c r="A6590" t="s">
        <v>37</v>
      </c>
      <c r="B6590" t="s">
        <v>390</v>
      </c>
      <c r="C6590">
        <v>508</v>
      </c>
      <c r="D6590" t="s">
        <v>820</v>
      </c>
      <c r="E6590" t="s">
        <v>662</v>
      </c>
      <c r="F6590" t="s">
        <v>618</v>
      </c>
      <c r="G6590" t="s">
        <v>110</v>
      </c>
      <c r="H6590" t="s">
        <v>112</v>
      </c>
      <c r="I6590" t="s">
        <v>115</v>
      </c>
      <c r="J6590" t="s">
        <v>127</v>
      </c>
      <c r="K6590" t="s">
        <v>1063</v>
      </c>
      <c r="L6590" t="s">
        <v>207</v>
      </c>
      <c r="M6590" t="s">
        <v>99</v>
      </c>
      <c r="N6590" t="s">
        <v>104</v>
      </c>
    </row>
    <row r="6591" spans="1:14" x14ac:dyDescent="0.3">
      <c r="A6591" t="s">
        <v>37</v>
      </c>
      <c r="B6591" t="s">
        <v>365</v>
      </c>
      <c r="C6591">
        <v>111</v>
      </c>
      <c r="D6591" t="s">
        <v>670</v>
      </c>
      <c r="E6591" t="s">
        <v>793</v>
      </c>
      <c r="F6591" t="s">
        <v>557</v>
      </c>
      <c r="G6591" t="s">
        <v>316</v>
      </c>
      <c r="H6591" t="s">
        <v>434</v>
      </c>
      <c r="I6591" t="s">
        <v>114</v>
      </c>
      <c r="J6591" t="s">
        <v>123</v>
      </c>
      <c r="K6591" t="s">
        <v>530</v>
      </c>
      <c r="L6591" t="s">
        <v>117</v>
      </c>
      <c r="M6591" t="s">
        <v>99</v>
      </c>
      <c r="N6591" t="s">
        <v>99</v>
      </c>
    </row>
    <row r="6592" spans="1:14" x14ac:dyDescent="0.3">
      <c r="A6592" t="s">
        <v>36</v>
      </c>
      <c r="B6592" t="s">
        <v>389</v>
      </c>
      <c r="C6592">
        <v>1081</v>
      </c>
      <c r="D6592" t="s">
        <v>751</v>
      </c>
      <c r="E6592" t="s">
        <v>615</v>
      </c>
      <c r="F6592" t="s">
        <v>551</v>
      </c>
      <c r="G6592" t="s">
        <v>107</v>
      </c>
      <c r="H6592" t="s">
        <v>110</v>
      </c>
      <c r="I6592" t="s">
        <v>132</v>
      </c>
      <c r="J6592" t="s">
        <v>128</v>
      </c>
      <c r="K6592" t="s">
        <v>1400</v>
      </c>
      <c r="L6592" t="s">
        <v>101</v>
      </c>
      <c r="M6592" t="s">
        <v>99</v>
      </c>
      <c r="N6592" t="s">
        <v>198</v>
      </c>
    </row>
    <row r="6593" spans="1:14" x14ac:dyDescent="0.3">
      <c r="A6593" t="s">
        <v>36</v>
      </c>
      <c r="B6593" t="s">
        <v>390</v>
      </c>
      <c r="C6593">
        <v>386</v>
      </c>
      <c r="D6593" t="s">
        <v>148</v>
      </c>
      <c r="E6593" t="s">
        <v>283</v>
      </c>
      <c r="F6593" t="s">
        <v>578</v>
      </c>
      <c r="G6593" t="s">
        <v>158</v>
      </c>
      <c r="H6593" t="s">
        <v>108</v>
      </c>
      <c r="I6593" t="s">
        <v>141</v>
      </c>
      <c r="J6593" t="s">
        <v>198</v>
      </c>
      <c r="K6593" t="s">
        <v>504</v>
      </c>
      <c r="L6593" t="s">
        <v>99</v>
      </c>
      <c r="M6593" t="s">
        <v>99</v>
      </c>
      <c r="N6593" t="s">
        <v>99</v>
      </c>
    </row>
    <row r="6594" spans="1:14" x14ac:dyDescent="0.3">
      <c r="A6594" t="s">
        <v>36</v>
      </c>
      <c r="B6594" t="s">
        <v>365</v>
      </c>
      <c r="C6594">
        <v>59</v>
      </c>
      <c r="D6594" t="s">
        <v>1252</v>
      </c>
      <c r="E6594" t="s">
        <v>57</v>
      </c>
      <c r="F6594" t="s">
        <v>698</v>
      </c>
      <c r="G6594" t="s">
        <v>39</v>
      </c>
      <c r="H6594" t="s">
        <v>671</v>
      </c>
      <c r="I6594" t="s">
        <v>99</v>
      </c>
      <c r="J6594" t="s">
        <v>99</v>
      </c>
      <c r="K6594" t="s">
        <v>763</v>
      </c>
      <c r="L6594" t="s">
        <v>99</v>
      </c>
      <c r="M6594" t="s">
        <v>99</v>
      </c>
      <c r="N6594" t="s">
        <v>99</v>
      </c>
    </row>
    <row r="6595" spans="1:14" x14ac:dyDescent="0.3">
      <c r="A6595" t="s">
        <v>34</v>
      </c>
      <c r="B6595" t="s">
        <v>389</v>
      </c>
      <c r="C6595">
        <v>704</v>
      </c>
      <c r="D6595" t="s">
        <v>668</v>
      </c>
      <c r="E6595" t="s">
        <v>429</v>
      </c>
      <c r="F6595" t="s">
        <v>538</v>
      </c>
      <c r="G6595" t="s">
        <v>139</v>
      </c>
      <c r="H6595" t="s">
        <v>684</v>
      </c>
      <c r="I6595" t="s">
        <v>253</v>
      </c>
      <c r="J6595" t="s">
        <v>117</v>
      </c>
      <c r="K6595" t="s">
        <v>1127</v>
      </c>
      <c r="L6595" t="s">
        <v>382</v>
      </c>
      <c r="M6595" t="s">
        <v>198</v>
      </c>
      <c r="N6595" t="s">
        <v>99</v>
      </c>
    </row>
    <row r="6596" spans="1:14" x14ac:dyDescent="0.3">
      <c r="A6596" t="s">
        <v>34</v>
      </c>
      <c r="B6596" t="s">
        <v>390</v>
      </c>
      <c r="C6596">
        <v>243</v>
      </c>
      <c r="D6596" t="s">
        <v>834</v>
      </c>
      <c r="E6596" t="s">
        <v>707</v>
      </c>
      <c r="F6596" t="s">
        <v>619</v>
      </c>
      <c r="G6596" t="s">
        <v>332</v>
      </c>
      <c r="H6596" t="s">
        <v>124</v>
      </c>
      <c r="I6596" t="s">
        <v>253</v>
      </c>
      <c r="J6596" t="s">
        <v>412</v>
      </c>
      <c r="K6596" t="s">
        <v>1015</v>
      </c>
      <c r="L6596" t="s">
        <v>253</v>
      </c>
      <c r="M6596" t="s">
        <v>132</v>
      </c>
      <c r="N6596" t="s">
        <v>99</v>
      </c>
    </row>
    <row r="6597" spans="1:14" x14ac:dyDescent="0.3">
      <c r="A6597" t="s">
        <v>34</v>
      </c>
      <c r="B6597" t="s">
        <v>365</v>
      </c>
      <c r="C6597">
        <v>23</v>
      </c>
      <c r="D6597" t="s">
        <v>703</v>
      </c>
      <c r="E6597" t="s">
        <v>1704</v>
      </c>
      <c r="F6597" t="s">
        <v>2115</v>
      </c>
      <c r="G6597" t="s">
        <v>254</v>
      </c>
      <c r="H6597" t="s">
        <v>254</v>
      </c>
      <c r="I6597" t="s">
        <v>99</v>
      </c>
      <c r="J6597" t="s">
        <v>99</v>
      </c>
      <c r="K6597" t="s">
        <v>176</v>
      </c>
      <c r="L6597" t="s">
        <v>254</v>
      </c>
      <c r="M6597" t="s">
        <v>99</v>
      </c>
      <c r="N6597" t="s">
        <v>99</v>
      </c>
    </row>
    <row r="6598" spans="1:14" x14ac:dyDescent="0.3">
      <c r="A6598" t="s">
        <v>33</v>
      </c>
      <c r="B6598" t="s">
        <v>389</v>
      </c>
      <c r="C6598">
        <v>374</v>
      </c>
      <c r="D6598" t="s">
        <v>186</v>
      </c>
      <c r="E6598" t="s">
        <v>1110</v>
      </c>
      <c r="F6598" t="s">
        <v>1224</v>
      </c>
      <c r="G6598" t="s">
        <v>132</v>
      </c>
      <c r="H6598" t="s">
        <v>121</v>
      </c>
      <c r="I6598" t="s">
        <v>99</v>
      </c>
      <c r="J6598" t="s">
        <v>198</v>
      </c>
      <c r="K6598" t="s">
        <v>522</v>
      </c>
      <c r="L6598" t="s">
        <v>136</v>
      </c>
      <c r="M6598" t="s">
        <v>99</v>
      </c>
      <c r="N6598" t="s">
        <v>198</v>
      </c>
    </row>
    <row r="6599" spans="1:14" x14ac:dyDescent="0.3">
      <c r="A6599" t="s">
        <v>33</v>
      </c>
      <c r="B6599" t="s">
        <v>390</v>
      </c>
      <c r="C6599">
        <v>176</v>
      </c>
      <c r="D6599" t="s">
        <v>499</v>
      </c>
      <c r="E6599" t="s">
        <v>349</v>
      </c>
      <c r="F6599" t="s">
        <v>1153</v>
      </c>
      <c r="G6599" t="s">
        <v>141</v>
      </c>
      <c r="H6599" t="s">
        <v>127</v>
      </c>
      <c r="I6599" t="s">
        <v>115</v>
      </c>
      <c r="J6599" t="s">
        <v>100</v>
      </c>
      <c r="K6599" t="s">
        <v>1474</v>
      </c>
      <c r="L6599" t="s">
        <v>319</v>
      </c>
      <c r="M6599" t="s">
        <v>99</v>
      </c>
      <c r="N6599" t="s">
        <v>99</v>
      </c>
    </row>
    <row r="6600" spans="1:14" x14ac:dyDescent="0.3">
      <c r="A6600" t="s">
        <v>33</v>
      </c>
      <c r="B6600" t="s">
        <v>365</v>
      </c>
      <c r="C6600">
        <v>38</v>
      </c>
      <c r="D6600" t="s">
        <v>903</v>
      </c>
      <c r="E6600" t="s">
        <v>1237</v>
      </c>
      <c r="F6600" t="s">
        <v>817</v>
      </c>
      <c r="G6600" t="s">
        <v>99</v>
      </c>
      <c r="H6600" t="s">
        <v>99</v>
      </c>
      <c r="I6600" t="s">
        <v>99</v>
      </c>
      <c r="J6600" t="s">
        <v>128</v>
      </c>
      <c r="K6600" t="s">
        <v>520</v>
      </c>
      <c r="L6600" t="s">
        <v>99</v>
      </c>
      <c r="M6600" t="s">
        <v>99</v>
      </c>
      <c r="N6600" t="s">
        <v>99</v>
      </c>
    </row>
    <row r="6601" spans="1:14" x14ac:dyDescent="0.3">
      <c r="A6601" t="s">
        <v>49</v>
      </c>
      <c r="B6601" t="s">
        <v>389</v>
      </c>
      <c r="C6601">
        <v>4310</v>
      </c>
      <c r="D6601" t="s">
        <v>911</v>
      </c>
      <c r="E6601" t="s">
        <v>1232</v>
      </c>
      <c r="F6601" t="s">
        <v>594</v>
      </c>
      <c r="G6601" t="s">
        <v>316</v>
      </c>
      <c r="H6601" t="s">
        <v>147</v>
      </c>
      <c r="I6601" t="s">
        <v>207</v>
      </c>
      <c r="J6601" t="s">
        <v>382</v>
      </c>
      <c r="K6601" t="s">
        <v>284</v>
      </c>
      <c r="L6601" t="s">
        <v>114</v>
      </c>
      <c r="M6601" t="s">
        <v>104</v>
      </c>
      <c r="N6601" t="s">
        <v>99</v>
      </c>
    </row>
    <row r="6602" spans="1:14" x14ac:dyDescent="0.3">
      <c r="A6602" t="s">
        <v>49</v>
      </c>
      <c r="B6602" t="s">
        <v>390</v>
      </c>
      <c r="C6602">
        <v>1647</v>
      </c>
      <c r="D6602" t="s">
        <v>503</v>
      </c>
      <c r="E6602" t="s">
        <v>924</v>
      </c>
      <c r="F6602" t="s">
        <v>941</v>
      </c>
      <c r="G6602" t="s">
        <v>105</v>
      </c>
      <c r="H6602" t="s">
        <v>138</v>
      </c>
      <c r="I6602" t="s">
        <v>253</v>
      </c>
      <c r="J6602" t="s">
        <v>111</v>
      </c>
      <c r="K6602" t="s">
        <v>819</v>
      </c>
      <c r="L6602" t="s">
        <v>382</v>
      </c>
      <c r="M6602" t="s">
        <v>198</v>
      </c>
      <c r="N6602" t="s">
        <v>104</v>
      </c>
    </row>
    <row r="6603" spans="1:14" x14ac:dyDescent="0.3">
      <c r="A6603" t="s">
        <v>49</v>
      </c>
      <c r="B6603" t="s">
        <v>365</v>
      </c>
      <c r="C6603">
        <v>286</v>
      </c>
      <c r="D6603" t="s">
        <v>842</v>
      </c>
      <c r="E6603" t="s">
        <v>589</v>
      </c>
      <c r="F6603" t="s">
        <v>919</v>
      </c>
      <c r="G6603" t="s">
        <v>204</v>
      </c>
      <c r="H6603" t="s">
        <v>129</v>
      </c>
      <c r="I6603" t="s">
        <v>136</v>
      </c>
      <c r="J6603" t="s">
        <v>101</v>
      </c>
      <c r="K6603" t="s">
        <v>1453</v>
      </c>
      <c r="L6603" t="s">
        <v>215</v>
      </c>
      <c r="M6603" t="s">
        <v>99</v>
      </c>
      <c r="N6603" t="s">
        <v>99</v>
      </c>
    </row>
    <row r="6605" spans="1:14" x14ac:dyDescent="0.3">
      <c r="A6605" t="s">
        <v>2117</v>
      </c>
    </row>
    <row r="6606" spans="1:14" x14ac:dyDescent="0.3">
      <c r="A6606" t="s">
        <v>44</v>
      </c>
      <c r="B6606" t="s">
        <v>235</v>
      </c>
      <c r="C6606" t="s">
        <v>32</v>
      </c>
      <c r="D6606" t="s">
        <v>2107</v>
      </c>
      <c r="E6606" t="s">
        <v>2108</v>
      </c>
      <c r="F6606" t="s">
        <v>2109</v>
      </c>
      <c r="G6606" t="s">
        <v>2110</v>
      </c>
      <c r="H6606" t="s">
        <v>2111</v>
      </c>
      <c r="I6606" t="s">
        <v>2112</v>
      </c>
      <c r="J6606" t="s">
        <v>2113</v>
      </c>
      <c r="K6606" t="s">
        <v>2114</v>
      </c>
      <c r="L6606" t="s">
        <v>1275</v>
      </c>
      <c r="M6606" t="s">
        <v>83</v>
      </c>
      <c r="N6606" t="s">
        <v>193</v>
      </c>
    </row>
    <row r="6607" spans="1:14" x14ac:dyDescent="0.3">
      <c r="A6607" t="s">
        <v>35</v>
      </c>
      <c r="B6607" t="s">
        <v>236</v>
      </c>
      <c r="C6607">
        <v>746</v>
      </c>
      <c r="D6607" t="s">
        <v>864</v>
      </c>
      <c r="E6607" t="s">
        <v>930</v>
      </c>
      <c r="F6607" t="s">
        <v>1215</v>
      </c>
      <c r="G6607" t="s">
        <v>130</v>
      </c>
      <c r="H6607" t="s">
        <v>123</v>
      </c>
      <c r="I6607" t="s">
        <v>207</v>
      </c>
      <c r="J6607" t="s">
        <v>110</v>
      </c>
      <c r="K6607" t="s">
        <v>1194</v>
      </c>
      <c r="L6607" t="s">
        <v>136</v>
      </c>
      <c r="M6607" t="s">
        <v>198</v>
      </c>
      <c r="N6607" t="s">
        <v>104</v>
      </c>
    </row>
    <row r="6608" spans="1:14" x14ac:dyDescent="0.3">
      <c r="A6608" t="s">
        <v>35</v>
      </c>
      <c r="B6608" t="s">
        <v>238</v>
      </c>
      <c r="C6608">
        <v>712</v>
      </c>
      <c r="D6608" t="s">
        <v>457</v>
      </c>
      <c r="E6608" t="s">
        <v>725</v>
      </c>
      <c r="F6608" t="s">
        <v>1058</v>
      </c>
      <c r="G6608" t="s">
        <v>103</v>
      </c>
      <c r="H6608" t="s">
        <v>117</v>
      </c>
      <c r="I6608" t="s">
        <v>104</v>
      </c>
      <c r="J6608" t="s">
        <v>108</v>
      </c>
      <c r="K6608" t="s">
        <v>279</v>
      </c>
      <c r="L6608" t="s">
        <v>103</v>
      </c>
      <c r="M6608" t="s">
        <v>104</v>
      </c>
      <c r="N6608" t="s">
        <v>99</v>
      </c>
    </row>
    <row r="6609" spans="1:14" x14ac:dyDescent="0.3">
      <c r="A6609" t="s">
        <v>37</v>
      </c>
      <c r="B6609" t="s">
        <v>236</v>
      </c>
      <c r="C6609">
        <v>1053</v>
      </c>
      <c r="D6609" t="s">
        <v>747</v>
      </c>
      <c r="E6609" t="s">
        <v>903</v>
      </c>
      <c r="F6609" t="s">
        <v>1150</v>
      </c>
      <c r="G6609" t="s">
        <v>117</v>
      </c>
      <c r="H6609" t="s">
        <v>105</v>
      </c>
      <c r="I6609" t="s">
        <v>141</v>
      </c>
      <c r="J6609" t="s">
        <v>127</v>
      </c>
      <c r="K6609" t="s">
        <v>278</v>
      </c>
      <c r="L6609" t="s">
        <v>108</v>
      </c>
      <c r="M6609" t="s">
        <v>99</v>
      </c>
      <c r="N6609" t="s">
        <v>99</v>
      </c>
    </row>
    <row r="6610" spans="1:14" x14ac:dyDescent="0.3">
      <c r="A6610" t="s">
        <v>37</v>
      </c>
      <c r="B6610" t="s">
        <v>238</v>
      </c>
      <c r="C6610">
        <v>648</v>
      </c>
      <c r="D6610" t="s">
        <v>677</v>
      </c>
      <c r="E6610" t="s">
        <v>551</v>
      </c>
      <c r="F6610" t="s">
        <v>1255</v>
      </c>
      <c r="G6610" t="s">
        <v>319</v>
      </c>
      <c r="H6610" t="s">
        <v>111</v>
      </c>
      <c r="I6610" t="s">
        <v>198</v>
      </c>
      <c r="J6610" t="s">
        <v>104</v>
      </c>
      <c r="K6610" t="s">
        <v>575</v>
      </c>
      <c r="L6610" t="s">
        <v>136</v>
      </c>
      <c r="M6610" t="s">
        <v>99</v>
      </c>
      <c r="N6610" t="s">
        <v>104</v>
      </c>
    </row>
    <row r="6611" spans="1:14" x14ac:dyDescent="0.3">
      <c r="A6611" t="s">
        <v>36</v>
      </c>
      <c r="B6611" t="s">
        <v>236</v>
      </c>
      <c r="C6611">
        <v>1073</v>
      </c>
      <c r="D6611" t="s">
        <v>529</v>
      </c>
      <c r="E6611" t="s">
        <v>1077</v>
      </c>
      <c r="F6611" t="s">
        <v>555</v>
      </c>
      <c r="G6611" t="s">
        <v>147</v>
      </c>
      <c r="H6611" t="s">
        <v>151</v>
      </c>
      <c r="I6611" t="s">
        <v>207</v>
      </c>
      <c r="J6611" t="s">
        <v>120</v>
      </c>
      <c r="K6611" t="s">
        <v>1174</v>
      </c>
      <c r="L6611" t="s">
        <v>99</v>
      </c>
      <c r="M6611" t="s">
        <v>99</v>
      </c>
      <c r="N6611" t="s">
        <v>207</v>
      </c>
    </row>
    <row r="6612" spans="1:14" x14ac:dyDescent="0.3">
      <c r="A6612" t="s">
        <v>36</v>
      </c>
      <c r="B6612" t="s">
        <v>238</v>
      </c>
      <c r="C6612">
        <v>453</v>
      </c>
      <c r="D6612" t="s">
        <v>534</v>
      </c>
      <c r="E6612" t="s">
        <v>515</v>
      </c>
      <c r="F6612" t="s">
        <v>566</v>
      </c>
      <c r="G6612" t="s">
        <v>204</v>
      </c>
      <c r="H6612" t="s">
        <v>149</v>
      </c>
      <c r="I6612" t="s">
        <v>114</v>
      </c>
      <c r="J6612" t="s">
        <v>121</v>
      </c>
      <c r="K6612" t="s">
        <v>1012</v>
      </c>
      <c r="L6612" t="s">
        <v>215</v>
      </c>
      <c r="M6612" t="s">
        <v>99</v>
      </c>
      <c r="N6612" t="s">
        <v>99</v>
      </c>
    </row>
    <row r="6613" spans="1:14" x14ac:dyDescent="0.3">
      <c r="A6613" t="s">
        <v>34</v>
      </c>
      <c r="B6613" t="s">
        <v>236</v>
      </c>
      <c r="C6613">
        <v>362</v>
      </c>
      <c r="D6613" t="s">
        <v>662</v>
      </c>
      <c r="E6613" t="s">
        <v>540</v>
      </c>
      <c r="F6613" t="s">
        <v>642</v>
      </c>
      <c r="G6613" t="s">
        <v>684</v>
      </c>
      <c r="H6613" t="s">
        <v>663</v>
      </c>
      <c r="I6613" t="s">
        <v>132</v>
      </c>
      <c r="J6613" t="s">
        <v>242</v>
      </c>
      <c r="K6613" t="s">
        <v>573</v>
      </c>
      <c r="L6613" t="s">
        <v>268</v>
      </c>
      <c r="M6613" t="s">
        <v>99</v>
      </c>
      <c r="N6613" t="s">
        <v>99</v>
      </c>
    </row>
    <row r="6614" spans="1:14" x14ac:dyDescent="0.3">
      <c r="A6614" t="s">
        <v>34</v>
      </c>
      <c r="B6614" t="s">
        <v>238</v>
      </c>
      <c r="C6614">
        <v>608</v>
      </c>
      <c r="D6614" t="s">
        <v>540</v>
      </c>
      <c r="E6614" t="s">
        <v>924</v>
      </c>
      <c r="F6614" t="s">
        <v>584</v>
      </c>
      <c r="G6614" t="s">
        <v>129</v>
      </c>
      <c r="H6614" t="s">
        <v>149</v>
      </c>
      <c r="I6614" t="s">
        <v>141</v>
      </c>
      <c r="J6614" t="s">
        <v>151</v>
      </c>
      <c r="K6614" t="s">
        <v>1160</v>
      </c>
      <c r="L6614" t="s">
        <v>100</v>
      </c>
      <c r="M6614" t="s">
        <v>141</v>
      </c>
      <c r="N6614" t="s">
        <v>99</v>
      </c>
    </row>
    <row r="6615" spans="1:14" x14ac:dyDescent="0.3">
      <c r="A6615" t="s">
        <v>33</v>
      </c>
      <c r="B6615" t="s">
        <v>236</v>
      </c>
      <c r="C6615">
        <v>373</v>
      </c>
      <c r="D6615" t="s">
        <v>457</v>
      </c>
      <c r="E6615" t="s">
        <v>840</v>
      </c>
      <c r="F6615" t="s">
        <v>1331</v>
      </c>
      <c r="G6615" t="s">
        <v>100</v>
      </c>
      <c r="H6615" t="s">
        <v>215</v>
      </c>
      <c r="I6615" t="s">
        <v>99</v>
      </c>
      <c r="J6615" t="s">
        <v>100</v>
      </c>
      <c r="K6615" t="s">
        <v>605</v>
      </c>
      <c r="L6615" t="s">
        <v>136</v>
      </c>
      <c r="M6615" t="s">
        <v>99</v>
      </c>
      <c r="N6615" t="s">
        <v>207</v>
      </c>
    </row>
    <row r="6616" spans="1:14" x14ac:dyDescent="0.3">
      <c r="A6616" t="s">
        <v>33</v>
      </c>
      <c r="B6616" t="s">
        <v>238</v>
      </c>
      <c r="C6616">
        <v>215</v>
      </c>
      <c r="D6616" t="s">
        <v>294</v>
      </c>
      <c r="E6616" t="s">
        <v>566</v>
      </c>
      <c r="F6616" t="s">
        <v>605</v>
      </c>
      <c r="G6616" t="s">
        <v>99</v>
      </c>
      <c r="H6616" t="s">
        <v>132</v>
      </c>
      <c r="I6616" t="s">
        <v>141</v>
      </c>
      <c r="J6616" t="s">
        <v>99</v>
      </c>
      <c r="K6616" t="s">
        <v>928</v>
      </c>
      <c r="L6616" t="s">
        <v>114</v>
      </c>
      <c r="M6616" t="s">
        <v>99</v>
      </c>
      <c r="N6616" t="s">
        <v>99</v>
      </c>
    </row>
    <row r="6617" spans="1:14" x14ac:dyDescent="0.3">
      <c r="A6617" t="s">
        <v>49</v>
      </c>
      <c r="B6617" t="s">
        <v>236</v>
      </c>
      <c r="C6617">
        <v>3607</v>
      </c>
      <c r="D6617" t="s">
        <v>240</v>
      </c>
      <c r="E6617" t="s">
        <v>283</v>
      </c>
      <c r="F6617" t="s">
        <v>567</v>
      </c>
      <c r="G6617" t="s">
        <v>157</v>
      </c>
      <c r="H6617" t="s">
        <v>157</v>
      </c>
      <c r="I6617" t="s">
        <v>136</v>
      </c>
      <c r="J6617" t="s">
        <v>128</v>
      </c>
      <c r="K6617" t="s">
        <v>1192</v>
      </c>
      <c r="L6617" t="s">
        <v>132</v>
      </c>
      <c r="M6617" t="s">
        <v>99</v>
      </c>
      <c r="N6617" t="s">
        <v>104</v>
      </c>
    </row>
    <row r="6618" spans="1:14" x14ac:dyDescent="0.3">
      <c r="A6618" t="s">
        <v>49</v>
      </c>
      <c r="B6618" t="s">
        <v>238</v>
      </c>
      <c r="C6618">
        <v>2636</v>
      </c>
      <c r="D6618" t="s">
        <v>751</v>
      </c>
      <c r="E6618" t="s">
        <v>597</v>
      </c>
      <c r="F6618" t="s">
        <v>1055</v>
      </c>
      <c r="G6618" t="s">
        <v>120</v>
      </c>
      <c r="H6618" t="s">
        <v>157</v>
      </c>
      <c r="I6618" t="s">
        <v>136</v>
      </c>
      <c r="J6618" t="s">
        <v>114</v>
      </c>
      <c r="K6618" t="s">
        <v>2118</v>
      </c>
      <c r="L6618" t="s">
        <v>126</v>
      </c>
      <c r="M6618" t="s">
        <v>198</v>
      </c>
      <c r="N6618" t="s">
        <v>99</v>
      </c>
    </row>
    <row r="6620" spans="1:14" x14ac:dyDescent="0.3">
      <c r="A6620" t="s">
        <v>2119</v>
      </c>
    </row>
    <row r="6621" spans="1:14" x14ac:dyDescent="0.3">
      <c r="A6621" t="s">
        <v>44</v>
      </c>
      <c r="B6621" t="s">
        <v>1335</v>
      </c>
      <c r="C6621" t="s">
        <v>32</v>
      </c>
      <c r="D6621" t="s">
        <v>2107</v>
      </c>
      <c r="E6621" t="s">
        <v>2108</v>
      </c>
      <c r="F6621" t="s">
        <v>2109</v>
      </c>
      <c r="G6621" t="s">
        <v>2110</v>
      </c>
      <c r="H6621" t="s">
        <v>2111</v>
      </c>
      <c r="I6621" t="s">
        <v>2112</v>
      </c>
      <c r="J6621" t="s">
        <v>2113</v>
      </c>
      <c r="K6621" t="s">
        <v>2114</v>
      </c>
      <c r="L6621" t="s">
        <v>1275</v>
      </c>
      <c r="M6621" t="s">
        <v>83</v>
      </c>
      <c r="N6621" t="s">
        <v>193</v>
      </c>
    </row>
    <row r="6622" spans="1:14" x14ac:dyDescent="0.3">
      <c r="A6622" t="s">
        <v>35</v>
      </c>
      <c r="B6622" t="s">
        <v>1336</v>
      </c>
      <c r="C6622">
        <v>931</v>
      </c>
      <c r="D6622" t="s">
        <v>735</v>
      </c>
      <c r="E6622" t="s">
        <v>947</v>
      </c>
      <c r="F6622" t="s">
        <v>565</v>
      </c>
      <c r="G6622" t="s">
        <v>128</v>
      </c>
      <c r="H6622" t="s">
        <v>101</v>
      </c>
      <c r="I6622" t="s">
        <v>198</v>
      </c>
      <c r="J6622" t="s">
        <v>292</v>
      </c>
      <c r="K6622" t="s">
        <v>1160</v>
      </c>
      <c r="L6622" t="s">
        <v>100</v>
      </c>
      <c r="M6622" t="s">
        <v>104</v>
      </c>
      <c r="N6622" t="s">
        <v>99</v>
      </c>
    </row>
    <row r="6623" spans="1:14" x14ac:dyDescent="0.3">
      <c r="A6623" t="s">
        <v>35</v>
      </c>
      <c r="B6623" t="s">
        <v>1338</v>
      </c>
      <c r="C6623">
        <v>140</v>
      </c>
      <c r="D6623" t="s">
        <v>148</v>
      </c>
      <c r="E6623" t="s">
        <v>1231</v>
      </c>
      <c r="F6623" t="s">
        <v>619</v>
      </c>
      <c r="G6623" t="s">
        <v>468</v>
      </c>
      <c r="H6623" t="s">
        <v>154</v>
      </c>
      <c r="I6623" t="s">
        <v>253</v>
      </c>
      <c r="J6623" t="s">
        <v>120</v>
      </c>
      <c r="K6623" t="s">
        <v>556</v>
      </c>
      <c r="L6623" t="s">
        <v>117</v>
      </c>
      <c r="M6623" t="s">
        <v>99</v>
      </c>
      <c r="N6623" t="s">
        <v>99</v>
      </c>
    </row>
    <row r="6624" spans="1:14" x14ac:dyDescent="0.3">
      <c r="A6624" t="s">
        <v>35</v>
      </c>
      <c r="B6624" t="s">
        <v>1339</v>
      </c>
      <c r="C6624">
        <v>387</v>
      </c>
      <c r="D6624" t="s">
        <v>501</v>
      </c>
      <c r="E6624" t="s">
        <v>393</v>
      </c>
      <c r="F6624" t="s">
        <v>926</v>
      </c>
      <c r="G6624" t="s">
        <v>128</v>
      </c>
      <c r="H6624" t="s">
        <v>130</v>
      </c>
      <c r="I6624" t="s">
        <v>99</v>
      </c>
      <c r="J6624" t="s">
        <v>132</v>
      </c>
      <c r="K6624" t="s">
        <v>1151</v>
      </c>
      <c r="L6624" t="s">
        <v>138</v>
      </c>
      <c r="M6624" t="s">
        <v>99</v>
      </c>
      <c r="N6624" t="s">
        <v>99</v>
      </c>
    </row>
    <row r="6625" spans="1:14" x14ac:dyDescent="0.3">
      <c r="A6625" t="s">
        <v>37</v>
      </c>
      <c r="B6625" t="s">
        <v>1336</v>
      </c>
      <c r="C6625">
        <v>1009</v>
      </c>
      <c r="D6625" t="s">
        <v>491</v>
      </c>
      <c r="E6625" t="s">
        <v>1179</v>
      </c>
      <c r="F6625" t="s">
        <v>558</v>
      </c>
      <c r="G6625" t="s">
        <v>292</v>
      </c>
      <c r="H6625" t="s">
        <v>128</v>
      </c>
      <c r="I6625" t="s">
        <v>253</v>
      </c>
      <c r="J6625" t="s">
        <v>101</v>
      </c>
      <c r="K6625" t="s">
        <v>275</v>
      </c>
      <c r="L6625" t="s">
        <v>114</v>
      </c>
      <c r="M6625" t="s">
        <v>99</v>
      </c>
      <c r="N6625" t="s">
        <v>99</v>
      </c>
    </row>
    <row r="6626" spans="1:14" x14ac:dyDescent="0.3">
      <c r="A6626" t="s">
        <v>37</v>
      </c>
      <c r="B6626" t="s">
        <v>1338</v>
      </c>
      <c r="C6626">
        <v>212</v>
      </c>
      <c r="D6626" t="s">
        <v>707</v>
      </c>
      <c r="E6626" t="s">
        <v>815</v>
      </c>
      <c r="F6626" t="s">
        <v>556</v>
      </c>
      <c r="G6626" t="s">
        <v>712</v>
      </c>
      <c r="H6626" t="s">
        <v>319</v>
      </c>
      <c r="I6626" t="s">
        <v>253</v>
      </c>
      <c r="J6626" t="s">
        <v>132</v>
      </c>
      <c r="K6626" t="s">
        <v>520</v>
      </c>
      <c r="L6626" t="s">
        <v>136</v>
      </c>
      <c r="M6626" t="s">
        <v>99</v>
      </c>
      <c r="N6626" t="s">
        <v>99</v>
      </c>
    </row>
    <row r="6627" spans="1:14" x14ac:dyDescent="0.3">
      <c r="A6627" t="s">
        <v>37</v>
      </c>
      <c r="B6627" t="s">
        <v>1339</v>
      </c>
      <c r="C6627">
        <v>480</v>
      </c>
      <c r="D6627" t="s">
        <v>171</v>
      </c>
      <c r="E6627" t="s">
        <v>432</v>
      </c>
      <c r="F6627" t="s">
        <v>1196</v>
      </c>
      <c r="G6627" t="s">
        <v>108</v>
      </c>
      <c r="H6627" t="s">
        <v>154</v>
      </c>
      <c r="I6627" t="s">
        <v>99</v>
      </c>
      <c r="J6627" t="s">
        <v>114</v>
      </c>
      <c r="K6627" t="s">
        <v>61</v>
      </c>
      <c r="L6627" t="s">
        <v>207</v>
      </c>
      <c r="M6627" t="s">
        <v>99</v>
      </c>
      <c r="N6627" t="s">
        <v>104</v>
      </c>
    </row>
    <row r="6628" spans="1:14" x14ac:dyDescent="0.3">
      <c r="A6628" t="s">
        <v>36</v>
      </c>
      <c r="B6628" t="s">
        <v>1336</v>
      </c>
      <c r="C6628">
        <v>970</v>
      </c>
      <c r="D6628" t="s">
        <v>1105</v>
      </c>
      <c r="E6628" t="s">
        <v>947</v>
      </c>
      <c r="F6628" t="s">
        <v>561</v>
      </c>
      <c r="G6628" t="s">
        <v>434</v>
      </c>
      <c r="H6628" t="s">
        <v>712</v>
      </c>
      <c r="I6628" t="s">
        <v>115</v>
      </c>
      <c r="J6628" t="s">
        <v>151</v>
      </c>
      <c r="K6628" t="s">
        <v>196</v>
      </c>
      <c r="L6628" t="s">
        <v>126</v>
      </c>
      <c r="M6628" t="s">
        <v>99</v>
      </c>
      <c r="N6628" t="s">
        <v>99</v>
      </c>
    </row>
    <row r="6629" spans="1:14" x14ac:dyDescent="0.3">
      <c r="A6629" t="s">
        <v>36</v>
      </c>
      <c r="B6629" t="s">
        <v>1338</v>
      </c>
      <c r="C6629">
        <v>170</v>
      </c>
      <c r="D6629" t="s">
        <v>153</v>
      </c>
      <c r="E6629" t="s">
        <v>2120</v>
      </c>
      <c r="F6629" t="s">
        <v>496</v>
      </c>
      <c r="G6629" t="s">
        <v>325</v>
      </c>
      <c r="H6629" t="s">
        <v>149</v>
      </c>
      <c r="I6629" t="s">
        <v>121</v>
      </c>
      <c r="J6629" t="s">
        <v>316</v>
      </c>
      <c r="K6629" t="s">
        <v>773</v>
      </c>
      <c r="L6629" t="s">
        <v>104</v>
      </c>
      <c r="M6629" t="s">
        <v>99</v>
      </c>
      <c r="N6629" t="s">
        <v>99</v>
      </c>
    </row>
    <row r="6630" spans="1:14" x14ac:dyDescent="0.3">
      <c r="A6630" t="s">
        <v>36</v>
      </c>
      <c r="B6630" t="s">
        <v>1339</v>
      </c>
      <c r="C6630">
        <v>386</v>
      </c>
      <c r="D6630" t="s">
        <v>321</v>
      </c>
      <c r="E6630" t="s">
        <v>903</v>
      </c>
      <c r="F6630" t="s">
        <v>576</v>
      </c>
      <c r="G6630" t="s">
        <v>68</v>
      </c>
      <c r="H6630" t="s">
        <v>100</v>
      </c>
      <c r="I6630" t="s">
        <v>141</v>
      </c>
      <c r="J6630" t="s">
        <v>126</v>
      </c>
      <c r="K6630" t="s">
        <v>343</v>
      </c>
      <c r="L6630" t="s">
        <v>99</v>
      </c>
      <c r="M6630" t="s">
        <v>99</v>
      </c>
      <c r="N6630" t="s">
        <v>141</v>
      </c>
    </row>
    <row r="6631" spans="1:14" x14ac:dyDescent="0.3">
      <c r="A6631" t="s">
        <v>34</v>
      </c>
      <c r="B6631" t="s">
        <v>1336</v>
      </c>
      <c r="C6631">
        <v>570</v>
      </c>
      <c r="D6631" t="s">
        <v>897</v>
      </c>
      <c r="E6631" t="s">
        <v>827</v>
      </c>
      <c r="F6631" t="s">
        <v>1252</v>
      </c>
      <c r="G6631" t="s">
        <v>412</v>
      </c>
      <c r="H6631" t="s">
        <v>663</v>
      </c>
      <c r="I6631" t="s">
        <v>104</v>
      </c>
      <c r="J6631" t="s">
        <v>128</v>
      </c>
      <c r="K6631" t="s">
        <v>575</v>
      </c>
      <c r="L6631" t="s">
        <v>151</v>
      </c>
      <c r="M6631" t="s">
        <v>207</v>
      </c>
      <c r="N6631" t="s">
        <v>99</v>
      </c>
    </row>
    <row r="6632" spans="1:14" x14ac:dyDescent="0.3">
      <c r="A6632" t="s">
        <v>34</v>
      </c>
      <c r="B6632" t="s">
        <v>1338</v>
      </c>
      <c r="C6632">
        <v>76</v>
      </c>
      <c r="D6632" t="s">
        <v>525</v>
      </c>
      <c r="E6632" t="s">
        <v>1068</v>
      </c>
      <c r="F6632" t="s">
        <v>730</v>
      </c>
      <c r="G6632" t="s">
        <v>368</v>
      </c>
      <c r="H6632" t="s">
        <v>368</v>
      </c>
      <c r="I6632" t="s">
        <v>99</v>
      </c>
      <c r="J6632" t="s">
        <v>110</v>
      </c>
      <c r="K6632" t="s">
        <v>1166</v>
      </c>
      <c r="L6632" t="s">
        <v>99</v>
      </c>
      <c r="M6632" t="s">
        <v>99</v>
      </c>
      <c r="N6632" t="s">
        <v>99</v>
      </c>
    </row>
    <row r="6633" spans="1:14" x14ac:dyDescent="0.3">
      <c r="A6633" t="s">
        <v>34</v>
      </c>
      <c r="B6633" t="s">
        <v>1339</v>
      </c>
      <c r="C6633">
        <v>324</v>
      </c>
      <c r="D6633" t="s">
        <v>740</v>
      </c>
      <c r="E6633" t="s">
        <v>416</v>
      </c>
      <c r="F6633" t="s">
        <v>649</v>
      </c>
      <c r="G6633" t="s">
        <v>99</v>
      </c>
      <c r="H6633" t="s">
        <v>99</v>
      </c>
      <c r="I6633" t="s">
        <v>123</v>
      </c>
      <c r="J6633" t="s">
        <v>157</v>
      </c>
      <c r="K6633" t="s">
        <v>948</v>
      </c>
      <c r="L6633" t="s">
        <v>108</v>
      </c>
      <c r="M6633" t="s">
        <v>253</v>
      </c>
      <c r="N6633" t="s">
        <v>99</v>
      </c>
    </row>
    <row r="6634" spans="1:14" x14ac:dyDescent="0.3">
      <c r="A6634" t="s">
        <v>33</v>
      </c>
      <c r="B6634" t="s">
        <v>1336</v>
      </c>
      <c r="C6634">
        <v>374</v>
      </c>
      <c r="D6634" t="s">
        <v>933</v>
      </c>
      <c r="E6634" t="s">
        <v>808</v>
      </c>
      <c r="F6634" t="s">
        <v>1340</v>
      </c>
      <c r="G6634" t="s">
        <v>132</v>
      </c>
      <c r="H6634" t="s">
        <v>126</v>
      </c>
      <c r="I6634" t="s">
        <v>99</v>
      </c>
      <c r="J6634" t="s">
        <v>132</v>
      </c>
      <c r="K6634" t="s">
        <v>55</v>
      </c>
      <c r="L6634" t="s">
        <v>136</v>
      </c>
      <c r="M6634" t="s">
        <v>99</v>
      </c>
      <c r="N6634" t="s">
        <v>207</v>
      </c>
    </row>
    <row r="6635" spans="1:14" x14ac:dyDescent="0.3">
      <c r="A6635" t="s">
        <v>33</v>
      </c>
      <c r="B6635" t="s">
        <v>1338</v>
      </c>
      <c r="C6635">
        <v>38</v>
      </c>
      <c r="D6635" t="s">
        <v>1232</v>
      </c>
      <c r="E6635" t="s">
        <v>604</v>
      </c>
      <c r="F6635" t="s">
        <v>1650</v>
      </c>
      <c r="G6635" t="s">
        <v>117</v>
      </c>
      <c r="H6635" t="s">
        <v>684</v>
      </c>
      <c r="I6635" t="s">
        <v>99</v>
      </c>
      <c r="J6635" t="s">
        <v>117</v>
      </c>
      <c r="K6635" t="s">
        <v>772</v>
      </c>
      <c r="L6635" t="s">
        <v>151</v>
      </c>
      <c r="M6635" t="s">
        <v>99</v>
      </c>
      <c r="N6635" t="s">
        <v>99</v>
      </c>
    </row>
    <row r="6636" spans="1:14" x14ac:dyDescent="0.3">
      <c r="A6636" t="s">
        <v>33</v>
      </c>
      <c r="B6636" t="s">
        <v>1339</v>
      </c>
      <c r="C6636">
        <v>176</v>
      </c>
      <c r="D6636" t="s">
        <v>675</v>
      </c>
      <c r="E6636" t="s">
        <v>355</v>
      </c>
      <c r="F6636" t="s">
        <v>1475</v>
      </c>
      <c r="G6636" t="s">
        <v>99</v>
      </c>
      <c r="H6636" t="s">
        <v>99</v>
      </c>
      <c r="I6636" t="s">
        <v>115</v>
      </c>
      <c r="J6636" t="s">
        <v>99</v>
      </c>
      <c r="K6636" t="s">
        <v>1097</v>
      </c>
      <c r="L6636" t="s">
        <v>114</v>
      </c>
      <c r="M6636" t="s">
        <v>99</v>
      </c>
      <c r="N6636" t="s">
        <v>99</v>
      </c>
    </row>
    <row r="6637" spans="1:14" x14ac:dyDescent="0.3">
      <c r="A6637" t="s">
        <v>49</v>
      </c>
      <c r="B6637" t="s">
        <v>1336</v>
      </c>
      <c r="C6637">
        <v>3854</v>
      </c>
      <c r="D6637" t="s">
        <v>842</v>
      </c>
      <c r="E6637" t="s">
        <v>515</v>
      </c>
      <c r="F6637" t="s">
        <v>793</v>
      </c>
      <c r="G6637" t="s">
        <v>107</v>
      </c>
      <c r="H6637" t="s">
        <v>157</v>
      </c>
      <c r="I6637" t="s">
        <v>207</v>
      </c>
      <c r="J6637" t="s">
        <v>123</v>
      </c>
      <c r="K6637" t="s">
        <v>1259</v>
      </c>
      <c r="L6637" t="s">
        <v>121</v>
      </c>
      <c r="M6637" t="s">
        <v>104</v>
      </c>
      <c r="N6637" t="s">
        <v>99</v>
      </c>
    </row>
    <row r="6638" spans="1:14" x14ac:dyDescent="0.3">
      <c r="A6638" t="s">
        <v>49</v>
      </c>
      <c r="B6638" t="s">
        <v>1338</v>
      </c>
      <c r="C6638">
        <v>636</v>
      </c>
      <c r="D6638" t="s">
        <v>1102</v>
      </c>
      <c r="E6638" t="s">
        <v>1049</v>
      </c>
      <c r="F6638" t="s">
        <v>570</v>
      </c>
      <c r="G6638" t="s">
        <v>675</v>
      </c>
      <c r="H6638" t="s">
        <v>412</v>
      </c>
      <c r="I6638" t="s">
        <v>141</v>
      </c>
      <c r="J6638" t="s">
        <v>268</v>
      </c>
      <c r="K6638" t="s">
        <v>770</v>
      </c>
      <c r="L6638" t="s">
        <v>108</v>
      </c>
      <c r="M6638" t="s">
        <v>99</v>
      </c>
      <c r="N6638" t="s">
        <v>99</v>
      </c>
    </row>
    <row r="6639" spans="1:14" x14ac:dyDescent="0.3">
      <c r="A6639" t="s">
        <v>49</v>
      </c>
      <c r="B6639" t="s">
        <v>1339</v>
      </c>
      <c r="C6639">
        <v>1753</v>
      </c>
      <c r="D6639" t="s">
        <v>726</v>
      </c>
      <c r="E6639" t="s">
        <v>678</v>
      </c>
      <c r="F6639" t="s">
        <v>346</v>
      </c>
      <c r="G6639" t="s">
        <v>382</v>
      </c>
      <c r="H6639" t="s">
        <v>268</v>
      </c>
      <c r="I6639" t="s">
        <v>141</v>
      </c>
      <c r="J6639" t="s">
        <v>101</v>
      </c>
      <c r="K6639" t="s">
        <v>282</v>
      </c>
      <c r="L6639" t="s">
        <v>101</v>
      </c>
      <c r="M6639" t="s">
        <v>104</v>
      </c>
      <c r="N6639" t="s">
        <v>104</v>
      </c>
    </row>
    <row r="6641" spans="1:14" x14ac:dyDescent="0.3">
      <c r="A6641" t="s">
        <v>2121</v>
      </c>
    </row>
    <row r="6642" spans="1:14" x14ac:dyDescent="0.3">
      <c r="A6642" t="s">
        <v>44</v>
      </c>
      <c r="B6642" t="s">
        <v>361</v>
      </c>
      <c r="C6642" t="s">
        <v>32</v>
      </c>
      <c r="D6642" t="s">
        <v>2107</v>
      </c>
      <c r="E6642" t="s">
        <v>2108</v>
      </c>
      <c r="F6642" t="s">
        <v>2109</v>
      </c>
      <c r="G6642" t="s">
        <v>2110</v>
      </c>
      <c r="H6642" t="s">
        <v>2111</v>
      </c>
      <c r="I6642" t="s">
        <v>2112</v>
      </c>
      <c r="J6642" t="s">
        <v>2113</v>
      </c>
      <c r="K6642" t="s">
        <v>2114</v>
      </c>
      <c r="L6642" t="s">
        <v>1275</v>
      </c>
      <c r="M6642" t="s">
        <v>83</v>
      </c>
      <c r="N6642" t="s">
        <v>193</v>
      </c>
    </row>
    <row r="6643" spans="1:14" x14ac:dyDescent="0.3">
      <c r="A6643" t="s">
        <v>35</v>
      </c>
      <c r="B6643" t="s">
        <v>339</v>
      </c>
      <c r="C6643">
        <v>513</v>
      </c>
      <c r="D6643" t="s">
        <v>807</v>
      </c>
      <c r="E6643" t="s">
        <v>119</v>
      </c>
      <c r="F6643" t="s">
        <v>770</v>
      </c>
      <c r="G6643" t="s">
        <v>215</v>
      </c>
      <c r="H6643" t="s">
        <v>103</v>
      </c>
      <c r="I6643" t="s">
        <v>104</v>
      </c>
      <c r="J6643" t="s">
        <v>123</v>
      </c>
      <c r="K6643" t="s">
        <v>1151</v>
      </c>
      <c r="L6643" t="s">
        <v>111</v>
      </c>
      <c r="M6643" t="s">
        <v>104</v>
      </c>
      <c r="N6643" t="s">
        <v>104</v>
      </c>
    </row>
    <row r="6644" spans="1:14" x14ac:dyDescent="0.3">
      <c r="A6644" t="s">
        <v>35</v>
      </c>
      <c r="B6644" t="s">
        <v>340</v>
      </c>
      <c r="C6644">
        <v>929</v>
      </c>
      <c r="D6644" t="s">
        <v>246</v>
      </c>
      <c r="E6644" t="s">
        <v>555</v>
      </c>
      <c r="F6644" t="s">
        <v>1415</v>
      </c>
      <c r="G6644" t="s">
        <v>118</v>
      </c>
      <c r="H6644" t="s">
        <v>111</v>
      </c>
      <c r="I6644" t="s">
        <v>207</v>
      </c>
      <c r="J6644" t="s">
        <v>127</v>
      </c>
      <c r="K6644" t="s">
        <v>1153</v>
      </c>
      <c r="L6644" t="s">
        <v>382</v>
      </c>
      <c r="M6644" t="s">
        <v>104</v>
      </c>
      <c r="N6644" t="s">
        <v>99</v>
      </c>
    </row>
    <row r="6645" spans="1:14" x14ac:dyDescent="0.3">
      <c r="A6645" t="s">
        <v>35</v>
      </c>
      <c r="B6645" t="s">
        <v>365</v>
      </c>
      <c r="C6645">
        <v>16</v>
      </c>
      <c r="D6645" t="s">
        <v>937</v>
      </c>
      <c r="E6645" t="s">
        <v>579</v>
      </c>
      <c r="F6645" t="s">
        <v>307</v>
      </c>
      <c r="G6645" t="s">
        <v>99</v>
      </c>
      <c r="H6645" t="s">
        <v>99</v>
      </c>
      <c r="I6645" t="s">
        <v>99</v>
      </c>
      <c r="J6645" t="s">
        <v>99</v>
      </c>
      <c r="K6645" t="s">
        <v>524</v>
      </c>
      <c r="L6645" t="s">
        <v>99</v>
      </c>
      <c r="M6645" t="s">
        <v>99</v>
      </c>
      <c r="N6645" t="s">
        <v>99</v>
      </c>
    </row>
    <row r="6646" spans="1:14" x14ac:dyDescent="0.3">
      <c r="A6646" t="s">
        <v>37</v>
      </c>
      <c r="B6646" t="s">
        <v>339</v>
      </c>
      <c r="C6646">
        <v>629</v>
      </c>
      <c r="D6646" t="s">
        <v>395</v>
      </c>
      <c r="E6646" t="s">
        <v>342</v>
      </c>
      <c r="F6646" t="s">
        <v>1235</v>
      </c>
      <c r="G6646" t="s">
        <v>100</v>
      </c>
      <c r="H6646" t="s">
        <v>130</v>
      </c>
      <c r="I6646" t="s">
        <v>136</v>
      </c>
      <c r="J6646" t="s">
        <v>136</v>
      </c>
      <c r="K6646" t="s">
        <v>1194</v>
      </c>
      <c r="L6646" t="s">
        <v>319</v>
      </c>
      <c r="M6646" t="s">
        <v>99</v>
      </c>
      <c r="N6646" t="s">
        <v>99</v>
      </c>
    </row>
    <row r="6647" spans="1:14" x14ac:dyDescent="0.3">
      <c r="A6647" t="s">
        <v>37</v>
      </c>
      <c r="B6647" t="s">
        <v>340</v>
      </c>
      <c r="C6647">
        <v>1053</v>
      </c>
      <c r="D6647" t="s">
        <v>410</v>
      </c>
      <c r="E6647" t="s">
        <v>631</v>
      </c>
      <c r="F6647" t="s">
        <v>886</v>
      </c>
      <c r="G6647" t="s">
        <v>316</v>
      </c>
      <c r="H6647" t="s">
        <v>123</v>
      </c>
      <c r="I6647" t="s">
        <v>136</v>
      </c>
      <c r="J6647" t="s">
        <v>215</v>
      </c>
      <c r="K6647" t="s">
        <v>770</v>
      </c>
      <c r="L6647" t="s">
        <v>136</v>
      </c>
      <c r="M6647" t="s">
        <v>99</v>
      </c>
      <c r="N6647" t="s">
        <v>104</v>
      </c>
    </row>
    <row r="6648" spans="1:14" x14ac:dyDescent="0.3">
      <c r="A6648" t="s">
        <v>37</v>
      </c>
      <c r="B6648" t="s">
        <v>365</v>
      </c>
      <c r="C6648">
        <v>19</v>
      </c>
      <c r="D6648" t="s">
        <v>344</v>
      </c>
      <c r="E6648" t="s">
        <v>528</v>
      </c>
      <c r="F6648" t="s">
        <v>668</v>
      </c>
      <c r="G6648" t="s">
        <v>99</v>
      </c>
      <c r="H6648" t="s">
        <v>420</v>
      </c>
      <c r="I6648" t="s">
        <v>99</v>
      </c>
      <c r="J6648" t="s">
        <v>99</v>
      </c>
      <c r="K6648" t="s">
        <v>1097</v>
      </c>
      <c r="L6648" t="s">
        <v>99</v>
      </c>
      <c r="M6648" t="s">
        <v>99</v>
      </c>
      <c r="N6648" t="s">
        <v>99</v>
      </c>
    </row>
    <row r="6649" spans="1:14" x14ac:dyDescent="0.3">
      <c r="A6649" t="s">
        <v>36</v>
      </c>
      <c r="B6649" t="s">
        <v>339</v>
      </c>
      <c r="C6649">
        <v>563</v>
      </c>
      <c r="D6649" t="s">
        <v>131</v>
      </c>
      <c r="E6649" t="s">
        <v>960</v>
      </c>
      <c r="F6649" t="s">
        <v>935</v>
      </c>
      <c r="G6649" t="s">
        <v>109</v>
      </c>
      <c r="H6649" t="s">
        <v>325</v>
      </c>
      <c r="I6649" t="s">
        <v>121</v>
      </c>
      <c r="J6649" t="s">
        <v>107</v>
      </c>
      <c r="K6649" t="s">
        <v>1080</v>
      </c>
      <c r="L6649" t="s">
        <v>99</v>
      </c>
      <c r="M6649" t="s">
        <v>99</v>
      </c>
      <c r="N6649" t="s">
        <v>136</v>
      </c>
    </row>
    <row r="6650" spans="1:14" x14ac:dyDescent="0.3">
      <c r="A6650" t="s">
        <v>36</v>
      </c>
      <c r="B6650" t="s">
        <v>340</v>
      </c>
      <c r="C6650">
        <v>916</v>
      </c>
      <c r="D6650" t="s">
        <v>488</v>
      </c>
      <c r="E6650" t="s">
        <v>572</v>
      </c>
      <c r="F6650" t="s">
        <v>695</v>
      </c>
      <c r="G6650" t="s">
        <v>155</v>
      </c>
      <c r="H6650" t="s">
        <v>111</v>
      </c>
      <c r="I6650" t="s">
        <v>136</v>
      </c>
      <c r="J6650" t="s">
        <v>319</v>
      </c>
      <c r="K6650" t="s">
        <v>1012</v>
      </c>
      <c r="L6650" t="s">
        <v>319</v>
      </c>
      <c r="M6650" t="s">
        <v>99</v>
      </c>
      <c r="N6650" t="s">
        <v>99</v>
      </c>
    </row>
    <row r="6651" spans="1:14" x14ac:dyDescent="0.3">
      <c r="A6651" t="s">
        <v>36</v>
      </c>
      <c r="B6651" t="s">
        <v>365</v>
      </c>
      <c r="C6651">
        <v>47</v>
      </c>
      <c r="D6651" t="s">
        <v>677</v>
      </c>
      <c r="E6651" t="s">
        <v>1066</v>
      </c>
      <c r="F6651" t="s">
        <v>662</v>
      </c>
      <c r="G6651" t="s">
        <v>99</v>
      </c>
      <c r="H6651" t="s">
        <v>128</v>
      </c>
      <c r="I6651" t="s">
        <v>99</v>
      </c>
      <c r="J6651" t="s">
        <v>126</v>
      </c>
      <c r="K6651" t="s">
        <v>334</v>
      </c>
      <c r="L6651" t="s">
        <v>128</v>
      </c>
      <c r="M6651" t="s">
        <v>99</v>
      </c>
      <c r="N6651" t="s">
        <v>99</v>
      </c>
    </row>
    <row r="6652" spans="1:14" x14ac:dyDescent="0.3">
      <c r="A6652" t="s">
        <v>34</v>
      </c>
      <c r="B6652" t="s">
        <v>339</v>
      </c>
      <c r="C6652">
        <v>331</v>
      </c>
      <c r="D6652" t="s">
        <v>697</v>
      </c>
      <c r="E6652" t="s">
        <v>697</v>
      </c>
      <c r="F6652" t="s">
        <v>590</v>
      </c>
      <c r="G6652" t="s">
        <v>204</v>
      </c>
      <c r="H6652" t="s">
        <v>353</v>
      </c>
      <c r="I6652" t="s">
        <v>108</v>
      </c>
      <c r="J6652" t="s">
        <v>712</v>
      </c>
      <c r="K6652" t="s">
        <v>490</v>
      </c>
      <c r="L6652" t="s">
        <v>215</v>
      </c>
      <c r="M6652" t="s">
        <v>136</v>
      </c>
      <c r="N6652" t="s">
        <v>99</v>
      </c>
    </row>
    <row r="6653" spans="1:14" x14ac:dyDescent="0.3">
      <c r="A6653" t="s">
        <v>34</v>
      </c>
      <c r="B6653" t="s">
        <v>340</v>
      </c>
      <c r="C6653">
        <v>625</v>
      </c>
      <c r="D6653" t="s">
        <v>838</v>
      </c>
      <c r="E6653" t="s">
        <v>967</v>
      </c>
      <c r="F6653" t="s">
        <v>843</v>
      </c>
      <c r="G6653" t="s">
        <v>138</v>
      </c>
      <c r="H6653" t="s">
        <v>155</v>
      </c>
      <c r="I6653" t="s">
        <v>136</v>
      </c>
      <c r="J6653" t="s">
        <v>123</v>
      </c>
      <c r="K6653" t="s">
        <v>819</v>
      </c>
      <c r="L6653" t="s">
        <v>319</v>
      </c>
      <c r="M6653" t="s">
        <v>207</v>
      </c>
      <c r="N6653" t="s">
        <v>99</v>
      </c>
    </row>
    <row r="6654" spans="1:14" x14ac:dyDescent="0.3">
      <c r="A6654" t="s">
        <v>34</v>
      </c>
      <c r="B6654" t="s">
        <v>365</v>
      </c>
      <c r="C6654">
        <v>14</v>
      </c>
      <c r="D6654" t="s">
        <v>197</v>
      </c>
      <c r="E6654" t="s">
        <v>621</v>
      </c>
      <c r="F6654" t="s">
        <v>347</v>
      </c>
      <c r="G6654" t="s">
        <v>99</v>
      </c>
      <c r="H6654" t="s">
        <v>99</v>
      </c>
      <c r="I6654" t="s">
        <v>99</v>
      </c>
      <c r="J6654" t="s">
        <v>99</v>
      </c>
      <c r="K6654" t="s">
        <v>168</v>
      </c>
      <c r="L6654" t="s">
        <v>99</v>
      </c>
      <c r="M6654" t="s">
        <v>99</v>
      </c>
      <c r="N6654" t="s">
        <v>99</v>
      </c>
    </row>
    <row r="6655" spans="1:14" x14ac:dyDescent="0.3">
      <c r="A6655" t="s">
        <v>33</v>
      </c>
      <c r="B6655" t="s">
        <v>339</v>
      </c>
      <c r="C6655">
        <v>240</v>
      </c>
      <c r="D6655" t="s">
        <v>244</v>
      </c>
      <c r="E6655" t="s">
        <v>148</v>
      </c>
      <c r="F6655" t="s">
        <v>261</v>
      </c>
      <c r="G6655" t="s">
        <v>115</v>
      </c>
      <c r="H6655" t="s">
        <v>126</v>
      </c>
      <c r="I6655" t="s">
        <v>99</v>
      </c>
      <c r="J6655" t="s">
        <v>136</v>
      </c>
      <c r="K6655" t="s">
        <v>1151</v>
      </c>
      <c r="L6655" t="s">
        <v>141</v>
      </c>
      <c r="M6655" t="s">
        <v>99</v>
      </c>
      <c r="N6655" t="s">
        <v>99</v>
      </c>
    </row>
    <row r="6656" spans="1:14" x14ac:dyDescent="0.3">
      <c r="A6656" t="s">
        <v>33</v>
      </c>
      <c r="B6656" t="s">
        <v>340</v>
      </c>
      <c r="C6656">
        <v>346</v>
      </c>
      <c r="D6656" t="s">
        <v>864</v>
      </c>
      <c r="E6656" t="s">
        <v>588</v>
      </c>
      <c r="F6656" t="s">
        <v>1178</v>
      </c>
      <c r="G6656" t="s">
        <v>253</v>
      </c>
      <c r="H6656" t="s">
        <v>121</v>
      </c>
      <c r="I6656" t="s">
        <v>207</v>
      </c>
      <c r="J6656" t="s">
        <v>132</v>
      </c>
      <c r="K6656" t="s">
        <v>922</v>
      </c>
      <c r="L6656" t="s">
        <v>132</v>
      </c>
      <c r="M6656" t="s">
        <v>99</v>
      </c>
      <c r="N6656" t="s">
        <v>207</v>
      </c>
    </row>
    <row r="6657" spans="1:14" x14ac:dyDescent="0.3">
      <c r="A6657" t="s">
        <v>33</v>
      </c>
      <c r="B6657" t="s">
        <v>365</v>
      </c>
      <c r="C6657">
        <v>2</v>
      </c>
      <c r="D6657" t="s">
        <v>99</v>
      </c>
      <c r="E6657" t="s">
        <v>1118</v>
      </c>
      <c r="F6657" t="s">
        <v>1231</v>
      </c>
      <c r="G6657" t="s">
        <v>99</v>
      </c>
      <c r="H6657" t="s">
        <v>99</v>
      </c>
      <c r="I6657" t="s">
        <v>99</v>
      </c>
      <c r="J6657" t="s">
        <v>99</v>
      </c>
      <c r="K6657" t="s">
        <v>1231</v>
      </c>
      <c r="L6657" t="s">
        <v>99</v>
      </c>
      <c r="M6657" t="s">
        <v>99</v>
      </c>
      <c r="N6657" t="s">
        <v>99</v>
      </c>
    </row>
    <row r="6658" spans="1:14" x14ac:dyDescent="0.3">
      <c r="A6658" t="s">
        <v>49</v>
      </c>
      <c r="B6658" t="s">
        <v>339</v>
      </c>
      <c r="C6658">
        <v>2276</v>
      </c>
      <c r="D6658" t="s">
        <v>425</v>
      </c>
      <c r="E6658" t="s">
        <v>40</v>
      </c>
      <c r="F6658" t="s">
        <v>546</v>
      </c>
      <c r="G6658" t="s">
        <v>107</v>
      </c>
      <c r="H6658" t="s">
        <v>474</v>
      </c>
      <c r="I6658" t="s">
        <v>141</v>
      </c>
      <c r="J6658" t="s">
        <v>151</v>
      </c>
      <c r="K6658" t="s">
        <v>928</v>
      </c>
      <c r="L6658" t="s">
        <v>319</v>
      </c>
      <c r="M6658" t="s">
        <v>104</v>
      </c>
      <c r="N6658" t="s">
        <v>104</v>
      </c>
    </row>
    <row r="6659" spans="1:14" x14ac:dyDescent="0.3">
      <c r="A6659" t="s">
        <v>49</v>
      </c>
      <c r="B6659" t="s">
        <v>340</v>
      </c>
      <c r="C6659">
        <v>3869</v>
      </c>
      <c r="D6659" t="s">
        <v>529</v>
      </c>
      <c r="E6659" t="s">
        <v>1494</v>
      </c>
      <c r="F6659" t="s">
        <v>824</v>
      </c>
      <c r="G6659" t="s">
        <v>107</v>
      </c>
      <c r="H6659" t="s">
        <v>111</v>
      </c>
      <c r="I6659" t="s">
        <v>207</v>
      </c>
      <c r="J6659" t="s">
        <v>382</v>
      </c>
      <c r="K6659" t="s">
        <v>1230</v>
      </c>
      <c r="L6659" t="s">
        <v>100</v>
      </c>
      <c r="M6659" t="s">
        <v>104</v>
      </c>
      <c r="N6659" t="s">
        <v>99</v>
      </c>
    </row>
    <row r="6660" spans="1:14" x14ac:dyDescent="0.3">
      <c r="A6660" t="s">
        <v>49</v>
      </c>
      <c r="B6660" t="s">
        <v>365</v>
      </c>
      <c r="C6660">
        <v>98</v>
      </c>
      <c r="D6660" t="s">
        <v>1157</v>
      </c>
      <c r="E6660" t="s">
        <v>1106</v>
      </c>
      <c r="F6660" t="s">
        <v>832</v>
      </c>
      <c r="G6660" t="s">
        <v>99</v>
      </c>
      <c r="H6660" t="s">
        <v>120</v>
      </c>
      <c r="I6660" t="s">
        <v>99</v>
      </c>
      <c r="J6660" t="s">
        <v>198</v>
      </c>
      <c r="K6660" t="s">
        <v>939</v>
      </c>
      <c r="L6660" t="s">
        <v>136</v>
      </c>
      <c r="M6660" t="s">
        <v>99</v>
      </c>
      <c r="N6660" t="s">
        <v>99</v>
      </c>
    </row>
    <row r="6662" spans="1:14" x14ac:dyDescent="0.3">
      <c r="A6662" t="s">
        <v>2122</v>
      </c>
    </row>
    <row r="6663" spans="1:14" x14ac:dyDescent="0.3">
      <c r="A6663" t="s">
        <v>44</v>
      </c>
      <c r="B6663" t="s">
        <v>209</v>
      </c>
      <c r="C6663" t="s">
        <v>32</v>
      </c>
      <c r="D6663" t="s">
        <v>2107</v>
      </c>
      <c r="E6663" t="s">
        <v>2108</v>
      </c>
      <c r="F6663" t="s">
        <v>2109</v>
      </c>
      <c r="G6663" t="s">
        <v>2110</v>
      </c>
      <c r="H6663" t="s">
        <v>2111</v>
      </c>
      <c r="I6663" t="s">
        <v>2112</v>
      </c>
      <c r="J6663" t="s">
        <v>2113</v>
      </c>
      <c r="K6663" t="s">
        <v>2114</v>
      </c>
      <c r="L6663" t="s">
        <v>1275</v>
      </c>
      <c r="M6663" t="s">
        <v>83</v>
      </c>
      <c r="N6663" t="s">
        <v>193</v>
      </c>
    </row>
    <row r="6664" spans="1:14" x14ac:dyDescent="0.3">
      <c r="A6664" t="s">
        <v>35</v>
      </c>
      <c r="B6664" t="s">
        <v>210</v>
      </c>
      <c r="C6664">
        <v>85</v>
      </c>
      <c r="D6664" t="s">
        <v>525</v>
      </c>
      <c r="E6664" t="s">
        <v>283</v>
      </c>
      <c r="F6664" t="s">
        <v>549</v>
      </c>
      <c r="G6664" t="s">
        <v>110</v>
      </c>
      <c r="H6664" t="s">
        <v>277</v>
      </c>
      <c r="I6664" t="s">
        <v>115</v>
      </c>
      <c r="J6664" t="s">
        <v>382</v>
      </c>
      <c r="K6664" t="s">
        <v>575</v>
      </c>
      <c r="L6664" t="s">
        <v>99</v>
      </c>
      <c r="M6664" t="s">
        <v>99</v>
      </c>
      <c r="N6664" t="s">
        <v>207</v>
      </c>
    </row>
    <row r="6665" spans="1:14" x14ac:dyDescent="0.3">
      <c r="A6665" t="s">
        <v>35</v>
      </c>
      <c r="B6665" t="s">
        <v>212</v>
      </c>
      <c r="C6665">
        <v>1140</v>
      </c>
      <c r="D6665" t="s">
        <v>298</v>
      </c>
      <c r="E6665" t="s">
        <v>62</v>
      </c>
      <c r="F6665" t="s">
        <v>539</v>
      </c>
      <c r="G6665" t="s">
        <v>292</v>
      </c>
      <c r="H6665" t="s">
        <v>127</v>
      </c>
      <c r="I6665" t="s">
        <v>99</v>
      </c>
      <c r="J6665" t="s">
        <v>292</v>
      </c>
      <c r="K6665" t="s">
        <v>983</v>
      </c>
      <c r="L6665" t="s">
        <v>151</v>
      </c>
      <c r="M6665" t="s">
        <v>104</v>
      </c>
      <c r="N6665" t="s">
        <v>99</v>
      </c>
    </row>
    <row r="6666" spans="1:14" x14ac:dyDescent="0.3">
      <c r="A6666" t="s">
        <v>35</v>
      </c>
      <c r="B6666" t="s">
        <v>216</v>
      </c>
      <c r="C6666">
        <v>233</v>
      </c>
      <c r="D6666" t="s">
        <v>347</v>
      </c>
      <c r="E6666" t="s">
        <v>905</v>
      </c>
      <c r="F6666" t="s">
        <v>489</v>
      </c>
      <c r="G6666" t="s">
        <v>412</v>
      </c>
      <c r="H6666" t="s">
        <v>316</v>
      </c>
      <c r="I6666" t="s">
        <v>136</v>
      </c>
      <c r="J6666" t="s">
        <v>114</v>
      </c>
      <c r="K6666" t="s">
        <v>1144</v>
      </c>
      <c r="L6666" t="s">
        <v>151</v>
      </c>
      <c r="M6666" t="s">
        <v>99</v>
      </c>
      <c r="N6666" t="s">
        <v>99</v>
      </c>
    </row>
    <row r="6667" spans="1:14" x14ac:dyDescent="0.3">
      <c r="A6667" t="s">
        <v>37</v>
      </c>
      <c r="B6667" t="s">
        <v>210</v>
      </c>
      <c r="C6667">
        <v>61</v>
      </c>
      <c r="D6667" t="s">
        <v>534</v>
      </c>
      <c r="E6667" t="s">
        <v>946</v>
      </c>
      <c r="F6667" t="s">
        <v>555</v>
      </c>
      <c r="G6667" t="s">
        <v>160</v>
      </c>
      <c r="H6667" t="s">
        <v>128</v>
      </c>
      <c r="I6667" t="s">
        <v>99</v>
      </c>
      <c r="J6667" t="s">
        <v>99</v>
      </c>
      <c r="K6667" t="s">
        <v>767</v>
      </c>
      <c r="L6667" t="s">
        <v>123</v>
      </c>
      <c r="M6667" t="s">
        <v>99</v>
      </c>
      <c r="N6667" t="s">
        <v>99</v>
      </c>
    </row>
    <row r="6668" spans="1:14" x14ac:dyDescent="0.3">
      <c r="A6668" t="s">
        <v>37</v>
      </c>
      <c r="B6668" t="s">
        <v>212</v>
      </c>
      <c r="C6668">
        <v>1603</v>
      </c>
      <c r="D6668" t="s">
        <v>303</v>
      </c>
      <c r="E6668" t="s">
        <v>1252</v>
      </c>
      <c r="F6668" t="s">
        <v>1650</v>
      </c>
      <c r="G6668" t="s">
        <v>215</v>
      </c>
      <c r="H6668" t="s">
        <v>147</v>
      </c>
      <c r="I6668" t="s">
        <v>136</v>
      </c>
      <c r="J6668" t="s">
        <v>121</v>
      </c>
      <c r="K6668" t="s">
        <v>306</v>
      </c>
      <c r="L6668" t="s">
        <v>253</v>
      </c>
      <c r="M6668" t="s">
        <v>99</v>
      </c>
      <c r="N6668" t="s">
        <v>99</v>
      </c>
    </row>
    <row r="6669" spans="1:14" x14ac:dyDescent="0.3">
      <c r="A6669" t="s">
        <v>37</v>
      </c>
      <c r="B6669" t="s">
        <v>216</v>
      </c>
      <c r="C6669">
        <v>37</v>
      </c>
      <c r="D6669" t="s">
        <v>706</v>
      </c>
      <c r="E6669" t="s">
        <v>633</v>
      </c>
      <c r="F6669" t="s">
        <v>957</v>
      </c>
      <c r="G6669" t="s">
        <v>353</v>
      </c>
      <c r="H6669" t="s">
        <v>99</v>
      </c>
      <c r="I6669" t="s">
        <v>99</v>
      </c>
      <c r="J6669" t="s">
        <v>107</v>
      </c>
      <c r="K6669" t="s">
        <v>861</v>
      </c>
      <c r="L6669" t="s">
        <v>105</v>
      </c>
      <c r="M6669" t="s">
        <v>99</v>
      </c>
      <c r="N6669" t="s">
        <v>99</v>
      </c>
    </row>
    <row r="6670" spans="1:14" x14ac:dyDescent="0.3">
      <c r="A6670" t="s">
        <v>36</v>
      </c>
      <c r="B6670" t="s">
        <v>210</v>
      </c>
      <c r="C6670">
        <v>105</v>
      </c>
      <c r="D6670" t="s">
        <v>515</v>
      </c>
      <c r="E6670" t="s">
        <v>837</v>
      </c>
      <c r="F6670" t="s">
        <v>955</v>
      </c>
      <c r="G6670" t="s">
        <v>277</v>
      </c>
      <c r="H6670" t="s">
        <v>444</v>
      </c>
      <c r="I6670" t="s">
        <v>117</v>
      </c>
      <c r="J6670" t="s">
        <v>121</v>
      </c>
      <c r="K6670" t="s">
        <v>306</v>
      </c>
      <c r="L6670" t="s">
        <v>99</v>
      </c>
      <c r="M6670" t="s">
        <v>99</v>
      </c>
      <c r="N6670" t="s">
        <v>121</v>
      </c>
    </row>
    <row r="6671" spans="1:14" x14ac:dyDescent="0.3">
      <c r="A6671" t="s">
        <v>36</v>
      </c>
      <c r="B6671" t="s">
        <v>212</v>
      </c>
      <c r="C6671">
        <v>1275</v>
      </c>
      <c r="D6671" t="s">
        <v>751</v>
      </c>
      <c r="E6671" t="s">
        <v>831</v>
      </c>
      <c r="F6671" t="s">
        <v>938</v>
      </c>
      <c r="G6671" t="s">
        <v>129</v>
      </c>
      <c r="H6671" t="s">
        <v>382</v>
      </c>
      <c r="I6671" t="s">
        <v>141</v>
      </c>
      <c r="J6671" t="s">
        <v>126</v>
      </c>
      <c r="K6671" t="s">
        <v>530</v>
      </c>
      <c r="L6671" t="s">
        <v>104</v>
      </c>
      <c r="M6671" t="s">
        <v>99</v>
      </c>
      <c r="N6671" t="s">
        <v>99</v>
      </c>
    </row>
    <row r="6672" spans="1:14" x14ac:dyDescent="0.3">
      <c r="A6672" t="s">
        <v>36</v>
      </c>
      <c r="B6672" t="s">
        <v>216</v>
      </c>
      <c r="C6672">
        <v>146</v>
      </c>
      <c r="D6672" t="s">
        <v>696</v>
      </c>
      <c r="E6672" t="s">
        <v>552</v>
      </c>
      <c r="F6672" t="s">
        <v>478</v>
      </c>
      <c r="G6672" t="s">
        <v>679</v>
      </c>
      <c r="H6672" t="s">
        <v>110</v>
      </c>
      <c r="I6672" t="s">
        <v>104</v>
      </c>
      <c r="J6672" t="s">
        <v>124</v>
      </c>
      <c r="K6672" t="s">
        <v>320</v>
      </c>
      <c r="L6672" t="s">
        <v>70</v>
      </c>
      <c r="M6672" t="s">
        <v>99</v>
      </c>
      <c r="N6672" t="s">
        <v>99</v>
      </c>
    </row>
    <row r="6673" spans="1:14" x14ac:dyDescent="0.3">
      <c r="A6673" t="s">
        <v>34</v>
      </c>
      <c r="B6673" t="s">
        <v>210</v>
      </c>
      <c r="C6673">
        <v>130</v>
      </c>
      <c r="D6673" t="s">
        <v>600</v>
      </c>
      <c r="E6673" t="s">
        <v>519</v>
      </c>
      <c r="F6673" t="s">
        <v>60</v>
      </c>
      <c r="G6673" t="s">
        <v>434</v>
      </c>
      <c r="H6673" t="s">
        <v>289</v>
      </c>
      <c r="I6673" t="s">
        <v>99</v>
      </c>
      <c r="J6673" t="s">
        <v>138</v>
      </c>
      <c r="K6673" t="s">
        <v>1325</v>
      </c>
      <c r="L6673" t="s">
        <v>120</v>
      </c>
      <c r="M6673" t="s">
        <v>114</v>
      </c>
      <c r="N6673" t="s">
        <v>99</v>
      </c>
    </row>
    <row r="6674" spans="1:14" x14ac:dyDescent="0.3">
      <c r="A6674" t="s">
        <v>34</v>
      </c>
      <c r="B6674" t="s">
        <v>212</v>
      </c>
      <c r="C6674">
        <v>707</v>
      </c>
      <c r="D6674" t="s">
        <v>805</v>
      </c>
      <c r="E6674" t="s">
        <v>349</v>
      </c>
      <c r="F6674" t="s">
        <v>1002</v>
      </c>
      <c r="G6674" t="s">
        <v>112</v>
      </c>
      <c r="H6674" t="s">
        <v>134</v>
      </c>
      <c r="I6674" t="s">
        <v>198</v>
      </c>
      <c r="J6674" t="s">
        <v>117</v>
      </c>
      <c r="K6674" t="s">
        <v>1104</v>
      </c>
      <c r="L6674" t="s">
        <v>100</v>
      </c>
      <c r="M6674" t="s">
        <v>207</v>
      </c>
      <c r="N6674" t="s">
        <v>99</v>
      </c>
    </row>
    <row r="6675" spans="1:14" x14ac:dyDescent="0.3">
      <c r="A6675" t="s">
        <v>34</v>
      </c>
      <c r="B6675" t="s">
        <v>216</v>
      </c>
      <c r="C6675">
        <v>133</v>
      </c>
      <c r="D6675" t="s">
        <v>553</v>
      </c>
      <c r="E6675" t="s">
        <v>553</v>
      </c>
      <c r="F6675" t="s">
        <v>529</v>
      </c>
      <c r="G6675" t="s">
        <v>130</v>
      </c>
      <c r="H6675" t="s">
        <v>68</v>
      </c>
      <c r="I6675" t="s">
        <v>268</v>
      </c>
      <c r="J6675" t="s">
        <v>112</v>
      </c>
      <c r="K6675" t="s">
        <v>1470</v>
      </c>
      <c r="L6675" t="s">
        <v>126</v>
      </c>
      <c r="M6675" t="s">
        <v>99</v>
      </c>
      <c r="N6675" t="s">
        <v>99</v>
      </c>
    </row>
    <row r="6676" spans="1:14" s="5" customFormat="1" x14ac:dyDescent="0.3">
      <c r="A6676" s="5" t="s">
        <v>33</v>
      </c>
      <c r="B6676" s="5" t="s">
        <v>210</v>
      </c>
      <c r="C6676" s="5">
        <v>28</v>
      </c>
      <c r="D6676" s="5" t="s">
        <v>1156</v>
      </c>
      <c r="E6676" s="5" t="s">
        <v>106</v>
      </c>
      <c r="F6676" s="5" t="s">
        <v>1350</v>
      </c>
      <c r="G6676" s="5" t="s">
        <v>99</v>
      </c>
      <c r="H6676" s="5" t="s">
        <v>379</v>
      </c>
      <c r="I6676" s="5" t="s">
        <v>99</v>
      </c>
      <c r="J6676" s="5" t="s">
        <v>99</v>
      </c>
      <c r="K6676" s="5" t="s">
        <v>57</v>
      </c>
      <c r="L6676" s="5" t="s">
        <v>120</v>
      </c>
      <c r="M6676" s="5" t="s">
        <v>99</v>
      </c>
      <c r="N6676" s="5" t="s">
        <v>99</v>
      </c>
    </row>
    <row r="6677" spans="1:14" x14ac:dyDescent="0.3">
      <c r="A6677" t="s">
        <v>33</v>
      </c>
      <c r="B6677" t="s">
        <v>212</v>
      </c>
      <c r="C6677">
        <v>545</v>
      </c>
      <c r="D6677" t="s">
        <v>689</v>
      </c>
      <c r="E6677" t="s">
        <v>62</v>
      </c>
      <c r="F6677" t="s">
        <v>1069</v>
      </c>
      <c r="G6677" t="s">
        <v>115</v>
      </c>
      <c r="H6677" t="s">
        <v>115</v>
      </c>
      <c r="I6677" t="s">
        <v>198</v>
      </c>
      <c r="J6677" t="s">
        <v>115</v>
      </c>
      <c r="K6677" t="s">
        <v>896</v>
      </c>
      <c r="L6677" t="s">
        <v>253</v>
      </c>
      <c r="M6677" t="s">
        <v>99</v>
      </c>
      <c r="N6677" t="s">
        <v>198</v>
      </c>
    </row>
    <row r="6678" spans="1:14" s="5" customFormat="1" x14ac:dyDescent="0.3">
      <c r="A6678" s="5" t="s">
        <v>33</v>
      </c>
      <c r="B6678" s="5" t="s">
        <v>216</v>
      </c>
      <c r="C6678" s="5">
        <v>15</v>
      </c>
      <c r="D6678" s="5" t="s">
        <v>112</v>
      </c>
      <c r="E6678" s="5" t="s">
        <v>278</v>
      </c>
      <c r="F6678" s="5" t="s">
        <v>1179</v>
      </c>
      <c r="G6678" s="5" t="s">
        <v>99</v>
      </c>
      <c r="H6678" s="5" t="s">
        <v>135</v>
      </c>
      <c r="I6678" s="5" t="s">
        <v>99</v>
      </c>
      <c r="J6678" s="5" t="s">
        <v>99</v>
      </c>
      <c r="K6678" s="5" t="s">
        <v>1160</v>
      </c>
      <c r="L6678" s="5" t="s">
        <v>99</v>
      </c>
      <c r="M6678" s="5" t="s">
        <v>99</v>
      </c>
      <c r="N6678" s="5" t="s">
        <v>99</v>
      </c>
    </row>
    <row r="6679" spans="1:14" x14ac:dyDescent="0.3">
      <c r="A6679" t="s">
        <v>49</v>
      </c>
      <c r="B6679" t="s">
        <v>210</v>
      </c>
      <c r="C6679">
        <v>409</v>
      </c>
      <c r="D6679" t="s">
        <v>929</v>
      </c>
      <c r="E6679" t="s">
        <v>719</v>
      </c>
      <c r="F6679" t="s">
        <v>837</v>
      </c>
      <c r="G6679" t="s">
        <v>474</v>
      </c>
      <c r="H6679" t="s">
        <v>722</v>
      </c>
      <c r="I6679" t="s">
        <v>141</v>
      </c>
      <c r="J6679" t="s">
        <v>123</v>
      </c>
      <c r="K6679" t="s">
        <v>1370</v>
      </c>
      <c r="L6679" t="s">
        <v>126</v>
      </c>
      <c r="M6679" t="s">
        <v>136</v>
      </c>
      <c r="N6679" t="s">
        <v>207</v>
      </c>
    </row>
    <row r="6680" spans="1:14" x14ac:dyDescent="0.3">
      <c r="A6680" t="s">
        <v>49</v>
      </c>
      <c r="B6680" t="s">
        <v>212</v>
      </c>
      <c r="C6680">
        <v>5270</v>
      </c>
      <c r="D6680" t="s">
        <v>298</v>
      </c>
      <c r="E6680" t="s">
        <v>1214</v>
      </c>
      <c r="F6680" t="s">
        <v>618</v>
      </c>
      <c r="G6680" t="s">
        <v>117</v>
      </c>
      <c r="H6680" t="s">
        <v>268</v>
      </c>
      <c r="I6680" t="s">
        <v>207</v>
      </c>
      <c r="J6680" t="s">
        <v>382</v>
      </c>
      <c r="K6680" t="s">
        <v>1331</v>
      </c>
      <c r="L6680" t="s">
        <v>114</v>
      </c>
      <c r="M6680" t="s">
        <v>104</v>
      </c>
      <c r="N6680" t="s">
        <v>99</v>
      </c>
    </row>
    <row r="6681" spans="1:14" x14ac:dyDescent="0.3">
      <c r="A6681" t="s">
        <v>49</v>
      </c>
      <c r="B6681" t="s">
        <v>216</v>
      </c>
      <c r="C6681">
        <v>564</v>
      </c>
      <c r="D6681" t="s">
        <v>349</v>
      </c>
      <c r="E6681" t="s">
        <v>615</v>
      </c>
      <c r="F6681" t="s">
        <v>699</v>
      </c>
      <c r="G6681" t="s">
        <v>412</v>
      </c>
      <c r="H6681" t="s">
        <v>155</v>
      </c>
      <c r="I6681" t="s">
        <v>108</v>
      </c>
      <c r="J6681" t="s">
        <v>103</v>
      </c>
      <c r="K6681" t="s">
        <v>1455</v>
      </c>
      <c r="L6681" t="s">
        <v>117</v>
      </c>
      <c r="M6681" t="s">
        <v>99</v>
      </c>
      <c r="N6681" t="s">
        <v>99</v>
      </c>
    </row>
    <row r="6683" spans="1:14" x14ac:dyDescent="0.3">
      <c r="A6683" t="s">
        <v>2123</v>
      </c>
    </row>
    <row r="6684" spans="1:14" x14ac:dyDescent="0.3">
      <c r="A6684" t="s">
        <v>44</v>
      </c>
      <c r="B6684" t="s">
        <v>257</v>
      </c>
      <c r="C6684" t="s">
        <v>32</v>
      </c>
      <c r="D6684" t="s">
        <v>2107</v>
      </c>
      <c r="E6684" t="s">
        <v>2108</v>
      </c>
      <c r="F6684" t="s">
        <v>2109</v>
      </c>
      <c r="G6684" t="s">
        <v>2110</v>
      </c>
      <c r="H6684" t="s">
        <v>2111</v>
      </c>
      <c r="I6684" t="s">
        <v>2112</v>
      </c>
      <c r="J6684" t="s">
        <v>2113</v>
      </c>
      <c r="K6684" t="s">
        <v>2114</v>
      </c>
      <c r="L6684" t="s">
        <v>1275</v>
      </c>
      <c r="M6684" t="s">
        <v>83</v>
      </c>
      <c r="N6684" t="s">
        <v>193</v>
      </c>
    </row>
    <row r="6685" spans="1:14" x14ac:dyDescent="0.3">
      <c r="A6685" t="s">
        <v>35</v>
      </c>
      <c r="B6685" t="s">
        <v>258</v>
      </c>
      <c r="C6685">
        <v>1328</v>
      </c>
      <c r="D6685" t="s">
        <v>741</v>
      </c>
      <c r="E6685" t="s">
        <v>698</v>
      </c>
      <c r="F6685" t="s">
        <v>1097</v>
      </c>
      <c r="G6685" t="s">
        <v>105</v>
      </c>
      <c r="H6685" t="s">
        <v>151</v>
      </c>
      <c r="I6685" t="s">
        <v>104</v>
      </c>
      <c r="J6685" t="s">
        <v>382</v>
      </c>
      <c r="K6685" t="s">
        <v>922</v>
      </c>
      <c r="L6685" t="s">
        <v>215</v>
      </c>
      <c r="M6685" t="s">
        <v>104</v>
      </c>
      <c r="N6685" t="s">
        <v>99</v>
      </c>
    </row>
    <row r="6686" spans="1:14" x14ac:dyDescent="0.3">
      <c r="A6686" t="s">
        <v>35</v>
      </c>
      <c r="B6686" t="s">
        <v>260</v>
      </c>
      <c r="C6686">
        <v>130</v>
      </c>
      <c r="D6686" t="s">
        <v>276</v>
      </c>
      <c r="E6686" t="s">
        <v>62</v>
      </c>
      <c r="F6686" t="s">
        <v>799</v>
      </c>
      <c r="G6686" t="s">
        <v>132</v>
      </c>
      <c r="H6686" t="s">
        <v>434</v>
      </c>
      <c r="I6686" t="s">
        <v>132</v>
      </c>
      <c r="J6686" t="s">
        <v>138</v>
      </c>
      <c r="K6686" t="s">
        <v>1193</v>
      </c>
      <c r="L6686" t="s">
        <v>138</v>
      </c>
      <c r="M6686" t="s">
        <v>99</v>
      </c>
      <c r="N6686" t="s">
        <v>99</v>
      </c>
    </row>
    <row r="6687" spans="1:14" x14ac:dyDescent="0.3">
      <c r="A6687" t="s">
        <v>37</v>
      </c>
      <c r="B6687" t="s">
        <v>258</v>
      </c>
      <c r="C6687">
        <v>1701</v>
      </c>
      <c r="D6687" t="s">
        <v>501</v>
      </c>
      <c r="E6687" t="s">
        <v>2115</v>
      </c>
      <c r="F6687" t="s">
        <v>896</v>
      </c>
      <c r="G6687" t="s">
        <v>151</v>
      </c>
      <c r="H6687" t="s">
        <v>120</v>
      </c>
      <c r="I6687" t="s">
        <v>136</v>
      </c>
      <c r="J6687" t="s">
        <v>121</v>
      </c>
      <c r="K6687" t="s">
        <v>546</v>
      </c>
      <c r="L6687" t="s">
        <v>115</v>
      </c>
      <c r="M6687" t="s">
        <v>99</v>
      </c>
      <c r="N6687" t="s">
        <v>99</v>
      </c>
    </row>
    <row r="6688" spans="1:14" x14ac:dyDescent="0.3">
      <c r="A6688" t="s">
        <v>36</v>
      </c>
      <c r="B6688" t="s">
        <v>258</v>
      </c>
      <c r="C6688">
        <v>1419</v>
      </c>
      <c r="D6688" t="s">
        <v>894</v>
      </c>
      <c r="E6688" t="s">
        <v>607</v>
      </c>
      <c r="F6688" t="s">
        <v>584</v>
      </c>
      <c r="G6688" t="s">
        <v>112</v>
      </c>
      <c r="H6688" t="s">
        <v>332</v>
      </c>
      <c r="I6688" t="s">
        <v>115</v>
      </c>
      <c r="J6688" t="s">
        <v>127</v>
      </c>
      <c r="K6688" t="s">
        <v>1060</v>
      </c>
      <c r="L6688" t="s">
        <v>108</v>
      </c>
      <c r="M6688" t="s">
        <v>99</v>
      </c>
      <c r="N6688" t="s">
        <v>104</v>
      </c>
    </row>
    <row r="6689" spans="1:14" x14ac:dyDescent="0.3">
      <c r="A6689" t="s">
        <v>36</v>
      </c>
      <c r="B6689" t="s">
        <v>260</v>
      </c>
      <c r="C6689">
        <v>107</v>
      </c>
      <c r="D6689" t="s">
        <v>227</v>
      </c>
      <c r="E6689" t="s">
        <v>42</v>
      </c>
      <c r="F6689" t="s">
        <v>1149</v>
      </c>
      <c r="G6689" t="s">
        <v>120</v>
      </c>
      <c r="H6689" t="s">
        <v>134</v>
      </c>
      <c r="I6689" t="s">
        <v>123</v>
      </c>
      <c r="J6689" t="s">
        <v>186</v>
      </c>
      <c r="K6689" t="s">
        <v>1341</v>
      </c>
      <c r="L6689" t="s">
        <v>123</v>
      </c>
      <c r="M6689" t="s">
        <v>99</v>
      </c>
      <c r="N6689" t="s">
        <v>99</v>
      </c>
    </row>
    <row r="6690" spans="1:14" x14ac:dyDescent="0.3">
      <c r="A6690" t="s">
        <v>34</v>
      </c>
      <c r="B6690" t="s">
        <v>258</v>
      </c>
      <c r="C6690">
        <v>510</v>
      </c>
      <c r="D6690" t="s">
        <v>705</v>
      </c>
      <c r="E6690" t="s">
        <v>626</v>
      </c>
      <c r="F6690" t="s">
        <v>648</v>
      </c>
      <c r="G6690" t="s">
        <v>151</v>
      </c>
      <c r="H6690" t="s">
        <v>198</v>
      </c>
      <c r="I6690" t="s">
        <v>99</v>
      </c>
      <c r="J6690" t="s">
        <v>198</v>
      </c>
      <c r="K6690" t="s">
        <v>1116</v>
      </c>
      <c r="L6690" t="s">
        <v>114</v>
      </c>
      <c r="M6690" t="s">
        <v>99</v>
      </c>
      <c r="N6690" t="s">
        <v>99</v>
      </c>
    </row>
    <row r="6691" spans="1:14" x14ac:dyDescent="0.3">
      <c r="A6691" t="s">
        <v>34</v>
      </c>
      <c r="B6691" t="s">
        <v>260</v>
      </c>
      <c r="C6691">
        <v>460</v>
      </c>
      <c r="D6691" t="s">
        <v>1206</v>
      </c>
      <c r="E6691" t="s">
        <v>545</v>
      </c>
      <c r="F6691" t="s">
        <v>650</v>
      </c>
      <c r="G6691" t="s">
        <v>158</v>
      </c>
      <c r="H6691" t="s">
        <v>122</v>
      </c>
      <c r="I6691" t="s">
        <v>132</v>
      </c>
      <c r="J6691" t="s">
        <v>129</v>
      </c>
      <c r="K6691" t="s">
        <v>63</v>
      </c>
      <c r="L6691" t="s">
        <v>215</v>
      </c>
      <c r="M6691" t="s">
        <v>141</v>
      </c>
      <c r="N6691" t="s">
        <v>99</v>
      </c>
    </row>
    <row r="6692" spans="1:14" x14ac:dyDescent="0.3">
      <c r="A6692" t="s">
        <v>33</v>
      </c>
      <c r="B6692" t="s">
        <v>258</v>
      </c>
      <c r="C6692">
        <v>588</v>
      </c>
      <c r="D6692" t="s">
        <v>807</v>
      </c>
      <c r="E6692" t="s">
        <v>797</v>
      </c>
      <c r="F6692" t="s">
        <v>926</v>
      </c>
      <c r="G6692" t="s">
        <v>115</v>
      </c>
      <c r="H6692" t="s">
        <v>101</v>
      </c>
      <c r="I6692" t="s">
        <v>198</v>
      </c>
      <c r="J6692" t="s">
        <v>115</v>
      </c>
      <c r="K6692" t="s">
        <v>983</v>
      </c>
      <c r="L6692" t="s">
        <v>115</v>
      </c>
      <c r="M6692" t="s">
        <v>99</v>
      </c>
      <c r="N6692" t="s">
        <v>198</v>
      </c>
    </row>
    <row r="6693" spans="1:14" x14ac:dyDescent="0.3">
      <c r="A6693" t="s">
        <v>49</v>
      </c>
      <c r="B6693" t="s">
        <v>258</v>
      </c>
      <c r="C6693">
        <v>5546</v>
      </c>
      <c r="D6693" t="s">
        <v>442</v>
      </c>
      <c r="E6693" t="s">
        <v>914</v>
      </c>
      <c r="F6693" t="s">
        <v>1106</v>
      </c>
      <c r="G6693" t="s">
        <v>316</v>
      </c>
      <c r="H6693" t="s">
        <v>268</v>
      </c>
      <c r="I6693" t="s">
        <v>207</v>
      </c>
      <c r="J6693" t="s">
        <v>101</v>
      </c>
      <c r="K6693" t="s">
        <v>1103</v>
      </c>
      <c r="L6693" t="s">
        <v>100</v>
      </c>
      <c r="M6693" t="s">
        <v>99</v>
      </c>
      <c r="N6693" t="s">
        <v>104</v>
      </c>
    </row>
    <row r="6694" spans="1:14" x14ac:dyDescent="0.3">
      <c r="A6694" t="s">
        <v>49</v>
      </c>
      <c r="B6694" t="s">
        <v>260</v>
      </c>
      <c r="C6694">
        <v>697</v>
      </c>
      <c r="D6694" t="s">
        <v>592</v>
      </c>
      <c r="E6694" t="s">
        <v>674</v>
      </c>
      <c r="F6694" t="s">
        <v>703</v>
      </c>
      <c r="G6694" t="s">
        <v>112</v>
      </c>
      <c r="H6694" t="s">
        <v>135</v>
      </c>
      <c r="I6694" t="s">
        <v>132</v>
      </c>
      <c r="J6694" t="s">
        <v>110</v>
      </c>
      <c r="K6694" t="s">
        <v>445</v>
      </c>
      <c r="L6694" t="s">
        <v>151</v>
      </c>
      <c r="M6694" t="s">
        <v>136</v>
      </c>
      <c r="N6694" t="s">
        <v>99</v>
      </c>
    </row>
    <row r="6696" spans="1:14" x14ac:dyDescent="0.3">
      <c r="A6696" t="s">
        <v>2124</v>
      </c>
    </row>
    <row r="6697" spans="1:14" x14ac:dyDescent="0.3">
      <c r="A6697" t="s">
        <v>44</v>
      </c>
      <c r="B6697" t="s">
        <v>32</v>
      </c>
      <c r="C6697" t="s">
        <v>2125</v>
      </c>
      <c r="D6697" t="s">
        <v>2126</v>
      </c>
      <c r="E6697" t="s">
        <v>2127</v>
      </c>
      <c r="F6697" t="s">
        <v>2128</v>
      </c>
    </row>
    <row r="6698" spans="1:14" x14ac:dyDescent="0.3">
      <c r="A6698" t="s">
        <v>35</v>
      </c>
      <c r="B6698">
        <v>3145</v>
      </c>
      <c r="C6698" t="s">
        <v>106</v>
      </c>
      <c r="D6698" t="s">
        <v>74</v>
      </c>
      <c r="E6698" t="s">
        <v>507</v>
      </c>
      <c r="F6698" t="s">
        <v>470</v>
      </c>
    </row>
    <row r="6699" spans="1:14" x14ac:dyDescent="0.3">
      <c r="A6699" t="s">
        <v>37</v>
      </c>
      <c r="B6699">
        <v>3855</v>
      </c>
      <c r="C6699" t="s">
        <v>465</v>
      </c>
      <c r="D6699" t="s">
        <v>112</v>
      </c>
      <c r="E6699" t="s">
        <v>1341</v>
      </c>
      <c r="F6699" t="s">
        <v>798</v>
      </c>
    </row>
    <row r="6700" spans="1:14" x14ac:dyDescent="0.3">
      <c r="A6700" t="s">
        <v>36</v>
      </c>
      <c r="B6700">
        <v>2305</v>
      </c>
      <c r="C6700" t="s">
        <v>395</v>
      </c>
      <c r="D6700" t="s">
        <v>353</v>
      </c>
      <c r="E6700" t="s">
        <v>579</v>
      </c>
      <c r="F6700" t="s">
        <v>536</v>
      </c>
    </row>
    <row r="6701" spans="1:14" x14ac:dyDescent="0.3">
      <c r="A6701" t="s">
        <v>34</v>
      </c>
      <c r="B6701">
        <v>2080</v>
      </c>
      <c r="C6701" t="s">
        <v>42</v>
      </c>
      <c r="D6701" t="s">
        <v>113</v>
      </c>
      <c r="E6701" t="s">
        <v>1498</v>
      </c>
      <c r="F6701" t="s">
        <v>672</v>
      </c>
    </row>
    <row r="6702" spans="1:14" x14ac:dyDescent="0.3">
      <c r="A6702" t="s">
        <v>33</v>
      </c>
      <c r="B6702">
        <v>1937</v>
      </c>
      <c r="C6702" t="s">
        <v>289</v>
      </c>
      <c r="D6702" t="s">
        <v>151</v>
      </c>
      <c r="E6702" t="s">
        <v>568</v>
      </c>
      <c r="F6702" t="s">
        <v>369</v>
      </c>
    </row>
    <row r="6703" spans="1:14" x14ac:dyDescent="0.3">
      <c r="A6703" t="s">
        <v>49</v>
      </c>
      <c r="B6703">
        <v>13322</v>
      </c>
      <c r="C6703" t="s">
        <v>298</v>
      </c>
      <c r="D6703" t="s">
        <v>468</v>
      </c>
      <c r="E6703" t="s">
        <v>962</v>
      </c>
      <c r="F6703" t="s">
        <v>222</v>
      </c>
    </row>
    <row r="6705" spans="1:7" x14ac:dyDescent="0.3">
      <c r="A6705" t="s">
        <v>2129</v>
      </c>
    </row>
    <row r="6706" spans="1:7" x14ac:dyDescent="0.3">
      <c r="A6706" t="s">
        <v>44</v>
      </c>
      <c r="B6706" t="s">
        <v>361</v>
      </c>
      <c r="C6706" t="s">
        <v>32</v>
      </c>
      <c r="D6706" t="s">
        <v>2125</v>
      </c>
      <c r="E6706" t="s">
        <v>2126</v>
      </c>
      <c r="F6706" t="s">
        <v>2127</v>
      </c>
      <c r="G6706" t="s">
        <v>2128</v>
      </c>
    </row>
    <row r="6707" spans="1:7" x14ac:dyDescent="0.3">
      <c r="A6707" t="s">
        <v>35</v>
      </c>
      <c r="B6707" t="s">
        <v>339</v>
      </c>
      <c r="C6707">
        <v>890</v>
      </c>
      <c r="D6707" t="s">
        <v>1222</v>
      </c>
      <c r="E6707" t="s">
        <v>251</v>
      </c>
      <c r="F6707" t="s">
        <v>636</v>
      </c>
      <c r="G6707" t="s">
        <v>408</v>
      </c>
    </row>
    <row r="6708" spans="1:7" x14ac:dyDescent="0.3">
      <c r="A6708" t="s">
        <v>35</v>
      </c>
      <c r="B6708" t="s">
        <v>340</v>
      </c>
      <c r="C6708">
        <v>2215</v>
      </c>
      <c r="D6708" t="s">
        <v>197</v>
      </c>
      <c r="E6708" t="s">
        <v>149</v>
      </c>
      <c r="F6708" t="s">
        <v>1193</v>
      </c>
      <c r="G6708" t="s">
        <v>142</v>
      </c>
    </row>
    <row r="6709" spans="1:7" x14ac:dyDescent="0.3">
      <c r="A6709" t="s">
        <v>35</v>
      </c>
      <c r="B6709" t="s">
        <v>365</v>
      </c>
      <c r="C6709">
        <v>40</v>
      </c>
      <c r="D6709" t="s">
        <v>588</v>
      </c>
      <c r="E6709" t="s">
        <v>157</v>
      </c>
      <c r="F6709" t="s">
        <v>1143</v>
      </c>
      <c r="G6709" t="s">
        <v>155</v>
      </c>
    </row>
    <row r="6710" spans="1:7" x14ac:dyDescent="0.3">
      <c r="A6710" t="s">
        <v>37</v>
      </c>
      <c r="B6710" t="s">
        <v>339</v>
      </c>
      <c r="C6710">
        <v>1093</v>
      </c>
      <c r="D6710" t="s">
        <v>864</v>
      </c>
      <c r="E6710" t="s">
        <v>254</v>
      </c>
      <c r="F6710" t="s">
        <v>640</v>
      </c>
      <c r="G6710" t="s">
        <v>718</v>
      </c>
    </row>
    <row r="6711" spans="1:7" x14ac:dyDescent="0.3">
      <c r="A6711" t="s">
        <v>37</v>
      </c>
      <c r="B6711" t="s">
        <v>340</v>
      </c>
      <c r="C6711">
        <v>2721</v>
      </c>
      <c r="D6711" t="s">
        <v>416</v>
      </c>
      <c r="E6711" t="s">
        <v>134</v>
      </c>
      <c r="F6711" t="s">
        <v>569</v>
      </c>
      <c r="G6711" t="s">
        <v>685</v>
      </c>
    </row>
    <row r="6712" spans="1:7" x14ac:dyDescent="0.3">
      <c r="A6712" t="s">
        <v>37</v>
      </c>
      <c r="B6712" t="s">
        <v>365</v>
      </c>
      <c r="C6712">
        <v>41</v>
      </c>
      <c r="D6712" t="s">
        <v>149</v>
      </c>
      <c r="E6712" t="s">
        <v>139</v>
      </c>
      <c r="F6712" t="s">
        <v>1050</v>
      </c>
      <c r="G6712" t="s">
        <v>691</v>
      </c>
    </row>
    <row r="6713" spans="1:7" x14ac:dyDescent="0.3">
      <c r="A6713" t="s">
        <v>36</v>
      </c>
      <c r="B6713" t="s">
        <v>339</v>
      </c>
      <c r="C6713">
        <v>770</v>
      </c>
      <c r="D6713" t="s">
        <v>735</v>
      </c>
      <c r="E6713" t="s">
        <v>251</v>
      </c>
      <c r="F6713" t="s">
        <v>1215</v>
      </c>
      <c r="G6713" t="s">
        <v>677</v>
      </c>
    </row>
    <row r="6714" spans="1:7" x14ac:dyDescent="0.3">
      <c r="A6714" t="s">
        <v>36</v>
      </c>
      <c r="B6714" t="s">
        <v>340</v>
      </c>
      <c r="C6714">
        <v>1472</v>
      </c>
      <c r="D6714" t="s">
        <v>201</v>
      </c>
      <c r="E6714" t="s">
        <v>160</v>
      </c>
      <c r="F6714" t="s">
        <v>863</v>
      </c>
      <c r="G6714" t="s">
        <v>432</v>
      </c>
    </row>
    <row r="6715" spans="1:7" x14ac:dyDescent="0.3">
      <c r="A6715" t="s">
        <v>36</v>
      </c>
      <c r="B6715" t="s">
        <v>365</v>
      </c>
      <c r="C6715">
        <v>63</v>
      </c>
      <c r="D6715" t="s">
        <v>142</v>
      </c>
      <c r="E6715" t="s">
        <v>115</v>
      </c>
      <c r="F6715" t="s">
        <v>854</v>
      </c>
      <c r="G6715" t="s">
        <v>151</v>
      </c>
    </row>
    <row r="6716" spans="1:7" x14ac:dyDescent="0.3">
      <c r="A6716" t="s">
        <v>34</v>
      </c>
      <c r="B6716" t="s">
        <v>339</v>
      </c>
      <c r="C6716">
        <v>555</v>
      </c>
      <c r="D6716" t="s">
        <v>1148</v>
      </c>
      <c r="E6716" t="s">
        <v>470</v>
      </c>
      <c r="F6716" t="s">
        <v>283</v>
      </c>
      <c r="G6716" t="s">
        <v>177</v>
      </c>
    </row>
    <row r="6717" spans="1:7" x14ac:dyDescent="0.3">
      <c r="A6717" t="s">
        <v>34</v>
      </c>
      <c r="B6717" t="s">
        <v>340</v>
      </c>
      <c r="C6717">
        <v>1497</v>
      </c>
      <c r="D6717" t="s">
        <v>457</v>
      </c>
      <c r="E6717" t="s">
        <v>664</v>
      </c>
      <c r="F6717" t="s">
        <v>573</v>
      </c>
      <c r="G6717" t="s">
        <v>737</v>
      </c>
    </row>
    <row r="6718" spans="1:7" x14ac:dyDescent="0.3">
      <c r="A6718" t="s">
        <v>34</v>
      </c>
      <c r="B6718" t="s">
        <v>365</v>
      </c>
      <c r="C6718">
        <v>28</v>
      </c>
      <c r="D6718" t="s">
        <v>732</v>
      </c>
      <c r="E6718" t="s">
        <v>911</v>
      </c>
      <c r="F6718" t="s">
        <v>1188</v>
      </c>
      <c r="G6718" t="s">
        <v>215</v>
      </c>
    </row>
    <row r="6719" spans="1:7" x14ac:dyDescent="0.3">
      <c r="A6719" t="s">
        <v>33</v>
      </c>
      <c r="B6719" t="s">
        <v>339</v>
      </c>
      <c r="C6719">
        <v>503</v>
      </c>
      <c r="D6719" t="s">
        <v>437</v>
      </c>
      <c r="E6719" t="s">
        <v>118</v>
      </c>
      <c r="F6719" t="s">
        <v>819</v>
      </c>
      <c r="G6719" t="s">
        <v>746</v>
      </c>
    </row>
    <row r="6720" spans="1:7" x14ac:dyDescent="0.3">
      <c r="A6720" t="s">
        <v>33</v>
      </c>
      <c r="B6720" t="s">
        <v>340</v>
      </c>
      <c r="C6720">
        <v>1415</v>
      </c>
      <c r="D6720" t="s">
        <v>299</v>
      </c>
      <c r="E6720" t="s">
        <v>319</v>
      </c>
      <c r="F6720" t="s">
        <v>524</v>
      </c>
      <c r="G6720" t="s">
        <v>182</v>
      </c>
    </row>
    <row r="6721" spans="1:7" x14ac:dyDescent="0.3">
      <c r="A6721" t="s">
        <v>33</v>
      </c>
      <c r="B6721" t="s">
        <v>365</v>
      </c>
      <c r="C6721">
        <v>19</v>
      </c>
      <c r="D6721" t="s">
        <v>99</v>
      </c>
      <c r="E6721" t="s">
        <v>99</v>
      </c>
      <c r="F6721" t="s">
        <v>211</v>
      </c>
      <c r="G6721" t="s">
        <v>99</v>
      </c>
    </row>
    <row r="6722" spans="1:7" x14ac:dyDescent="0.3">
      <c r="A6722" t="s">
        <v>49</v>
      </c>
      <c r="B6722" t="s">
        <v>339</v>
      </c>
      <c r="C6722">
        <v>3811</v>
      </c>
      <c r="D6722" t="s">
        <v>349</v>
      </c>
      <c r="E6722" t="s">
        <v>299</v>
      </c>
      <c r="F6722" t="s">
        <v>1326</v>
      </c>
      <c r="G6722" t="s">
        <v>201</v>
      </c>
    </row>
    <row r="6723" spans="1:7" x14ac:dyDescent="0.3">
      <c r="A6723" t="s">
        <v>49</v>
      </c>
      <c r="B6723" t="s">
        <v>340</v>
      </c>
      <c r="C6723">
        <v>9320</v>
      </c>
      <c r="D6723" t="s">
        <v>38</v>
      </c>
      <c r="E6723" t="s">
        <v>112</v>
      </c>
      <c r="F6723" t="s">
        <v>593</v>
      </c>
      <c r="G6723" t="s">
        <v>680</v>
      </c>
    </row>
    <row r="6724" spans="1:7" x14ac:dyDescent="0.3">
      <c r="A6724" t="s">
        <v>49</v>
      </c>
      <c r="B6724" t="s">
        <v>365</v>
      </c>
      <c r="C6724">
        <v>191</v>
      </c>
      <c r="D6724" t="s">
        <v>740</v>
      </c>
      <c r="E6724" t="s">
        <v>135</v>
      </c>
      <c r="F6724" t="s">
        <v>445</v>
      </c>
      <c r="G6724" t="s">
        <v>325</v>
      </c>
    </row>
    <row r="6726" spans="1:7" x14ac:dyDescent="0.3">
      <c r="A6726" t="s">
        <v>2130</v>
      </c>
    </row>
    <row r="6727" spans="1:7" x14ac:dyDescent="0.3">
      <c r="A6727" t="s">
        <v>44</v>
      </c>
      <c r="B6727" t="s">
        <v>209</v>
      </c>
      <c r="C6727" t="s">
        <v>32</v>
      </c>
      <c r="D6727" t="s">
        <v>2125</v>
      </c>
      <c r="E6727" t="s">
        <v>2126</v>
      </c>
      <c r="F6727" t="s">
        <v>2127</v>
      </c>
      <c r="G6727" t="s">
        <v>2128</v>
      </c>
    </row>
    <row r="6728" spans="1:7" x14ac:dyDescent="0.3">
      <c r="A6728" t="s">
        <v>35</v>
      </c>
      <c r="B6728" t="s">
        <v>210</v>
      </c>
      <c r="C6728">
        <v>136</v>
      </c>
      <c r="D6728" t="s">
        <v>580</v>
      </c>
      <c r="E6728" t="s">
        <v>722</v>
      </c>
      <c r="F6728" t="s">
        <v>1185</v>
      </c>
      <c r="G6728" t="s">
        <v>705</v>
      </c>
    </row>
    <row r="6729" spans="1:7" x14ac:dyDescent="0.3">
      <c r="A6729" t="s">
        <v>35</v>
      </c>
      <c r="B6729" t="s">
        <v>212</v>
      </c>
      <c r="C6729">
        <v>2442</v>
      </c>
      <c r="D6729" t="s">
        <v>1059</v>
      </c>
      <c r="E6729" t="s">
        <v>325</v>
      </c>
      <c r="F6729" t="s">
        <v>983</v>
      </c>
      <c r="G6729" t="s">
        <v>470</v>
      </c>
    </row>
    <row r="6730" spans="1:7" x14ac:dyDescent="0.3">
      <c r="A6730" t="s">
        <v>35</v>
      </c>
      <c r="B6730" t="s">
        <v>216</v>
      </c>
      <c r="C6730">
        <v>567</v>
      </c>
      <c r="D6730" t="s">
        <v>347</v>
      </c>
      <c r="E6730" t="s">
        <v>135</v>
      </c>
      <c r="F6730" t="s">
        <v>1236</v>
      </c>
      <c r="G6730" t="s">
        <v>420</v>
      </c>
    </row>
    <row r="6731" spans="1:7" x14ac:dyDescent="0.3">
      <c r="A6731" t="s">
        <v>37</v>
      </c>
      <c r="B6731" t="s">
        <v>210</v>
      </c>
      <c r="C6731">
        <v>138</v>
      </c>
      <c r="D6731" t="s">
        <v>289</v>
      </c>
      <c r="E6731" t="s">
        <v>157</v>
      </c>
      <c r="F6731" t="s">
        <v>593</v>
      </c>
      <c r="G6731" t="s">
        <v>373</v>
      </c>
    </row>
    <row r="6732" spans="1:7" x14ac:dyDescent="0.3">
      <c r="A6732" t="s">
        <v>37</v>
      </c>
      <c r="B6732" t="s">
        <v>212</v>
      </c>
      <c r="C6732">
        <v>3606</v>
      </c>
      <c r="D6732" t="s">
        <v>201</v>
      </c>
      <c r="E6732" t="s">
        <v>139</v>
      </c>
      <c r="F6732" t="s">
        <v>284</v>
      </c>
      <c r="G6732" t="s">
        <v>318</v>
      </c>
    </row>
    <row r="6733" spans="1:7" x14ac:dyDescent="0.3">
      <c r="A6733" t="s">
        <v>37</v>
      </c>
      <c r="B6733" t="s">
        <v>216</v>
      </c>
      <c r="C6733">
        <v>111</v>
      </c>
      <c r="D6733" t="s">
        <v>406</v>
      </c>
      <c r="E6733" t="s">
        <v>110</v>
      </c>
      <c r="F6733" t="s">
        <v>1470</v>
      </c>
      <c r="G6733" t="s">
        <v>408</v>
      </c>
    </row>
    <row r="6734" spans="1:7" x14ac:dyDescent="0.3">
      <c r="A6734" t="s">
        <v>36</v>
      </c>
      <c r="B6734" t="s">
        <v>210</v>
      </c>
      <c r="C6734">
        <v>165</v>
      </c>
      <c r="D6734" t="s">
        <v>706</v>
      </c>
      <c r="E6734" t="s">
        <v>746</v>
      </c>
      <c r="F6734" t="s">
        <v>1256</v>
      </c>
      <c r="G6734" t="s">
        <v>76</v>
      </c>
    </row>
    <row r="6735" spans="1:7" x14ac:dyDescent="0.3">
      <c r="A6735" t="s">
        <v>36</v>
      </c>
      <c r="B6735" t="s">
        <v>212</v>
      </c>
      <c r="C6735">
        <v>1875</v>
      </c>
      <c r="D6735" t="s">
        <v>536</v>
      </c>
      <c r="E6735" t="s">
        <v>150</v>
      </c>
      <c r="F6735" t="s">
        <v>1291</v>
      </c>
      <c r="G6735" t="s">
        <v>175</v>
      </c>
    </row>
    <row r="6736" spans="1:7" x14ac:dyDescent="0.3">
      <c r="A6736" t="s">
        <v>36</v>
      </c>
      <c r="B6736" t="s">
        <v>216</v>
      </c>
      <c r="C6736">
        <v>265</v>
      </c>
      <c r="D6736" t="s">
        <v>692</v>
      </c>
      <c r="E6736" t="s">
        <v>420</v>
      </c>
      <c r="F6736" t="s">
        <v>1098</v>
      </c>
      <c r="G6736" t="s">
        <v>795</v>
      </c>
    </row>
    <row r="6737" spans="1:7" x14ac:dyDescent="0.3">
      <c r="A6737" t="s">
        <v>34</v>
      </c>
      <c r="B6737" t="s">
        <v>210</v>
      </c>
      <c r="C6737">
        <v>256</v>
      </c>
      <c r="D6737" t="s">
        <v>668</v>
      </c>
      <c r="E6737" t="s">
        <v>287</v>
      </c>
      <c r="F6737" t="s">
        <v>553</v>
      </c>
      <c r="G6737" t="s">
        <v>751</v>
      </c>
    </row>
    <row r="6738" spans="1:7" x14ac:dyDescent="0.3">
      <c r="A6738" t="s">
        <v>34</v>
      </c>
      <c r="B6738" t="s">
        <v>212</v>
      </c>
      <c r="C6738">
        <v>1582</v>
      </c>
      <c r="D6738" t="s">
        <v>696</v>
      </c>
      <c r="E6738" t="s">
        <v>328</v>
      </c>
      <c r="F6738" t="s">
        <v>644</v>
      </c>
      <c r="G6738" t="s">
        <v>708</v>
      </c>
    </row>
    <row r="6739" spans="1:7" x14ac:dyDescent="0.3">
      <c r="A6739" t="s">
        <v>34</v>
      </c>
      <c r="B6739" t="s">
        <v>216</v>
      </c>
      <c r="C6739">
        <v>242</v>
      </c>
      <c r="D6739" t="s">
        <v>638</v>
      </c>
      <c r="E6739" t="s">
        <v>691</v>
      </c>
      <c r="F6739" t="s">
        <v>140</v>
      </c>
      <c r="G6739" t="s">
        <v>355</v>
      </c>
    </row>
    <row r="6740" spans="1:7" x14ac:dyDescent="0.3">
      <c r="A6740" t="s">
        <v>33</v>
      </c>
      <c r="B6740" t="s">
        <v>210</v>
      </c>
      <c r="C6740">
        <v>68</v>
      </c>
      <c r="D6740" t="s">
        <v>425</v>
      </c>
      <c r="E6740" t="s">
        <v>712</v>
      </c>
      <c r="F6740" t="s">
        <v>922</v>
      </c>
      <c r="G6740" t="s">
        <v>731</v>
      </c>
    </row>
    <row r="6741" spans="1:7" x14ac:dyDescent="0.3">
      <c r="A6741" t="s">
        <v>33</v>
      </c>
      <c r="B6741" t="s">
        <v>212</v>
      </c>
      <c r="C6741">
        <v>1800</v>
      </c>
      <c r="D6741" t="s">
        <v>416</v>
      </c>
      <c r="E6741" t="s">
        <v>151</v>
      </c>
      <c r="F6741" t="s">
        <v>1246</v>
      </c>
      <c r="G6741" t="s">
        <v>220</v>
      </c>
    </row>
    <row r="6742" spans="1:7" x14ac:dyDescent="0.3">
      <c r="A6742" t="s">
        <v>33</v>
      </c>
      <c r="B6742" t="s">
        <v>216</v>
      </c>
      <c r="C6742">
        <v>69</v>
      </c>
      <c r="D6742" t="s">
        <v>135</v>
      </c>
      <c r="E6742" t="s">
        <v>99</v>
      </c>
      <c r="F6742" t="s">
        <v>869</v>
      </c>
      <c r="G6742" t="s">
        <v>673</v>
      </c>
    </row>
    <row r="6743" spans="1:7" x14ac:dyDescent="0.3">
      <c r="A6743" t="s">
        <v>49</v>
      </c>
      <c r="B6743" t="s">
        <v>210</v>
      </c>
      <c r="C6743">
        <v>763</v>
      </c>
      <c r="D6743" t="s">
        <v>451</v>
      </c>
      <c r="E6743" t="s">
        <v>182</v>
      </c>
      <c r="F6743" t="s">
        <v>905</v>
      </c>
      <c r="G6743" t="s">
        <v>188</v>
      </c>
    </row>
    <row r="6744" spans="1:7" x14ac:dyDescent="0.3">
      <c r="A6744" t="s">
        <v>49</v>
      </c>
      <c r="B6744" t="s">
        <v>212</v>
      </c>
      <c r="C6744">
        <v>11305</v>
      </c>
      <c r="D6744" t="s">
        <v>990</v>
      </c>
      <c r="E6744" t="s">
        <v>68</v>
      </c>
      <c r="F6744" t="s">
        <v>648</v>
      </c>
      <c r="G6744" t="s">
        <v>714</v>
      </c>
    </row>
    <row r="6745" spans="1:7" x14ac:dyDescent="0.3">
      <c r="A6745" t="s">
        <v>49</v>
      </c>
      <c r="B6745" t="s">
        <v>216</v>
      </c>
      <c r="C6745">
        <v>1254</v>
      </c>
      <c r="D6745" t="s">
        <v>668</v>
      </c>
      <c r="E6745" t="s">
        <v>296</v>
      </c>
      <c r="F6745" t="s">
        <v>818</v>
      </c>
      <c r="G6745" t="s">
        <v>179</v>
      </c>
    </row>
    <row r="6747" spans="1:7" x14ac:dyDescent="0.3">
      <c r="A6747" t="s">
        <v>2131</v>
      </c>
    </row>
    <row r="6748" spans="1:7" x14ac:dyDescent="0.3">
      <c r="A6748" t="s">
        <v>44</v>
      </c>
      <c r="B6748" t="s">
        <v>388</v>
      </c>
      <c r="C6748" t="s">
        <v>32</v>
      </c>
      <c r="D6748" t="s">
        <v>2125</v>
      </c>
      <c r="E6748" t="s">
        <v>2126</v>
      </c>
      <c r="F6748" t="s">
        <v>2127</v>
      </c>
      <c r="G6748" t="s">
        <v>2128</v>
      </c>
    </row>
    <row r="6749" spans="1:7" x14ac:dyDescent="0.3">
      <c r="A6749" t="s">
        <v>35</v>
      </c>
      <c r="B6749" t="s">
        <v>389</v>
      </c>
      <c r="C6749">
        <v>2141</v>
      </c>
      <c r="D6749" t="s">
        <v>148</v>
      </c>
      <c r="E6749" t="s">
        <v>112</v>
      </c>
      <c r="F6749" t="s">
        <v>559</v>
      </c>
      <c r="G6749" t="s">
        <v>220</v>
      </c>
    </row>
    <row r="6750" spans="1:7" x14ac:dyDescent="0.3">
      <c r="A6750" t="s">
        <v>35</v>
      </c>
      <c r="B6750" t="s">
        <v>390</v>
      </c>
      <c r="C6750">
        <v>875</v>
      </c>
      <c r="D6750" t="s">
        <v>38</v>
      </c>
      <c r="E6750" t="s">
        <v>716</v>
      </c>
      <c r="F6750" t="s">
        <v>825</v>
      </c>
      <c r="G6750" t="s">
        <v>405</v>
      </c>
    </row>
    <row r="6751" spans="1:7" x14ac:dyDescent="0.3">
      <c r="A6751" t="s">
        <v>35</v>
      </c>
      <c r="B6751" t="s">
        <v>365</v>
      </c>
      <c r="C6751">
        <v>129</v>
      </c>
      <c r="D6751" t="s">
        <v>262</v>
      </c>
      <c r="E6751" t="s">
        <v>150</v>
      </c>
      <c r="F6751" t="s">
        <v>1119</v>
      </c>
      <c r="G6751" t="s">
        <v>393</v>
      </c>
    </row>
    <row r="6752" spans="1:7" x14ac:dyDescent="0.3">
      <c r="A6752" t="s">
        <v>37</v>
      </c>
      <c r="B6752" t="s">
        <v>389</v>
      </c>
      <c r="C6752">
        <v>2305</v>
      </c>
      <c r="D6752" t="s">
        <v>186</v>
      </c>
      <c r="E6752" t="s">
        <v>134</v>
      </c>
      <c r="F6752" t="s">
        <v>284</v>
      </c>
      <c r="G6752" t="s">
        <v>76</v>
      </c>
    </row>
    <row r="6753" spans="1:7" x14ac:dyDescent="0.3">
      <c r="A6753" t="s">
        <v>37</v>
      </c>
      <c r="B6753" t="s">
        <v>390</v>
      </c>
      <c r="C6753">
        <v>1309</v>
      </c>
      <c r="D6753" t="s">
        <v>315</v>
      </c>
      <c r="E6753" t="s">
        <v>328</v>
      </c>
      <c r="F6753" t="s">
        <v>1065</v>
      </c>
      <c r="G6753" t="s">
        <v>701</v>
      </c>
    </row>
    <row r="6754" spans="1:7" x14ac:dyDescent="0.3">
      <c r="A6754" t="s">
        <v>37</v>
      </c>
      <c r="B6754" t="s">
        <v>365</v>
      </c>
      <c r="C6754">
        <v>241</v>
      </c>
      <c r="D6754" t="s">
        <v>373</v>
      </c>
      <c r="E6754" t="s">
        <v>277</v>
      </c>
      <c r="F6754" t="s">
        <v>896</v>
      </c>
      <c r="G6754" t="s">
        <v>177</v>
      </c>
    </row>
    <row r="6755" spans="1:7" x14ac:dyDescent="0.3">
      <c r="A6755" t="s">
        <v>36</v>
      </c>
      <c r="B6755" t="s">
        <v>389</v>
      </c>
      <c r="C6755">
        <v>1578</v>
      </c>
      <c r="D6755" t="s">
        <v>807</v>
      </c>
      <c r="E6755" t="s">
        <v>78</v>
      </c>
      <c r="F6755" t="s">
        <v>651</v>
      </c>
      <c r="G6755" t="s">
        <v>406</v>
      </c>
    </row>
    <row r="6756" spans="1:7" x14ac:dyDescent="0.3">
      <c r="A6756" t="s">
        <v>36</v>
      </c>
      <c r="B6756" t="s">
        <v>390</v>
      </c>
      <c r="C6756">
        <v>627</v>
      </c>
      <c r="D6756" t="s">
        <v>798</v>
      </c>
      <c r="E6756" t="s">
        <v>41</v>
      </c>
      <c r="F6756" t="s">
        <v>1169</v>
      </c>
      <c r="G6756" t="s">
        <v>267</v>
      </c>
    </row>
    <row r="6757" spans="1:7" x14ac:dyDescent="0.3">
      <c r="A6757" t="s">
        <v>36</v>
      </c>
      <c r="B6757" t="s">
        <v>365</v>
      </c>
      <c r="C6757">
        <v>100</v>
      </c>
      <c r="D6757" t="s">
        <v>38</v>
      </c>
      <c r="E6757" t="s">
        <v>277</v>
      </c>
      <c r="F6757" t="s">
        <v>1176</v>
      </c>
      <c r="G6757" t="s">
        <v>690</v>
      </c>
    </row>
    <row r="6758" spans="1:7" x14ac:dyDescent="0.3">
      <c r="A6758" t="s">
        <v>34</v>
      </c>
      <c r="B6758" t="s">
        <v>389</v>
      </c>
      <c r="C6758">
        <v>1385</v>
      </c>
      <c r="D6758" t="s">
        <v>1102</v>
      </c>
      <c r="E6758" t="s">
        <v>109</v>
      </c>
      <c r="F6758" t="s">
        <v>905</v>
      </c>
      <c r="G6758" t="s">
        <v>355</v>
      </c>
    </row>
    <row r="6759" spans="1:7" x14ac:dyDescent="0.3">
      <c r="A6759" t="s">
        <v>34</v>
      </c>
      <c r="B6759" t="s">
        <v>390</v>
      </c>
      <c r="C6759">
        <v>615</v>
      </c>
      <c r="D6759" t="s">
        <v>738</v>
      </c>
      <c r="E6759" t="s">
        <v>710</v>
      </c>
      <c r="F6759" t="s">
        <v>1182</v>
      </c>
      <c r="G6759" t="s">
        <v>318</v>
      </c>
    </row>
    <row r="6760" spans="1:7" x14ac:dyDescent="0.3">
      <c r="A6760" t="s">
        <v>34</v>
      </c>
      <c r="B6760" t="s">
        <v>365</v>
      </c>
      <c r="C6760">
        <v>80</v>
      </c>
      <c r="D6760" t="s">
        <v>683</v>
      </c>
      <c r="E6760" t="s">
        <v>78</v>
      </c>
      <c r="F6760" t="s">
        <v>2132</v>
      </c>
      <c r="G6760" t="s">
        <v>807</v>
      </c>
    </row>
    <row r="6761" spans="1:7" x14ac:dyDescent="0.3">
      <c r="A6761" t="s">
        <v>33</v>
      </c>
      <c r="B6761" t="s">
        <v>389</v>
      </c>
      <c r="C6761">
        <v>1090</v>
      </c>
      <c r="D6761" t="s">
        <v>244</v>
      </c>
      <c r="E6761" t="s">
        <v>117</v>
      </c>
      <c r="F6761" t="s">
        <v>985</v>
      </c>
      <c r="G6761" t="s">
        <v>251</v>
      </c>
    </row>
    <row r="6762" spans="1:7" x14ac:dyDescent="0.3">
      <c r="A6762" t="s">
        <v>33</v>
      </c>
      <c r="B6762" t="s">
        <v>390</v>
      </c>
      <c r="C6762">
        <v>708</v>
      </c>
      <c r="D6762" t="s">
        <v>369</v>
      </c>
      <c r="E6762" t="s">
        <v>123</v>
      </c>
      <c r="F6762" t="s">
        <v>859</v>
      </c>
      <c r="G6762" t="s">
        <v>804</v>
      </c>
    </row>
    <row r="6763" spans="1:7" x14ac:dyDescent="0.3">
      <c r="A6763" t="s">
        <v>33</v>
      </c>
      <c r="B6763" t="s">
        <v>365</v>
      </c>
      <c r="C6763">
        <v>139</v>
      </c>
      <c r="D6763" t="s">
        <v>118</v>
      </c>
      <c r="E6763" t="s">
        <v>99</v>
      </c>
      <c r="F6763" t="s">
        <v>543</v>
      </c>
      <c r="G6763" t="s">
        <v>721</v>
      </c>
    </row>
    <row r="6764" spans="1:7" x14ac:dyDescent="0.3">
      <c r="A6764" t="s">
        <v>49</v>
      </c>
      <c r="B6764" t="s">
        <v>389</v>
      </c>
      <c r="C6764">
        <v>8499</v>
      </c>
      <c r="D6764" t="s">
        <v>473</v>
      </c>
      <c r="E6764" t="s">
        <v>68</v>
      </c>
      <c r="F6764" t="s">
        <v>562</v>
      </c>
      <c r="G6764" t="s">
        <v>714</v>
      </c>
    </row>
    <row r="6765" spans="1:7" x14ac:dyDescent="0.3">
      <c r="A6765" t="s">
        <v>49</v>
      </c>
      <c r="B6765" t="s">
        <v>390</v>
      </c>
      <c r="C6765">
        <v>4134</v>
      </c>
      <c r="D6765" t="s">
        <v>814</v>
      </c>
      <c r="E6765" t="s">
        <v>679</v>
      </c>
      <c r="F6765" t="s">
        <v>1160</v>
      </c>
      <c r="G6765" t="s">
        <v>688</v>
      </c>
    </row>
    <row r="6766" spans="1:7" x14ac:dyDescent="0.3">
      <c r="A6766" t="s">
        <v>49</v>
      </c>
      <c r="B6766" t="s">
        <v>365</v>
      </c>
      <c r="C6766">
        <v>689</v>
      </c>
      <c r="D6766" t="s">
        <v>244</v>
      </c>
      <c r="E6766" t="s">
        <v>242</v>
      </c>
      <c r="F6766" t="s">
        <v>581</v>
      </c>
      <c r="G6766" t="s">
        <v>357</v>
      </c>
    </row>
    <row r="6768" spans="1:7" x14ac:dyDescent="0.3">
      <c r="A6768" t="s">
        <v>2133</v>
      </c>
    </row>
    <row r="6769" spans="1:67" x14ac:dyDescent="0.3">
      <c r="A6769" t="s">
        <v>44</v>
      </c>
      <c r="B6769" t="s">
        <v>235</v>
      </c>
      <c r="C6769" t="s">
        <v>32</v>
      </c>
      <c r="D6769" t="s">
        <v>2125</v>
      </c>
      <c r="E6769" t="s">
        <v>2126</v>
      </c>
      <c r="F6769" t="s">
        <v>2127</v>
      </c>
      <c r="G6769" t="s">
        <v>2128</v>
      </c>
    </row>
    <row r="6770" spans="1:67" x14ac:dyDescent="0.3">
      <c r="A6770" t="s">
        <v>35</v>
      </c>
      <c r="B6770" t="s">
        <v>236</v>
      </c>
      <c r="C6770">
        <v>1610</v>
      </c>
      <c r="D6770" t="s">
        <v>676</v>
      </c>
      <c r="E6770" t="s">
        <v>158</v>
      </c>
      <c r="F6770" t="s">
        <v>1146</v>
      </c>
      <c r="G6770" t="s">
        <v>688</v>
      </c>
    </row>
    <row r="6771" spans="1:67" x14ac:dyDescent="0.3">
      <c r="A6771" t="s">
        <v>35</v>
      </c>
      <c r="B6771" t="s">
        <v>238</v>
      </c>
      <c r="C6771">
        <v>1535</v>
      </c>
      <c r="D6771" t="s">
        <v>668</v>
      </c>
      <c r="E6771" t="s">
        <v>663</v>
      </c>
      <c r="F6771" t="s">
        <v>559</v>
      </c>
      <c r="G6771" t="s">
        <v>461</v>
      </c>
    </row>
    <row r="6772" spans="1:67" x14ac:dyDescent="0.3">
      <c r="A6772" t="s">
        <v>37</v>
      </c>
      <c r="B6772" t="s">
        <v>236</v>
      </c>
      <c r="C6772">
        <v>2211</v>
      </c>
      <c r="D6772" t="s">
        <v>373</v>
      </c>
      <c r="E6772" t="s">
        <v>277</v>
      </c>
      <c r="F6772" t="s">
        <v>1066</v>
      </c>
      <c r="G6772" t="s">
        <v>701</v>
      </c>
    </row>
    <row r="6773" spans="1:67" x14ac:dyDescent="0.3">
      <c r="A6773" t="s">
        <v>37</v>
      </c>
      <c r="B6773" t="s">
        <v>238</v>
      </c>
      <c r="C6773">
        <v>1644</v>
      </c>
      <c r="D6773" t="s">
        <v>171</v>
      </c>
      <c r="E6773" t="s">
        <v>134</v>
      </c>
      <c r="F6773" t="s">
        <v>343</v>
      </c>
      <c r="G6773" t="s">
        <v>672</v>
      </c>
    </row>
    <row r="6774" spans="1:67" x14ac:dyDescent="0.3">
      <c r="A6774" t="s">
        <v>36</v>
      </c>
      <c r="B6774" t="s">
        <v>236</v>
      </c>
      <c r="C6774">
        <v>1566</v>
      </c>
      <c r="D6774" t="s">
        <v>177</v>
      </c>
      <c r="E6774" t="s">
        <v>135</v>
      </c>
      <c r="F6774" t="s">
        <v>533</v>
      </c>
      <c r="G6774" t="s">
        <v>255</v>
      </c>
    </row>
    <row r="6775" spans="1:67" x14ac:dyDescent="0.3">
      <c r="A6775" t="s">
        <v>36</v>
      </c>
      <c r="B6775" t="s">
        <v>238</v>
      </c>
      <c r="C6775">
        <v>739</v>
      </c>
      <c r="D6775" t="s">
        <v>705</v>
      </c>
      <c r="E6775" t="s">
        <v>296</v>
      </c>
      <c r="F6775" t="s">
        <v>651</v>
      </c>
      <c r="G6775" t="s">
        <v>687</v>
      </c>
    </row>
    <row r="6776" spans="1:67" x14ac:dyDescent="0.3">
      <c r="A6776" t="s">
        <v>34</v>
      </c>
      <c r="B6776" t="s">
        <v>236</v>
      </c>
      <c r="C6776">
        <v>717</v>
      </c>
      <c r="D6776" t="s">
        <v>809</v>
      </c>
      <c r="E6776" t="s">
        <v>233</v>
      </c>
      <c r="F6776" t="s">
        <v>555</v>
      </c>
      <c r="G6776" t="s">
        <v>465</v>
      </c>
    </row>
    <row r="6777" spans="1:67" x14ac:dyDescent="0.3">
      <c r="A6777" t="s">
        <v>34</v>
      </c>
      <c r="B6777" t="s">
        <v>238</v>
      </c>
      <c r="C6777">
        <v>1363</v>
      </c>
      <c r="D6777" t="s">
        <v>711</v>
      </c>
      <c r="E6777" t="s">
        <v>184</v>
      </c>
      <c r="F6777" t="s">
        <v>572</v>
      </c>
      <c r="G6777" t="s">
        <v>321</v>
      </c>
    </row>
    <row r="6778" spans="1:67" x14ac:dyDescent="0.3">
      <c r="A6778" t="s">
        <v>33</v>
      </c>
      <c r="B6778" t="s">
        <v>236</v>
      </c>
      <c r="C6778">
        <v>1116</v>
      </c>
      <c r="D6778" t="s">
        <v>721</v>
      </c>
      <c r="E6778" t="s">
        <v>103</v>
      </c>
      <c r="F6778" t="s">
        <v>1457</v>
      </c>
      <c r="G6778" t="s">
        <v>262</v>
      </c>
    </row>
    <row r="6779" spans="1:67" x14ac:dyDescent="0.3">
      <c r="A6779" t="s">
        <v>33</v>
      </c>
      <c r="B6779" t="s">
        <v>238</v>
      </c>
      <c r="C6779">
        <v>821</v>
      </c>
      <c r="D6779" t="s">
        <v>379</v>
      </c>
      <c r="E6779" t="s">
        <v>382</v>
      </c>
      <c r="F6779" t="s">
        <v>859</v>
      </c>
      <c r="G6779" t="s">
        <v>470</v>
      </c>
    </row>
    <row r="6780" spans="1:67" x14ac:dyDescent="0.3">
      <c r="A6780" t="s">
        <v>49</v>
      </c>
      <c r="B6780" t="s">
        <v>236</v>
      </c>
      <c r="C6780">
        <v>7220</v>
      </c>
      <c r="D6780" t="s">
        <v>303</v>
      </c>
      <c r="E6780" t="s">
        <v>124</v>
      </c>
      <c r="F6780" t="s">
        <v>1224</v>
      </c>
      <c r="G6780" t="s">
        <v>814</v>
      </c>
    </row>
    <row r="6781" spans="1:67" x14ac:dyDescent="0.3">
      <c r="A6781" t="s">
        <v>49</v>
      </c>
      <c r="B6781" t="s">
        <v>238</v>
      </c>
      <c r="C6781">
        <v>6102</v>
      </c>
      <c r="D6781" t="s">
        <v>499</v>
      </c>
      <c r="E6781" t="s">
        <v>328</v>
      </c>
      <c r="F6781" t="s">
        <v>1100</v>
      </c>
      <c r="G6781" t="s">
        <v>179</v>
      </c>
    </row>
    <row r="6783" spans="1:67" x14ac:dyDescent="0.3">
      <c r="A6783" t="s">
        <v>2134</v>
      </c>
    </row>
    <row r="6784" spans="1:67" x14ac:dyDescent="0.3">
      <c r="A6784" t="s">
        <v>44</v>
      </c>
      <c r="B6784" t="s">
        <v>2135</v>
      </c>
      <c r="C6784" t="s">
        <v>2136</v>
      </c>
      <c r="D6784" t="s">
        <v>2137</v>
      </c>
      <c r="E6784" t="s">
        <v>2138</v>
      </c>
      <c r="F6784" t="s">
        <v>2139</v>
      </c>
      <c r="G6784" t="s">
        <v>2140</v>
      </c>
      <c r="H6784" t="s">
        <v>2141</v>
      </c>
      <c r="I6784" t="s">
        <v>2142</v>
      </c>
      <c r="J6784" t="s">
        <v>2143</v>
      </c>
      <c r="K6784" t="s">
        <v>2144</v>
      </c>
      <c r="L6784" t="s">
        <v>2145</v>
      </c>
      <c r="M6784" t="s">
        <v>2146</v>
      </c>
      <c r="N6784" t="s">
        <v>2147</v>
      </c>
      <c r="O6784" t="s">
        <v>2148</v>
      </c>
      <c r="P6784" t="s">
        <v>2149</v>
      </c>
      <c r="Q6784" t="s">
        <v>2150</v>
      </c>
      <c r="R6784" t="s">
        <v>2151</v>
      </c>
      <c r="S6784" t="s">
        <v>2152</v>
      </c>
      <c r="T6784" t="s">
        <v>2153</v>
      </c>
      <c r="U6784" t="s">
        <v>2154</v>
      </c>
      <c r="V6784" t="s">
        <v>2155</v>
      </c>
      <c r="W6784" t="s">
        <v>2156</v>
      </c>
      <c r="X6784" t="s">
        <v>2157</v>
      </c>
      <c r="Y6784" t="s">
        <v>2158</v>
      </c>
      <c r="Z6784" t="s">
        <v>2159</v>
      </c>
      <c r="AA6784" t="s">
        <v>2160</v>
      </c>
      <c r="AB6784" t="s">
        <v>2161</v>
      </c>
      <c r="AC6784" t="s">
        <v>2162</v>
      </c>
      <c r="AD6784" t="s">
        <v>2163</v>
      </c>
      <c r="AE6784" t="s">
        <v>2164</v>
      </c>
      <c r="AF6784" t="s">
        <v>2165</v>
      </c>
      <c r="AG6784" t="s">
        <v>2166</v>
      </c>
      <c r="AH6784" t="s">
        <v>2167</v>
      </c>
      <c r="AI6784" t="s">
        <v>2168</v>
      </c>
      <c r="AJ6784" t="s">
        <v>2169</v>
      </c>
      <c r="AK6784" t="s">
        <v>2170</v>
      </c>
      <c r="AL6784" t="s">
        <v>2171</v>
      </c>
      <c r="AM6784" t="s">
        <v>2172</v>
      </c>
      <c r="AN6784" t="s">
        <v>2173</v>
      </c>
      <c r="AO6784" t="s">
        <v>2174</v>
      </c>
      <c r="AP6784" t="s">
        <v>2175</v>
      </c>
      <c r="AQ6784" t="s">
        <v>2176</v>
      </c>
      <c r="AR6784" t="s">
        <v>2177</v>
      </c>
      <c r="AS6784" t="s">
        <v>2178</v>
      </c>
      <c r="AT6784" t="s">
        <v>2179</v>
      </c>
      <c r="AU6784" t="s">
        <v>2180</v>
      </c>
      <c r="AV6784" t="s">
        <v>2181</v>
      </c>
      <c r="AW6784" t="s">
        <v>2182</v>
      </c>
      <c r="AX6784" t="s">
        <v>2183</v>
      </c>
      <c r="AY6784" t="s">
        <v>2184</v>
      </c>
      <c r="AZ6784" t="s">
        <v>2185</v>
      </c>
      <c r="BA6784" t="s">
        <v>2186</v>
      </c>
      <c r="BB6784" t="s">
        <v>2187</v>
      </c>
      <c r="BC6784" t="s">
        <v>2188</v>
      </c>
      <c r="BD6784" t="s">
        <v>2189</v>
      </c>
      <c r="BE6784" t="s">
        <v>2190</v>
      </c>
      <c r="BF6784" t="s">
        <v>2191</v>
      </c>
      <c r="BG6784" t="s">
        <v>2192</v>
      </c>
      <c r="BH6784" t="s">
        <v>2193</v>
      </c>
      <c r="BI6784" t="s">
        <v>2194</v>
      </c>
      <c r="BJ6784" t="s">
        <v>2195</v>
      </c>
      <c r="BK6784" t="s">
        <v>2196</v>
      </c>
      <c r="BL6784" t="s">
        <v>2197</v>
      </c>
      <c r="BM6784" t="s">
        <v>2198</v>
      </c>
      <c r="BN6784" t="s">
        <v>2199</v>
      </c>
      <c r="BO6784" t="s">
        <v>2200</v>
      </c>
    </row>
    <row r="6785" spans="1:68" x14ac:dyDescent="0.3">
      <c r="A6785" t="s">
        <v>35</v>
      </c>
      <c r="B6785">
        <v>3145</v>
      </c>
      <c r="C6785" t="s">
        <v>475</v>
      </c>
      <c r="D6785" t="s">
        <v>151</v>
      </c>
      <c r="E6785" t="s">
        <v>680</v>
      </c>
      <c r="F6785" t="s">
        <v>132</v>
      </c>
      <c r="G6785" t="s">
        <v>434</v>
      </c>
      <c r="H6785">
        <v>3145</v>
      </c>
      <c r="I6785" t="s">
        <v>1146</v>
      </c>
      <c r="J6785" t="s">
        <v>277</v>
      </c>
      <c r="K6785" t="s">
        <v>465</v>
      </c>
      <c r="L6785" t="s">
        <v>121</v>
      </c>
      <c r="M6785" t="s">
        <v>255</v>
      </c>
      <c r="N6785">
        <v>3145</v>
      </c>
      <c r="O6785" t="s">
        <v>502</v>
      </c>
      <c r="P6785" t="s">
        <v>319</v>
      </c>
      <c r="Q6785" t="s">
        <v>149</v>
      </c>
      <c r="R6785" t="s">
        <v>108</v>
      </c>
      <c r="S6785" t="s">
        <v>179</v>
      </c>
      <c r="T6785">
        <v>3145</v>
      </c>
      <c r="U6785" t="s">
        <v>77</v>
      </c>
      <c r="V6785" t="s">
        <v>141</v>
      </c>
      <c r="W6785" t="s">
        <v>72</v>
      </c>
      <c r="X6785" t="s">
        <v>100</v>
      </c>
      <c r="Y6785" t="s">
        <v>110</v>
      </c>
      <c r="Z6785">
        <v>3145</v>
      </c>
      <c r="AA6785" t="s">
        <v>278</v>
      </c>
      <c r="AB6785" t="s">
        <v>114</v>
      </c>
      <c r="AC6785" t="s">
        <v>124</v>
      </c>
      <c r="AD6785" t="s">
        <v>108</v>
      </c>
      <c r="AE6785" t="s">
        <v>696</v>
      </c>
      <c r="AF6785">
        <v>3145</v>
      </c>
      <c r="AG6785" t="s">
        <v>1132</v>
      </c>
      <c r="AH6785" t="s">
        <v>990</v>
      </c>
      <c r="AI6785" t="s">
        <v>132</v>
      </c>
      <c r="AJ6785" t="s">
        <v>110</v>
      </c>
      <c r="AK6785" t="s">
        <v>198</v>
      </c>
      <c r="AL6785">
        <v>3145</v>
      </c>
      <c r="AM6785" t="s">
        <v>774</v>
      </c>
      <c r="AN6785" t="s">
        <v>100</v>
      </c>
      <c r="AO6785" t="s">
        <v>691</v>
      </c>
      <c r="AP6785" t="s">
        <v>132</v>
      </c>
      <c r="AQ6785" t="s">
        <v>136</v>
      </c>
      <c r="AR6785">
        <v>3145</v>
      </c>
      <c r="AS6785" t="s">
        <v>623</v>
      </c>
      <c r="AT6785" t="s">
        <v>121</v>
      </c>
      <c r="AU6785" t="s">
        <v>318</v>
      </c>
      <c r="AV6785" t="s">
        <v>108</v>
      </c>
      <c r="AW6785" t="s">
        <v>332</v>
      </c>
      <c r="AX6785">
        <v>3145</v>
      </c>
      <c r="AY6785" t="s">
        <v>168</v>
      </c>
      <c r="AZ6785" t="s">
        <v>291</v>
      </c>
      <c r="BA6785" t="s">
        <v>114</v>
      </c>
      <c r="BB6785" t="s">
        <v>105</v>
      </c>
      <c r="BC6785" t="s">
        <v>108</v>
      </c>
      <c r="BD6785">
        <v>3145</v>
      </c>
      <c r="BE6785" t="s">
        <v>1277</v>
      </c>
      <c r="BF6785" t="s">
        <v>319</v>
      </c>
      <c r="BG6785" t="s">
        <v>704</v>
      </c>
      <c r="BH6785" t="s">
        <v>132</v>
      </c>
      <c r="BI6785" t="s">
        <v>215</v>
      </c>
      <c r="BJ6785">
        <v>3145</v>
      </c>
      <c r="BK6785" t="s">
        <v>290</v>
      </c>
      <c r="BL6785" t="s">
        <v>220</v>
      </c>
      <c r="BM6785" t="s">
        <v>108</v>
      </c>
      <c r="BN6785" t="s">
        <v>111</v>
      </c>
      <c r="BO6785" t="s">
        <v>115</v>
      </c>
    </row>
    <row r="6786" spans="1:68" x14ac:dyDescent="0.3">
      <c r="A6786" t="s">
        <v>37</v>
      </c>
      <c r="B6786">
        <v>3855</v>
      </c>
      <c r="C6786" t="s">
        <v>469</v>
      </c>
      <c r="D6786" t="s">
        <v>100</v>
      </c>
      <c r="E6786" t="s">
        <v>461</v>
      </c>
      <c r="F6786" t="s">
        <v>147</v>
      </c>
      <c r="G6786" t="s">
        <v>154</v>
      </c>
      <c r="H6786">
        <v>3855</v>
      </c>
      <c r="I6786" t="s">
        <v>949</v>
      </c>
      <c r="J6786" t="s">
        <v>154</v>
      </c>
      <c r="K6786" t="s">
        <v>262</v>
      </c>
      <c r="L6786" t="s">
        <v>138</v>
      </c>
      <c r="M6786" t="s">
        <v>395</v>
      </c>
      <c r="N6786">
        <v>3855</v>
      </c>
      <c r="O6786" t="s">
        <v>612</v>
      </c>
      <c r="P6786" t="s">
        <v>253</v>
      </c>
      <c r="Q6786" t="s">
        <v>675</v>
      </c>
      <c r="R6786" t="s">
        <v>107</v>
      </c>
      <c r="S6786" t="s">
        <v>158</v>
      </c>
      <c r="T6786">
        <v>3855</v>
      </c>
      <c r="U6786" t="s">
        <v>464</v>
      </c>
      <c r="V6786" t="s">
        <v>104</v>
      </c>
      <c r="W6786" t="s">
        <v>233</v>
      </c>
      <c r="X6786" t="s">
        <v>147</v>
      </c>
      <c r="Y6786" t="s">
        <v>292</v>
      </c>
      <c r="Z6786">
        <v>3855</v>
      </c>
      <c r="AA6786" t="s">
        <v>436</v>
      </c>
      <c r="AB6786" t="s">
        <v>253</v>
      </c>
      <c r="AC6786" t="s">
        <v>204</v>
      </c>
      <c r="AD6786" t="s">
        <v>147</v>
      </c>
      <c r="AE6786" t="s">
        <v>714</v>
      </c>
      <c r="AF6786">
        <v>3855</v>
      </c>
      <c r="AG6786" t="s">
        <v>245</v>
      </c>
      <c r="AH6786" t="s">
        <v>738</v>
      </c>
      <c r="AI6786" t="s">
        <v>120</v>
      </c>
      <c r="AJ6786" t="s">
        <v>316</v>
      </c>
      <c r="AK6786" t="s">
        <v>198</v>
      </c>
      <c r="AL6786">
        <v>3855</v>
      </c>
      <c r="AM6786" t="s">
        <v>537</v>
      </c>
      <c r="AN6786" t="s">
        <v>207</v>
      </c>
      <c r="AO6786" t="s">
        <v>737</v>
      </c>
      <c r="AP6786" t="s">
        <v>147</v>
      </c>
      <c r="AQ6786" t="s">
        <v>198</v>
      </c>
      <c r="AR6786">
        <v>3855</v>
      </c>
      <c r="AS6786" t="s">
        <v>441</v>
      </c>
      <c r="AT6786" t="s">
        <v>100</v>
      </c>
      <c r="AU6786" t="s">
        <v>726</v>
      </c>
      <c r="AV6786" t="s">
        <v>147</v>
      </c>
      <c r="AW6786" t="s">
        <v>292</v>
      </c>
      <c r="AX6786">
        <v>3855</v>
      </c>
      <c r="AY6786" t="s">
        <v>968</v>
      </c>
      <c r="AZ6786" t="s">
        <v>672</v>
      </c>
      <c r="BA6786" t="s">
        <v>157</v>
      </c>
      <c r="BB6786" t="s">
        <v>120</v>
      </c>
      <c r="BC6786" t="s">
        <v>198</v>
      </c>
      <c r="BD6786">
        <v>3855</v>
      </c>
      <c r="BE6786" t="s">
        <v>509</v>
      </c>
      <c r="BF6786" t="s">
        <v>253</v>
      </c>
      <c r="BG6786" t="s">
        <v>357</v>
      </c>
      <c r="BH6786" t="s">
        <v>147</v>
      </c>
      <c r="BI6786" t="s">
        <v>253</v>
      </c>
      <c r="BJ6786">
        <v>3855</v>
      </c>
      <c r="BK6786" t="s">
        <v>866</v>
      </c>
      <c r="BL6786" t="s">
        <v>113</v>
      </c>
      <c r="BM6786" t="s">
        <v>157</v>
      </c>
      <c r="BN6786" t="s">
        <v>319</v>
      </c>
      <c r="BO6786" t="s">
        <v>207</v>
      </c>
    </row>
    <row r="6787" spans="1:68" x14ac:dyDescent="0.3">
      <c r="A6787" t="s">
        <v>36</v>
      </c>
      <c r="B6787">
        <v>2305</v>
      </c>
      <c r="C6787" t="s">
        <v>855</v>
      </c>
      <c r="D6787" t="s">
        <v>123</v>
      </c>
      <c r="E6787" t="s">
        <v>150</v>
      </c>
      <c r="F6787" t="s">
        <v>207</v>
      </c>
      <c r="G6787" t="s">
        <v>68</v>
      </c>
      <c r="H6787">
        <v>2305</v>
      </c>
      <c r="I6787" t="s">
        <v>1144</v>
      </c>
      <c r="J6787" t="s">
        <v>98</v>
      </c>
      <c r="K6787" t="s">
        <v>113</v>
      </c>
      <c r="L6787" t="s">
        <v>136</v>
      </c>
      <c r="M6787" t="s">
        <v>39</v>
      </c>
      <c r="N6787">
        <v>2305</v>
      </c>
      <c r="O6787" t="s">
        <v>1007</v>
      </c>
      <c r="P6787" t="s">
        <v>253</v>
      </c>
      <c r="Q6787" t="s">
        <v>319</v>
      </c>
      <c r="R6787" t="s">
        <v>207</v>
      </c>
      <c r="S6787" t="s">
        <v>379</v>
      </c>
      <c r="T6787">
        <v>2305</v>
      </c>
      <c r="U6787" t="s">
        <v>362</v>
      </c>
      <c r="V6787" t="s">
        <v>207</v>
      </c>
      <c r="W6787" t="s">
        <v>118</v>
      </c>
      <c r="X6787" t="s">
        <v>104</v>
      </c>
      <c r="Y6787" t="s">
        <v>107</v>
      </c>
      <c r="Z6787">
        <v>2305</v>
      </c>
      <c r="AA6787" t="s">
        <v>259</v>
      </c>
      <c r="AB6787" t="s">
        <v>141</v>
      </c>
      <c r="AC6787" t="s">
        <v>127</v>
      </c>
      <c r="AD6787" t="s">
        <v>207</v>
      </c>
      <c r="AE6787" t="s">
        <v>1044</v>
      </c>
      <c r="AF6787">
        <v>2305</v>
      </c>
      <c r="AG6787" t="s">
        <v>320</v>
      </c>
      <c r="AH6787" t="s">
        <v>289</v>
      </c>
      <c r="AI6787" t="s">
        <v>207</v>
      </c>
      <c r="AJ6787" t="s">
        <v>155</v>
      </c>
      <c r="AK6787" t="s">
        <v>99</v>
      </c>
      <c r="AL6787">
        <v>2305</v>
      </c>
      <c r="AM6787" t="s">
        <v>166</v>
      </c>
      <c r="AN6787" t="s">
        <v>114</v>
      </c>
      <c r="AO6787" t="s">
        <v>804</v>
      </c>
      <c r="AP6787" t="s">
        <v>104</v>
      </c>
      <c r="AQ6787" t="s">
        <v>104</v>
      </c>
      <c r="AR6787">
        <v>2305</v>
      </c>
      <c r="AS6787" t="s">
        <v>889</v>
      </c>
      <c r="AT6787" t="s">
        <v>136</v>
      </c>
      <c r="AU6787" t="s">
        <v>109</v>
      </c>
      <c r="AV6787" t="s">
        <v>198</v>
      </c>
      <c r="AW6787" t="s">
        <v>120</v>
      </c>
      <c r="AX6787">
        <v>2305</v>
      </c>
      <c r="AY6787" t="s">
        <v>293</v>
      </c>
      <c r="AZ6787" t="s">
        <v>155</v>
      </c>
      <c r="BA6787" t="s">
        <v>136</v>
      </c>
      <c r="BB6787" t="s">
        <v>325</v>
      </c>
      <c r="BC6787" t="s">
        <v>198</v>
      </c>
      <c r="BD6787">
        <v>2305</v>
      </c>
      <c r="BE6787" t="s">
        <v>450</v>
      </c>
      <c r="BF6787" t="s">
        <v>115</v>
      </c>
      <c r="BG6787" t="s">
        <v>708</v>
      </c>
      <c r="BH6787" t="s">
        <v>198</v>
      </c>
      <c r="BI6787" t="s">
        <v>382</v>
      </c>
      <c r="BJ6787">
        <v>2305</v>
      </c>
      <c r="BK6787" t="s">
        <v>75</v>
      </c>
      <c r="BL6787" t="s">
        <v>155</v>
      </c>
      <c r="BM6787" t="s">
        <v>136</v>
      </c>
      <c r="BN6787" t="s">
        <v>111</v>
      </c>
      <c r="BO6787" t="s">
        <v>207</v>
      </c>
    </row>
    <row r="6788" spans="1:68" x14ac:dyDescent="0.3">
      <c r="A6788" t="s">
        <v>34</v>
      </c>
      <c r="B6788">
        <v>2080</v>
      </c>
      <c r="C6788" t="s">
        <v>1360</v>
      </c>
      <c r="D6788" t="s">
        <v>157</v>
      </c>
      <c r="E6788" t="s">
        <v>444</v>
      </c>
      <c r="F6788" t="s">
        <v>151</v>
      </c>
      <c r="G6788" t="s">
        <v>154</v>
      </c>
      <c r="H6788">
        <v>2080</v>
      </c>
      <c r="I6788" t="s">
        <v>549</v>
      </c>
      <c r="J6788" t="s">
        <v>113</v>
      </c>
      <c r="K6788" t="s">
        <v>519</v>
      </c>
      <c r="L6788" t="s">
        <v>127</v>
      </c>
      <c r="M6788" t="s">
        <v>501</v>
      </c>
      <c r="N6788">
        <v>2080</v>
      </c>
      <c r="O6788" t="s">
        <v>1132</v>
      </c>
      <c r="P6788" t="s">
        <v>100</v>
      </c>
      <c r="Q6788" t="s">
        <v>124</v>
      </c>
      <c r="R6788" t="s">
        <v>123</v>
      </c>
      <c r="S6788" t="s">
        <v>201</v>
      </c>
      <c r="T6788">
        <v>2080</v>
      </c>
      <c r="U6788" t="s">
        <v>447</v>
      </c>
      <c r="V6788" t="s">
        <v>198</v>
      </c>
      <c r="W6788" t="s">
        <v>78</v>
      </c>
      <c r="X6788" t="s">
        <v>382</v>
      </c>
      <c r="Y6788" t="s">
        <v>316</v>
      </c>
      <c r="Z6788">
        <v>2080</v>
      </c>
      <c r="AA6788" t="s">
        <v>649</v>
      </c>
      <c r="AB6788" t="s">
        <v>141</v>
      </c>
      <c r="AC6788" t="s">
        <v>332</v>
      </c>
      <c r="AD6788" t="s">
        <v>127</v>
      </c>
      <c r="AE6788" t="s">
        <v>148</v>
      </c>
      <c r="AF6788">
        <v>2080</v>
      </c>
      <c r="AG6788" t="s">
        <v>572</v>
      </c>
      <c r="AH6788" t="s">
        <v>636</v>
      </c>
      <c r="AI6788" t="s">
        <v>127</v>
      </c>
      <c r="AJ6788" t="s">
        <v>434</v>
      </c>
      <c r="AK6788" t="s">
        <v>115</v>
      </c>
      <c r="AL6788">
        <v>2080</v>
      </c>
      <c r="AM6788" t="s">
        <v>568</v>
      </c>
      <c r="AN6788" t="s">
        <v>141</v>
      </c>
      <c r="AO6788" t="s">
        <v>131</v>
      </c>
      <c r="AP6788" t="s">
        <v>382</v>
      </c>
      <c r="AQ6788" t="s">
        <v>99</v>
      </c>
      <c r="AR6788">
        <v>2080</v>
      </c>
      <c r="AS6788" t="s">
        <v>1080</v>
      </c>
      <c r="AT6788" t="s">
        <v>121</v>
      </c>
      <c r="AU6788" t="s">
        <v>370</v>
      </c>
      <c r="AV6788" t="s">
        <v>127</v>
      </c>
      <c r="AW6788" t="s">
        <v>434</v>
      </c>
      <c r="AX6788">
        <v>2080</v>
      </c>
      <c r="AY6788" t="s">
        <v>568</v>
      </c>
      <c r="AZ6788" t="s">
        <v>701</v>
      </c>
      <c r="BA6788" t="s">
        <v>151</v>
      </c>
      <c r="BB6788" t="s">
        <v>143</v>
      </c>
      <c r="BC6788" t="s">
        <v>207</v>
      </c>
      <c r="BD6788">
        <v>2080</v>
      </c>
      <c r="BE6788" t="s">
        <v>1082</v>
      </c>
      <c r="BF6788" t="s">
        <v>101</v>
      </c>
      <c r="BG6788" t="s">
        <v>42</v>
      </c>
      <c r="BH6788" t="s">
        <v>215</v>
      </c>
      <c r="BI6788" t="s">
        <v>114</v>
      </c>
      <c r="BJ6788">
        <v>2080</v>
      </c>
      <c r="BK6788" t="s">
        <v>537</v>
      </c>
      <c r="BL6788" t="s">
        <v>714</v>
      </c>
      <c r="BM6788" t="s">
        <v>215</v>
      </c>
      <c r="BN6788" t="s">
        <v>126</v>
      </c>
      <c r="BO6788" t="s">
        <v>136</v>
      </c>
    </row>
    <row r="6789" spans="1:68" x14ac:dyDescent="0.3">
      <c r="A6789" t="s">
        <v>33</v>
      </c>
      <c r="B6789">
        <v>1937</v>
      </c>
      <c r="C6789" t="s">
        <v>771</v>
      </c>
      <c r="D6789" t="s">
        <v>136</v>
      </c>
      <c r="E6789" t="s">
        <v>316</v>
      </c>
      <c r="F6789" t="s">
        <v>268</v>
      </c>
      <c r="G6789" t="s">
        <v>319</v>
      </c>
      <c r="H6789">
        <v>1937</v>
      </c>
      <c r="I6789" t="s">
        <v>569</v>
      </c>
      <c r="J6789" t="s">
        <v>110</v>
      </c>
      <c r="K6789" t="s">
        <v>244</v>
      </c>
      <c r="L6789" t="s">
        <v>268</v>
      </c>
      <c r="M6789" t="s">
        <v>142</v>
      </c>
      <c r="N6789">
        <v>1937</v>
      </c>
      <c r="O6789" t="s">
        <v>854</v>
      </c>
      <c r="P6789" t="s">
        <v>198</v>
      </c>
      <c r="Q6789" t="s">
        <v>120</v>
      </c>
      <c r="R6789" t="s">
        <v>268</v>
      </c>
      <c r="S6789" t="s">
        <v>150</v>
      </c>
      <c r="T6789">
        <v>1937</v>
      </c>
      <c r="U6789" t="s">
        <v>226</v>
      </c>
      <c r="V6789" t="s">
        <v>198</v>
      </c>
      <c r="W6789" t="s">
        <v>110</v>
      </c>
      <c r="X6789" t="s">
        <v>268</v>
      </c>
      <c r="Y6789" t="s">
        <v>253</v>
      </c>
      <c r="Z6789">
        <v>1937</v>
      </c>
      <c r="AA6789" t="s">
        <v>320</v>
      </c>
      <c r="AB6789" t="s">
        <v>136</v>
      </c>
      <c r="AC6789" t="s">
        <v>292</v>
      </c>
      <c r="AD6789" t="s">
        <v>268</v>
      </c>
      <c r="AE6789" t="s">
        <v>233</v>
      </c>
      <c r="AF6789">
        <v>1937</v>
      </c>
      <c r="AG6789" t="s">
        <v>865</v>
      </c>
      <c r="AH6789" t="s">
        <v>39</v>
      </c>
      <c r="AI6789" t="s">
        <v>117</v>
      </c>
      <c r="AJ6789" t="s">
        <v>114</v>
      </c>
      <c r="AK6789" t="s">
        <v>99</v>
      </c>
      <c r="AL6789">
        <v>1937</v>
      </c>
      <c r="AM6789" t="s">
        <v>324</v>
      </c>
      <c r="AN6789" t="s">
        <v>198</v>
      </c>
      <c r="AO6789" t="s">
        <v>412</v>
      </c>
      <c r="AP6789" t="s">
        <v>268</v>
      </c>
      <c r="AQ6789" t="s">
        <v>104</v>
      </c>
      <c r="AR6789">
        <v>1937</v>
      </c>
      <c r="AS6789" t="s">
        <v>403</v>
      </c>
      <c r="AT6789" t="s">
        <v>207</v>
      </c>
      <c r="AU6789" t="s">
        <v>68</v>
      </c>
      <c r="AV6789" t="s">
        <v>117</v>
      </c>
      <c r="AW6789" t="s">
        <v>101</v>
      </c>
      <c r="AX6789">
        <v>1937</v>
      </c>
      <c r="AY6789" t="s">
        <v>183</v>
      </c>
      <c r="AZ6789" t="s">
        <v>328</v>
      </c>
      <c r="BA6789" t="s">
        <v>117</v>
      </c>
      <c r="BB6789" t="s">
        <v>114</v>
      </c>
      <c r="BC6789" t="s">
        <v>99</v>
      </c>
      <c r="BD6789">
        <v>1937</v>
      </c>
      <c r="BE6789" t="s">
        <v>232</v>
      </c>
      <c r="BF6789" t="s">
        <v>253</v>
      </c>
      <c r="BG6789" t="s">
        <v>679</v>
      </c>
      <c r="BH6789" t="s">
        <v>268</v>
      </c>
      <c r="BI6789" t="s">
        <v>104</v>
      </c>
      <c r="BJ6789">
        <v>1937</v>
      </c>
      <c r="BK6789" t="s">
        <v>247</v>
      </c>
      <c r="BL6789" t="s">
        <v>474</v>
      </c>
      <c r="BM6789" t="s">
        <v>117</v>
      </c>
      <c r="BN6789" t="s">
        <v>108</v>
      </c>
      <c r="BO6789" t="s">
        <v>99</v>
      </c>
    </row>
    <row r="6790" spans="1:68" x14ac:dyDescent="0.3">
      <c r="A6790" t="s">
        <v>49</v>
      </c>
      <c r="B6790">
        <v>13322</v>
      </c>
      <c r="C6790" t="s">
        <v>785</v>
      </c>
      <c r="D6790" t="s">
        <v>215</v>
      </c>
      <c r="E6790" t="s">
        <v>470</v>
      </c>
      <c r="F6790" t="s">
        <v>127</v>
      </c>
      <c r="G6790" t="s">
        <v>332</v>
      </c>
      <c r="H6790">
        <v>13322</v>
      </c>
      <c r="I6790" t="s">
        <v>935</v>
      </c>
      <c r="J6790" t="s">
        <v>277</v>
      </c>
      <c r="K6790" t="s">
        <v>694</v>
      </c>
      <c r="L6790" t="s">
        <v>151</v>
      </c>
      <c r="M6790" t="s">
        <v>536</v>
      </c>
      <c r="N6790">
        <v>13322</v>
      </c>
      <c r="O6790" t="s">
        <v>785</v>
      </c>
      <c r="P6790" t="s">
        <v>108</v>
      </c>
      <c r="Q6790" t="s">
        <v>68</v>
      </c>
      <c r="R6790" t="s">
        <v>127</v>
      </c>
      <c r="S6790" t="s">
        <v>220</v>
      </c>
      <c r="T6790">
        <v>13322</v>
      </c>
      <c r="U6790" t="s">
        <v>762</v>
      </c>
      <c r="V6790" t="s">
        <v>207</v>
      </c>
      <c r="W6790" t="s">
        <v>248</v>
      </c>
      <c r="X6790" t="s">
        <v>127</v>
      </c>
      <c r="Y6790" t="s">
        <v>103</v>
      </c>
      <c r="Z6790">
        <v>13322</v>
      </c>
      <c r="AA6790" t="s">
        <v>239</v>
      </c>
      <c r="AB6790" t="s">
        <v>253</v>
      </c>
      <c r="AC6790" t="s">
        <v>474</v>
      </c>
      <c r="AD6790" t="s">
        <v>127</v>
      </c>
      <c r="AE6790" t="s">
        <v>740</v>
      </c>
      <c r="AF6790">
        <v>13322</v>
      </c>
      <c r="AG6790" t="s">
        <v>773</v>
      </c>
      <c r="AH6790" t="s">
        <v>741</v>
      </c>
      <c r="AI6790" t="s">
        <v>127</v>
      </c>
      <c r="AJ6790" t="s">
        <v>157</v>
      </c>
      <c r="AK6790" t="s">
        <v>207</v>
      </c>
      <c r="AL6790">
        <v>13322</v>
      </c>
      <c r="AM6790" t="s">
        <v>439</v>
      </c>
      <c r="AN6790" t="s">
        <v>253</v>
      </c>
      <c r="AO6790" t="s">
        <v>465</v>
      </c>
      <c r="AP6790" t="s">
        <v>215</v>
      </c>
      <c r="AQ6790" t="s">
        <v>198</v>
      </c>
      <c r="AR6790">
        <v>13322</v>
      </c>
      <c r="AS6790" t="s">
        <v>475</v>
      </c>
      <c r="AT6790" t="s">
        <v>114</v>
      </c>
      <c r="AU6790" t="s">
        <v>355</v>
      </c>
      <c r="AV6790" t="s">
        <v>127</v>
      </c>
      <c r="AW6790" t="s">
        <v>120</v>
      </c>
      <c r="AX6790">
        <v>13322</v>
      </c>
      <c r="AY6790" t="s">
        <v>230</v>
      </c>
      <c r="AZ6790" t="s">
        <v>291</v>
      </c>
      <c r="BA6790" t="s">
        <v>151</v>
      </c>
      <c r="BB6790" t="s">
        <v>332</v>
      </c>
      <c r="BC6790" t="s">
        <v>136</v>
      </c>
      <c r="BD6790">
        <v>13322</v>
      </c>
      <c r="BE6790" t="s">
        <v>623</v>
      </c>
      <c r="BF6790" t="s">
        <v>114</v>
      </c>
      <c r="BG6790" t="s">
        <v>542</v>
      </c>
      <c r="BH6790" t="s">
        <v>215</v>
      </c>
      <c r="BI6790" t="s">
        <v>114</v>
      </c>
      <c r="BJ6790">
        <v>13322</v>
      </c>
      <c r="BK6790" t="s">
        <v>854</v>
      </c>
      <c r="BL6790" t="s">
        <v>305</v>
      </c>
      <c r="BM6790" t="s">
        <v>123</v>
      </c>
      <c r="BN6790" t="s">
        <v>215</v>
      </c>
      <c r="BO6790" t="s">
        <v>136</v>
      </c>
    </row>
    <row r="6792" spans="1:68" x14ac:dyDescent="0.3">
      <c r="A6792" t="s">
        <v>2201</v>
      </c>
    </row>
    <row r="6793" spans="1:68" x14ac:dyDescent="0.3">
      <c r="A6793" t="s">
        <v>44</v>
      </c>
      <c r="B6793" t="s">
        <v>361</v>
      </c>
      <c r="C6793" t="s">
        <v>2135</v>
      </c>
      <c r="D6793" t="s">
        <v>2136</v>
      </c>
      <c r="E6793" t="s">
        <v>2137</v>
      </c>
      <c r="F6793" t="s">
        <v>2138</v>
      </c>
      <c r="G6793" t="s">
        <v>2139</v>
      </c>
      <c r="H6793" t="s">
        <v>2140</v>
      </c>
      <c r="I6793" t="s">
        <v>2141</v>
      </c>
      <c r="J6793" t="s">
        <v>2142</v>
      </c>
      <c r="K6793" t="s">
        <v>2143</v>
      </c>
      <c r="L6793" t="s">
        <v>2144</v>
      </c>
      <c r="M6793" t="s">
        <v>2145</v>
      </c>
      <c r="N6793" t="s">
        <v>2146</v>
      </c>
      <c r="O6793" t="s">
        <v>2147</v>
      </c>
      <c r="P6793" t="s">
        <v>2148</v>
      </c>
      <c r="Q6793" t="s">
        <v>2149</v>
      </c>
      <c r="R6793" t="s">
        <v>2150</v>
      </c>
      <c r="S6793" t="s">
        <v>2151</v>
      </c>
      <c r="T6793" t="s">
        <v>2152</v>
      </c>
      <c r="U6793" t="s">
        <v>2153</v>
      </c>
      <c r="V6793" t="s">
        <v>2154</v>
      </c>
      <c r="W6793" t="s">
        <v>2155</v>
      </c>
      <c r="X6793" t="s">
        <v>2156</v>
      </c>
      <c r="Y6793" t="s">
        <v>2157</v>
      </c>
      <c r="Z6793" t="s">
        <v>2158</v>
      </c>
      <c r="AA6793" t="s">
        <v>2159</v>
      </c>
      <c r="AB6793" t="s">
        <v>2160</v>
      </c>
      <c r="AC6793" t="s">
        <v>2161</v>
      </c>
      <c r="AD6793" t="s">
        <v>2162</v>
      </c>
      <c r="AE6793" t="s">
        <v>2163</v>
      </c>
      <c r="AF6793" t="s">
        <v>2164</v>
      </c>
      <c r="AG6793" t="s">
        <v>2165</v>
      </c>
      <c r="AH6793" t="s">
        <v>2166</v>
      </c>
      <c r="AI6793" t="s">
        <v>2167</v>
      </c>
      <c r="AJ6793" t="s">
        <v>2168</v>
      </c>
      <c r="AK6793" t="s">
        <v>2169</v>
      </c>
      <c r="AL6793" t="s">
        <v>2170</v>
      </c>
      <c r="AM6793" t="s">
        <v>2171</v>
      </c>
      <c r="AN6793" t="s">
        <v>2172</v>
      </c>
      <c r="AO6793" t="s">
        <v>2174</v>
      </c>
      <c r="AP6793" t="s">
        <v>2175</v>
      </c>
      <c r="AQ6793" t="s">
        <v>2176</v>
      </c>
      <c r="AR6793" t="s">
        <v>2173</v>
      </c>
      <c r="AS6793" t="s">
        <v>2177</v>
      </c>
      <c r="AT6793" t="s">
        <v>2178</v>
      </c>
      <c r="AU6793" t="s">
        <v>2179</v>
      </c>
      <c r="AV6793" t="s">
        <v>2180</v>
      </c>
      <c r="AW6793" t="s">
        <v>2181</v>
      </c>
      <c r="AX6793" t="s">
        <v>2182</v>
      </c>
      <c r="AY6793" t="s">
        <v>2183</v>
      </c>
      <c r="AZ6793" t="s">
        <v>2184</v>
      </c>
      <c r="BA6793" t="s">
        <v>2185</v>
      </c>
      <c r="BB6793" t="s">
        <v>2186</v>
      </c>
      <c r="BC6793" t="s">
        <v>2187</v>
      </c>
      <c r="BD6793" t="s">
        <v>2188</v>
      </c>
      <c r="BE6793" t="s">
        <v>2189</v>
      </c>
      <c r="BF6793" t="s">
        <v>2190</v>
      </c>
      <c r="BG6793" t="s">
        <v>2191</v>
      </c>
      <c r="BH6793" t="s">
        <v>2192</v>
      </c>
      <c r="BI6793" t="s">
        <v>2193</v>
      </c>
      <c r="BJ6793" t="s">
        <v>2194</v>
      </c>
      <c r="BK6793" t="s">
        <v>2195</v>
      </c>
      <c r="BL6793" t="s">
        <v>2196</v>
      </c>
      <c r="BM6793" t="s">
        <v>2197</v>
      </c>
      <c r="BN6793" t="s">
        <v>2198</v>
      </c>
      <c r="BO6793" t="s">
        <v>2199</v>
      </c>
      <c r="BP6793" t="s">
        <v>2200</v>
      </c>
    </row>
    <row r="6794" spans="1:68" x14ac:dyDescent="0.3">
      <c r="A6794" t="s">
        <v>35</v>
      </c>
      <c r="B6794" t="s">
        <v>339</v>
      </c>
      <c r="C6794">
        <v>890</v>
      </c>
      <c r="D6794" t="s">
        <v>1233</v>
      </c>
      <c r="E6794" t="s">
        <v>434</v>
      </c>
      <c r="F6794" t="s">
        <v>491</v>
      </c>
      <c r="G6794" t="s">
        <v>141</v>
      </c>
      <c r="H6794" t="s">
        <v>160</v>
      </c>
      <c r="I6794">
        <v>890</v>
      </c>
      <c r="J6794" t="s">
        <v>884</v>
      </c>
      <c r="K6794" t="s">
        <v>122</v>
      </c>
      <c r="L6794" t="s">
        <v>690</v>
      </c>
      <c r="M6794" t="s">
        <v>115</v>
      </c>
      <c r="N6794" t="s">
        <v>442</v>
      </c>
      <c r="O6794">
        <v>890</v>
      </c>
      <c r="P6794" t="s">
        <v>526</v>
      </c>
      <c r="Q6794" t="s">
        <v>107</v>
      </c>
      <c r="R6794" t="s">
        <v>144</v>
      </c>
      <c r="S6794" t="s">
        <v>141</v>
      </c>
      <c r="T6794" t="s">
        <v>442</v>
      </c>
      <c r="U6794">
        <v>890</v>
      </c>
      <c r="V6794" t="s">
        <v>509</v>
      </c>
      <c r="W6794" t="s">
        <v>108</v>
      </c>
      <c r="X6794" t="s">
        <v>311</v>
      </c>
      <c r="Y6794" t="s">
        <v>115</v>
      </c>
      <c r="Z6794" t="s">
        <v>305</v>
      </c>
      <c r="AA6794">
        <v>890</v>
      </c>
      <c r="AB6794" t="s">
        <v>886</v>
      </c>
      <c r="AC6794" t="s">
        <v>292</v>
      </c>
      <c r="AD6794" t="s">
        <v>70</v>
      </c>
      <c r="AE6794" t="s">
        <v>132</v>
      </c>
      <c r="AF6794" t="s">
        <v>1185</v>
      </c>
      <c r="AG6794">
        <v>890</v>
      </c>
      <c r="AH6794" t="s">
        <v>2118</v>
      </c>
      <c r="AI6794" t="s">
        <v>137</v>
      </c>
      <c r="AJ6794" t="s">
        <v>136</v>
      </c>
      <c r="AK6794" t="s">
        <v>152</v>
      </c>
      <c r="AL6794" t="s">
        <v>141</v>
      </c>
      <c r="AM6794">
        <v>890</v>
      </c>
      <c r="AN6794" t="s">
        <v>1337</v>
      </c>
      <c r="AO6794" t="s">
        <v>1045</v>
      </c>
      <c r="AP6794" t="s">
        <v>136</v>
      </c>
      <c r="AQ6794" t="s">
        <v>136</v>
      </c>
      <c r="AR6794" t="s">
        <v>268</v>
      </c>
      <c r="AS6794">
        <v>890</v>
      </c>
      <c r="AT6794" t="s">
        <v>480</v>
      </c>
      <c r="AU6794" t="s">
        <v>292</v>
      </c>
      <c r="AV6794" t="s">
        <v>473</v>
      </c>
      <c r="AW6794" t="s">
        <v>136</v>
      </c>
      <c r="AX6794" t="s">
        <v>139</v>
      </c>
      <c r="AY6794">
        <v>890</v>
      </c>
      <c r="AZ6794" t="s">
        <v>1333</v>
      </c>
      <c r="BA6794" t="s">
        <v>689</v>
      </c>
      <c r="BB6794" t="s">
        <v>207</v>
      </c>
      <c r="BC6794" t="s">
        <v>129</v>
      </c>
      <c r="BD6794" t="s">
        <v>319</v>
      </c>
      <c r="BE6794">
        <v>890</v>
      </c>
      <c r="BF6794" t="s">
        <v>59</v>
      </c>
      <c r="BG6794" t="s">
        <v>107</v>
      </c>
      <c r="BH6794" t="s">
        <v>281</v>
      </c>
      <c r="BI6794" t="s">
        <v>136</v>
      </c>
      <c r="BJ6794" t="s">
        <v>107</v>
      </c>
      <c r="BK6794">
        <v>890</v>
      </c>
      <c r="BL6794" t="s">
        <v>431</v>
      </c>
      <c r="BM6794" t="s">
        <v>206</v>
      </c>
      <c r="BN6794" t="s">
        <v>136</v>
      </c>
      <c r="BO6794" t="s">
        <v>712</v>
      </c>
      <c r="BP6794" t="s">
        <v>100</v>
      </c>
    </row>
    <row r="6795" spans="1:68" x14ac:dyDescent="0.3">
      <c r="A6795" t="s">
        <v>35</v>
      </c>
      <c r="B6795" t="s">
        <v>340</v>
      </c>
      <c r="C6795">
        <v>2215</v>
      </c>
      <c r="D6795" t="s">
        <v>176</v>
      </c>
      <c r="E6795" t="s">
        <v>121</v>
      </c>
      <c r="F6795" t="s">
        <v>182</v>
      </c>
      <c r="G6795" t="s">
        <v>108</v>
      </c>
      <c r="H6795" t="s">
        <v>157</v>
      </c>
      <c r="I6795">
        <v>2215</v>
      </c>
      <c r="J6795" t="s">
        <v>59</v>
      </c>
      <c r="K6795" t="s">
        <v>129</v>
      </c>
      <c r="L6795" t="s">
        <v>291</v>
      </c>
      <c r="M6795" t="s">
        <v>319</v>
      </c>
      <c r="N6795" t="s">
        <v>721</v>
      </c>
      <c r="O6795">
        <v>2215</v>
      </c>
      <c r="P6795" t="s">
        <v>77</v>
      </c>
      <c r="Q6795" t="s">
        <v>115</v>
      </c>
      <c r="R6795" t="s">
        <v>434</v>
      </c>
      <c r="S6795" t="s">
        <v>100</v>
      </c>
      <c r="T6795" t="s">
        <v>401</v>
      </c>
      <c r="U6795">
        <v>2215</v>
      </c>
      <c r="V6795" t="s">
        <v>219</v>
      </c>
      <c r="W6795" t="s">
        <v>136</v>
      </c>
      <c r="X6795" t="s">
        <v>78</v>
      </c>
      <c r="Y6795" t="s">
        <v>101</v>
      </c>
      <c r="Z6795" t="s">
        <v>111</v>
      </c>
      <c r="AA6795">
        <v>2215</v>
      </c>
      <c r="AB6795" t="s">
        <v>1054</v>
      </c>
      <c r="AC6795" t="s">
        <v>253</v>
      </c>
      <c r="AD6795" t="s">
        <v>68</v>
      </c>
      <c r="AE6795" t="s">
        <v>114</v>
      </c>
      <c r="AF6795" t="s">
        <v>410</v>
      </c>
      <c r="AG6795">
        <v>2215</v>
      </c>
      <c r="AH6795" t="s">
        <v>502</v>
      </c>
      <c r="AI6795" t="s">
        <v>255</v>
      </c>
      <c r="AJ6795" t="s">
        <v>114</v>
      </c>
      <c r="AK6795" t="s">
        <v>128</v>
      </c>
      <c r="AL6795" t="s">
        <v>104</v>
      </c>
      <c r="AM6795">
        <v>2215</v>
      </c>
      <c r="AN6795" t="s">
        <v>785</v>
      </c>
      <c r="AO6795" t="s">
        <v>694</v>
      </c>
      <c r="AP6795" t="s">
        <v>114</v>
      </c>
      <c r="AQ6795" t="s">
        <v>136</v>
      </c>
      <c r="AR6795" t="s">
        <v>253</v>
      </c>
      <c r="AS6795">
        <v>2215</v>
      </c>
      <c r="AT6795" t="s">
        <v>469</v>
      </c>
      <c r="AU6795" t="s">
        <v>132</v>
      </c>
      <c r="AV6795" t="s">
        <v>408</v>
      </c>
      <c r="AW6795" t="s">
        <v>100</v>
      </c>
      <c r="AX6795" t="s">
        <v>105</v>
      </c>
      <c r="AY6795">
        <v>2215</v>
      </c>
      <c r="AZ6795" t="s">
        <v>1010</v>
      </c>
      <c r="BA6795" t="s">
        <v>72</v>
      </c>
      <c r="BB6795" t="s">
        <v>101</v>
      </c>
      <c r="BC6795" t="s">
        <v>107</v>
      </c>
      <c r="BD6795" t="s">
        <v>115</v>
      </c>
      <c r="BE6795">
        <v>2215</v>
      </c>
      <c r="BF6795" t="s">
        <v>883</v>
      </c>
      <c r="BG6795" t="s">
        <v>115</v>
      </c>
      <c r="BH6795" t="s">
        <v>206</v>
      </c>
      <c r="BI6795" t="s">
        <v>114</v>
      </c>
      <c r="BJ6795" t="s">
        <v>101</v>
      </c>
      <c r="BK6795">
        <v>2215</v>
      </c>
      <c r="BL6795" t="s">
        <v>417</v>
      </c>
      <c r="BM6795" t="s">
        <v>72</v>
      </c>
      <c r="BN6795" t="s">
        <v>100</v>
      </c>
      <c r="BO6795" t="s">
        <v>319</v>
      </c>
      <c r="BP6795" t="s">
        <v>141</v>
      </c>
    </row>
    <row r="6796" spans="1:68" x14ac:dyDescent="0.3">
      <c r="A6796" t="s">
        <v>35</v>
      </c>
      <c r="B6796" t="s">
        <v>365</v>
      </c>
      <c r="C6796">
        <v>40</v>
      </c>
      <c r="D6796" t="s">
        <v>331</v>
      </c>
      <c r="E6796" t="s">
        <v>99</v>
      </c>
      <c r="F6796" t="s">
        <v>112</v>
      </c>
      <c r="G6796" t="s">
        <v>99</v>
      </c>
      <c r="H6796" t="s">
        <v>99</v>
      </c>
      <c r="I6796">
        <v>40</v>
      </c>
      <c r="J6796" t="s">
        <v>1235</v>
      </c>
      <c r="K6796" t="s">
        <v>303</v>
      </c>
      <c r="L6796" t="s">
        <v>112</v>
      </c>
      <c r="M6796" t="s">
        <v>99</v>
      </c>
      <c r="N6796" t="s">
        <v>126</v>
      </c>
      <c r="O6796">
        <v>40</v>
      </c>
      <c r="P6796" t="s">
        <v>1075</v>
      </c>
      <c r="Q6796" t="s">
        <v>99</v>
      </c>
      <c r="R6796" t="s">
        <v>112</v>
      </c>
      <c r="S6796" t="s">
        <v>99</v>
      </c>
      <c r="T6796" t="s">
        <v>735</v>
      </c>
      <c r="U6796">
        <v>40</v>
      </c>
      <c r="V6796" t="s">
        <v>331</v>
      </c>
      <c r="W6796" t="s">
        <v>99</v>
      </c>
      <c r="X6796" t="s">
        <v>112</v>
      </c>
      <c r="Y6796" t="s">
        <v>99</v>
      </c>
      <c r="Z6796" t="s">
        <v>99</v>
      </c>
      <c r="AA6796">
        <v>40</v>
      </c>
      <c r="AB6796" t="s">
        <v>1106</v>
      </c>
      <c r="AC6796" t="s">
        <v>99</v>
      </c>
      <c r="AD6796" t="s">
        <v>117</v>
      </c>
      <c r="AE6796" t="s">
        <v>99</v>
      </c>
      <c r="AF6796" t="s">
        <v>588</v>
      </c>
      <c r="AG6796">
        <v>40</v>
      </c>
      <c r="AH6796" t="s">
        <v>866</v>
      </c>
      <c r="AI6796" t="s">
        <v>150</v>
      </c>
      <c r="AJ6796" t="s">
        <v>99</v>
      </c>
      <c r="AK6796" t="s">
        <v>143</v>
      </c>
      <c r="AL6796" t="s">
        <v>99</v>
      </c>
      <c r="AM6796">
        <v>40</v>
      </c>
      <c r="AN6796" t="s">
        <v>509</v>
      </c>
      <c r="AO6796" t="s">
        <v>523</v>
      </c>
      <c r="AP6796" t="s">
        <v>99</v>
      </c>
      <c r="AQ6796" t="s">
        <v>99</v>
      </c>
      <c r="AR6796" t="s">
        <v>117</v>
      </c>
      <c r="AS6796">
        <v>40</v>
      </c>
      <c r="AT6796" t="s">
        <v>505</v>
      </c>
      <c r="AU6796" t="s">
        <v>99</v>
      </c>
      <c r="AV6796" t="s">
        <v>112</v>
      </c>
      <c r="AW6796" t="s">
        <v>99</v>
      </c>
      <c r="AX6796" t="s">
        <v>108</v>
      </c>
      <c r="AY6796">
        <v>40</v>
      </c>
      <c r="AZ6796" t="s">
        <v>331</v>
      </c>
      <c r="BA6796" t="s">
        <v>112</v>
      </c>
      <c r="BB6796" t="s">
        <v>99</v>
      </c>
      <c r="BC6796" t="s">
        <v>99</v>
      </c>
      <c r="BD6796" t="s">
        <v>99</v>
      </c>
      <c r="BE6796">
        <v>40</v>
      </c>
      <c r="BF6796" t="s">
        <v>336</v>
      </c>
      <c r="BG6796" t="s">
        <v>99</v>
      </c>
      <c r="BH6796" t="s">
        <v>138</v>
      </c>
      <c r="BI6796" t="s">
        <v>99</v>
      </c>
      <c r="BJ6796" t="s">
        <v>99</v>
      </c>
      <c r="BK6796">
        <v>40</v>
      </c>
      <c r="BL6796" t="s">
        <v>778</v>
      </c>
      <c r="BM6796" t="s">
        <v>112</v>
      </c>
      <c r="BN6796" t="s">
        <v>99</v>
      </c>
      <c r="BO6796" t="s">
        <v>115</v>
      </c>
      <c r="BP6796" t="s">
        <v>99</v>
      </c>
    </row>
    <row r="6797" spans="1:68" x14ac:dyDescent="0.3">
      <c r="A6797" t="s">
        <v>37</v>
      </c>
      <c r="B6797" t="s">
        <v>339</v>
      </c>
      <c r="C6797">
        <v>1093</v>
      </c>
      <c r="D6797" t="s">
        <v>1510</v>
      </c>
      <c r="E6797" t="s">
        <v>382</v>
      </c>
      <c r="F6797" t="s">
        <v>313</v>
      </c>
      <c r="G6797" t="s">
        <v>128</v>
      </c>
      <c r="H6797" t="s">
        <v>332</v>
      </c>
      <c r="I6797">
        <v>1093</v>
      </c>
      <c r="J6797" t="s">
        <v>558</v>
      </c>
      <c r="K6797" t="s">
        <v>122</v>
      </c>
      <c r="L6797" t="s">
        <v>321</v>
      </c>
      <c r="M6797" t="s">
        <v>128</v>
      </c>
      <c r="N6797" t="s">
        <v>1044</v>
      </c>
      <c r="O6797">
        <v>1093</v>
      </c>
      <c r="P6797" t="s">
        <v>371</v>
      </c>
      <c r="Q6797" t="s">
        <v>114</v>
      </c>
      <c r="R6797" t="s">
        <v>401</v>
      </c>
      <c r="S6797" t="s">
        <v>147</v>
      </c>
      <c r="T6797" t="s">
        <v>401</v>
      </c>
      <c r="U6797">
        <v>1093</v>
      </c>
      <c r="V6797" t="s">
        <v>524</v>
      </c>
      <c r="W6797" t="s">
        <v>207</v>
      </c>
      <c r="X6797" t="s">
        <v>714</v>
      </c>
      <c r="Y6797" t="s">
        <v>117</v>
      </c>
      <c r="Z6797" t="s">
        <v>134</v>
      </c>
      <c r="AA6797">
        <v>1093</v>
      </c>
      <c r="AB6797" t="s">
        <v>997</v>
      </c>
      <c r="AC6797" t="s">
        <v>108</v>
      </c>
      <c r="AD6797" t="s">
        <v>78</v>
      </c>
      <c r="AE6797" t="s">
        <v>268</v>
      </c>
      <c r="AF6797" t="s">
        <v>499</v>
      </c>
      <c r="AG6797">
        <v>1093</v>
      </c>
      <c r="AH6797" t="s">
        <v>306</v>
      </c>
      <c r="AI6797" t="s">
        <v>503</v>
      </c>
      <c r="AJ6797" t="s">
        <v>117</v>
      </c>
      <c r="AK6797" t="s">
        <v>110</v>
      </c>
      <c r="AL6797" t="s">
        <v>136</v>
      </c>
      <c r="AM6797">
        <v>1093</v>
      </c>
      <c r="AN6797" t="s">
        <v>763</v>
      </c>
      <c r="AO6797" t="s">
        <v>393</v>
      </c>
      <c r="AP6797" t="s">
        <v>117</v>
      </c>
      <c r="AQ6797" t="s">
        <v>141</v>
      </c>
      <c r="AR6797" t="s">
        <v>141</v>
      </c>
      <c r="AS6797">
        <v>1093</v>
      </c>
      <c r="AT6797" t="s">
        <v>1080</v>
      </c>
      <c r="AU6797" t="s">
        <v>382</v>
      </c>
      <c r="AV6797" t="s">
        <v>508</v>
      </c>
      <c r="AW6797" t="s">
        <v>103</v>
      </c>
      <c r="AX6797" t="s">
        <v>151</v>
      </c>
      <c r="AY6797">
        <v>1093</v>
      </c>
      <c r="AZ6797" t="s">
        <v>1171</v>
      </c>
      <c r="BA6797" t="s">
        <v>811</v>
      </c>
      <c r="BB6797" t="s">
        <v>147</v>
      </c>
      <c r="BC6797" t="s">
        <v>332</v>
      </c>
      <c r="BD6797" t="s">
        <v>207</v>
      </c>
      <c r="BE6797">
        <v>1093</v>
      </c>
      <c r="BF6797" t="s">
        <v>486</v>
      </c>
      <c r="BG6797" t="s">
        <v>100</v>
      </c>
      <c r="BH6797" t="s">
        <v>690</v>
      </c>
      <c r="BI6797" t="s">
        <v>268</v>
      </c>
      <c r="BJ6797" t="s">
        <v>132</v>
      </c>
      <c r="BK6797">
        <v>1093</v>
      </c>
      <c r="BL6797" t="s">
        <v>784</v>
      </c>
      <c r="BM6797" t="s">
        <v>313</v>
      </c>
      <c r="BN6797" t="s">
        <v>147</v>
      </c>
      <c r="BO6797" t="s">
        <v>316</v>
      </c>
      <c r="BP6797" t="s">
        <v>136</v>
      </c>
    </row>
    <row r="6798" spans="1:68" x14ac:dyDescent="0.3">
      <c r="A6798" t="s">
        <v>37</v>
      </c>
      <c r="B6798" t="s">
        <v>340</v>
      </c>
      <c r="C6798">
        <v>2721</v>
      </c>
      <c r="D6798" t="s">
        <v>464</v>
      </c>
      <c r="E6798" t="s">
        <v>108</v>
      </c>
      <c r="F6798" t="s">
        <v>401</v>
      </c>
      <c r="G6798" t="s">
        <v>107</v>
      </c>
      <c r="H6798" t="s">
        <v>134</v>
      </c>
      <c r="I6798">
        <v>2721</v>
      </c>
      <c r="J6798" t="s">
        <v>1196</v>
      </c>
      <c r="K6798" t="s">
        <v>292</v>
      </c>
      <c r="L6798" t="s">
        <v>125</v>
      </c>
      <c r="M6798" t="s">
        <v>332</v>
      </c>
      <c r="N6798" t="s">
        <v>687</v>
      </c>
      <c r="O6798">
        <v>2721</v>
      </c>
      <c r="P6798" t="s">
        <v>356</v>
      </c>
      <c r="Q6798" t="s">
        <v>141</v>
      </c>
      <c r="R6798" t="s">
        <v>204</v>
      </c>
      <c r="S6798" t="s">
        <v>157</v>
      </c>
      <c r="T6798" t="s">
        <v>712</v>
      </c>
      <c r="U6798">
        <v>2721</v>
      </c>
      <c r="V6798" t="s">
        <v>266</v>
      </c>
      <c r="W6798" t="s">
        <v>104</v>
      </c>
      <c r="X6798" t="s">
        <v>405</v>
      </c>
      <c r="Y6798" t="s">
        <v>157</v>
      </c>
      <c r="Z6798" t="s">
        <v>126</v>
      </c>
      <c r="AA6798">
        <v>2721</v>
      </c>
      <c r="AB6798" t="s">
        <v>431</v>
      </c>
      <c r="AC6798" t="s">
        <v>136</v>
      </c>
      <c r="AD6798" t="s">
        <v>98</v>
      </c>
      <c r="AE6798" t="s">
        <v>157</v>
      </c>
      <c r="AF6798" t="s">
        <v>182</v>
      </c>
      <c r="AG6798">
        <v>2721</v>
      </c>
      <c r="AH6798" t="s">
        <v>859</v>
      </c>
      <c r="AI6798" t="s">
        <v>687</v>
      </c>
      <c r="AJ6798" t="s">
        <v>107</v>
      </c>
      <c r="AK6798" t="s">
        <v>292</v>
      </c>
      <c r="AL6798" t="s">
        <v>198</v>
      </c>
      <c r="AM6798">
        <v>2721</v>
      </c>
      <c r="AN6798" t="s">
        <v>200</v>
      </c>
      <c r="AO6798" t="s">
        <v>163</v>
      </c>
      <c r="AP6798" t="s">
        <v>157</v>
      </c>
      <c r="AQ6798" t="s">
        <v>104</v>
      </c>
      <c r="AR6798" t="s">
        <v>198</v>
      </c>
      <c r="AS6798">
        <v>2721</v>
      </c>
      <c r="AT6798" t="s">
        <v>477</v>
      </c>
      <c r="AU6798" t="s">
        <v>108</v>
      </c>
      <c r="AV6798" t="s">
        <v>294</v>
      </c>
      <c r="AW6798" t="s">
        <v>157</v>
      </c>
      <c r="AX6798" t="s">
        <v>292</v>
      </c>
      <c r="AY6798">
        <v>2721</v>
      </c>
      <c r="AZ6798" t="s">
        <v>1510</v>
      </c>
      <c r="BA6798" t="s">
        <v>688</v>
      </c>
      <c r="BB6798" t="s">
        <v>105</v>
      </c>
      <c r="BC6798" t="s">
        <v>316</v>
      </c>
      <c r="BD6798" t="s">
        <v>198</v>
      </c>
      <c r="BE6798">
        <v>2721</v>
      </c>
      <c r="BF6798" t="s">
        <v>1253</v>
      </c>
      <c r="BG6798" t="s">
        <v>136</v>
      </c>
      <c r="BH6798" t="s">
        <v>255</v>
      </c>
      <c r="BI6798" t="s">
        <v>157</v>
      </c>
      <c r="BJ6798" t="s">
        <v>141</v>
      </c>
      <c r="BK6798">
        <v>2721</v>
      </c>
      <c r="BL6798" t="s">
        <v>180</v>
      </c>
      <c r="BM6798" t="s">
        <v>184</v>
      </c>
      <c r="BN6798" t="s">
        <v>138</v>
      </c>
      <c r="BO6798" t="s">
        <v>114</v>
      </c>
      <c r="BP6798" t="s">
        <v>198</v>
      </c>
    </row>
    <row r="6799" spans="1:68" x14ac:dyDescent="0.3">
      <c r="A6799" t="s">
        <v>37</v>
      </c>
      <c r="B6799" t="s">
        <v>365</v>
      </c>
      <c r="C6799">
        <v>41</v>
      </c>
      <c r="D6799" t="s">
        <v>73</v>
      </c>
      <c r="E6799" t="s">
        <v>292</v>
      </c>
      <c r="F6799" t="s">
        <v>127</v>
      </c>
      <c r="G6799" t="s">
        <v>151</v>
      </c>
      <c r="H6799" t="s">
        <v>128</v>
      </c>
      <c r="I6799">
        <v>41</v>
      </c>
      <c r="J6799" t="s">
        <v>770</v>
      </c>
      <c r="K6799" t="s">
        <v>135</v>
      </c>
      <c r="L6799" t="s">
        <v>663</v>
      </c>
      <c r="M6799" t="s">
        <v>151</v>
      </c>
      <c r="N6799" t="s">
        <v>701</v>
      </c>
      <c r="O6799">
        <v>41</v>
      </c>
      <c r="P6799" t="s">
        <v>858</v>
      </c>
      <c r="Q6799" t="s">
        <v>292</v>
      </c>
      <c r="R6799" t="s">
        <v>110</v>
      </c>
      <c r="S6799" t="s">
        <v>151</v>
      </c>
      <c r="T6799" t="s">
        <v>158</v>
      </c>
      <c r="U6799">
        <v>41</v>
      </c>
      <c r="V6799" t="s">
        <v>1010</v>
      </c>
      <c r="W6799" t="s">
        <v>292</v>
      </c>
      <c r="X6799" t="s">
        <v>142</v>
      </c>
      <c r="Y6799" t="s">
        <v>151</v>
      </c>
      <c r="Z6799" t="s">
        <v>99</v>
      </c>
      <c r="AA6799">
        <v>41</v>
      </c>
      <c r="AB6799" t="s">
        <v>237</v>
      </c>
      <c r="AC6799" t="s">
        <v>292</v>
      </c>
      <c r="AD6799" t="s">
        <v>99</v>
      </c>
      <c r="AE6799" t="s">
        <v>151</v>
      </c>
      <c r="AF6799" t="s">
        <v>99</v>
      </c>
      <c r="AG6799">
        <v>41</v>
      </c>
      <c r="AH6799" t="s">
        <v>366</v>
      </c>
      <c r="AI6799" t="s">
        <v>663</v>
      </c>
      <c r="AJ6799" t="s">
        <v>151</v>
      </c>
      <c r="AK6799" t="s">
        <v>99</v>
      </c>
      <c r="AL6799" t="s">
        <v>292</v>
      </c>
      <c r="AM6799">
        <v>41</v>
      </c>
      <c r="AN6799" t="s">
        <v>326</v>
      </c>
      <c r="AO6799" t="s">
        <v>128</v>
      </c>
      <c r="AP6799" t="s">
        <v>151</v>
      </c>
      <c r="AQ6799" t="s">
        <v>99</v>
      </c>
      <c r="AR6799" t="s">
        <v>292</v>
      </c>
      <c r="AS6799">
        <v>41</v>
      </c>
      <c r="AT6799" t="s">
        <v>288</v>
      </c>
      <c r="AU6799" t="s">
        <v>292</v>
      </c>
      <c r="AV6799" t="s">
        <v>129</v>
      </c>
      <c r="AW6799" t="s">
        <v>151</v>
      </c>
      <c r="AX6799" t="s">
        <v>158</v>
      </c>
      <c r="AY6799">
        <v>41</v>
      </c>
      <c r="AZ6799" t="s">
        <v>205</v>
      </c>
      <c r="BA6799" t="s">
        <v>722</v>
      </c>
      <c r="BB6799" t="s">
        <v>151</v>
      </c>
      <c r="BC6799" t="s">
        <v>99</v>
      </c>
      <c r="BD6799" t="s">
        <v>292</v>
      </c>
      <c r="BE6799">
        <v>41</v>
      </c>
      <c r="BF6799" t="s">
        <v>392</v>
      </c>
      <c r="BG6799" t="s">
        <v>130</v>
      </c>
      <c r="BH6799" t="s">
        <v>129</v>
      </c>
      <c r="BI6799" t="s">
        <v>151</v>
      </c>
      <c r="BJ6799" t="s">
        <v>99</v>
      </c>
      <c r="BK6799">
        <v>41</v>
      </c>
      <c r="BL6799" t="s">
        <v>77</v>
      </c>
      <c r="BM6799" t="s">
        <v>679</v>
      </c>
      <c r="BN6799" t="s">
        <v>151</v>
      </c>
      <c r="BO6799" t="s">
        <v>103</v>
      </c>
      <c r="BP6799" t="s">
        <v>292</v>
      </c>
    </row>
    <row r="6800" spans="1:68" x14ac:dyDescent="0.3">
      <c r="A6800" t="s">
        <v>36</v>
      </c>
      <c r="B6800" t="s">
        <v>339</v>
      </c>
      <c r="C6800">
        <v>770</v>
      </c>
      <c r="D6800" t="s">
        <v>991</v>
      </c>
      <c r="E6800" t="s">
        <v>101</v>
      </c>
      <c r="F6800" t="s">
        <v>804</v>
      </c>
      <c r="G6800" t="s">
        <v>207</v>
      </c>
      <c r="H6800" t="s">
        <v>135</v>
      </c>
      <c r="I6800">
        <v>770</v>
      </c>
      <c r="J6800" t="s">
        <v>994</v>
      </c>
      <c r="K6800" t="s">
        <v>135</v>
      </c>
      <c r="L6800" t="s">
        <v>708</v>
      </c>
      <c r="M6800" t="s">
        <v>104</v>
      </c>
      <c r="N6800" t="s">
        <v>186</v>
      </c>
      <c r="O6800">
        <v>770</v>
      </c>
      <c r="P6800" t="s">
        <v>77</v>
      </c>
      <c r="Q6800" t="s">
        <v>319</v>
      </c>
      <c r="R6800" t="s">
        <v>111</v>
      </c>
      <c r="S6800" t="s">
        <v>198</v>
      </c>
      <c r="T6800" t="s">
        <v>262</v>
      </c>
      <c r="U6800">
        <v>770</v>
      </c>
      <c r="V6800" t="s">
        <v>323</v>
      </c>
      <c r="W6800" t="s">
        <v>132</v>
      </c>
      <c r="X6800" t="s">
        <v>157</v>
      </c>
      <c r="Y6800" t="s">
        <v>99</v>
      </c>
      <c r="Z6800" t="s">
        <v>712</v>
      </c>
      <c r="AA6800">
        <v>770</v>
      </c>
      <c r="AB6800" t="s">
        <v>278</v>
      </c>
      <c r="AC6800" t="s">
        <v>319</v>
      </c>
      <c r="AD6800" t="s">
        <v>138</v>
      </c>
      <c r="AE6800" t="s">
        <v>198</v>
      </c>
      <c r="AF6800" t="s">
        <v>1057</v>
      </c>
      <c r="AG6800">
        <v>770</v>
      </c>
      <c r="AH6800" t="s">
        <v>168</v>
      </c>
      <c r="AI6800" t="s">
        <v>244</v>
      </c>
      <c r="AJ6800" t="s">
        <v>198</v>
      </c>
      <c r="AK6800" t="s">
        <v>117</v>
      </c>
      <c r="AL6800" t="s">
        <v>99</v>
      </c>
      <c r="AM6800">
        <v>770</v>
      </c>
      <c r="AN6800" t="s">
        <v>312</v>
      </c>
      <c r="AO6800" t="s">
        <v>262</v>
      </c>
      <c r="AP6800" t="s">
        <v>99</v>
      </c>
      <c r="AQ6800" t="s">
        <v>104</v>
      </c>
      <c r="AR6800" t="s">
        <v>123</v>
      </c>
      <c r="AS6800">
        <v>770</v>
      </c>
      <c r="AT6800" t="s">
        <v>266</v>
      </c>
      <c r="AU6800" t="s">
        <v>101</v>
      </c>
      <c r="AV6800" t="s">
        <v>313</v>
      </c>
      <c r="AW6800" t="s">
        <v>99</v>
      </c>
      <c r="AX6800" t="s">
        <v>268</v>
      </c>
      <c r="AY6800">
        <v>770</v>
      </c>
      <c r="AZ6800" t="s">
        <v>854</v>
      </c>
      <c r="BA6800" t="s">
        <v>242</v>
      </c>
      <c r="BB6800" t="s">
        <v>132</v>
      </c>
      <c r="BC6800" t="s">
        <v>254</v>
      </c>
      <c r="BD6800" t="s">
        <v>104</v>
      </c>
      <c r="BE6800">
        <v>770</v>
      </c>
      <c r="BF6800" t="s">
        <v>785</v>
      </c>
      <c r="BG6800" t="s">
        <v>121</v>
      </c>
      <c r="BH6800" t="s">
        <v>175</v>
      </c>
      <c r="BI6800" t="s">
        <v>99</v>
      </c>
      <c r="BJ6800" t="s">
        <v>382</v>
      </c>
      <c r="BK6800">
        <v>770</v>
      </c>
      <c r="BL6800" t="s">
        <v>364</v>
      </c>
      <c r="BM6800" t="s">
        <v>149</v>
      </c>
      <c r="BN6800" t="s">
        <v>132</v>
      </c>
      <c r="BO6800" t="s">
        <v>123</v>
      </c>
      <c r="BP6800" t="s">
        <v>132</v>
      </c>
    </row>
    <row r="6801" spans="1:68" x14ac:dyDescent="0.3">
      <c r="A6801" t="s">
        <v>36</v>
      </c>
      <c r="B6801" t="s">
        <v>340</v>
      </c>
      <c r="C6801">
        <v>1472</v>
      </c>
      <c r="D6801" t="s">
        <v>854</v>
      </c>
      <c r="E6801" t="s">
        <v>268</v>
      </c>
      <c r="F6801" t="s">
        <v>468</v>
      </c>
      <c r="G6801" t="s">
        <v>198</v>
      </c>
      <c r="H6801" t="s">
        <v>130</v>
      </c>
      <c r="I6801">
        <v>1472</v>
      </c>
      <c r="J6801" t="s">
        <v>304</v>
      </c>
      <c r="K6801" t="s">
        <v>68</v>
      </c>
      <c r="L6801" t="s">
        <v>145</v>
      </c>
      <c r="M6801" t="s">
        <v>253</v>
      </c>
      <c r="N6801" t="s">
        <v>499</v>
      </c>
      <c r="O6801">
        <v>1472</v>
      </c>
      <c r="P6801" t="s">
        <v>854</v>
      </c>
      <c r="Q6801" t="s">
        <v>207</v>
      </c>
      <c r="R6801" t="s">
        <v>114</v>
      </c>
      <c r="S6801" t="s">
        <v>207</v>
      </c>
      <c r="T6801" t="s">
        <v>233</v>
      </c>
      <c r="U6801">
        <v>1472</v>
      </c>
      <c r="V6801" t="s">
        <v>978</v>
      </c>
      <c r="W6801" t="s">
        <v>99</v>
      </c>
      <c r="X6801" t="s">
        <v>712</v>
      </c>
      <c r="Y6801" t="s">
        <v>198</v>
      </c>
      <c r="Z6801" t="s">
        <v>117</v>
      </c>
      <c r="AA6801">
        <v>1472</v>
      </c>
      <c r="AB6801" t="s">
        <v>230</v>
      </c>
      <c r="AC6801" t="s">
        <v>99</v>
      </c>
      <c r="AD6801" t="s">
        <v>100</v>
      </c>
      <c r="AE6801" t="s">
        <v>207</v>
      </c>
      <c r="AF6801" t="s">
        <v>482</v>
      </c>
      <c r="AG6801">
        <v>1472</v>
      </c>
      <c r="AH6801" t="s">
        <v>450</v>
      </c>
      <c r="AI6801" t="s">
        <v>287</v>
      </c>
      <c r="AJ6801" t="s">
        <v>207</v>
      </c>
      <c r="AK6801" t="s">
        <v>129</v>
      </c>
      <c r="AL6801" t="s">
        <v>99</v>
      </c>
      <c r="AM6801">
        <v>1472</v>
      </c>
      <c r="AN6801" t="s">
        <v>232</v>
      </c>
      <c r="AO6801" t="s">
        <v>722</v>
      </c>
      <c r="AP6801" t="s">
        <v>198</v>
      </c>
      <c r="AQ6801" t="s">
        <v>198</v>
      </c>
      <c r="AR6801" t="s">
        <v>253</v>
      </c>
      <c r="AS6801">
        <v>1472</v>
      </c>
      <c r="AT6801" t="s">
        <v>73</v>
      </c>
      <c r="AU6801" t="s">
        <v>99</v>
      </c>
      <c r="AV6801" t="s">
        <v>277</v>
      </c>
      <c r="AW6801" t="s">
        <v>207</v>
      </c>
      <c r="AX6801" t="s">
        <v>105</v>
      </c>
      <c r="AY6801">
        <v>1472</v>
      </c>
      <c r="AZ6801" t="s">
        <v>378</v>
      </c>
      <c r="BA6801" t="s">
        <v>128</v>
      </c>
      <c r="BB6801" t="s">
        <v>207</v>
      </c>
      <c r="BC6801" t="s">
        <v>325</v>
      </c>
      <c r="BD6801" t="s">
        <v>207</v>
      </c>
      <c r="BE6801">
        <v>1472</v>
      </c>
      <c r="BF6801" t="s">
        <v>263</v>
      </c>
      <c r="BG6801" t="s">
        <v>141</v>
      </c>
      <c r="BH6801" t="s">
        <v>680</v>
      </c>
      <c r="BI6801" t="s">
        <v>207</v>
      </c>
      <c r="BJ6801" t="s">
        <v>382</v>
      </c>
      <c r="BK6801">
        <v>1472</v>
      </c>
      <c r="BL6801" t="s">
        <v>758</v>
      </c>
      <c r="BM6801" t="s">
        <v>147</v>
      </c>
      <c r="BN6801" t="s">
        <v>198</v>
      </c>
      <c r="BO6801" t="s">
        <v>117</v>
      </c>
      <c r="BP6801" t="s">
        <v>99</v>
      </c>
    </row>
    <row r="6802" spans="1:68" x14ac:dyDescent="0.3">
      <c r="A6802" t="s">
        <v>36</v>
      </c>
      <c r="B6802" t="s">
        <v>365</v>
      </c>
      <c r="C6802">
        <v>63</v>
      </c>
      <c r="D6802" t="s">
        <v>79</v>
      </c>
      <c r="E6802" t="s">
        <v>99</v>
      </c>
      <c r="F6802" t="s">
        <v>109</v>
      </c>
      <c r="G6802" t="s">
        <v>99</v>
      </c>
      <c r="H6802" t="s">
        <v>108</v>
      </c>
      <c r="I6802">
        <v>63</v>
      </c>
      <c r="J6802" t="s">
        <v>247</v>
      </c>
      <c r="K6802" t="s">
        <v>105</v>
      </c>
      <c r="L6802" t="s">
        <v>434</v>
      </c>
      <c r="M6802" t="s">
        <v>99</v>
      </c>
      <c r="N6802" t="s">
        <v>141</v>
      </c>
      <c r="O6802">
        <v>63</v>
      </c>
      <c r="P6802" t="s">
        <v>993</v>
      </c>
      <c r="Q6802" t="s">
        <v>99</v>
      </c>
      <c r="R6802" t="s">
        <v>99</v>
      </c>
      <c r="S6802" t="s">
        <v>141</v>
      </c>
      <c r="T6802" t="s">
        <v>100</v>
      </c>
      <c r="U6802">
        <v>63</v>
      </c>
      <c r="V6802" t="s">
        <v>211</v>
      </c>
      <c r="W6802" t="s">
        <v>99</v>
      </c>
      <c r="X6802" t="s">
        <v>99</v>
      </c>
      <c r="Y6802" t="s">
        <v>99</v>
      </c>
      <c r="Z6802" t="s">
        <v>99</v>
      </c>
      <c r="AA6802">
        <v>63</v>
      </c>
      <c r="AB6802" t="s">
        <v>421</v>
      </c>
      <c r="AC6802" t="s">
        <v>99</v>
      </c>
      <c r="AD6802" t="s">
        <v>99</v>
      </c>
      <c r="AE6802" t="s">
        <v>99</v>
      </c>
      <c r="AF6802" t="s">
        <v>41</v>
      </c>
      <c r="AG6802">
        <v>63</v>
      </c>
      <c r="AH6802" t="s">
        <v>185</v>
      </c>
      <c r="AI6802" t="s">
        <v>145</v>
      </c>
      <c r="AJ6802" t="s">
        <v>99</v>
      </c>
      <c r="AK6802" t="s">
        <v>100</v>
      </c>
      <c r="AL6802" t="s">
        <v>99</v>
      </c>
      <c r="AM6802">
        <v>63</v>
      </c>
      <c r="AN6802" t="s">
        <v>786</v>
      </c>
      <c r="AO6802" t="s">
        <v>149</v>
      </c>
      <c r="AP6802" t="s">
        <v>99</v>
      </c>
      <c r="AQ6802" t="s">
        <v>99</v>
      </c>
      <c r="AR6802" t="s">
        <v>99</v>
      </c>
      <c r="AS6802">
        <v>63</v>
      </c>
      <c r="AT6802" t="s">
        <v>225</v>
      </c>
      <c r="AU6802" t="s">
        <v>99</v>
      </c>
      <c r="AV6802" t="s">
        <v>136</v>
      </c>
      <c r="AW6802" t="s">
        <v>99</v>
      </c>
      <c r="AX6802" t="s">
        <v>253</v>
      </c>
      <c r="AY6802">
        <v>63</v>
      </c>
      <c r="AZ6802" t="s">
        <v>996</v>
      </c>
      <c r="BA6802" t="s">
        <v>99</v>
      </c>
      <c r="BB6802" t="s">
        <v>99</v>
      </c>
      <c r="BC6802" t="s">
        <v>115</v>
      </c>
      <c r="BD6802" t="s">
        <v>99</v>
      </c>
      <c r="BE6802">
        <v>63</v>
      </c>
      <c r="BF6802" t="s">
        <v>1438</v>
      </c>
      <c r="BG6802" t="s">
        <v>99</v>
      </c>
      <c r="BH6802" t="s">
        <v>134</v>
      </c>
      <c r="BI6802" t="s">
        <v>99</v>
      </c>
      <c r="BJ6802" t="s">
        <v>382</v>
      </c>
      <c r="BK6802">
        <v>63</v>
      </c>
      <c r="BL6802" t="s">
        <v>211</v>
      </c>
      <c r="BM6802" t="s">
        <v>99</v>
      </c>
      <c r="BN6802" t="s">
        <v>99</v>
      </c>
      <c r="BO6802" t="s">
        <v>99</v>
      </c>
      <c r="BP6802" t="s">
        <v>99</v>
      </c>
    </row>
    <row r="6803" spans="1:68" x14ac:dyDescent="0.3">
      <c r="A6803" t="s">
        <v>34</v>
      </c>
      <c r="B6803" t="s">
        <v>339</v>
      </c>
      <c r="C6803">
        <v>555</v>
      </c>
      <c r="D6803" t="s">
        <v>649</v>
      </c>
      <c r="E6803" t="s">
        <v>98</v>
      </c>
      <c r="F6803" t="s">
        <v>735</v>
      </c>
      <c r="G6803" t="s">
        <v>115</v>
      </c>
      <c r="H6803" t="s">
        <v>204</v>
      </c>
      <c r="I6803">
        <v>555</v>
      </c>
      <c r="J6803" t="s">
        <v>60</v>
      </c>
      <c r="K6803" t="s">
        <v>163</v>
      </c>
      <c r="L6803" t="s">
        <v>940</v>
      </c>
      <c r="M6803" t="s">
        <v>132</v>
      </c>
      <c r="N6803" t="s">
        <v>735</v>
      </c>
      <c r="O6803">
        <v>555</v>
      </c>
      <c r="P6803" t="s">
        <v>1451</v>
      </c>
      <c r="Q6803" t="s">
        <v>114</v>
      </c>
      <c r="R6803" t="s">
        <v>74</v>
      </c>
      <c r="S6803" t="s">
        <v>108</v>
      </c>
      <c r="T6803" t="s">
        <v>309</v>
      </c>
      <c r="U6803">
        <v>555</v>
      </c>
      <c r="V6803" t="s">
        <v>1292</v>
      </c>
      <c r="W6803" t="s">
        <v>141</v>
      </c>
      <c r="X6803" t="s">
        <v>291</v>
      </c>
      <c r="Y6803" t="s">
        <v>141</v>
      </c>
      <c r="Z6803" t="s">
        <v>112</v>
      </c>
      <c r="AA6803">
        <v>555</v>
      </c>
      <c r="AB6803" t="s">
        <v>1256</v>
      </c>
      <c r="AC6803" t="s">
        <v>100</v>
      </c>
      <c r="AD6803" t="s">
        <v>242</v>
      </c>
      <c r="AE6803" t="s">
        <v>108</v>
      </c>
      <c r="AF6803" t="s">
        <v>806</v>
      </c>
      <c r="AG6803">
        <v>555</v>
      </c>
      <c r="AH6803" t="s">
        <v>632</v>
      </c>
      <c r="AI6803" t="s">
        <v>584</v>
      </c>
      <c r="AJ6803" t="s">
        <v>108</v>
      </c>
      <c r="AK6803" t="s">
        <v>434</v>
      </c>
      <c r="AL6803" t="s">
        <v>132</v>
      </c>
      <c r="AM6803">
        <v>555</v>
      </c>
      <c r="AN6803" t="s">
        <v>770</v>
      </c>
      <c r="AO6803" t="s">
        <v>341</v>
      </c>
      <c r="AP6803" t="s">
        <v>141</v>
      </c>
      <c r="AQ6803" t="s">
        <v>99</v>
      </c>
      <c r="AR6803" t="s">
        <v>319</v>
      </c>
      <c r="AS6803">
        <v>555</v>
      </c>
      <c r="AT6803" t="s">
        <v>1150</v>
      </c>
      <c r="AU6803" t="s">
        <v>123</v>
      </c>
      <c r="AV6803" t="s">
        <v>513</v>
      </c>
      <c r="AW6803" t="s">
        <v>115</v>
      </c>
      <c r="AX6803" t="s">
        <v>242</v>
      </c>
      <c r="AY6803">
        <v>555</v>
      </c>
      <c r="AZ6803" t="s">
        <v>1187</v>
      </c>
      <c r="BA6803" t="s">
        <v>131</v>
      </c>
      <c r="BB6803" t="s">
        <v>319</v>
      </c>
      <c r="BC6803" t="s">
        <v>254</v>
      </c>
      <c r="BD6803" t="s">
        <v>99</v>
      </c>
      <c r="BE6803">
        <v>555</v>
      </c>
      <c r="BF6803" t="s">
        <v>573</v>
      </c>
      <c r="BG6803" t="s">
        <v>128</v>
      </c>
      <c r="BH6803" t="s">
        <v>1068</v>
      </c>
      <c r="BI6803" t="s">
        <v>115</v>
      </c>
      <c r="BJ6803" t="s">
        <v>215</v>
      </c>
      <c r="BK6803">
        <v>555</v>
      </c>
      <c r="BL6803" t="s">
        <v>259</v>
      </c>
      <c r="BM6803" t="s">
        <v>811</v>
      </c>
      <c r="BN6803" t="s">
        <v>108</v>
      </c>
      <c r="BO6803" t="s">
        <v>107</v>
      </c>
      <c r="BP6803" t="s">
        <v>207</v>
      </c>
    </row>
    <row r="6804" spans="1:68" x14ac:dyDescent="0.3">
      <c r="A6804" t="s">
        <v>34</v>
      </c>
      <c r="B6804" t="s">
        <v>340</v>
      </c>
      <c r="C6804">
        <v>1497</v>
      </c>
      <c r="D6804" t="s">
        <v>763</v>
      </c>
      <c r="E6804" t="s">
        <v>123</v>
      </c>
      <c r="F6804" t="s">
        <v>222</v>
      </c>
      <c r="G6804" t="s">
        <v>316</v>
      </c>
      <c r="H6804" t="s">
        <v>268</v>
      </c>
      <c r="I6804">
        <v>1497</v>
      </c>
      <c r="J6804" t="s">
        <v>611</v>
      </c>
      <c r="K6804" t="s">
        <v>150</v>
      </c>
      <c r="L6804" t="s">
        <v>894</v>
      </c>
      <c r="M6804" t="s">
        <v>268</v>
      </c>
      <c r="N6804" t="s">
        <v>444</v>
      </c>
      <c r="O6804">
        <v>1497</v>
      </c>
      <c r="P6804" t="s">
        <v>774</v>
      </c>
      <c r="Q6804" t="s">
        <v>121</v>
      </c>
      <c r="R6804" t="s">
        <v>277</v>
      </c>
      <c r="S6804" t="s">
        <v>103</v>
      </c>
      <c r="T6804" t="s">
        <v>449</v>
      </c>
      <c r="U6804">
        <v>1497</v>
      </c>
      <c r="V6804" t="s">
        <v>399</v>
      </c>
      <c r="W6804" t="s">
        <v>99</v>
      </c>
      <c r="X6804" t="s">
        <v>204</v>
      </c>
      <c r="Y6804" t="s">
        <v>268</v>
      </c>
      <c r="Z6804" t="s">
        <v>126</v>
      </c>
      <c r="AA6804">
        <v>1497</v>
      </c>
      <c r="AB6804" t="s">
        <v>1469</v>
      </c>
      <c r="AC6804" t="s">
        <v>198</v>
      </c>
      <c r="AD6804" t="s">
        <v>120</v>
      </c>
      <c r="AE6804" t="s">
        <v>268</v>
      </c>
      <c r="AF6804" t="s">
        <v>423</v>
      </c>
      <c r="AG6804">
        <v>1497</v>
      </c>
      <c r="AH6804" t="s">
        <v>1386</v>
      </c>
      <c r="AI6804" t="s">
        <v>1043</v>
      </c>
      <c r="AJ6804" t="s">
        <v>111</v>
      </c>
      <c r="AK6804" t="s">
        <v>129</v>
      </c>
      <c r="AL6804" t="s">
        <v>253</v>
      </c>
      <c r="AM6804">
        <v>1497</v>
      </c>
      <c r="AN6804" t="s">
        <v>1362</v>
      </c>
      <c r="AO6804" t="s">
        <v>990</v>
      </c>
      <c r="AP6804" t="s">
        <v>151</v>
      </c>
      <c r="AQ6804" t="s">
        <v>99</v>
      </c>
      <c r="AR6804" t="s">
        <v>104</v>
      </c>
      <c r="AS6804">
        <v>1497</v>
      </c>
      <c r="AT6804" t="s">
        <v>1064</v>
      </c>
      <c r="AU6804" t="s">
        <v>132</v>
      </c>
      <c r="AV6804" t="s">
        <v>482</v>
      </c>
      <c r="AW6804" t="s">
        <v>111</v>
      </c>
      <c r="AX6804" t="s">
        <v>110</v>
      </c>
      <c r="AY6804">
        <v>1497</v>
      </c>
      <c r="AZ6804" t="s">
        <v>1475</v>
      </c>
      <c r="BA6804" t="s">
        <v>680</v>
      </c>
      <c r="BB6804" t="s">
        <v>117</v>
      </c>
      <c r="BC6804" t="s">
        <v>204</v>
      </c>
      <c r="BD6804" t="s">
        <v>141</v>
      </c>
      <c r="BE6804">
        <v>1497</v>
      </c>
      <c r="BF6804" t="s">
        <v>1480</v>
      </c>
      <c r="BG6804" t="s">
        <v>253</v>
      </c>
      <c r="BH6804" t="s">
        <v>735</v>
      </c>
      <c r="BI6804" t="s">
        <v>268</v>
      </c>
      <c r="BJ6804" t="s">
        <v>115</v>
      </c>
      <c r="BK6804">
        <v>1497</v>
      </c>
      <c r="BL6804" t="s">
        <v>854</v>
      </c>
      <c r="BM6804" t="s">
        <v>182</v>
      </c>
      <c r="BN6804" t="s">
        <v>292</v>
      </c>
      <c r="BO6804" t="s">
        <v>141</v>
      </c>
      <c r="BP6804" t="s">
        <v>141</v>
      </c>
    </row>
    <row r="6805" spans="1:68" x14ac:dyDescent="0.3">
      <c r="A6805" t="s">
        <v>34</v>
      </c>
      <c r="B6805" t="s">
        <v>365</v>
      </c>
      <c r="C6805">
        <v>28</v>
      </c>
      <c r="D6805" t="s">
        <v>1012</v>
      </c>
      <c r="E6805" t="s">
        <v>99</v>
      </c>
      <c r="F6805" t="s">
        <v>291</v>
      </c>
      <c r="G6805" t="s">
        <v>144</v>
      </c>
      <c r="H6805" t="s">
        <v>204</v>
      </c>
      <c r="I6805">
        <v>28</v>
      </c>
      <c r="J6805" t="s">
        <v>640</v>
      </c>
      <c r="K6805" t="s">
        <v>99</v>
      </c>
      <c r="L6805" t="s">
        <v>704</v>
      </c>
      <c r="M6805" t="s">
        <v>136</v>
      </c>
      <c r="N6805" t="s">
        <v>60</v>
      </c>
      <c r="O6805">
        <v>28</v>
      </c>
      <c r="P6805" t="s">
        <v>1135</v>
      </c>
      <c r="Q6805" t="s">
        <v>99</v>
      </c>
      <c r="R6805" t="s">
        <v>150</v>
      </c>
      <c r="S6805" t="s">
        <v>136</v>
      </c>
      <c r="T6805" t="s">
        <v>122</v>
      </c>
      <c r="U6805">
        <v>28</v>
      </c>
      <c r="V6805" t="s">
        <v>185</v>
      </c>
      <c r="W6805" t="s">
        <v>99</v>
      </c>
      <c r="X6805" t="s">
        <v>468</v>
      </c>
      <c r="Y6805" t="s">
        <v>136</v>
      </c>
      <c r="Z6805" t="s">
        <v>319</v>
      </c>
      <c r="AA6805">
        <v>28</v>
      </c>
      <c r="AB6805" t="s">
        <v>941</v>
      </c>
      <c r="AC6805" t="s">
        <v>99</v>
      </c>
      <c r="AD6805" t="s">
        <v>99</v>
      </c>
      <c r="AE6805" t="s">
        <v>136</v>
      </c>
      <c r="AF6805" t="s">
        <v>1058</v>
      </c>
      <c r="AG6805">
        <v>28</v>
      </c>
      <c r="AH6805" t="s">
        <v>239</v>
      </c>
      <c r="AI6805" t="s">
        <v>177</v>
      </c>
      <c r="AJ6805" t="s">
        <v>136</v>
      </c>
      <c r="AK6805" t="s">
        <v>305</v>
      </c>
      <c r="AL6805" t="s">
        <v>99</v>
      </c>
      <c r="AM6805">
        <v>28</v>
      </c>
      <c r="AN6805" t="s">
        <v>1174</v>
      </c>
      <c r="AO6805" t="s">
        <v>740</v>
      </c>
      <c r="AP6805" t="s">
        <v>144</v>
      </c>
      <c r="AQ6805" t="s">
        <v>99</v>
      </c>
      <c r="AR6805" t="s">
        <v>99</v>
      </c>
      <c r="AS6805">
        <v>28</v>
      </c>
      <c r="AT6805" t="s">
        <v>877</v>
      </c>
      <c r="AU6805" t="s">
        <v>99</v>
      </c>
      <c r="AV6805" t="s">
        <v>684</v>
      </c>
      <c r="AW6805" t="s">
        <v>144</v>
      </c>
      <c r="AX6805" t="s">
        <v>99</v>
      </c>
      <c r="AY6805">
        <v>28</v>
      </c>
      <c r="AZ6805" t="s">
        <v>1228</v>
      </c>
      <c r="BA6805" t="s">
        <v>685</v>
      </c>
      <c r="BB6805" t="s">
        <v>136</v>
      </c>
      <c r="BC6805" t="s">
        <v>291</v>
      </c>
      <c r="BD6805" t="s">
        <v>99</v>
      </c>
      <c r="BE6805">
        <v>28</v>
      </c>
      <c r="BF6805" t="s">
        <v>1135</v>
      </c>
      <c r="BG6805" t="s">
        <v>99</v>
      </c>
      <c r="BH6805" t="s">
        <v>264</v>
      </c>
      <c r="BI6805" t="s">
        <v>136</v>
      </c>
      <c r="BJ6805" t="s">
        <v>99</v>
      </c>
      <c r="BK6805">
        <v>28</v>
      </c>
      <c r="BL6805" t="s">
        <v>57</v>
      </c>
      <c r="BM6805" t="s">
        <v>811</v>
      </c>
      <c r="BN6805" t="s">
        <v>136</v>
      </c>
      <c r="BO6805" t="s">
        <v>369</v>
      </c>
      <c r="BP6805" t="s">
        <v>99</v>
      </c>
    </row>
    <row r="6806" spans="1:68" x14ac:dyDescent="0.3">
      <c r="A6806" t="s">
        <v>33</v>
      </c>
      <c r="B6806" t="s">
        <v>339</v>
      </c>
      <c r="C6806">
        <v>503</v>
      </c>
      <c r="D6806" t="s">
        <v>764</v>
      </c>
      <c r="E6806" t="s">
        <v>114</v>
      </c>
      <c r="F6806" t="s">
        <v>112</v>
      </c>
      <c r="G6806" t="s">
        <v>68</v>
      </c>
      <c r="H6806" t="s">
        <v>215</v>
      </c>
      <c r="I6806">
        <v>503</v>
      </c>
      <c r="J6806" t="s">
        <v>800</v>
      </c>
      <c r="K6806" t="s">
        <v>145</v>
      </c>
      <c r="L6806" t="s">
        <v>726</v>
      </c>
      <c r="M6806" t="s">
        <v>68</v>
      </c>
      <c r="N6806" t="s">
        <v>694</v>
      </c>
      <c r="O6806">
        <v>503</v>
      </c>
      <c r="P6806" t="s">
        <v>431</v>
      </c>
      <c r="Q6806" t="s">
        <v>104</v>
      </c>
      <c r="R6806" t="s">
        <v>120</v>
      </c>
      <c r="S6806" t="s">
        <v>68</v>
      </c>
      <c r="T6806" t="s">
        <v>379</v>
      </c>
      <c r="U6806">
        <v>503</v>
      </c>
      <c r="V6806" t="s">
        <v>172</v>
      </c>
      <c r="W6806" t="s">
        <v>198</v>
      </c>
      <c r="X6806" t="s">
        <v>242</v>
      </c>
      <c r="Y6806" t="s">
        <v>68</v>
      </c>
      <c r="Z6806" t="s">
        <v>136</v>
      </c>
      <c r="AA6806">
        <v>503</v>
      </c>
      <c r="AB6806" t="s">
        <v>569</v>
      </c>
      <c r="AC6806" t="s">
        <v>114</v>
      </c>
      <c r="AD6806" t="s">
        <v>123</v>
      </c>
      <c r="AE6806" t="s">
        <v>68</v>
      </c>
      <c r="AF6806" t="s">
        <v>437</v>
      </c>
      <c r="AG6806">
        <v>503</v>
      </c>
      <c r="AH6806" t="s">
        <v>1259</v>
      </c>
      <c r="AI6806" t="s">
        <v>696</v>
      </c>
      <c r="AJ6806" t="s">
        <v>412</v>
      </c>
      <c r="AK6806" t="s">
        <v>126</v>
      </c>
      <c r="AL6806" t="s">
        <v>99</v>
      </c>
      <c r="AM6806">
        <v>503</v>
      </c>
      <c r="AN6806" t="s">
        <v>164</v>
      </c>
      <c r="AO6806" t="s">
        <v>325</v>
      </c>
      <c r="AP6806" t="s">
        <v>68</v>
      </c>
      <c r="AQ6806" t="s">
        <v>141</v>
      </c>
      <c r="AR6806" t="s">
        <v>99</v>
      </c>
      <c r="AS6806">
        <v>503</v>
      </c>
      <c r="AT6806" t="s">
        <v>176</v>
      </c>
      <c r="AU6806" t="s">
        <v>136</v>
      </c>
      <c r="AV6806" t="s">
        <v>420</v>
      </c>
      <c r="AW6806" t="s">
        <v>68</v>
      </c>
      <c r="AX6806" t="s">
        <v>141</v>
      </c>
      <c r="AY6806">
        <v>503</v>
      </c>
      <c r="AZ6806" t="s">
        <v>908</v>
      </c>
      <c r="BA6806" t="s">
        <v>405</v>
      </c>
      <c r="BB6806" t="s">
        <v>68</v>
      </c>
      <c r="BC6806" t="s">
        <v>123</v>
      </c>
      <c r="BD6806" t="s">
        <v>99</v>
      </c>
      <c r="BE6806">
        <v>503</v>
      </c>
      <c r="BF6806" t="s">
        <v>1226</v>
      </c>
      <c r="BG6806" t="s">
        <v>319</v>
      </c>
      <c r="BH6806" t="s">
        <v>416</v>
      </c>
      <c r="BI6806" t="s">
        <v>68</v>
      </c>
      <c r="BJ6806" t="s">
        <v>99</v>
      </c>
      <c r="BK6806">
        <v>503</v>
      </c>
      <c r="BL6806" t="s">
        <v>877</v>
      </c>
      <c r="BM6806" t="s">
        <v>139</v>
      </c>
      <c r="BN6806" t="s">
        <v>412</v>
      </c>
      <c r="BO6806" t="s">
        <v>215</v>
      </c>
      <c r="BP6806" t="s">
        <v>99</v>
      </c>
    </row>
    <row r="6807" spans="1:68" x14ac:dyDescent="0.3">
      <c r="A6807" t="s">
        <v>33</v>
      </c>
      <c r="B6807" t="s">
        <v>340</v>
      </c>
      <c r="C6807">
        <v>1415</v>
      </c>
      <c r="D6807" t="s">
        <v>786</v>
      </c>
      <c r="E6807" t="s">
        <v>198</v>
      </c>
      <c r="F6807" t="s">
        <v>127</v>
      </c>
      <c r="G6807" t="s">
        <v>319</v>
      </c>
      <c r="H6807" t="s">
        <v>101</v>
      </c>
      <c r="I6807">
        <v>1415</v>
      </c>
      <c r="J6807" t="s">
        <v>775</v>
      </c>
      <c r="K6807" t="s">
        <v>107</v>
      </c>
      <c r="L6807" t="s">
        <v>355</v>
      </c>
      <c r="M6807" t="s">
        <v>319</v>
      </c>
      <c r="N6807" t="s">
        <v>184</v>
      </c>
      <c r="O6807">
        <v>1415</v>
      </c>
      <c r="P6807" t="s">
        <v>1276</v>
      </c>
      <c r="Q6807" t="s">
        <v>198</v>
      </c>
      <c r="R6807" t="s">
        <v>120</v>
      </c>
      <c r="S6807" t="s">
        <v>319</v>
      </c>
      <c r="T6807" t="s">
        <v>204</v>
      </c>
      <c r="U6807">
        <v>1415</v>
      </c>
      <c r="V6807" t="s">
        <v>415</v>
      </c>
      <c r="W6807" t="s">
        <v>198</v>
      </c>
      <c r="X6807" t="s">
        <v>154</v>
      </c>
      <c r="Y6807" t="s">
        <v>319</v>
      </c>
      <c r="Z6807" t="s">
        <v>115</v>
      </c>
      <c r="AA6807">
        <v>1415</v>
      </c>
      <c r="AB6807" t="s">
        <v>889</v>
      </c>
      <c r="AC6807" t="s">
        <v>198</v>
      </c>
      <c r="AD6807" t="s">
        <v>111</v>
      </c>
      <c r="AE6807" t="s">
        <v>319</v>
      </c>
      <c r="AF6807" t="s">
        <v>675</v>
      </c>
      <c r="AG6807">
        <v>1415</v>
      </c>
      <c r="AH6807" t="s">
        <v>524</v>
      </c>
      <c r="AI6807" t="s">
        <v>739</v>
      </c>
      <c r="AJ6807" t="s">
        <v>319</v>
      </c>
      <c r="AK6807" t="s">
        <v>132</v>
      </c>
      <c r="AL6807" t="s">
        <v>99</v>
      </c>
      <c r="AM6807">
        <v>1415</v>
      </c>
      <c r="AN6807" t="s">
        <v>75</v>
      </c>
      <c r="AO6807" t="s">
        <v>139</v>
      </c>
      <c r="AP6807" t="s">
        <v>319</v>
      </c>
      <c r="AQ6807" t="s">
        <v>99</v>
      </c>
      <c r="AR6807" t="s">
        <v>198</v>
      </c>
      <c r="AS6807">
        <v>1415</v>
      </c>
      <c r="AT6807" t="s">
        <v>326</v>
      </c>
      <c r="AU6807" t="s">
        <v>207</v>
      </c>
      <c r="AV6807" t="s">
        <v>155</v>
      </c>
      <c r="AW6807" t="s">
        <v>126</v>
      </c>
      <c r="AX6807" t="s">
        <v>126</v>
      </c>
      <c r="AY6807">
        <v>1415</v>
      </c>
      <c r="AZ6807" t="s">
        <v>414</v>
      </c>
      <c r="BA6807" t="s">
        <v>434</v>
      </c>
      <c r="BB6807" t="s">
        <v>382</v>
      </c>
      <c r="BC6807" t="s">
        <v>115</v>
      </c>
      <c r="BD6807" t="s">
        <v>99</v>
      </c>
      <c r="BE6807">
        <v>1415</v>
      </c>
      <c r="BF6807" t="s">
        <v>419</v>
      </c>
      <c r="BG6807" t="s">
        <v>136</v>
      </c>
      <c r="BH6807" t="s">
        <v>143</v>
      </c>
      <c r="BI6807" t="s">
        <v>319</v>
      </c>
      <c r="BJ6807" t="s">
        <v>104</v>
      </c>
      <c r="BK6807">
        <v>1415</v>
      </c>
      <c r="BL6807" t="s">
        <v>771</v>
      </c>
      <c r="BM6807" t="s">
        <v>112</v>
      </c>
      <c r="BN6807" t="s">
        <v>319</v>
      </c>
      <c r="BO6807" t="s">
        <v>115</v>
      </c>
      <c r="BP6807" t="s">
        <v>99</v>
      </c>
    </row>
    <row r="6808" spans="1:68" x14ac:dyDescent="0.3">
      <c r="A6808" t="s">
        <v>33</v>
      </c>
      <c r="B6808" t="s">
        <v>365</v>
      </c>
      <c r="C6808">
        <v>19</v>
      </c>
      <c r="D6808" t="s">
        <v>75</v>
      </c>
      <c r="E6808" t="s">
        <v>99</v>
      </c>
      <c r="F6808" t="s">
        <v>74</v>
      </c>
      <c r="G6808" t="s">
        <v>99</v>
      </c>
      <c r="H6808" t="s">
        <v>99</v>
      </c>
      <c r="I6808">
        <v>19</v>
      </c>
      <c r="J6808" t="s">
        <v>75</v>
      </c>
      <c r="K6808" t="s">
        <v>99</v>
      </c>
      <c r="L6808" t="s">
        <v>74</v>
      </c>
      <c r="M6808" t="s">
        <v>99</v>
      </c>
      <c r="N6808" t="s">
        <v>99</v>
      </c>
      <c r="O6808">
        <v>19</v>
      </c>
      <c r="P6808" t="s">
        <v>211</v>
      </c>
      <c r="Q6808" t="s">
        <v>99</v>
      </c>
      <c r="R6808" t="s">
        <v>99</v>
      </c>
      <c r="S6808" t="s">
        <v>99</v>
      </c>
      <c r="T6808" t="s">
        <v>99</v>
      </c>
      <c r="U6808">
        <v>19</v>
      </c>
      <c r="V6808" t="s">
        <v>211</v>
      </c>
      <c r="W6808" t="s">
        <v>99</v>
      </c>
      <c r="X6808" t="s">
        <v>99</v>
      </c>
      <c r="Y6808" t="s">
        <v>99</v>
      </c>
      <c r="Z6808" t="s">
        <v>99</v>
      </c>
      <c r="AA6808">
        <v>19</v>
      </c>
      <c r="AB6808" t="s">
        <v>211</v>
      </c>
      <c r="AC6808" t="s">
        <v>99</v>
      </c>
      <c r="AD6808" t="s">
        <v>99</v>
      </c>
      <c r="AE6808" t="s">
        <v>99</v>
      </c>
      <c r="AF6808" t="s">
        <v>99</v>
      </c>
      <c r="AG6808">
        <v>19</v>
      </c>
      <c r="AH6808" t="s">
        <v>75</v>
      </c>
      <c r="AI6808" t="s">
        <v>74</v>
      </c>
      <c r="AJ6808" t="s">
        <v>99</v>
      </c>
      <c r="AK6808" t="s">
        <v>99</v>
      </c>
      <c r="AL6808" t="s">
        <v>99</v>
      </c>
      <c r="AM6808">
        <v>19</v>
      </c>
      <c r="AN6808" t="s">
        <v>75</v>
      </c>
      <c r="AO6808" t="s">
        <v>74</v>
      </c>
      <c r="AP6808" t="s">
        <v>99</v>
      </c>
      <c r="AQ6808" t="s">
        <v>99</v>
      </c>
      <c r="AR6808" t="s">
        <v>99</v>
      </c>
      <c r="AS6808">
        <v>19</v>
      </c>
      <c r="AT6808" t="s">
        <v>211</v>
      </c>
      <c r="AU6808" t="s">
        <v>99</v>
      </c>
      <c r="AV6808" t="s">
        <v>99</v>
      </c>
      <c r="AW6808" t="s">
        <v>99</v>
      </c>
      <c r="AX6808" t="s">
        <v>99</v>
      </c>
      <c r="AY6808">
        <v>19</v>
      </c>
      <c r="AZ6808" t="s">
        <v>211</v>
      </c>
      <c r="BA6808" t="s">
        <v>99</v>
      </c>
      <c r="BB6808" t="s">
        <v>99</v>
      </c>
      <c r="BC6808" t="s">
        <v>99</v>
      </c>
      <c r="BD6808" t="s">
        <v>99</v>
      </c>
      <c r="BE6808">
        <v>19</v>
      </c>
      <c r="BF6808" t="s">
        <v>75</v>
      </c>
      <c r="BG6808" t="s">
        <v>99</v>
      </c>
      <c r="BH6808" t="s">
        <v>74</v>
      </c>
      <c r="BI6808" t="s">
        <v>99</v>
      </c>
      <c r="BJ6808" t="s">
        <v>99</v>
      </c>
      <c r="BK6808">
        <v>19</v>
      </c>
      <c r="BL6808" t="s">
        <v>211</v>
      </c>
      <c r="BM6808" t="s">
        <v>99</v>
      </c>
      <c r="BN6808" t="s">
        <v>99</v>
      </c>
      <c r="BO6808" t="s">
        <v>99</v>
      </c>
      <c r="BP6808" t="s">
        <v>99</v>
      </c>
    </row>
    <row r="6809" spans="1:68" x14ac:dyDescent="0.3">
      <c r="A6809" t="s">
        <v>49</v>
      </c>
      <c r="B6809" t="s">
        <v>339</v>
      </c>
      <c r="C6809">
        <v>3811</v>
      </c>
      <c r="D6809" t="s">
        <v>535</v>
      </c>
      <c r="E6809" t="s">
        <v>107</v>
      </c>
      <c r="F6809" t="s">
        <v>798</v>
      </c>
      <c r="G6809" t="s">
        <v>215</v>
      </c>
      <c r="H6809" t="s">
        <v>277</v>
      </c>
      <c r="I6809">
        <v>3811</v>
      </c>
      <c r="J6809" t="s">
        <v>1108</v>
      </c>
      <c r="K6809" t="s">
        <v>353</v>
      </c>
      <c r="L6809" t="s">
        <v>499</v>
      </c>
      <c r="M6809" t="s">
        <v>127</v>
      </c>
      <c r="N6809" t="s">
        <v>301</v>
      </c>
      <c r="O6809">
        <v>3811</v>
      </c>
      <c r="P6809" t="s">
        <v>1166</v>
      </c>
      <c r="Q6809" t="s">
        <v>126</v>
      </c>
      <c r="R6809" t="s">
        <v>328</v>
      </c>
      <c r="S6809" t="s">
        <v>127</v>
      </c>
      <c r="T6809" t="s">
        <v>318</v>
      </c>
      <c r="U6809">
        <v>3811</v>
      </c>
      <c r="V6809" t="s">
        <v>784</v>
      </c>
      <c r="W6809" t="s">
        <v>141</v>
      </c>
      <c r="X6809" t="s">
        <v>804</v>
      </c>
      <c r="Y6809" t="s">
        <v>382</v>
      </c>
      <c r="Z6809" t="s">
        <v>68</v>
      </c>
      <c r="AA6809">
        <v>3811</v>
      </c>
      <c r="AB6809" t="s">
        <v>900</v>
      </c>
      <c r="AC6809" t="s">
        <v>319</v>
      </c>
      <c r="AD6809" t="s">
        <v>325</v>
      </c>
      <c r="AE6809" t="s">
        <v>215</v>
      </c>
      <c r="AF6809" t="s">
        <v>916</v>
      </c>
      <c r="AG6809">
        <v>3811</v>
      </c>
      <c r="AH6809" t="s">
        <v>1329</v>
      </c>
      <c r="AI6809" t="s">
        <v>513</v>
      </c>
      <c r="AJ6809" t="s">
        <v>215</v>
      </c>
      <c r="AK6809" t="s">
        <v>712</v>
      </c>
      <c r="AL6809" t="s">
        <v>136</v>
      </c>
      <c r="AM6809">
        <v>3811</v>
      </c>
      <c r="AN6809" t="s">
        <v>1064</v>
      </c>
      <c r="AO6809" t="s">
        <v>410</v>
      </c>
      <c r="AP6809" t="s">
        <v>126</v>
      </c>
      <c r="AQ6809" t="s">
        <v>207</v>
      </c>
      <c r="AR6809" t="s">
        <v>101</v>
      </c>
      <c r="AS6809">
        <v>3811</v>
      </c>
      <c r="AT6809" t="s">
        <v>486</v>
      </c>
      <c r="AU6809" t="s">
        <v>382</v>
      </c>
      <c r="AV6809" t="s">
        <v>442</v>
      </c>
      <c r="AW6809" t="s">
        <v>382</v>
      </c>
      <c r="AX6809" t="s">
        <v>105</v>
      </c>
      <c r="AY6809">
        <v>3811</v>
      </c>
      <c r="AZ6809" t="s">
        <v>1020</v>
      </c>
      <c r="BA6809" t="s">
        <v>444</v>
      </c>
      <c r="BB6809" t="s">
        <v>123</v>
      </c>
      <c r="BC6809" t="s">
        <v>712</v>
      </c>
      <c r="BD6809" t="s">
        <v>141</v>
      </c>
      <c r="BE6809">
        <v>3811</v>
      </c>
      <c r="BF6809" t="s">
        <v>300</v>
      </c>
      <c r="BG6809" t="s">
        <v>151</v>
      </c>
      <c r="BH6809" t="s">
        <v>1059</v>
      </c>
      <c r="BI6809" t="s">
        <v>126</v>
      </c>
      <c r="BJ6809" t="s">
        <v>382</v>
      </c>
      <c r="BK6809">
        <v>3811</v>
      </c>
      <c r="BL6809" t="s">
        <v>908</v>
      </c>
      <c r="BM6809" t="s">
        <v>291</v>
      </c>
      <c r="BN6809" t="s">
        <v>123</v>
      </c>
      <c r="BO6809" t="s">
        <v>107</v>
      </c>
      <c r="BP6809" t="s">
        <v>141</v>
      </c>
    </row>
    <row r="6810" spans="1:68" x14ac:dyDescent="0.3">
      <c r="A6810" t="s">
        <v>49</v>
      </c>
      <c r="B6810" t="s">
        <v>340</v>
      </c>
      <c r="C6810">
        <v>9320</v>
      </c>
      <c r="D6810" t="s">
        <v>430</v>
      </c>
      <c r="E6810" t="s">
        <v>121</v>
      </c>
      <c r="F6810" t="s">
        <v>353</v>
      </c>
      <c r="G6810" t="s">
        <v>127</v>
      </c>
      <c r="H6810" t="s">
        <v>147</v>
      </c>
      <c r="I6810">
        <v>9320</v>
      </c>
      <c r="J6810" t="s">
        <v>1327</v>
      </c>
      <c r="K6810" t="s">
        <v>110</v>
      </c>
      <c r="L6810" t="s">
        <v>218</v>
      </c>
      <c r="M6810" t="s">
        <v>292</v>
      </c>
      <c r="N6810" t="s">
        <v>175</v>
      </c>
      <c r="O6810">
        <v>9320</v>
      </c>
      <c r="P6810" t="s">
        <v>263</v>
      </c>
      <c r="Q6810" t="s">
        <v>253</v>
      </c>
      <c r="R6810" t="s">
        <v>474</v>
      </c>
      <c r="S6810" t="s">
        <v>123</v>
      </c>
      <c r="T6810" t="s">
        <v>184</v>
      </c>
      <c r="U6810">
        <v>9320</v>
      </c>
      <c r="V6810" t="s">
        <v>366</v>
      </c>
      <c r="W6810" t="s">
        <v>198</v>
      </c>
      <c r="X6810" t="s">
        <v>150</v>
      </c>
      <c r="Y6810" t="s">
        <v>123</v>
      </c>
      <c r="Z6810" t="s">
        <v>382</v>
      </c>
      <c r="AA6810">
        <v>9320</v>
      </c>
      <c r="AB6810" t="s">
        <v>261</v>
      </c>
      <c r="AC6810" t="s">
        <v>207</v>
      </c>
      <c r="AD6810" t="s">
        <v>110</v>
      </c>
      <c r="AE6810" t="s">
        <v>127</v>
      </c>
      <c r="AF6810" t="s">
        <v>726</v>
      </c>
      <c r="AG6810">
        <v>9320</v>
      </c>
      <c r="AH6810" t="s">
        <v>1171</v>
      </c>
      <c r="AI6810" t="s">
        <v>370</v>
      </c>
      <c r="AJ6810" t="s">
        <v>127</v>
      </c>
      <c r="AK6810" t="s">
        <v>103</v>
      </c>
      <c r="AL6810" t="s">
        <v>198</v>
      </c>
      <c r="AM6810">
        <v>9320</v>
      </c>
      <c r="AN6810" t="s">
        <v>200</v>
      </c>
      <c r="AO6810" t="s">
        <v>294</v>
      </c>
      <c r="AP6810" t="s">
        <v>127</v>
      </c>
      <c r="AQ6810" t="s">
        <v>104</v>
      </c>
      <c r="AR6810" t="s">
        <v>207</v>
      </c>
      <c r="AS6810">
        <v>9320</v>
      </c>
      <c r="AT6810" t="s">
        <v>537</v>
      </c>
      <c r="AU6810" t="s">
        <v>115</v>
      </c>
      <c r="AV6810" t="s">
        <v>233</v>
      </c>
      <c r="AW6810" t="s">
        <v>123</v>
      </c>
      <c r="AX6810" t="s">
        <v>128</v>
      </c>
      <c r="AY6810">
        <v>9320</v>
      </c>
      <c r="AZ6810" t="s">
        <v>1135</v>
      </c>
      <c r="BA6810" t="s">
        <v>182</v>
      </c>
      <c r="BB6810" t="s">
        <v>151</v>
      </c>
      <c r="BC6810" t="s">
        <v>105</v>
      </c>
      <c r="BD6810" t="s">
        <v>136</v>
      </c>
      <c r="BE6810">
        <v>9320</v>
      </c>
      <c r="BF6810" t="s">
        <v>785</v>
      </c>
      <c r="BG6810" t="s">
        <v>141</v>
      </c>
      <c r="BH6810" t="s">
        <v>685</v>
      </c>
      <c r="BI6810" t="s">
        <v>127</v>
      </c>
      <c r="BJ6810" t="s">
        <v>132</v>
      </c>
      <c r="BK6810">
        <v>9320</v>
      </c>
      <c r="BL6810" t="s">
        <v>172</v>
      </c>
      <c r="BM6810" t="s">
        <v>664</v>
      </c>
      <c r="BN6810" t="s">
        <v>123</v>
      </c>
      <c r="BO6810" t="s">
        <v>100</v>
      </c>
      <c r="BP6810" t="s">
        <v>207</v>
      </c>
    </row>
    <row r="6811" spans="1:68" x14ac:dyDescent="0.3">
      <c r="A6811" t="s">
        <v>49</v>
      </c>
      <c r="B6811" t="s">
        <v>365</v>
      </c>
      <c r="C6811">
        <v>191</v>
      </c>
      <c r="D6811" t="s">
        <v>889</v>
      </c>
      <c r="E6811" t="s">
        <v>141</v>
      </c>
      <c r="F6811" t="s">
        <v>144</v>
      </c>
      <c r="G6811" t="s">
        <v>127</v>
      </c>
      <c r="H6811" t="s">
        <v>292</v>
      </c>
      <c r="I6811">
        <v>191</v>
      </c>
      <c r="J6811" t="s">
        <v>1228</v>
      </c>
      <c r="K6811" t="s">
        <v>109</v>
      </c>
      <c r="L6811" t="s">
        <v>679</v>
      </c>
      <c r="M6811" t="s">
        <v>141</v>
      </c>
      <c r="N6811" t="s">
        <v>716</v>
      </c>
      <c r="O6811">
        <v>191</v>
      </c>
      <c r="P6811" t="s">
        <v>356</v>
      </c>
      <c r="Q6811" t="s">
        <v>141</v>
      </c>
      <c r="R6811" t="s">
        <v>154</v>
      </c>
      <c r="S6811" t="s">
        <v>253</v>
      </c>
      <c r="T6811" t="s">
        <v>125</v>
      </c>
      <c r="U6811">
        <v>191</v>
      </c>
      <c r="V6811" t="s">
        <v>415</v>
      </c>
      <c r="W6811" t="s">
        <v>141</v>
      </c>
      <c r="X6811" t="s">
        <v>139</v>
      </c>
      <c r="Y6811" t="s">
        <v>141</v>
      </c>
      <c r="Z6811" t="s">
        <v>207</v>
      </c>
      <c r="AA6811">
        <v>191</v>
      </c>
      <c r="AB6811" t="s">
        <v>245</v>
      </c>
      <c r="AC6811" t="s">
        <v>141</v>
      </c>
      <c r="AD6811" t="s">
        <v>253</v>
      </c>
      <c r="AE6811" t="s">
        <v>141</v>
      </c>
      <c r="AF6811" t="s">
        <v>702</v>
      </c>
      <c r="AG6811">
        <v>191</v>
      </c>
      <c r="AH6811" t="s">
        <v>356</v>
      </c>
      <c r="AI6811" t="s">
        <v>125</v>
      </c>
      <c r="AJ6811" t="s">
        <v>141</v>
      </c>
      <c r="AK6811" t="s">
        <v>154</v>
      </c>
      <c r="AL6811" t="s">
        <v>141</v>
      </c>
      <c r="AM6811">
        <v>191</v>
      </c>
      <c r="AN6811" t="s">
        <v>77</v>
      </c>
      <c r="AO6811" t="s">
        <v>291</v>
      </c>
      <c r="AP6811" t="s">
        <v>127</v>
      </c>
      <c r="AQ6811" t="s">
        <v>99</v>
      </c>
      <c r="AR6811" t="s">
        <v>100</v>
      </c>
      <c r="AS6811">
        <v>191</v>
      </c>
      <c r="AT6811" t="s">
        <v>161</v>
      </c>
      <c r="AU6811" t="s">
        <v>141</v>
      </c>
      <c r="AV6811" t="s">
        <v>138</v>
      </c>
      <c r="AW6811" t="s">
        <v>127</v>
      </c>
      <c r="AX6811" t="s">
        <v>382</v>
      </c>
      <c r="AY6811">
        <v>191</v>
      </c>
      <c r="AZ6811" t="s">
        <v>250</v>
      </c>
      <c r="BA6811" t="s">
        <v>254</v>
      </c>
      <c r="BB6811" t="s">
        <v>141</v>
      </c>
      <c r="BC6811" t="s">
        <v>316</v>
      </c>
      <c r="BD6811" t="s">
        <v>141</v>
      </c>
      <c r="BE6811">
        <v>191</v>
      </c>
      <c r="BF6811" t="s">
        <v>252</v>
      </c>
      <c r="BG6811" t="s">
        <v>108</v>
      </c>
      <c r="BH6811" t="s">
        <v>145</v>
      </c>
      <c r="BI6811" t="s">
        <v>141</v>
      </c>
      <c r="BJ6811" t="s">
        <v>207</v>
      </c>
      <c r="BK6811">
        <v>191</v>
      </c>
      <c r="BL6811" t="s">
        <v>1282</v>
      </c>
      <c r="BM6811" t="s">
        <v>109</v>
      </c>
      <c r="BN6811" t="s">
        <v>141</v>
      </c>
      <c r="BO6811" t="s">
        <v>107</v>
      </c>
      <c r="BP6811" t="s">
        <v>141</v>
      </c>
    </row>
    <row r="6813" spans="1:68" x14ac:dyDescent="0.3">
      <c r="A6813" t="s">
        <v>2202</v>
      </c>
    </row>
    <row r="6814" spans="1:68" x14ac:dyDescent="0.3">
      <c r="A6814" t="s">
        <v>44</v>
      </c>
      <c r="B6814" t="s">
        <v>235</v>
      </c>
      <c r="C6814" t="s">
        <v>2135</v>
      </c>
      <c r="D6814" t="s">
        <v>2136</v>
      </c>
      <c r="E6814" t="s">
        <v>2137</v>
      </c>
      <c r="F6814" t="s">
        <v>2138</v>
      </c>
      <c r="G6814" t="s">
        <v>2139</v>
      </c>
      <c r="H6814" t="s">
        <v>2140</v>
      </c>
      <c r="I6814" t="s">
        <v>2141</v>
      </c>
      <c r="J6814" t="s">
        <v>2142</v>
      </c>
      <c r="K6814" t="s">
        <v>2143</v>
      </c>
      <c r="L6814" t="s">
        <v>2144</v>
      </c>
      <c r="M6814" t="s">
        <v>2145</v>
      </c>
      <c r="N6814" t="s">
        <v>2146</v>
      </c>
      <c r="O6814" t="s">
        <v>2147</v>
      </c>
      <c r="P6814" t="s">
        <v>2148</v>
      </c>
      <c r="Q6814" t="s">
        <v>2149</v>
      </c>
      <c r="R6814" t="s">
        <v>2150</v>
      </c>
      <c r="S6814" t="s">
        <v>2151</v>
      </c>
      <c r="T6814" t="s">
        <v>2152</v>
      </c>
      <c r="U6814" t="s">
        <v>2153</v>
      </c>
      <c r="V6814" t="s">
        <v>2154</v>
      </c>
      <c r="W6814" t="s">
        <v>2155</v>
      </c>
      <c r="X6814" t="s">
        <v>2156</v>
      </c>
      <c r="Y6814" t="s">
        <v>2157</v>
      </c>
      <c r="Z6814" t="s">
        <v>2158</v>
      </c>
      <c r="AA6814" t="s">
        <v>2159</v>
      </c>
      <c r="AB6814" t="s">
        <v>2160</v>
      </c>
      <c r="AC6814" t="s">
        <v>2161</v>
      </c>
      <c r="AD6814" t="s">
        <v>2162</v>
      </c>
      <c r="AE6814" t="s">
        <v>2163</v>
      </c>
      <c r="AF6814" t="s">
        <v>2164</v>
      </c>
      <c r="AG6814" t="s">
        <v>2165</v>
      </c>
      <c r="AH6814" t="s">
        <v>2166</v>
      </c>
      <c r="AI6814" t="s">
        <v>2167</v>
      </c>
      <c r="AJ6814" t="s">
        <v>2168</v>
      </c>
      <c r="AK6814" t="s">
        <v>2169</v>
      </c>
      <c r="AL6814" t="s">
        <v>2170</v>
      </c>
      <c r="AM6814" t="s">
        <v>2171</v>
      </c>
      <c r="AN6814" t="s">
        <v>2172</v>
      </c>
      <c r="AO6814" t="s">
        <v>2173</v>
      </c>
      <c r="AP6814" t="s">
        <v>2174</v>
      </c>
      <c r="AQ6814" t="s">
        <v>2175</v>
      </c>
      <c r="AR6814" t="s">
        <v>2176</v>
      </c>
      <c r="AS6814" t="s">
        <v>2177</v>
      </c>
      <c r="AT6814" t="s">
        <v>2178</v>
      </c>
      <c r="AU6814" t="s">
        <v>2179</v>
      </c>
      <c r="AV6814" t="s">
        <v>2180</v>
      </c>
      <c r="AW6814" t="s">
        <v>2181</v>
      </c>
      <c r="AX6814" t="s">
        <v>2182</v>
      </c>
      <c r="AY6814" t="s">
        <v>2183</v>
      </c>
      <c r="AZ6814" t="s">
        <v>2184</v>
      </c>
      <c r="BA6814" t="s">
        <v>2185</v>
      </c>
      <c r="BB6814" t="s">
        <v>2186</v>
      </c>
      <c r="BC6814" t="s">
        <v>2187</v>
      </c>
      <c r="BD6814" t="s">
        <v>2188</v>
      </c>
      <c r="BE6814" t="s">
        <v>2189</v>
      </c>
      <c r="BF6814" t="s">
        <v>2190</v>
      </c>
      <c r="BG6814" t="s">
        <v>2191</v>
      </c>
      <c r="BH6814" t="s">
        <v>2192</v>
      </c>
      <c r="BI6814" t="s">
        <v>2193</v>
      </c>
      <c r="BJ6814" t="s">
        <v>2194</v>
      </c>
      <c r="BK6814" t="s">
        <v>2195</v>
      </c>
      <c r="BL6814" t="s">
        <v>2196</v>
      </c>
      <c r="BM6814" t="s">
        <v>2197</v>
      </c>
      <c r="BN6814" t="s">
        <v>2198</v>
      </c>
      <c r="BO6814" t="s">
        <v>2199</v>
      </c>
      <c r="BP6814" t="s">
        <v>2200</v>
      </c>
    </row>
    <row r="6815" spans="1:68" x14ac:dyDescent="0.3">
      <c r="A6815" t="s">
        <v>35</v>
      </c>
      <c r="B6815" t="s">
        <v>236</v>
      </c>
      <c r="C6815">
        <v>1610</v>
      </c>
      <c r="D6815" t="s">
        <v>460</v>
      </c>
      <c r="E6815" t="s">
        <v>126</v>
      </c>
      <c r="F6815" t="s">
        <v>408</v>
      </c>
      <c r="G6815" t="s">
        <v>114</v>
      </c>
      <c r="H6815" t="s">
        <v>127</v>
      </c>
      <c r="I6815">
        <v>1610</v>
      </c>
      <c r="J6815" t="s">
        <v>284</v>
      </c>
      <c r="K6815" t="s">
        <v>112</v>
      </c>
      <c r="L6815" t="s">
        <v>289</v>
      </c>
      <c r="M6815" t="s">
        <v>319</v>
      </c>
      <c r="N6815" t="s">
        <v>444</v>
      </c>
      <c r="O6815">
        <v>1610</v>
      </c>
      <c r="P6815" t="s">
        <v>1137</v>
      </c>
      <c r="Q6815" t="s">
        <v>141</v>
      </c>
      <c r="R6815" t="s">
        <v>135</v>
      </c>
      <c r="S6815" t="s">
        <v>100</v>
      </c>
      <c r="T6815" t="s">
        <v>125</v>
      </c>
      <c r="U6815">
        <v>1610</v>
      </c>
      <c r="V6815" t="s">
        <v>430</v>
      </c>
      <c r="W6815" t="s">
        <v>198</v>
      </c>
      <c r="X6815" t="s">
        <v>163</v>
      </c>
      <c r="Y6815" t="s">
        <v>121</v>
      </c>
      <c r="Z6815" t="s">
        <v>101</v>
      </c>
      <c r="AA6815">
        <v>1610</v>
      </c>
      <c r="AB6815" t="s">
        <v>541</v>
      </c>
      <c r="AC6815" t="s">
        <v>114</v>
      </c>
      <c r="AD6815" t="s">
        <v>363</v>
      </c>
      <c r="AE6815" t="s">
        <v>114</v>
      </c>
      <c r="AF6815" t="s">
        <v>167</v>
      </c>
      <c r="AG6815">
        <v>1610</v>
      </c>
      <c r="AH6815" t="s">
        <v>1478</v>
      </c>
      <c r="AI6815" t="s">
        <v>432</v>
      </c>
      <c r="AJ6815" t="s">
        <v>100</v>
      </c>
      <c r="AK6815" t="s">
        <v>151</v>
      </c>
      <c r="AL6815" t="s">
        <v>136</v>
      </c>
      <c r="AM6815">
        <v>1610</v>
      </c>
      <c r="AN6815" t="s">
        <v>477</v>
      </c>
      <c r="AO6815" t="s">
        <v>132</v>
      </c>
      <c r="AP6815" t="s">
        <v>687</v>
      </c>
      <c r="AQ6815" t="s">
        <v>114</v>
      </c>
      <c r="AR6815" t="s">
        <v>198</v>
      </c>
      <c r="AS6815">
        <v>1610</v>
      </c>
      <c r="AT6815" t="s">
        <v>1628</v>
      </c>
      <c r="AU6815" t="s">
        <v>114</v>
      </c>
      <c r="AV6815" t="s">
        <v>482</v>
      </c>
      <c r="AW6815" t="s">
        <v>100</v>
      </c>
      <c r="AX6815" t="s">
        <v>120</v>
      </c>
      <c r="AY6815">
        <v>1610</v>
      </c>
      <c r="AZ6815" t="s">
        <v>785</v>
      </c>
      <c r="BA6815" t="s">
        <v>294</v>
      </c>
      <c r="BB6815" t="s">
        <v>114</v>
      </c>
      <c r="BC6815" t="s">
        <v>154</v>
      </c>
      <c r="BD6815" t="s">
        <v>198</v>
      </c>
      <c r="BE6815">
        <v>1610</v>
      </c>
      <c r="BF6815" t="s">
        <v>547</v>
      </c>
      <c r="BG6815" t="s">
        <v>108</v>
      </c>
      <c r="BH6815" t="s">
        <v>406</v>
      </c>
      <c r="BI6815" t="s">
        <v>108</v>
      </c>
      <c r="BJ6815" t="s">
        <v>253</v>
      </c>
      <c r="BK6815">
        <v>1610</v>
      </c>
      <c r="BL6815" t="s">
        <v>320</v>
      </c>
      <c r="BM6815" t="s">
        <v>218</v>
      </c>
      <c r="BN6815" t="s">
        <v>100</v>
      </c>
      <c r="BO6815" t="s">
        <v>132</v>
      </c>
      <c r="BP6815" t="s">
        <v>253</v>
      </c>
    </row>
    <row r="6816" spans="1:68" x14ac:dyDescent="0.3">
      <c r="A6816" t="s">
        <v>35</v>
      </c>
      <c r="B6816" t="s">
        <v>238</v>
      </c>
      <c r="C6816">
        <v>1535</v>
      </c>
      <c r="D6816" t="s">
        <v>968</v>
      </c>
      <c r="E6816" t="s">
        <v>268</v>
      </c>
      <c r="F6816" t="s">
        <v>206</v>
      </c>
      <c r="G6816" t="s">
        <v>115</v>
      </c>
      <c r="H6816" t="s">
        <v>684</v>
      </c>
      <c r="I6816">
        <v>1535</v>
      </c>
      <c r="J6816" t="s">
        <v>55</v>
      </c>
      <c r="K6816" t="s">
        <v>158</v>
      </c>
      <c r="L6816" t="s">
        <v>173</v>
      </c>
      <c r="M6816" t="s">
        <v>100</v>
      </c>
      <c r="N6816" t="s">
        <v>201</v>
      </c>
      <c r="O6816">
        <v>1535</v>
      </c>
      <c r="P6816" t="s">
        <v>763</v>
      </c>
      <c r="Q6816" t="s">
        <v>215</v>
      </c>
      <c r="R6816" t="s">
        <v>110</v>
      </c>
      <c r="S6816" t="s">
        <v>132</v>
      </c>
      <c r="T6816" t="s">
        <v>677</v>
      </c>
      <c r="U6816">
        <v>1535</v>
      </c>
      <c r="V6816" t="s">
        <v>176</v>
      </c>
      <c r="W6816" t="s">
        <v>253</v>
      </c>
      <c r="X6816" t="s">
        <v>679</v>
      </c>
      <c r="Y6816" t="s">
        <v>100</v>
      </c>
      <c r="Z6816" t="s">
        <v>412</v>
      </c>
      <c r="AA6816">
        <v>1535</v>
      </c>
      <c r="AB6816" t="s">
        <v>1329</v>
      </c>
      <c r="AC6816" t="s">
        <v>114</v>
      </c>
      <c r="AD6816" t="s">
        <v>112</v>
      </c>
      <c r="AE6816" t="s">
        <v>108</v>
      </c>
      <c r="AF6816" t="s">
        <v>832</v>
      </c>
      <c r="AG6816">
        <v>1535</v>
      </c>
      <c r="AH6816" t="s">
        <v>568</v>
      </c>
      <c r="AI6816" t="s">
        <v>691</v>
      </c>
      <c r="AJ6816" t="s">
        <v>132</v>
      </c>
      <c r="AK6816" t="s">
        <v>149</v>
      </c>
      <c r="AL6816" t="s">
        <v>104</v>
      </c>
      <c r="AM6816">
        <v>1535</v>
      </c>
      <c r="AN6816" t="s">
        <v>912</v>
      </c>
      <c r="AO6816" t="s">
        <v>121</v>
      </c>
      <c r="AP6816" t="s">
        <v>738</v>
      </c>
      <c r="AQ6816" t="s">
        <v>115</v>
      </c>
      <c r="AR6816" t="s">
        <v>141</v>
      </c>
      <c r="AS6816">
        <v>1535</v>
      </c>
      <c r="AT6816" t="s">
        <v>968</v>
      </c>
      <c r="AU6816" t="s">
        <v>121</v>
      </c>
      <c r="AV6816" t="s">
        <v>264</v>
      </c>
      <c r="AW6816" t="s">
        <v>132</v>
      </c>
      <c r="AX6816" t="s">
        <v>118</v>
      </c>
      <c r="AY6816">
        <v>1535</v>
      </c>
      <c r="AZ6816" t="s">
        <v>187</v>
      </c>
      <c r="BA6816" t="s">
        <v>287</v>
      </c>
      <c r="BB6816" t="s">
        <v>114</v>
      </c>
      <c r="BC6816" t="s">
        <v>157</v>
      </c>
      <c r="BD6816" t="s">
        <v>121</v>
      </c>
      <c r="BE6816">
        <v>1535</v>
      </c>
      <c r="BF6816" t="s">
        <v>492</v>
      </c>
      <c r="BG6816" t="s">
        <v>382</v>
      </c>
      <c r="BH6816" t="s">
        <v>798</v>
      </c>
      <c r="BI6816" t="s">
        <v>115</v>
      </c>
      <c r="BJ6816" t="s">
        <v>111</v>
      </c>
      <c r="BK6816">
        <v>1535</v>
      </c>
      <c r="BL6816" t="s">
        <v>1007</v>
      </c>
      <c r="BM6816" t="s">
        <v>363</v>
      </c>
      <c r="BN6816" t="s">
        <v>132</v>
      </c>
      <c r="BO6816" t="s">
        <v>120</v>
      </c>
      <c r="BP6816" t="s">
        <v>115</v>
      </c>
    </row>
    <row r="6817" spans="1:68" x14ac:dyDescent="0.3">
      <c r="A6817" t="s">
        <v>37</v>
      </c>
      <c r="B6817" t="s">
        <v>236</v>
      </c>
      <c r="C6817">
        <v>2211</v>
      </c>
      <c r="D6817" t="s">
        <v>784</v>
      </c>
      <c r="E6817" t="s">
        <v>121</v>
      </c>
      <c r="F6817" t="s">
        <v>470</v>
      </c>
      <c r="G6817" t="s">
        <v>151</v>
      </c>
      <c r="H6817" t="s">
        <v>332</v>
      </c>
      <c r="I6817">
        <v>2211</v>
      </c>
      <c r="J6817" t="s">
        <v>1122</v>
      </c>
      <c r="K6817" t="s">
        <v>110</v>
      </c>
      <c r="L6817" t="s">
        <v>206</v>
      </c>
      <c r="M6817" t="s">
        <v>268</v>
      </c>
      <c r="N6817" t="s">
        <v>523</v>
      </c>
      <c r="O6817">
        <v>2211</v>
      </c>
      <c r="P6817" t="s">
        <v>612</v>
      </c>
      <c r="Q6817" t="s">
        <v>115</v>
      </c>
      <c r="R6817" t="s">
        <v>145</v>
      </c>
      <c r="S6817" t="s">
        <v>292</v>
      </c>
      <c r="T6817" t="s">
        <v>254</v>
      </c>
      <c r="U6817">
        <v>2211</v>
      </c>
      <c r="V6817" t="s">
        <v>537</v>
      </c>
      <c r="W6817" t="s">
        <v>198</v>
      </c>
      <c r="X6817" t="s">
        <v>315</v>
      </c>
      <c r="Y6817" t="s">
        <v>127</v>
      </c>
      <c r="Z6817" t="s">
        <v>103</v>
      </c>
      <c r="AA6817">
        <v>2211</v>
      </c>
      <c r="AB6817" t="s">
        <v>1246</v>
      </c>
      <c r="AC6817" t="s">
        <v>253</v>
      </c>
      <c r="AD6817" t="s">
        <v>325</v>
      </c>
      <c r="AE6817" t="s">
        <v>123</v>
      </c>
      <c r="AF6817" t="s">
        <v>231</v>
      </c>
      <c r="AG6817">
        <v>2211</v>
      </c>
      <c r="AH6817" t="s">
        <v>1174</v>
      </c>
      <c r="AI6817" t="s">
        <v>743</v>
      </c>
      <c r="AJ6817" t="s">
        <v>127</v>
      </c>
      <c r="AK6817" t="s">
        <v>105</v>
      </c>
      <c r="AL6817" t="s">
        <v>207</v>
      </c>
      <c r="AM6817">
        <v>2211</v>
      </c>
      <c r="AN6817" t="s">
        <v>885</v>
      </c>
      <c r="AO6817" t="s">
        <v>136</v>
      </c>
      <c r="AP6817" t="s">
        <v>714</v>
      </c>
      <c r="AQ6817" t="s">
        <v>123</v>
      </c>
      <c r="AR6817" t="s">
        <v>198</v>
      </c>
      <c r="AS6817">
        <v>2211</v>
      </c>
      <c r="AT6817" t="s">
        <v>1407</v>
      </c>
      <c r="AU6817" t="s">
        <v>319</v>
      </c>
      <c r="AV6817" t="s">
        <v>701</v>
      </c>
      <c r="AW6817" t="s">
        <v>151</v>
      </c>
      <c r="AX6817" t="s">
        <v>120</v>
      </c>
      <c r="AY6817">
        <v>2211</v>
      </c>
      <c r="AZ6817" t="s">
        <v>261</v>
      </c>
      <c r="BA6817" t="s">
        <v>255</v>
      </c>
      <c r="BB6817" t="s">
        <v>111</v>
      </c>
      <c r="BC6817" t="s">
        <v>105</v>
      </c>
      <c r="BD6817" t="s">
        <v>207</v>
      </c>
      <c r="BE6817">
        <v>2211</v>
      </c>
      <c r="BF6817" t="s">
        <v>1619</v>
      </c>
      <c r="BG6817" t="s">
        <v>253</v>
      </c>
      <c r="BH6817" t="s">
        <v>491</v>
      </c>
      <c r="BI6817" t="s">
        <v>127</v>
      </c>
      <c r="BJ6817" t="s">
        <v>141</v>
      </c>
      <c r="BK6817">
        <v>2211</v>
      </c>
      <c r="BL6817" t="s">
        <v>286</v>
      </c>
      <c r="BM6817" t="s">
        <v>461</v>
      </c>
      <c r="BN6817" t="s">
        <v>292</v>
      </c>
      <c r="BO6817" t="s">
        <v>126</v>
      </c>
      <c r="BP6817" t="s">
        <v>207</v>
      </c>
    </row>
    <row r="6818" spans="1:68" x14ac:dyDescent="0.3">
      <c r="A6818" t="s">
        <v>37</v>
      </c>
      <c r="B6818" t="s">
        <v>238</v>
      </c>
      <c r="C6818">
        <v>1644</v>
      </c>
      <c r="D6818" t="s">
        <v>407</v>
      </c>
      <c r="E6818" t="s">
        <v>114</v>
      </c>
      <c r="F6818" t="s">
        <v>160</v>
      </c>
      <c r="G6818" t="s">
        <v>434</v>
      </c>
      <c r="H6818" t="s">
        <v>118</v>
      </c>
      <c r="I6818">
        <v>1644</v>
      </c>
      <c r="J6818" t="s">
        <v>280</v>
      </c>
      <c r="K6818" t="s">
        <v>105</v>
      </c>
      <c r="L6818" t="s">
        <v>353</v>
      </c>
      <c r="M6818" t="s">
        <v>139</v>
      </c>
      <c r="N6818" t="s">
        <v>372</v>
      </c>
      <c r="O6818">
        <v>1644</v>
      </c>
      <c r="P6818" t="s">
        <v>612</v>
      </c>
      <c r="Q6818" t="s">
        <v>141</v>
      </c>
      <c r="R6818" t="s">
        <v>135</v>
      </c>
      <c r="S6818" t="s">
        <v>434</v>
      </c>
      <c r="T6818" t="s">
        <v>110</v>
      </c>
      <c r="U6818">
        <v>1644</v>
      </c>
      <c r="V6818" t="s">
        <v>243</v>
      </c>
      <c r="W6818" t="s">
        <v>104</v>
      </c>
      <c r="X6818" t="s">
        <v>133</v>
      </c>
      <c r="Y6818" t="s">
        <v>434</v>
      </c>
      <c r="Z6818" t="s">
        <v>126</v>
      </c>
      <c r="AA6818">
        <v>1644</v>
      </c>
      <c r="AB6818" t="s">
        <v>397</v>
      </c>
      <c r="AC6818" t="s">
        <v>253</v>
      </c>
      <c r="AD6818" t="s">
        <v>143</v>
      </c>
      <c r="AE6818" t="s">
        <v>130</v>
      </c>
      <c r="AF6818" t="s">
        <v>461</v>
      </c>
      <c r="AG6818">
        <v>1644</v>
      </c>
      <c r="AH6818" t="s">
        <v>1364</v>
      </c>
      <c r="AI6818" t="s">
        <v>373</v>
      </c>
      <c r="AJ6818" t="s">
        <v>434</v>
      </c>
      <c r="AK6818" t="s">
        <v>127</v>
      </c>
      <c r="AL6818" t="s">
        <v>104</v>
      </c>
      <c r="AM6818">
        <v>1644</v>
      </c>
      <c r="AN6818" t="s">
        <v>1137</v>
      </c>
      <c r="AO6818" t="s">
        <v>198</v>
      </c>
      <c r="AP6818" t="s">
        <v>688</v>
      </c>
      <c r="AQ6818" t="s">
        <v>712</v>
      </c>
      <c r="AR6818" t="s">
        <v>104</v>
      </c>
      <c r="AS6818">
        <v>1644</v>
      </c>
      <c r="AT6818" t="s">
        <v>1023</v>
      </c>
      <c r="AU6818" t="s">
        <v>132</v>
      </c>
      <c r="AV6818" t="s">
        <v>244</v>
      </c>
      <c r="AW6818" t="s">
        <v>130</v>
      </c>
      <c r="AX6818" t="s">
        <v>121</v>
      </c>
      <c r="AY6818">
        <v>1644</v>
      </c>
      <c r="AZ6818" t="s">
        <v>397</v>
      </c>
      <c r="BA6818" t="s">
        <v>218</v>
      </c>
      <c r="BB6818" t="s">
        <v>474</v>
      </c>
      <c r="BC6818" t="s">
        <v>268</v>
      </c>
      <c r="BD6818" t="s">
        <v>198</v>
      </c>
      <c r="BE6818">
        <v>1644</v>
      </c>
      <c r="BF6818" t="s">
        <v>1023</v>
      </c>
      <c r="BG6818" t="s">
        <v>115</v>
      </c>
      <c r="BH6818" t="s">
        <v>76</v>
      </c>
      <c r="BI6818" t="s">
        <v>434</v>
      </c>
      <c r="BJ6818" t="s">
        <v>115</v>
      </c>
      <c r="BK6818">
        <v>1644</v>
      </c>
      <c r="BL6818" t="s">
        <v>430</v>
      </c>
      <c r="BM6818" t="s">
        <v>248</v>
      </c>
      <c r="BN6818" t="s">
        <v>474</v>
      </c>
      <c r="BO6818" t="s">
        <v>101</v>
      </c>
      <c r="BP6818" t="s">
        <v>198</v>
      </c>
    </row>
    <row r="6819" spans="1:68" x14ac:dyDescent="0.3">
      <c r="A6819" t="s">
        <v>36</v>
      </c>
      <c r="B6819" t="s">
        <v>236</v>
      </c>
      <c r="C6819">
        <v>1566</v>
      </c>
      <c r="D6819" t="s">
        <v>286</v>
      </c>
      <c r="E6819" t="s">
        <v>126</v>
      </c>
      <c r="F6819" t="s">
        <v>144</v>
      </c>
      <c r="G6819" t="s">
        <v>198</v>
      </c>
      <c r="H6819" t="s">
        <v>412</v>
      </c>
      <c r="I6819">
        <v>1566</v>
      </c>
      <c r="J6819" t="s">
        <v>1455</v>
      </c>
      <c r="K6819" t="s">
        <v>149</v>
      </c>
      <c r="L6819" t="s">
        <v>305</v>
      </c>
      <c r="M6819" t="s">
        <v>207</v>
      </c>
      <c r="N6819" t="s">
        <v>440</v>
      </c>
      <c r="O6819">
        <v>1566</v>
      </c>
      <c r="P6819" t="s">
        <v>263</v>
      </c>
      <c r="Q6819" t="s">
        <v>141</v>
      </c>
      <c r="R6819" t="s">
        <v>292</v>
      </c>
      <c r="S6819" t="s">
        <v>104</v>
      </c>
      <c r="T6819" t="s">
        <v>289</v>
      </c>
      <c r="U6819">
        <v>1566</v>
      </c>
      <c r="V6819" t="s">
        <v>467</v>
      </c>
      <c r="W6819" t="s">
        <v>99</v>
      </c>
      <c r="X6819" t="s">
        <v>129</v>
      </c>
      <c r="Y6819" t="s">
        <v>104</v>
      </c>
      <c r="Z6819" t="s">
        <v>382</v>
      </c>
      <c r="AA6819">
        <v>1566</v>
      </c>
      <c r="AB6819" t="s">
        <v>1478</v>
      </c>
      <c r="AC6819" t="s">
        <v>99</v>
      </c>
      <c r="AD6819" t="s">
        <v>151</v>
      </c>
      <c r="AE6819" t="s">
        <v>104</v>
      </c>
      <c r="AF6819" t="s">
        <v>491</v>
      </c>
      <c r="AG6819">
        <v>1566</v>
      </c>
      <c r="AH6819" t="s">
        <v>908</v>
      </c>
      <c r="AI6819" t="s">
        <v>688</v>
      </c>
      <c r="AJ6819" t="s">
        <v>104</v>
      </c>
      <c r="AK6819" t="s">
        <v>134</v>
      </c>
      <c r="AL6819" t="s">
        <v>99</v>
      </c>
      <c r="AM6819">
        <v>1566</v>
      </c>
      <c r="AN6819" t="s">
        <v>329</v>
      </c>
      <c r="AO6819" t="s">
        <v>136</v>
      </c>
      <c r="AP6819" t="s">
        <v>109</v>
      </c>
      <c r="AQ6819" t="s">
        <v>104</v>
      </c>
      <c r="AR6819" t="s">
        <v>104</v>
      </c>
      <c r="AS6819">
        <v>1566</v>
      </c>
      <c r="AT6819" t="s">
        <v>232</v>
      </c>
      <c r="AU6819" t="s">
        <v>198</v>
      </c>
      <c r="AV6819" t="s">
        <v>135</v>
      </c>
      <c r="AW6819" t="s">
        <v>104</v>
      </c>
      <c r="AX6819" t="s">
        <v>332</v>
      </c>
      <c r="AY6819">
        <v>1566</v>
      </c>
      <c r="AZ6819" t="s">
        <v>183</v>
      </c>
      <c r="BA6819" t="s">
        <v>332</v>
      </c>
      <c r="BB6819" t="s">
        <v>198</v>
      </c>
      <c r="BC6819" t="s">
        <v>277</v>
      </c>
      <c r="BD6819" t="s">
        <v>207</v>
      </c>
      <c r="BE6819">
        <v>1566</v>
      </c>
      <c r="BF6819" t="s">
        <v>854</v>
      </c>
      <c r="BG6819" t="s">
        <v>136</v>
      </c>
      <c r="BH6819" t="s">
        <v>233</v>
      </c>
      <c r="BI6819" t="s">
        <v>104</v>
      </c>
      <c r="BJ6819" t="s">
        <v>101</v>
      </c>
      <c r="BK6819">
        <v>1566</v>
      </c>
      <c r="BL6819" t="s">
        <v>758</v>
      </c>
      <c r="BM6819" t="s">
        <v>434</v>
      </c>
      <c r="BN6819" t="s">
        <v>104</v>
      </c>
      <c r="BO6819" t="s">
        <v>101</v>
      </c>
      <c r="BP6819" t="s">
        <v>99</v>
      </c>
    </row>
    <row r="6820" spans="1:68" x14ac:dyDescent="0.3">
      <c r="A6820" t="s">
        <v>36</v>
      </c>
      <c r="B6820" t="s">
        <v>238</v>
      </c>
      <c r="C6820">
        <v>739</v>
      </c>
      <c r="D6820" t="s">
        <v>450</v>
      </c>
      <c r="E6820" t="s">
        <v>268</v>
      </c>
      <c r="F6820" t="s">
        <v>78</v>
      </c>
      <c r="G6820" t="s">
        <v>207</v>
      </c>
      <c r="H6820" t="s">
        <v>149</v>
      </c>
      <c r="I6820">
        <v>739</v>
      </c>
      <c r="J6820" t="s">
        <v>2101</v>
      </c>
      <c r="K6820" t="s">
        <v>204</v>
      </c>
      <c r="L6820" t="s">
        <v>299</v>
      </c>
      <c r="M6820" t="s">
        <v>141</v>
      </c>
      <c r="N6820" t="s">
        <v>197</v>
      </c>
      <c r="O6820">
        <v>739</v>
      </c>
      <c r="P6820" t="s">
        <v>877</v>
      </c>
      <c r="Q6820" t="s">
        <v>115</v>
      </c>
      <c r="R6820" t="s">
        <v>108</v>
      </c>
      <c r="S6820" t="s">
        <v>136</v>
      </c>
      <c r="T6820" t="s">
        <v>671</v>
      </c>
      <c r="U6820">
        <v>739</v>
      </c>
      <c r="V6820" t="s">
        <v>323</v>
      </c>
      <c r="W6820" t="s">
        <v>141</v>
      </c>
      <c r="X6820" t="s">
        <v>154</v>
      </c>
      <c r="Y6820" t="s">
        <v>198</v>
      </c>
      <c r="Z6820" t="s">
        <v>129</v>
      </c>
      <c r="AA6820">
        <v>739</v>
      </c>
      <c r="AB6820" t="s">
        <v>1079</v>
      </c>
      <c r="AC6820" t="s">
        <v>132</v>
      </c>
      <c r="AD6820" t="s">
        <v>382</v>
      </c>
      <c r="AE6820" t="s">
        <v>136</v>
      </c>
      <c r="AF6820" t="s">
        <v>410</v>
      </c>
      <c r="AG6820">
        <v>739</v>
      </c>
      <c r="AH6820" t="s">
        <v>266</v>
      </c>
      <c r="AI6820" t="s">
        <v>287</v>
      </c>
      <c r="AJ6820" t="s">
        <v>136</v>
      </c>
      <c r="AK6820" t="s">
        <v>105</v>
      </c>
      <c r="AL6820" t="s">
        <v>99</v>
      </c>
      <c r="AM6820">
        <v>739</v>
      </c>
      <c r="AN6820" t="s">
        <v>205</v>
      </c>
      <c r="AO6820" t="s">
        <v>126</v>
      </c>
      <c r="AP6820" t="s">
        <v>179</v>
      </c>
      <c r="AQ6820" t="s">
        <v>198</v>
      </c>
      <c r="AR6820" t="s">
        <v>198</v>
      </c>
      <c r="AS6820">
        <v>739</v>
      </c>
      <c r="AT6820" t="s">
        <v>1276</v>
      </c>
      <c r="AU6820" t="s">
        <v>253</v>
      </c>
      <c r="AV6820" t="s">
        <v>150</v>
      </c>
      <c r="AW6820" t="s">
        <v>207</v>
      </c>
      <c r="AX6820" t="s">
        <v>268</v>
      </c>
      <c r="AY6820">
        <v>739</v>
      </c>
      <c r="AZ6820" t="s">
        <v>172</v>
      </c>
      <c r="BA6820" t="s">
        <v>138</v>
      </c>
      <c r="BB6820" t="s">
        <v>253</v>
      </c>
      <c r="BC6820" t="s">
        <v>254</v>
      </c>
      <c r="BD6820" t="s">
        <v>104</v>
      </c>
      <c r="BE6820">
        <v>739</v>
      </c>
      <c r="BF6820" t="s">
        <v>785</v>
      </c>
      <c r="BG6820" t="s">
        <v>108</v>
      </c>
      <c r="BH6820" t="s">
        <v>672</v>
      </c>
      <c r="BI6820" t="s">
        <v>207</v>
      </c>
      <c r="BJ6820" t="s">
        <v>127</v>
      </c>
      <c r="BK6820">
        <v>739</v>
      </c>
      <c r="BL6820" t="s">
        <v>241</v>
      </c>
      <c r="BM6820" t="s">
        <v>120</v>
      </c>
      <c r="BN6820" t="s">
        <v>253</v>
      </c>
      <c r="BO6820" t="s">
        <v>120</v>
      </c>
      <c r="BP6820" t="s">
        <v>141</v>
      </c>
    </row>
    <row r="6821" spans="1:68" x14ac:dyDescent="0.3">
      <c r="A6821" t="s">
        <v>34</v>
      </c>
      <c r="B6821" t="s">
        <v>236</v>
      </c>
      <c r="C6821">
        <v>717</v>
      </c>
      <c r="D6821" t="s">
        <v>1056</v>
      </c>
      <c r="E6821" t="s">
        <v>154</v>
      </c>
      <c r="F6821" t="s">
        <v>501</v>
      </c>
      <c r="G6821" t="s">
        <v>382</v>
      </c>
      <c r="H6821" t="s">
        <v>138</v>
      </c>
      <c r="I6821">
        <v>717</v>
      </c>
      <c r="J6821" t="s">
        <v>932</v>
      </c>
      <c r="K6821" t="s">
        <v>363</v>
      </c>
      <c r="L6821" t="s">
        <v>1206</v>
      </c>
      <c r="M6821" t="s">
        <v>121</v>
      </c>
      <c r="N6821" t="s">
        <v>370</v>
      </c>
      <c r="O6821">
        <v>717</v>
      </c>
      <c r="P6821" t="s">
        <v>541</v>
      </c>
      <c r="Q6821" t="s">
        <v>136</v>
      </c>
      <c r="R6821" t="s">
        <v>150</v>
      </c>
      <c r="S6821" t="s">
        <v>100</v>
      </c>
      <c r="T6821" t="s">
        <v>432</v>
      </c>
      <c r="U6821">
        <v>717</v>
      </c>
      <c r="V6821" t="s">
        <v>1010</v>
      </c>
      <c r="W6821" t="s">
        <v>136</v>
      </c>
      <c r="X6821" t="s">
        <v>369</v>
      </c>
      <c r="Y6821" t="s">
        <v>100</v>
      </c>
      <c r="Z6821" t="s">
        <v>127</v>
      </c>
      <c r="AA6821">
        <v>717</v>
      </c>
      <c r="AB6821" t="s">
        <v>983</v>
      </c>
      <c r="AC6821" t="s">
        <v>136</v>
      </c>
      <c r="AD6821" t="s">
        <v>152</v>
      </c>
      <c r="AE6821" t="s">
        <v>100</v>
      </c>
      <c r="AF6821" t="s">
        <v>456</v>
      </c>
      <c r="AG6821">
        <v>717</v>
      </c>
      <c r="AH6821" t="s">
        <v>576</v>
      </c>
      <c r="AI6821" t="s">
        <v>515</v>
      </c>
      <c r="AJ6821" t="s">
        <v>100</v>
      </c>
      <c r="AK6821" t="s">
        <v>316</v>
      </c>
      <c r="AL6821" t="s">
        <v>99</v>
      </c>
      <c r="AM6821">
        <v>717</v>
      </c>
      <c r="AN6821" t="s">
        <v>775</v>
      </c>
      <c r="AO6821" t="s">
        <v>108</v>
      </c>
      <c r="AP6821" t="s">
        <v>692</v>
      </c>
      <c r="AQ6821" t="s">
        <v>100</v>
      </c>
      <c r="AR6821" t="s">
        <v>99</v>
      </c>
      <c r="AS6821">
        <v>717</v>
      </c>
      <c r="AT6821" t="s">
        <v>1257</v>
      </c>
      <c r="AU6821" t="s">
        <v>151</v>
      </c>
      <c r="AV6821" t="s">
        <v>457</v>
      </c>
      <c r="AW6821" t="s">
        <v>100</v>
      </c>
      <c r="AX6821" t="s">
        <v>122</v>
      </c>
      <c r="AY6821">
        <v>717</v>
      </c>
      <c r="AZ6821" t="s">
        <v>985</v>
      </c>
      <c r="BA6821" t="s">
        <v>393</v>
      </c>
      <c r="BB6821" t="s">
        <v>319</v>
      </c>
      <c r="BC6821" t="s">
        <v>363</v>
      </c>
      <c r="BD6821" t="s">
        <v>136</v>
      </c>
      <c r="BE6821">
        <v>717</v>
      </c>
      <c r="BF6821" t="s">
        <v>1331</v>
      </c>
      <c r="BG6821" t="s">
        <v>382</v>
      </c>
      <c r="BH6821" t="s">
        <v>960</v>
      </c>
      <c r="BI6821" t="s">
        <v>121</v>
      </c>
      <c r="BJ6821" t="s">
        <v>253</v>
      </c>
      <c r="BK6821">
        <v>717</v>
      </c>
      <c r="BL6821" t="s">
        <v>492</v>
      </c>
      <c r="BM6821" t="s">
        <v>687</v>
      </c>
      <c r="BN6821" t="s">
        <v>319</v>
      </c>
      <c r="BO6821" t="s">
        <v>319</v>
      </c>
      <c r="BP6821" t="s">
        <v>99</v>
      </c>
    </row>
    <row r="6822" spans="1:68" x14ac:dyDescent="0.3">
      <c r="A6822" t="s">
        <v>34</v>
      </c>
      <c r="B6822" t="s">
        <v>238</v>
      </c>
      <c r="C6822">
        <v>1363</v>
      </c>
      <c r="D6822" t="s">
        <v>1166</v>
      </c>
      <c r="E6822" t="s">
        <v>120</v>
      </c>
      <c r="F6822" t="s">
        <v>694</v>
      </c>
      <c r="G6822" t="s">
        <v>111</v>
      </c>
      <c r="H6822" t="s">
        <v>134</v>
      </c>
      <c r="I6822">
        <v>1363</v>
      </c>
      <c r="J6822" t="s">
        <v>826</v>
      </c>
      <c r="K6822" t="s">
        <v>305</v>
      </c>
      <c r="L6822" t="s">
        <v>106</v>
      </c>
      <c r="M6822" t="s">
        <v>151</v>
      </c>
      <c r="N6822" t="s">
        <v>807</v>
      </c>
      <c r="O6822">
        <v>1363</v>
      </c>
      <c r="P6822" t="s">
        <v>1407</v>
      </c>
      <c r="Q6822" t="s">
        <v>319</v>
      </c>
      <c r="R6822" t="s">
        <v>68</v>
      </c>
      <c r="S6822" t="s">
        <v>111</v>
      </c>
      <c r="T6822" t="s">
        <v>746</v>
      </c>
      <c r="U6822">
        <v>1363</v>
      </c>
      <c r="V6822" t="s">
        <v>409</v>
      </c>
      <c r="W6822" t="s">
        <v>104</v>
      </c>
      <c r="X6822" t="s">
        <v>663</v>
      </c>
      <c r="Y6822" t="s">
        <v>123</v>
      </c>
      <c r="Z6822" t="s">
        <v>147</v>
      </c>
      <c r="AA6822">
        <v>1363</v>
      </c>
      <c r="AB6822" t="s">
        <v>1155</v>
      </c>
      <c r="AC6822" t="s">
        <v>141</v>
      </c>
      <c r="AD6822" t="s">
        <v>123</v>
      </c>
      <c r="AE6822" t="s">
        <v>292</v>
      </c>
      <c r="AF6822" t="s">
        <v>116</v>
      </c>
      <c r="AG6822">
        <v>1363</v>
      </c>
      <c r="AH6822" t="s">
        <v>572</v>
      </c>
      <c r="AI6822" t="s">
        <v>963</v>
      </c>
      <c r="AJ6822" t="s">
        <v>151</v>
      </c>
      <c r="AK6822" t="s">
        <v>242</v>
      </c>
      <c r="AL6822" t="s">
        <v>108</v>
      </c>
      <c r="AM6822">
        <v>1363</v>
      </c>
      <c r="AN6822" t="s">
        <v>1246</v>
      </c>
      <c r="AO6822" t="s">
        <v>136</v>
      </c>
      <c r="AP6822" t="s">
        <v>751</v>
      </c>
      <c r="AQ6822" t="s">
        <v>127</v>
      </c>
      <c r="AR6822" t="s">
        <v>99</v>
      </c>
      <c r="AS6822">
        <v>1363</v>
      </c>
      <c r="AT6822" t="s">
        <v>530</v>
      </c>
      <c r="AU6822" t="s">
        <v>132</v>
      </c>
      <c r="AV6822" t="s">
        <v>303</v>
      </c>
      <c r="AW6822" t="s">
        <v>151</v>
      </c>
      <c r="AX6822" t="s">
        <v>120</v>
      </c>
      <c r="AY6822">
        <v>1363</v>
      </c>
      <c r="AZ6822" t="s">
        <v>1020</v>
      </c>
      <c r="BA6822" t="s">
        <v>255</v>
      </c>
      <c r="BB6822" t="s">
        <v>268</v>
      </c>
      <c r="BC6822" t="s">
        <v>684</v>
      </c>
      <c r="BD6822" t="s">
        <v>207</v>
      </c>
      <c r="BE6822">
        <v>1363</v>
      </c>
      <c r="BF6822" t="s">
        <v>223</v>
      </c>
      <c r="BG6822" t="s">
        <v>121</v>
      </c>
      <c r="BH6822" t="s">
        <v>137</v>
      </c>
      <c r="BI6822" t="s">
        <v>123</v>
      </c>
      <c r="BJ6822" t="s">
        <v>121</v>
      </c>
      <c r="BK6822">
        <v>1363</v>
      </c>
      <c r="BL6822" t="s">
        <v>263</v>
      </c>
      <c r="BM6822" t="s">
        <v>262</v>
      </c>
      <c r="BN6822" t="s">
        <v>127</v>
      </c>
      <c r="BO6822" t="s">
        <v>126</v>
      </c>
      <c r="BP6822" t="s">
        <v>253</v>
      </c>
    </row>
    <row r="6823" spans="1:68" x14ac:dyDescent="0.3">
      <c r="A6823" t="s">
        <v>33</v>
      </c>
      <c r="B6823" t="s">
        <v>236</v>
      </c>
      <c r="C6823">
        <v>1116</v>
      </c>
      <c r="D6823" t="s">
        <v>326</v>
      </c>
      <c r="E6823" t="s">
        <v>207</v>
      </c>
      <c r="F6823" t="s">
        <v>117</v>
      </c>
      <c r="G6823" t="s">
        <v>120</v>
      </c>
      <c r="H6823" t="s">
        <v>101</v>
      </c>
      <c r="I6823">
        <v>1116</v>
      </c>
      <c r="J6823" t="s">
        <v>575</v>
      </c>
      <c r="K6823" t="s">
        <v>139</v>
      </c>
      <c r="L6823" t="s">
        <v>482</v>
      </c>
      <c r="M6823" t="s">
        <v>120</v>
      </c>
      <c r="N6823" t="s">
        <v>296</v>
      </c>
      <c r="O6823">
        <v>1116</v>
      </c>
      <c r="P6823" t="s">
        <v>885</v>
      </c>
      <c r="Q6823" t="s">
        <v>198</v>
      </c>
      <c r="R6823" t="s">
        <v>154</v>
      </c>
      <c r="S6823" t="s">
        <v>120</v>
      </c>
      <c r="T6823" t="s">
        <v>401</v>
      </c>
      <c r="U6823">
        <v>1116</v>
      </c>
      <c r="V6823" t="s">
        <v>419</v>
      </c>
      <c r="W6823" t="s">
        <v>104</v>
      </c>
      <c r="X6823" t="s">
        <v>434</v>
      </c>
      <c r="Y6823" t="s">
        <v>120</v>
      </c>
      <c r="Z6823" t="s">
        <v>132</v>
      </c>
      <c r="AA6823">
        <v>1116</v>
      </c>
      <c r="AB6823" t="s">
        <v>439</v>
      </c>
      <c r="AC6823" t="s">
        <v>141</v>
      </c>
      <c r="AD6823" t="s">
        <v>268</v>
      </c>
      <c r="AE6823" t="s">
        <v>147</v>
      </c>
      <c r="AF6823" t="s">
        <v>291</v>
      </c>
      <c r="AG6823">
        <v>1116</v>
      </c>
      <c r="AH6823" t="s">
        <v>767</v>
      </c>
      <c r="AI6823" t="s">
        <v>911</v>
      </c>
      <c r="AJ6823" t="s">
        <v>120</v>
      </c>
      <c r="AK6823" t="s">
        <v>114</v>
      </c>
      <c r="AL6823" t="s">
        <v>99</v>
      </c>
      <c r="AM6823">
        <v>1116</v>
      </c>
      <c r="AN6823" t="s">
        <v>324</v>
      </c>
      <c r="AO6823" t="s">
        <v>198</v>
      </c>
      <c r="AP6823" t="s">
        <v>474</v>
      </c>
      <c r="AQ6823" t="s">
        <v>120</v>
      </c>
      <c r="AR6823" t="s">
        <v>104</v>
      </c>
      <c r="AS6823">
        <v>1116</v>
      </c>
      <c r="AT6823" t="s">
        <v>366</v>
      </c>
      <c r="AU6823" t="s">
        <v>141</v>
      </c>
      <c r="AV6823" t="s">
        <v>328</v>
      </c>
      <c r="AW6823" t="s">
        <v>120</v>
      </c>
      <c r="AX6823" t="s">
        <v>382</v>
      </c>
      <c r="AY6823">
        <v>1116</v>
      </c>
      <c r="AZ6823" t="s">
        <v>1276</v>
      </c>
      <c r="BA6823" t="s">
        <v>254</v>
      </c>
      <c r="BB6823" t="s">
        <v>147</v>
      </c>
      <c r="BC6823" t="s">
        <v>108</v>
      </c>
      <c r="BD6823" t="s">
        <v>99</v>
      </c>
      <c r="BE6823">
        <v>1116</v>
      </c>
      <c r="BF6823" t="s">
        <v>966</v>
      </c>
      <c r="BG6823" t="s">
        <v>141</v>
      </c>
      <c r="BH6823" t="s">
        <v>353</v>
      </c>
      <c r="BI6823" t="s">
        <v>120</v>
      </c>
      <c r="BJ6823" t="s">
        <v>198</v>
      </c>
      <c r="BK6823">
        <v>1116</v>
      </c>
      <c r="BL6823" t="s">
        <v>421</v>
      </c>
      <c r="BM6823" t="s">
        <v>139</v>
      </c>
      <c r="BN6823" t="s">
        <v>107</v>
      </c>
      <c r="BO6823" t="s">
        <v>319</v>
      </c>
      <c r="BP6823" t="s">
        <v>99</v>
      </c>
    </row>
    <row r="6824" spans="1:68" x14ac:dyDescent="0.3">
      <c r="A6824" t="s">
        <v>33</v>
      </c>
      <c r="B6824" t="s">
        <v>238</v>
      </c>
      <c r="C6824">
        <v>821</v>
      </c>
      <c r="D6824" t="s">
        <v>414</v>
      </c>
      <c r="E6824" t="s">
        <v>253</v>
      </c>
      <c r="F6824" t="s">
        <v>128</v>
      </c>
      <c r="G6824" t="s">
        <v>215</v>
      </c>
      <c r="H6824" t="s">
        <v>319</v>
      </c>
      <c r="I6824">
        <v>821</v>
      </c>
      <c r="J6824" t="s">
        <v>541</v>
      </c>
      <c r="K6824" t="s">
        <v>157</v>
      </c>
      <c r="L6824" t="s">
        <v>289</v>
      </c>
      <c r="M6824" t="s">
        <v>215</v>
      </c>
      <c r="N6824" t="s">
        <v>470</v>
      </c>
      <c r="O6824">
        <v>821</v>
      </c>
      <c r="P6824" t="s">
        <v>399</v>
      </c>
      <c r="Q6824" t="s">
        <v>198</v>
      </c>
      <c r="R6824" t="s">
        <v>123</v>
      </c>
      <c r="S6824" t="s">
        <v>215</v>
      </c>
      <c r="T6824" t="s">
        <v>204</v>
      </c>
      <c r="U6824">
        <v>821</v>
      </c>
      <c r="V6824" t="s">
        <v>162</v>
      </c>
      <c r="W6824" t="s">
        <v>207</v>
      </c>
      <c r="X6824" t="s">
        <v>154</v>
      </c>
      <c r="Y6824" t="s">
        <v>215</v>
      </c>
      <c r="Z6824" t="s">
        <v>141</v>
      </c>
      <c r="AA6824">
        <v>821</v>
      </c>
      <c r="AB6824" t="s">
        <v>205</v>
      </c>
      <c r="AC6824" t="s">
        <v>198</v>
      </c>
      <c r="AD6824" t="s">
        <v>127</v>
      </c>
      <c r="AE6824" t="s">
        <v>215</v>
      </c>
      <c r="AF6824" t="s">
        <v>405</v>
      </c>
      <c r="AG6824">
        <v>821</v>
      </c>
      <c r="AH6824" t="s">
        <v>1253</v>
      </c>
      <c r="AI6824" t="s">
        <v>406</v>
      </c>
      <c r="AJ6824" t="s">
        <v>123</v>
      </c>
      <c r="AK6824" t="s">
        <v>114</v>
      </c>
      <c r="AL6824" t="s">
        <v>99</v>
      </c>
      <c r="AM6824">
        <v>821</v>
      </c>
      <c r="AN6824" t="s">
        <v>71</v>
      </c>
      <c r="AO6824" t="s">
        <v>104</v>
      </c>
      <c r="AP6824" t="s">
        <v>124</v>
      </c>
      <c r="AQ6824" t="s">
        <v>215</v>
      </c>
      <c r="AR6824" t="s">
        <v>104</v>
      </c>
      <c r="AS6824">
        <v>821</v>
      </c>
      <c r="AT6824" t="s">
        <v>241</v>
      </c>
      <c r="AU6824" t="s">
        <v>104</v>
      </c>
      <c r="AV6824" t="s">
        <v>134</v>
      </c>
      <c r="AW6824" t="s">
        <v>123</v>
      </c>
      <c r="AX6824" t="s">
        <v>108</v>
      </c>
      <c r="AY6824">
        <v>821</v>
      </c>
      <c r="AZ6824" t="s">
        <v>247</v>
      </c>
      <c r="BA6824" t="s">
        <v>242</v>
      </c>
      <c r="BB6824" t="s">
        <v>123</v>
      </c>
      <c r="BC6824" t="s">
        <v>100</v>
      </c>
      <c r="BD6824" t="s">
        <v>99</v>
      </c>
      <c r="BE6824">
        <v>821</v>
      </c>
      <c r="BF6824" t="s">
        <v>399</v>
      </c>
      <c r="BG6824" t="s">
        <v>132</v>
      </c>
      <c r="BH6824" t="s">
        <v>664</v>
      </c>
      <c r="BI6824" t="s">
        <v>215</v>
      </c>
      <c r="BJ6824" t="s">
        <v>99</v>
      </c>
      <c r="BK6824">
        <v>821</v>
      </c>
      <c r="BL6824" t="s">
        <v>771</v>
      </c>
      <c r="BM6824" t="s">
        <v>712</v>
      </c>
      <c r="BN6824" t="s">
        <v>215</v>
      </c>
      <c r="BO6824" t="s">
        <v>141</v>
      </c>
      <c r="BP6824" t="s">
        <v>99</v>
      </c>
    </row>
    <row r="6825" spans="1:68" x14ac:dyDescent="0.3">
      <c r="A6825" t="s">
        <v>49</v>
      </c>
      <c r="B6825" t="s">
        <v>236</v>
      </c>
      <c r="C6825">
        <v>7220</v>
      </c>
      <c r="D6825" t="s">
        <v>460</v>
      </c>
      <c r="E6825" t="s">
        <v>319</v>
      </c>
      <c r="F6825" t="s">
        <v>804</v>
      </c>
      <c r="G6825" t="s">
        <v>215</v>
      </c>
      <c r="H6825" t="s">
        <v>147</v>
      </c>
      <c r="I6825">
        <v>7220</v>
      </c>
      <c r="J6825" t="s">
        <v>279</v>
      </c>
      <c r="K6825" t="s">
        <v>68</v>
      </c>
      <c r="L6825" t="s">
        <v>701</v>
      </c>
      <c r="M6825" t="s">
        <v>123</v>
      </c>
      <c r="N6825" t="s">
        <v>444</v>
      </c>
      <c r="O6825">
        <v>7220</v>
      </c>
      <c r="P6825" t="s">
        <v>785</v>
      </c>
      <c r="Q6825" t="s">
        <v>141</v>
      </c>
      <c r="R6825" t="s">
        <v>468</v>
      </c>
      <c r="S6825" t="s">
        <v>215</v>
      </c>
      <c r="T6825" t="s">
        <v>671</v>
      </c>
      <c r="U6825">
        <v>7220</v>
      </c>
      <c r="V6825" t="s">
        <v>286</v>
      </c>
      <c r="W6825" t="s">
        <v>198</v>
      </c>
      <c r="X6825" t="s">
        <v>182</v>
      </c>
      <c r="Y6825" t="s">
        <v>382</v>
      </c>
      <c r="Z6825" t="s">
        <v>127</v>
      </c>
      <c r="AA6825">
        <v>7220</v>
      </c>
      <c r="AB6825" t="s">
        <v>535</v>
      </c>
      <c r="AC6825" t="s">
        <v>253</v>
      </c>
      <c r="AD6825" t="s">
        <v>98</v>
      </c>
      <c r="AE6825" t="s">
        <v>382</v>
      </c>
      <c r="AF6825" t="s">
        <v>357</v>
      </c>
      <c r="AG6825">
        <v>7220</v>
      </c>
      <c r="AH6825" t="s">
        <v>486</v>
      </c>
      <c r="AI6825" t="s">
        <v>690</v>
      </c>
      <c r="AJ6825" t="s">
        <v>382</v>
      </c>
      <c r="AK6825" t="s">
        <v>103</v>
      </c>
      <c r="AL6825" t="s">
        <v>198</v>
      </c>
      <c r="AM6825">
        <v>7220</v>
      </c>
      <c r="AN6825" t="s">
        <v>1707</v>
      </c>
      <c r="AO6825" t="s">
        <v>141</v>
      </c>
      <c r="AP6825" t="s">
        <v>222</v>
      </c>
      <c r="AQ6825" t="s">
        <v>382</v>
      </c>
      <c r="AR6825" t="s">
        <v>104</v>
      </c>
      <c r="AS6825">
        <v>7220</v>
      </c>
      <c r="AT6825" t="s">
        <v>1476</v>
      </c>
      <c r="AU6825" t="s">
        <v>100</v>
      </c>
      <c r="AV6825" t="s">
        <v>321</v>
      </c>
      <c r="AW6825" t="s">
        <v>215</v>
      </c>
      <c r="AX6825" t="s">
        <v>138</v>
      </c>
      <c r="AY6825">
        <v>7220</v>
      </c>
      <c r="AZ6825" t="s">
        <v>1640</v>
      </c>
      <c r="BA6825" t="s">
        <v>680</v>
      </c>
      <c r="BB6825" t="s">
        <v>127</v>
      </c>
      <c r="BC6825" t="s">
        <v>134</v>
      </c>
      <c r="BD6825" t="s">
        <v>198</v>
      </c>
      <c r="BE6825">
        <v>7220</v>
      </c>
      <c r="BF6825" t="s">
        <v>623</v>
      </c>
      <c r="BG6825" t="s">
        <v>132</v>
      </c>
      <c r="BH6825" t="s">
        <v>373</v>
      </c>
      <c r="BI6825" t="s">
        <v>382</v>
      </c>
      <c r="BJ6825" t="s">
        <v>141</v>
      </c>
      <c r="BK6825">
        <v>7220</v>
      </c>
      <c r="BL6825" t="s">
        <v>286</v>
      </c>
      <c r="BM6825" t="s">
        <v>142</v>
      </c>
      <c r="BN6825" t="s">
        <v>127</v>
      </c>
      <c r="BO6825" t="s">
        <v>101</v>
      </c>
      <c r="BP6825" t="s">
        <v>207</v>
      </c>
    </row>
    <row r="6826" spans="1:68" x14ac:dyDescent="0.3">
      <c r="A6826" t="s">
        <v>49</v>
      </c>
      <c r="B6826" t="s">
        <v>238</v>
      </c>
      <c r="C6826">
        <v>6102</v>
      </c>
      <c r="D6826" t="s">
        <v>431</v>
      </c>
      <c r="E6826" t="s">
        <v>123</v>
      </c>
      <c r="F6826" t="s">
        <v>369</v>
      </c>
      <c r="G6826" t="s">
        <v>123</v>
      </c>
      <c r="H6826" t="s">
        <v>129</v>
      </c>
      <c r="I6826">
        <v>6102</v>
      </c>
      <c r="J6826" t="s">
        <v>1224</v>
      </c>
      <c r="K6826" t="s">
        <v>158</v>
      </c>
      <c r="L6826" t="s">
        <v>231</v>
      </c>
      <c r="M6826" t="s">
        <v>292</v>
      </c>
      <c r="N6826" t="s">
        <v>372</v>
      </c>
      <c r="O6826">
        <v>6102</v>
      </c>
      <c r="P6826" t="s">
        <v>785</v>
      </c>
      <c r="Q6826" t="s">
        <v>100</v>
      </c>
      <c r="R6826" t="s">
        <v>434</v>
      </c>
      <c r="S6826" t="s">
        <v>123</v>
      </c>
      <c r="T6826" t="s">
        <v>405</v>
      </c>
      <c r="U6826">
        <v>6102</v>
      </c>
      <c r="V6826" t="s">
        <v>854</v>
      </c>
      <c r="W6826" t="s">
        <v>207</v>
      </c>
      <c r="X6826" t="s">
        <v>109</v>
      </c>
      <c r="Y6826" t="s">
        <v>123</v>
      </c>
      <c r="Z6826" t="s">
        <v>157</v>
      </c>
      <c r="AA6826">
        <v>6102</v>
      </c>
      <c r="AB6826" t="s">
        <v>1056</v>
      </c>
      <c r="AC6826" t="s">
        <v>115</v>
      </c>
      <c r="AD6826" t="s">
        <v>154</v>
      </c>
      <c r="AE6826" t="s">
        <v>123</v>
      </c>
      <c r="AF6826" t="s">
        <v>911</v>
      </c>
      <c r="AG6826">
        <v>6102</v>
      </c>
      <c r="AH6826" t="s">
        <v>520</v>
      </c>
      <c r="AI6826" t="s">
        <v>864</v>
      </c>
      <c r="AJ6826" t="s">
        <v>123</v>
      </c>
      <c r="AK6826" t="s">
        <v>332</v>
      </c>
      <c r="AL6826" t="s">
        <v>207</v>
      </c>
      <c r="AM6826">
        <v>6102</v>
      </c>
      <c r="AN6826" t="s">
        <v>317</v>
      </c>
      <c r="AO6826" t="s">
        <v>115</v>
      </c>
      <c r="AP6826" t="s">
        <v>38</v>
      </c>
      <c r="AQ6826" t="s">
        <v>127</v>
      </c>
      <c r="AR6826" t="s">
        <v>198</v>
      </c>
      <c r="AS6826">
        <v>6102</v>
      </c>
      <c r="AT6826" t="s">
        <v>317</v>
      </c>
      <c r="AU6826" t="s">
        <v>108</v>
      </c>
      <c r="AV6826" t="s">
        <v>746</v>
      </c>
      <c r="AW6826" t="s">
        <v>123</v>
      </c>
      <c r="AX6826" t="s">
        <v>103</v>
      </c>
      <c r="AY6826">
        <v>6102</v>
      </c>
      <c r="AZ6826" t="s">
        <v>543</v>
      </c>
      <c r="BA6826" t="s">
        <v>287</v>
      </c>
      <c r="BB6826" t="s">
        <v>292</v>
      </c>
      <c r="BC6826" t="s">
        <v>155</v>
      </c>
      <c r="BD6826" t="s">
        <v>141</v>
      </c>
      <c r="BE6826">
        <v>6102</v>
      </c>
      <c r="BF6826" t="s">
        <v>774</v>
      </c>
      <c r="BG6826" t="s">
        <v>100</v>
      </c>
      <c r="BH6826" t="s">
        <v>406</v>
      </c>
      <c r="BI6826" t="s">
        <v>127</v>
      </c>
      <c r="BJ6826" t="s">
        <v>101</v>
      </c>
      <c r="BK6826">
        <v>6102</v>
      </c>
      <c r="BL6826" t="s">
        <v>380</v>
      </c>
      <c r="BM6826" t="s">
        <v>70</v>
      </c>
      <c r="BN6826" t="s">
        <v>123</v>
      </c>
      <c r="BO6826" t="s">
        <v>123</v>
      </c>
      <c r="BP6826" t="s">
        <v>141</v>
      </c>
    </row>
    <row r="6828" spans="1:68" x14ac:dyDescent="0.3">
      <c r="A6828" t="s">
        <v>2203</v>
      </c>
    </row>
    <row r="6829" spans="1:68" x14ac:dyDescent="0.3">
      <c r="A6829" t="s">
        <v>44</v>
      </c>
      <c r="B6829" t="s">
        <v>209</v>
      </c>
      <c r="C6829" t="s">
        <v>2135</v>
      </c>
      <c r="D6829" t="s">
        <v>2136</v>
      </c>
      <c r="E6829" t="s">
        <v>2137</v>
      </c>
      <c r="F6829" t="s">
        <v>2138</v>
      </c>
      <c r="G6829" t="s">
        <v>2139</v>
      </c>
      <c r="H6829" t="s">
        <v>2140</v>
      </c>
      <c r="I6829" t="s">
        <v>2141</v>
      </c>
      <c r="J6829" t="s">
        <v>2142</v>
      </c>
      <c r="K6829" t="s">
        <v>2143</v>
      </c>
      <c r="L6829" t="s">
        <v>2144</v>
      </c>
      <c r="M6829" t="s">
        <v>2145</v>
      </c>
      <c r="N6829" t="s">
        <v>2146</v>
      </c>
      <c r="O6829" t="s">
        <v>2147</v>
      </c>
      <c r="P6829" t="s">
        <v>2148</v>
      </c>
      <c r="Q6829" t="s">
        <v>2149</v>
      </c>
      <c r="R6829" t="s">
        <v>2151</v>
      </c>
      <c r="S6829" t="s">
        <v>2152</v>
      </c>
      <c r="T6829" t="s">
        <v>2150</v>
      </c>
      <c r="U6829" t="s">
        <v>2153</v>
      </c>
      <c r="V6829" t="s">
        <v>2154</v>
      </c>
      <c r="W6829" t="s">
        <v>2157</v>
      </c>
      <c r="X6829" t="s">
        <v>2158</v>
      </c>
      <c r="Y6829" t="s">
        <v>2155</v>
      </c>
      <c r="Z6829" t="s">
        <v>2156</v>
      </c>
      <c r="AA6829" t="s">
        <v>2159</v>
      </c>
      <c r="AB6829" t="s">
        <v>2160</v>
      </c>
      <c r="AC6829" t="s">
        <v>2162</v>
      </c>
      <c r="AD6829" t="s">
        <v>2163</v>
      </c>
      <c r="AE6829" t="s">
        <v>2164</v>
      </c>
      <c r="AF6829" t="s">
        <v>2161</v>
      </c>
      <c r="AG6829" t="s">
        <v>2165</v>
      </c>
      <c r="AH6829" t="s">
        <v>2166</v>
      </c>
      <c r="AI6829" t="s">
        <v>2167</v>
      </c>
      <c r="AJ6829" t="s">
        <v>2168</v>
      </c>
      <c r="AK6829" t="s">
        <v>2169</v>
      </c>
      <c r="AL6829" t="s">
        <v>2170</v>
      </c>
      <c r="AM6829" t="s">
        <v>2171</v>
      </c>
      <c r="AN6829" t="s">
        <v>2172</v>
      </c>
      <c r="AO6829" t="s">
        <v>2173</v>
      </c>
      <c r="AP6829" t="s">
        <v>2174</v>
      </c>
      <c r="AQ6829" t="s">
        <v>2175</v>
      </c>
      <c r="AR6829" t="s">
        <v>2176</v>
      </c>
      <c r="AS6829" t="s">
        <v>2177</v>
      </c>
      <c r="AT6829" t="s">
        <v>2178</v>
      </c>
      <c r="AU6829" t="s">
        <v>2179</v>
      </c>
      <c r="AV6829" t="s">
        <v>2180</v>
      </c>
      <c r="AW6829" t="s">
        <v>2181</v>
      </c>
      <c r="AX6829" t="s">
        <v>2182</v>
      </c>
      <c r="AY6829" t="s">
        <v>2183</v>
      </c>
      <c r="AZ6829" t="s">
        <v>2184</v>
      </c>
      <c r="BA6829" t="s">
        <v>2185</v>
      </c>
      <c r="BB6829" t="s">
        <v>2186</v>
      </c>
      <c r="BC6829" t="s">
        <v>2187</v>
      </c>
      <c r="BD6829" t="s">
        <v>2188</v>
      </c>
      <c r="BE6829" t="s">
        <v>2189</v>
      </c>
      <c r="BF6829" t="s">
        <v>2190</v>
      </c>
      <c r="BG6829" t="s">
        <v>2191</v>
      </c>
      <c r="BH6829" t="s">
        <v>2192</v>
      </c>
      <c r="BI6829" t="s">
        <v>2193</v>
      </c>
      <c r="BJ6829" t="s">
        <v>2194</v>
      </c>
      <c r="BK6829" t="s">
        <v>2195</v>
      </c>
      <c r="BL6829" t="s">
        <v>2196</v>
      </c>
      <c r="BM6829" t="s">
        <v>2197</v>
      </c>
      <c r="BN6829" t="s">
        <v>2198</v>
      </c>
      <c r="BO6829" t="s">
        <v>2199</v>
      </c>
      <c r="BP6829" t="s">
        <v>2200</v>
      </c>
    </row>
    <row r="6830" spans="1:68" x14ac:dyDescent="0.3">
      <c r="A6830" t="s">
        <v>35</v>
      </c>
      <c r="B6830" t="s">
        <v>210</v>
      </c>
      <c r="C6830">
        <v>136</v>
      </c>
      <c r="D6830" t="s">
        <v>61</v>
      </c>
      <c r="E6830" t="s">
        <v>151</v>
      </c>
      <c r="F6830" t="s">
        <v>42</v>
      </c>
      <c r="G6830" t="s">
        <v>108</v>
      </c>
      <c r="H6830" t="s">
        <v>98</v>
      </c>
      <c r="I6830">
        <v>136</v>
      </c>
      <c r="J6830" t="s">
        <v>919</v>
      </c>
      <c r="K6830" t="s">
        <v>675</v>
      </c>
      <c r="L6830" t="s">
        <v>706</v>
      </c>
      <c r="M6830" t="s">
        <v>215</v>
      </c>
      <c r="N6830" t="s">
        <v>456</v>
      </c>
      <c r="O6830">
        <v>136</v>
      </c>
      <c r="P6830" t="s">
        <v>1119</v>
      </c>
      <c r="Q6830" t="s">
        <v>99</v>
      </c>
      <c r="R6830" t="s">
        <v>126</v>
      </c>
      <c r="S6830" t="s">
        <v>488</v>
      </c>
      <c r="T6830" t="s">
        <v>144</v>
      </c>
      <c r="U6830">
        <v>136</v>
      </c>
      <c r="V6830" t="s">
        <v>861</v>
      </c>
      <c r="W6830" t="s">
        <v>268</v>
      </c>
      <c r="X6830" t="s">
        <v>714</v>
      </c>
      <c r="Y6830" t="s">
        <v>99</v>
      </c>
      <c r="Z6830" t="s">
        <v>313</v>
      </c>
      <c r="AA6830">
        <v>136</v>
      </c>
      <c r="AB6830" t="s">
        <v>1095</v>
      </c>
      <c r="AC6830" t="s">
        <v>138</v>
      </c>
      <c r="AD6830" t="s">
        <v>101</v>
      </c>
      <c r="AE6830" t="s">
        <v>817</v>
      </c>
      <c r="AF6830" t="s">
        <v>99</v>
      </c>
      <c r="AG6830">
        <v>136</v>
      </c>
      <c r="AH6830" t="s">
        <v>767</v>
      </c>
      <c r="AI6830" t="s">
        <v>680</v>
      </c>
      <c r="AJ6830" t="s">
        <v>126</v>
      </c>
      <c r="AK6830" t="s">
        <v>416</v>
      </c>
      <c r="AL6830" t="s">
        <v>99</v>
      </c>
      <c r="AM6830">
        <v>136</v>
      </c>
      <c r="AN6830" t="s">
        <v>213</v>
      </c>
      <c r="AO6830" t="s">
        <v>132</v>
      </c>
      <c r="AP6830" t="s">
        <v>967</v>
      </c>
      <c r="AQ6830" t="s">
        <v>108</v>
      </c>
      <c r="AR6830" t="s">
        <v>99</v>
      </c>
      <c r="AS6830">
        <v>136</v>
      </c>
      <c r="AT6830" t="s">
        <v>350</v>
      </c>
      <c r="AU6830" t="s">
        <v>151</v>
      </c>
      <c r="AV6830" t="s">
        <v>222</v>
      </c>
      <c r="AW6830" t="s">
        <v>101</v>
      </c>
      <c r="AX6830" t="s">
        <v>685</v>
      </c>
      <c r="AY6830">
        <v>136</v>
      </c>
      <c r="AZ6830" t="s">
        <v>1453</v>
      </c>
      <c r="BA6830" t="s">
        <v>222</v>
      </c>
      <c r="BB6830" t="s">
        <v>108</v>
      </c>
      <c r="BC6830" t="s">
        <v>110</v>
      </c>
      <c r="BD6830" t="s">
        <v>332</v>
      </c>
      <c r="BE6830">
        <v>136</v>
      </c>
      <c r="BF6830" t="s">
        <v>1223</v>
      </c>
      <c r="BG6830" t="s">
        <v>151</v>
      </c>
      <c r="BH6830" t="s">
        <v>719</v>
      </c>
      <c r="BI6830" t="s">
        <v>319</v>
      </c>
      <c r="BJ6830" t="s">
        <v>332</v>
      </c>
      <c r="BK6830">
        <v>136</v>
      </c>
      <c r="BL6830" t="s">
        <v>189</v>
      </c>
      <c r="BM6830" t="s">
        <v>231</v>
      </c>
      <c r="BN6830" t="s">
        <v>126</v>
      </c>
      <c r="BO6830" t="s">
        <v>114</v>
      </c>
      <c r="BP6830" t="s">
        <v>132</v>
      </c>
    </row>
    <row r="6831" spans="1:68" x14ac:dyDescent="0.3">
      <c r="A6831" t="s">
        <v>35</v>
      </c>
      <c r="B6831" t="s">
        <v>212</v>
      </c>
      <c r="C6831">
        <v>2442</v>
      </c>
      <c r="D6831" t="s">
        <v>431</v>
      </c>
      <c r="E6831" t="s">
        <v>215</v>
      </c>
      <c r="F6831" t="s">
        <v>416</v>
      </c>
      <c r="G6831" t="s">
        <v>108</v>
      </c>
      <c r="H6831" t="s">
        <v>118</v>
      </c>
      <c r="I6831">
        <v>2442</v>
      </c>
      <c r="J6831" t="s">
        <v>949</v>
      </c>
      <c r="K6831" t="s">
        <v>684</v>
      </c>
      <c r="L6831" t="s">
        <v>264</v>
      </c>
      <c r="M6831" t="s">
        <v>101</v>
      </c>
      <c r="N6831" t="s">
        <v>244</v>
      </c>
      <c r="O6831">
        <v>2442</v>
      </c>
      <c r="P6831" t="s">
        <v>761</v>
      </c>
      <c r="Q6831" t="s">
        <v>121</v>
      </c>
      <c r="R6831" t="s">
        <v>114</v>
      </c>
      <c r="S6831" t="s">
        <v>408</v>
      </c>
      <c r="T6831" t="s">
        <v>139</v>
      </c>
      <c r="U6831">
        <v>2442</v>
      </c>
      <c r="V6831" t="s">
        <v>266</v>
      </c>
      <c r="W6831" t="s">
        <v>101</v>
      </c>
      <c r="X6831" t="s">
        <v>110</v>
      </c>
      <c r="Y6831" t="s">
        <v>115</v>
      </c>
      <c r="Z6831" t="s">
        <v>420</v>
      </c>
      <c r="AA6831">
        <v>2442</v>
      </c>
      <c r="AB6831" t="s">
        <v>1470</v>
      </c>
      <c r="AC6831" t="s">
        <v>145</v>
      </c>
      <c r="AD6831" t="s">
        <v>108</v>
      </c>
      <c r="AE6831" t="s">
        <v>670</v>
      </c>
      <c r="AF6831" t="s">
        <v>101</v>
      </c>
      <c r="AG6831">
        <v>2442</v>
      </c>
      <c r="AH6831" t="s">
        <v>1171</v>
      </c>
      <c r="AI6831" t="s">
        <v>309</v>
      </c>
      <c r="AJ6831" t="s">
        <v>108</v>
      </c>
      <c r="AK6831" t="s">
        <v>120</v>
      </c>
      <c r="AL6831" t="s">
        <v>198</v>
      </c>
      <c r="AM6831">
        <v>2442</v>
      </c>
      <c r="AN6831" t="s">
        <v>1476</v>
      </c>
      <c r="AO6831" t="s">
        <v>253</v>
      </c>
      <c r="AP6831" t="s">
        <v>188</v>
      </c>
      <c r="AQ6831" t="s">
        <v>108</v>
      </c>
      <c r="AR6831" t="s">
        <v>198</v>
      </c>
      <c r="AS6831">
        <v>2442</v>
      </c>
      <c r="AT6831" t="s">
        <v>500</v>
      </c>
      <c r="AU6831" t="s">
        <v>132</v>
      </c>
      <c r="AV6831" t="s">
        <v>739</v>
      </c>
      <c r="AW6831" t="s">
        <v>114</v>
      </c>
      <c r="AX6831" t="s">
        <v>157</v>
      </c>
      <c r="AY6831">
        <v>2442</v>
      </c>
      <c r="AZ6831" t="s">
        <v>1292</v>
      </c>
      <c r="BA6831" t="s">
        <v>680</v>
      </c>
      <c r="BB6831" t="s">
        <v>121</v>
      </c>
      <c r="BC6831" t="s">
        <v>154</v>
      </c>
      <c r="BD6831" t="s">
        <v>104</v>
      </c>
      <c r="BE6831">
        <v>2442</v>
      </c>
      <c r="BF6831" t="s">
        <v>462</v>
      </c>
      <c r="BG6831" t="s">
        <v>108</v>
      </c>
      <c r="BH6831" t="s">
        <v>536</v>
      </c>
      <c r="BI6831" t="s">
        <v>108</v>
      </c>
      <c r="BJ6831" t="s">
        <v>382</v>
      </c>
      <c r="BK6831">
        <v>2442</v>
      </c>
      <c r="BL6831" t="s">
        <v>77</v>
      </c>
      <c r="BM6831" t="s">
        <v>804</v>
      </c>
      <c r="BN6831" t="s">
        <v>114</v>
      </c>
      <c r="BO6831" t="s">
        <v>120</v>
      </c>
      <c r="BP6831" t="s">
        <v>253</v>
      </c>
    </row>
    <row r="6832" spans="1:68" x14ac:dyDescent="0.3">
      <c r="A6832" t="s">
        <v>35</v>
      </c>
      <c r="B6832" t="s">
        <v>216</v>
      </c>
      <c r="C6832">
        <v>567</v>
      </c>
      <c r="D6832" t="s">
        <v>870</v>
      </c>
      <c r="E6832" t="s">
        <v>120</v>
      </c>
      <c r="F6832" t="s">
        <v>220</v>
      </c>
      <c r="G6832" t="s">
        <v>136</v>
      </c>
      <c r="H6832" t="s">
        <v>242</v>
      </c>
      <c r="I6832">
        <v>567</v>
      </c>
      <c r="J6832" t="s">
        <v>1160</v>
      </c>
      <c r="K6832" t="s">
        <v>139</v>
      </c>
      <c r="L6832" t="s">
        <v>731</v>
      </c>
      <c r="M6832" t="s">
        <v>132</v>
      </c>
      <c r="N6832" t="s">
        <v>372</v>
      </c>
      <c r="O6832">
        <v>567</v>
      </c>
      <c r="P6832" t="s">
        <v>1137</v>
      </c>
      <c r="Q6832" t="s">
        <v>111</v>
      </c>
      <c r="R6832" t="s">
        <v>141</v>
      </c>
      <c r="S6832" t="s">
        <v>405</v>
      </c>
      <c r="T6832" t="s">
        <v>68</v>
      </c>
      <c r="U6832">
        <v>567</v>
      </c>
      <c r="V6832" t="s">
        <v>164</v>
      </c>
      <c r="W6832" t="s">
        <v>141</v>
      </c>
      <c r="X6832" t="s">
        <v>111</v>
      </c>
      <c r="Y6832" t="s">
        <v>99</v>
      </c>
      <c r="Z6832" t="s">
        <v>305</v>
      </c>
      <c r="AA6832">
        <v>567</v>
      </c>
      <c r="AB6832" t="s">
        <v>1065</v>
      </c>
      <c r="AC6832" t="s">
        <v>129</v>
      </c>
      <c r="AD6832" t="s">
        <v>115</v>
      </c>
      <c r="AE6832" t="s">
        <v>156</v>
      </c>
      <c r="AF6832" t="s">
        <v>136</v>
      </c>
      <c r="AG6832">
        <v>567</v>
      </c>
      <c r="AH6832" t="s">
        <v>397</v>
      </c>
      <c r="AI6832" t="s">
        <v>267</v>
      </c>
      <c r="AJ6832" t="s">
        <v>115</v>
      </c>
      <c r="AK6832" t="s">
        <v>277</v>
      </c>
      <c r="AL6832" t="s">
        <v>198</v>
      </c>
      <c r="AM6832">
        <v>567</v>
      </c>
      <c r="AN6832" t="s">
        <v>1510</v>
      </c>
      <c r="AO6832" t="s">
        <v>268</v>
      </c>
      <c r="AP6832" t="s">
        <v>231</v>
      </c>
      <c r="AQ6832" t="s">
        <v>141</v>
      </c>
      <c r="AR6832" t="s">
        <v>114</v>
      </c>
      <c r="AS6832">
        <v>567</v>
      </c>
      <c r="AT6832" t="s">
        <v>464</v>
      </c>
      <c r="AU6832" t="s">
        <v>127</v>
      </c>
      <c r="AV6832" t="s">
        <v>287</v>
      </c>
      <c r="AW6832" t="s">
        <v>141</v>
      </c>
      <c r="AX6832" t="s">
        <v>316</v>
      </c>
      <c r="AY6832">
        <v>567</v>
      </c>
      <c r="AZ6832" t="s">
        <v>855</v>
      </c>
      <c r="BA6832" t="s">
        <v>125</v>
      </c>
      <c r="BB6832" t="s">
        <v>141</v>
      </c>
      <c r="BC6832" t="s">
        <v>268</v>
      </c>
      <c r="BD6832" t="s">
        <v>268</v>
      </c>
      <c r="BE6832">
        <v>567</v>
      </c>
      <c r="BF6832" t="s">
        <v>263</v>
      </c>
      <c r="BG6832" t="s">
        <v>117</v>
      </c>
      <c r="BH6832" t="s">
        <v>405</v>
      </c>
      <c r="BI6832" t="s">
        <v>141</v>
      </c>
      <c r="BJ6832" t="s">
        <v>382</v>
      </c>
      <c r="BK6832">
        <v>567</v>
      </c>
      <c r="BL6832" t="s">
        <v>172</v>
      </c>
      <c r="BM6832" t="s">
        <v>299</v>
      </c>
      <c r="BN6832" t="s">
        <v>141</v>
      </c>
      <c r="BO6832" t="s">
        <v>114</v>
      </c>
      <c r="BP6832" t="s">
        <v>108</v>
      </c>
    </row>
    <row r="6833" spans="1:68" x14ac:dyDescent="0.3">
      <c r="A6833" t="s">
        <v>37</v>
      </c>
      <c r="B6833" t="s">
        <v>210</v>
      </c>
      <c r="C6833">
        <v>138</v>
      </c>
      <c r="D6833" t="s">
        <v>1478</v>
      </c>
      <c r="E6833" t="s">
        <v>101</v>
      </c>
      <c r="F6833" t="s">
        <v>704</v>
      </c>
      <c r="G6833" t="s">
        <v>138</v>
      </c>
      <c r="H6833" t="s">
        <v>126</v>
      </c>
      <c r="I6833">
        <v>138</v>
      </c>
      <c r="J6833" t="s">
        <v>1103</v>
      </c>
      <c r="K6833" t="s">
        <v>138</v>
      </c>
      <c r="L6833" t="s">
        <v>401</v>
      </c>
      <c r="M6833" t="s">
        <v>138</v>
      </c>
      <c r="N6833" t="s">
        <v>720</v>
      </c>
      <c r="O6833">
        <v>138</v>
      </c>
      <c r="P6833" t="s">
        <v>205</v>
      </c>
      <c r="Q6833" t="s">
        <v>136</v>
      </c>
      <c r="R6833" t="s">
        <v>138</v>
      </c>
      <c r="S6833" t="s">
        <v>138</v>
      </c>
      <c r="T6833" t="s">
        <v>675</v>
      </c>
      <c r="U6833">
        <v>138</v>
      </c>
      <c r="V6833" t="s">
        <v>1226</v>
      </c>
      <c r="W6833" t="s">
        <v>138</v>
      </c>
      <c r="X6833" t="s">
        <v>129</v>
      </c>
      <c r="Y6833" t="s">
        <v>132</v>
      </c>
      <c r="Z6833" t="s">
        <v>220</v>
      </c>
      <c r="AA6833">
        <v>138</v>
      </c>
      <c r="AB6833" t="s">
        <v>991</v>
      </c>
      <c r="AC6833" t="s">
        <v>130</v>
      </c>
      <c r="AD6833" t="s">
        <v>138</v>
      </c>
      <c r="AE6833" t="s">
        <v>233</v>
      </c>
      <c r="AF6833" t="s">
        <v>99</v>
      </c>
      <c r="AG6833">
        <v>138</v>
      </c>
      <c r="AH6833" t="s">
        <v>537</v>
      </c>
      <c r="AI6833" t="s">
        <v>171</v>
      </c>
      <c r="AJ6833" t="s">
        <v>138</v>
      </c>
      <c r="AK6833" t="s">
        <v>292</v>
      </c>
      <c r="AL6833" t="s">
        <v>99</v>
      </c>
      <c r="AM6833">
        <v>138</v>
      </c>
      <c r="AN6833" t="s">
        <v>568</v>
      </c>
      <c r="AO6833" t="s">
        <v>136</v>
      </c>
      <c r="AP6833" t="s">
        <v>743</v>
      </c>
      <c r="AQ6833" t="s">
        <v>138</v>
      </c>
      <c r="AR6833" t="s">
        <v>99</v>
      </c>
      <c r="AS6833">
        <v>138</v>
      </c>
      <c r="AT6833" t="s">
        <v>502</v>
      </c>
      <c r="AU6833" t="s">
        <v>136</v>
      </c>
      <c r="AV6833" t="s">
        <v>206</v>
      </c>
      <c r="AW6833" t="s">
        <v>138</v>
      </c>
      <c r="AX6833" t="s">
        <v>147</v>
      </c>
      <c r="AY6833">
        <v>138</v>
      </c>
      <c r="AZ6833" t="s">
        <v>221</v>
      </c>
      <c r="BA6833" t="s">
        <v>150</v>
      </c>
      <c r="BB6833" t="s">
        <v>138</v>
      </c>
      <c r="BC6833" t="s">
        <v>123</v>
      </c>
      <c r="BD6833" t="s">
        <v>136</v>
      </c>
      <c r="BE6833">
        <v>138</v>
      </c>
      <c r="BF6833" t="s">
        <v>627</v>
      </c>
      <c r="BG6833" t="s">
        <v>121</v>
      </c>
      <c r="BH6833" t="s">
        <v>842</v>
      </c>
      <c r="BI6833" t="s">
        <v>138</v>
      </c>
      <c r="BJ6833" t="s">
        <v>99</v>
      </c>
      <c r="BK6833">
        <v>138</v>
      </c>
      <c r="BL6833" t="s">
        <v>403</v>
      </c>
      <c r="BM6833" t="s">
        <v>434</v>
      </c>
      <c r="BN6833" t="s">
        <v>138</v>
      </c>
      <c r="BO6833" t="s">
        <v>132</v>
      </c>
      <c r="BP6833" t="s">
        <v>136</v>
      </c>
    </row>
    <row r="6834" spans="1:68" x14ac:dyDescent="0.3">
      <c r="A6834" t="s">
        <v>37</v>
      </c>
      <c r="B6834" t="s">
        <v>212</v>
      </c>
      <c r="C6834">
        <v>3606</v>
      </c>
      <c r="D6834" t="s">
        <v>407</v>
      </c>
      <c r="E6834" t="s">
        <v>100</v>
      </c>
      <c r="F6834" t="s">
        <v>305</v>
      </c>
      <c r="G6834" t="s">
        <v>120</v>
      </c>
      <c r="H6834" t="s">
        <v>134</v>
      </c>
      <c r="I6834">
        <v>3606</v>
      </c>
      <c r="J6834" t="s">
        <v>1193</v>
      </c>
      <c r="K6834" t="s">
        <v>154</v>
      </c>
      <c r="L6834" t="s">
        <v>233</v>
      </c>
      <c r="M6834" t="s">
        <v>157</v>
      </c>
      <c r="N6834" t="s">
        <v>440</v>
      </c>
      <c r="O6834">
        <v>3606</v>
      </c>
      <c r="P6834" t="s">
        <v>612</v>
      </c>
      <c r="Q6834" t="s">
        <v>253</v>
      </c>
      <c r="R6834" t="s">
        <v>147</v>
      </c>
      <c r="S6834" t="s">
        <v>98</v>
      </c>
      <c r="T6834" t="s">
        <v>675</v>
      </c>
      <c r="U6834">
        <v>3606</v>
      </c>
      <c r="V6834" t="s">
        <v>174</v>
      </c>
      <c r="W6834" t="s">
        <v>128</v>
      </c>
      <c r="X6834" t="s">
        <v>151</v>
      </c>
      <c r="Y6834" t="s">
        <v>104</v>
      </c>
      <c r="Z6834" t="s">
        <v>716</v>
      </c>
      <c r="AA6834">
        <v>3606</v>
      </c>
      <c r="AB6834" t="s">
        <v>859</v>
      </c>
      <c r="AC6834" t="s">
        <v>143</v>
      </c>
      <c r="AD6834" t="s">
        <v>128</v>
      </c>
      <c r="AE6834" t="s">
        <v>294</v>
      </c>
      <c r="AF6834" t="s">
        <v>253</v>
      </c>
      <c r="AG6834">
        <v>3606</v>
      </c>
      <c r="AH6834" t="s">
        <v>874</v>
      </c>
      <c r="AI6834" t="s">
        <v>410</v>
      </c>
      <c r="AJ6834" t="s">
        <v>128</v>
      </c>
      <c r="AK6834" t="s">
        <v>316</v>
      </c>
      <c r="AL6834" t="s">
        <v>207</v>
      </c>
      <c r="AM6834">
        <v>3606</v>
      </c>
      <c r="AN6834" t="s">
        <v>320</v>
      </c>
      <c r="AO6834" t="s">
        <v>207</v>
      </c>
      <c r="AP6834" t="s">
        <v>710</v>
      </c>
      <c r="AQ6834" t="s">
        <v>120</v>
      </c>
      <c r="AR6834" t="s">
        <v>198</v>
      </c>
      <c r="AS6834">
        <v>3606</v>
      </c>
      <c r="AT6834" t="s">
        <v>1475</v>
      </c>
      <c r="AU6834" t="s">
        <v>121</v>
      </c>
      <c r="AV6834" t="s">
        <v>798</v>
      </c>
      <c r="AW6834" t="s">
        <v>120</v>
      </c>
      <c r="AX6834" t="s">
        <v>151</v>
      </c>
      <c r="AY6834">
        <v>3606</v>
      </c>
      <c r="AZ6834" t="s">
        <v>261</v>
      </c>
      <c r="BA6834" t="s">
        <v>726</v>
      </c>
      <c r="BB6834" t="s">
        <v>107</v>
      </c>
      <c r="BC6834" t="s">
        <v>120</v>
      </c>
      <c r="BD6834" t="s">
        <v>198</v>
      </c>
      <c r="BE6834">
        <v>3606</v>
      </c>
      <c r="BF6834" t="s">
        <v>441</v>
      </c>
      <c r="BG6834" t="s">
        <v>253</v>
      </c>
      <c r="BH6834" t="s">
        <v>718</v>
      </c>
      <c r="BI6834" t="s">
        <v>128</v>
      </c>
      <c r="BJ6834" t="s">
        <v>253</v>
      </c>
      <c r="BK6834">
        <v>3606</v>
      </c>
      <c r="BL6834" t="s">
        <v>290</v>
      </c>
      <c r="BM6834" t="s">
        <v>420</v>
      </c>
      <c r="BN6834" t="s">
        <v>107</v>
      </c>
      <c r="BO6834" t="s">
        <v>126</v>
      </c>
      <c r="BP6834" t="s">
        <v>207</v>
      </c>
    </row>
    <row r="6835" spans="1:68" x14ac:dyDescent="0.3">
      <c r="A6835" t="s">
        <v>37</v>
      </c>
      <c r="B6835" t="s">
        <v>216</v>
      </c>
      <c r="C6835">
        <v>111</v>
      </c>
      <c r="D6835" t="s">
        <v>475</v>
      </c>
      <c r="E6835" t="s">
        <v>99</v>
      </c>
      <c r="F6835" t="s">
        <v>363</v>
      </c>
      <c r="G6835" t="s">
        <v>152</v>
      </c>
      <c r="H6835" t="s">
        <v>134</v>
      </c>
      <c r="I6835">
        <v>111</v>
      </c>
      <c r="J6835" t="s">
        <v>1474</v>
      </c>
      <c r="K6835" t="s">
        <v>120</v>
      </c>
      <c r="L6835" t="s">
        <v>144</v>
      </c>
      <c r="M6835" t="s">
        <v>78</v>
      </c>
      <c r="N6835" t="s">
        <v>747</v>
      </c>
      <c r="O6835">
        <v>111</v>
      </c>
      <c r="P6835" t="s">
        <v>374</v>
      </c>
      <c r="Q6835" t="s">
        <v>115</v>
      </c>
      <c r="R6835" t="s">
        <v>152</v>
      </c>
      <c r="S6835" t="s">
        <v>277</v>
      </c>
      <c r="T6835" t="s">
        <v>149</v>
      </c>
      <c r="U6835">
        <v>111</v>
      </c>
      <c r="V6835" t="s">
        <v>176</v>
      </c>
      <c r="W6835" t="s">
        <v>152</v>
      </c>
      <c r="X6835" t="s">
        <v>99</v>
      </c>
      <c r="Y6835" t="s">
        <v>99</v>
      </c>
      <c r="Z6835" t="s">
        <v>122</v>
      </c>
      <c r="AA6835">
        <v>111</v>
      </c>
      <c r="AB6835" t="s">
        <v>1405</v>
      </c>
      <c r="AC6835" t="s">
        <v>434</v>
      </c>
      <c r="AD6835" t="s">
        <v>152</v>
      </c>
      <c r="AE6835" t="s">
        <v>218</v>
      </c>
      <c r="AF6835" t="s">
        <v>99</v>
      </c>
      <c r="AG6835">
        <v>111</v>
      </c>
      <c r="AH6835" t="s">
        <v>541</v>
      </c>
      <c r="AI6835" t="s">
        <v>701</v>
      </c>
      <c r="AJ6835" t="s">
        <v>152</v>
      </c>
      <c r="AK6835" t="s">
        <v>130</v>
      </c>
      <c r="AL6835" t="s">
        <v>99</v>
      </c>
      <c r="AM6835">
        <v>111</v>
      </c>
      <c r="AN6835" t="s">
        <v>371</v>
      </c>
      <c r="AO6835" t="s">
        <v>99</v>
      </c>
      <c r="AP6835" t="s">
        <v>721</v>
      </c>
      <c r="AQ6835" t="s">
        <v>152</v>
      </c>
      <c r="AR6835" t="s">
        <v>99</v>
      </c>
      <c r="AS6835">
        <v>111</v>
      </c>
      <c r="AT6835" t="s">
        <v>912</v>
      </c>
      <c r="AU6835" t="s">
        <v>132</v>
      </c>
      <c r="AV6835" t="s">
        <v>142</v>
      </c>
      <c r="AW6835" t="s">
        <v>152</v>
      </c>
      <c r="AX6835" t="s">
        <v>130</v>
      </c>
      <c r="AY6835">
        <v>111</v>
      </c>
      <c r="AZ6835" t="s">
        <v>908</v>
      </c>
      <c r="BA6835" t="s">
        <v>675</v>
      </c>
      <c r="BB6835" t="s">
        <v>152</v>
      </c>
      <c r="BC6835" t="s">
        <v>157</v>
      </c>
      <c r="BD6835" t="s">
        <v>99</v>
      </c>
      <c r="BE6835">
        <v>111</v>
      </c>
      <c r="BF6835" t="s">
        <v>1628</v>
      </c>
      <c r="BG6835" t="s">
        <v>319</v>
      </c>
      <c r="BH6835" t="s">
        <v>289</v>
      </c>
      <c r="BI6835" t="s">
        <v>152</v>
      </c>
      <c r="BJ6835" t="s">
        <v>253</v>
      </c>
      <c r="BK6835">
        <v>111</v>
      </c>
      <c r="BL6835" t="s">
        <v>450</v>
      </c>
      <c r="BM6835" t="s">
        <v>122</v>
      </c>
      <c r="BN6835" t="s">
        <v>152</v>
      </c>
      <c r="BO6835" t="s">
        <v>132</v>
      </c>
      <c r="BP6835" t="s">
        <v>99</v>
      </c>
    </row>
    <row r="6836" spans="1:68" x14ac:dyDescent="0.3">
      <c r="A6836" t="s">
        <v>36</v>
      </c>
      <c r="B6836" t="s">
        <v>210</v>
      </c>
      <c r="C6836">
        <v>165</v>
      </c>
      <c r="D6836" t="s">
        <v>486</v>
      </c>
      <c r="E6836" t="s">
        <v>382</v>
      </c>
      <c r="F6836" t="s">
        <v>536</v>
      </c>
      <c r="G6836" t="s">
        <v>99</v>
      </c>
      <c r="H6836" t="s">
        <v>142</v>
      </c>
      <c r="I6836">
        <v>165</v>
      </c>
      <c r="J6836" t="s">
        <v>559</v>
      </c>
      <c r="K6836" t="s">
        <v>325</v>
      </c>
      <c r="L6836" t="s">
        <v>220</v>
      </c>
      <c r="M6836" t="s">
        <v>115</v>
      </c>
      <c r="N6836" t="s">
        <v>1057</v>
      </c>
      <c r="O6836">
        <v>165</v>
      </c>
      <c r="P6836" t="s">
        <v>1640</v>
      </c>
      <c r="Q6836" t="s">
        <v>268</v>
      </c>
      <c r="R6836" t="s">
        <v>99</v>
      </c>
      <c r="S6836" t="s">
        <v>731</v>
      </c>
      <c r="T6836" t="s">
        <v>292</v>
      </c>
      <c r="U6836">
        <v>165</v>
      </c>
      <c r="V6836" t="s">
        <v>467</v>
      </c>
      <c r="W6836" t="s">
        <v>99</v>
      </c>
      <c r="X6836" t="s">
        <v>319</v>
      </c>
      <c r="Y6836" t="s">
        <v>198</v>
      </c>
      <c r="Z6836" t="s">
        <v>129</v>
      </c>
      <c r="AA6836">
        <v>165</v>
      </c>
      <c r="AB6836" t="s">
        <v>1196</v>
      </c>
      <c r="AC6836" t="s">
        <v>103</v>
      </c>
      <c r="AD6836" t="s">
        <v>99</v>
      </c>
      <c r="AE6836" t="s">
        <v>920</v>
      </c>
      <c r="AF6836" t="s">
        <v>99</v>
      </c>
      <c r="AG6836">
        <v>165</v>
      </c>
      <c r="AH6836" t="s">
        <v>866</v>
      </c>
      <c r="AI6836" t="s">
        <v>152</v>
      </c>
      <c r="AJ6836" t="s">
        <v>99</v>
      </c>
      <c r="AK6836" t="s">
        <v>143</v>
      </c>
      <c r="AL6836" t="s">
        <v>99</v>
      </c>
      <c r="AM6836">
        <v>165</v>
      </c>
      <c r="AN6836" t="s">
        <v>1478</v>
      </c>
      <c r="AO6836" t="s">
        <v>110</v>
      </c>
      <c r="AP6836" t="s">
        <v>177</v>
      </c>
      <c r="AQ6836" t="s">
        <v>99</v>
      </c>
      <c r="AR6836" t="s">
        <v>99</v>
      </c>
      <c r="AS6836">
        <v>165</v>
      </c>
      <c r="AT6836" t="s">
        <v>200</v>
      </c>
      <c r="AU6836" t="s">
        <v>99</v>
      </c>
      <c r="AV6836" t="s">
        <v>708</v>
      </c>
      <c r="AW6836" t="s">
        <v>99</v>
      </c>
      <c r="AX6836" t="s">
        <v>151</v>
      </c>
      <c r="AY6836">
        <v>165</v>
      </c>
      <c r="AZ6836" t="s">
        <v>380</v>
      </c>
      <c r="BA6836" t="s">
        <v>712</v>
      </c>
      <c r="BB6836" t="s">
        <v>99</v>
      </c>
      <c r="BC6836" t="s">
        <v>78</v>
      </c>
      <c r="BD6836" t="s">
        <v>99</v>
      </c>
      <c r="BE6836">
        <v>165</v>
      </c>
      <c r="BF6836" t="s">
        <v>176</v>
      </c>
      <c r="BG6836" t="s">
        <v>198</v>
      </c>
      <c r="BH6836" t="s">
        <v>680</v>
      </c>
      <c r="BI6836" t="s">
        <v>99</v>
      </c>
      <c r="BJ6836" t="s">
        <v>292</v>
      </c>
      <c r="BK6836">
        <v>165</v>
      </c>
      <c r="BL6836" t="s">
        <v>399</v>
      </c>
      <c r="BM6836" t="s">
        <v>434</v>
      </c>
      <c r="BN6836" t="s">
        <v>99</v>
      </c>
      <c r="BO6836" t="s">
        <v>105</v>
      </c>
      <c r="BP6836" t="s">
        <v>268</v>
      </c>
    </row>
    <row r="6837" spans="1:68" x14ac:dyDescent="0.3">
      <c r="A6837" t="s">
        <v>36</v>
      </c>
      <c r="B6837" t="s">
        <v>212</v>
      </c>
      <c r="C6837">
        <v>1875</v>
      </c>
      <c r="D6837" t="s">
        <v>312</v>
      </c>
      <c r="E6837" t="s">
        <v>292</v>
      </c>
      <c r="F6837" t="s">
        <v>468</v>
      </c>
      <c r="G6837" t="s">
        <v>207</v>
      </c>
      <c r="H6837" t="s">
        <v>712</v>
      </c>
      <c r="I6837">
        <v>1875</v>
      </c>
      <c r="J6837" t="s">
        <v>343</v>
      </c>
      <c r="K6837" t="s">
        <v>68</v>
      </c>
      <c r="L6837" t="s">
        <v>401</v>
      </c>
      <c r="M6837" t="s">
        <v>207</v>
      </c>
      <c r="N6837" t="s">
        <v>255</v>
      </c>
      <c r="O6837">
        <v>1875</v>
      </c>
      <c r="P6837" t="s">
        <v>199</v>
      </c>
      <c r="Q6837" t="s">
        <v>198</v>
      </c>
      <c r="R6837" t="s">
        <v>198</v>
      </c>
      <c r="S6837" t="s">
        <v>142</v>
      </c>
      <c r="T6837" t="s">
        <v>100</v>
      </c>
      <c r="U6837">
        <v>1875</v>
      </c>
      <c r="V6837" t="s">
        <v>161</v>
      </c>
      <c r="W6837" t="s">
        <v>198</v>
      </c>
      <c r="X6837" t="s">
        <v>105</v>
      </c>
      <c r="Y6837" t="s">
        <v>207</v>
      </c>
      <c r="Z6837" t="s">
        <v>138</v>
      </c>
      <c r="AA6837">
        <v>1875</v>
      </c>
      <c r="AB6837" t="s">
        <v>1362</v>
      </c>
      <c r="AC6837" t="s">
        <v>127</v>
      </c>
      <c r="AD6837" t="s">
        <v>207</v>
      </c>
      <c r="AE6837" t="s">
        <v>676</v>
      </c>
      <c r="AF6837" t="s">
        <v>136</v>
      </c>
      <c r="AG6837">
        <v>1875</v>
      </c>
      <c r="AH6837" t="s">
        <v>450</v>
      </c>
      <c r="AI6837" t="s">
        <v>714</v>
      </c>
      <c r="AJ6837" t="s">
        <v>198</v>
      </c>
      <c r="AK6837" t="s">
        <v>128</v>
      </c>
      <c r="AL6837" t="s">
        <v>99</v>
      </c>
      <c r="AM6837">
        <v>1875</v>
      </c>
      <c r="AN6837" t="s">
        <v>1308</v>
      </c>
      <c r="AO6837" t="s">
        <v>132</v>
      </c>
      <c r="AP6837" t="s">
        <v>78</v>
      </c>
      <c r="AQ6837" t="s">
        <v>198</v>
      </c>
      <c r="AR6837" t="s">
        <v>198</v>
      </c>
      <c r="AS6837">
        <v>1875</v>
      </c>
      <c r="AT6837" t="s">
        <v>961</v>
      </c>
      <c r="AU6837" t="s">
        <v>253</v>
      </c>
      <c r="AV6837" t="s">
        <v>254</v>
      </c>
      <c r="AW6837" t="s">
        <v>198</v>
      </c>
      <c r="AX6837" t="s">
        <v>117</v>
      </c>
      <c r="AY6837">
        <v>1875</v>
      </c>
      <c r="AZ6837" t="s">
        <v>857</v>
      </c>
      <c r="BA6837" t="s">
        <v>157</v>
      </c>
      <c r="BB6837" t="s">
        <v>253</v>
      </c>
      <c r="BC6837" t="s">
        <v>124</v>
      </c>
      <c r="BD6837" t="s">
        <v>207</v>
      </c>
      <c r="BE6837">
        <v>1875</v>
      </c>
      <c r="BF6837" t="s">
        <v>314</v>
      </c>
      <c r="BG6837" t="s">
        <v>108</v>
      </c>
      <c r="BH6837" t="s">
        <v>416</v>
      </c>
      <c r="BI6837" t="s">
        <v>198</v>
      </c>
      <c r="BJ6837" t="s">
        <v>319</v>
      </c>
      <c r="BK6837">
        <v>1875</v>
      </c>
      <c r="BL6837" t="s">
        <v>335</v>
      </c>
      <c r="BM6837" t="s">
        <v>120</v>
      </c>
      <c r="BN6837" t="s">
        <v>141</v>
      </c>
      <c r="BO6837" t="s">
        <v>123</v>
      </c>
      <c r="BP6837" t="s">
        <v>99</v>
      </c>
    </row>
    <row r="6838" spans="1:68" x14ac:dyDescent="0.3">
      <c r="A6838" t="s">
        <v>36</v>
      </c>
      <c r="B6838" t="s">
        <v>216</v>
      </c>
      <c r="C6838">
        <v>265</v>
      </c>
      <c r="D6838" t="s">
        <v>858</v>
      </c>
      <c r="E6838" t="s">
        <v>319</v>
      </c>
      <c r="F6838" t="s">
        <v>78</v>
      </c>
      <c r="G6838" t="s">
        <v>104</v>
      </c>
      <c r="H6838" t="s">
        <v>130</v>
      </c>
      <c r="I6838">
        <v>265</v>
      </c>
      <c r="J6838" t="s">
        <v>943</v>
      </c>
      <c r="K6838" t="s">
        <v>296</v>
      </c>
      <c r="L6838" t="s">
        <v>461</v>
      </c>
      <c r="M6838" t="s">
        <v>115</v>
      </c>
      <c r="N6838" t="s">
        <v>662</v>
      </c>
      <c r="O6838">
        <v>265</v>
      </c>
      <c r="P6838" t="s">
        <v>870</v>
      </c>
      <c r="Q6838" t="s">
        <v>151</v>
      </c>
      <c r="R6838" t="s">
        <v>101</v>
      </c>
      <c r="S6838" t="s">
        <v>294</v>
      </c>
      <c r="T6838" t="s">
        <v>292</v>
      </c>
      <c r="U6838">
        <v>265</v>
      </c>
      <c r="V6838" t="s">
        <v>857</v>
      </c>
      <c r="W6838" t="s">
        <v>99</v>
      </c>
      <c r="X6838" t="s">
        <v>120</v>
      </c>
      <c r="Y6838" t="s">
        <v>99</v>
      </c>
      <c r="Z6838" t="s">
        <v>663</v>
      </c>
      <c r="AA6838">
        <v>265</v>
      </c>
      <c r="AB6838" t="s">
        <v>535</v>
      </c>
      <c r="AC6838" t="s">
        <v>108</v>
      </c>
      <c r="AD6838" t="s">
        <v>115</v>
      </c>
      <c r="AE6838" t="s">
        <v>749</v>
      </c>
      <c r="AF6838" t="s">
        <v>101</v>
      </c>
      <c r="AG6838">
        <v>265</v>
      </c>
      <c r="AH6838" t="s">
        <v>1510</v>
      </c>
      <c r="AI6838" t="s">
        <v>680</v>
      </c>
      <c r="AJ6838" t="s">
        <v>101</v>
      </c>
      <c r="AK6838" t="s">
        <v>98</v>
      </c>
      <c r="AL6838" t="s">
        <v>99</v>
      </c>
      <c r="AM6838">
        <v>265</v>
      </c>
      <c r="AN6838" t="s">
        <v>320</v>
      </c>
      <c r="AO6838" t="s">
        <v>99</v>
      </c>
      <c r="AP6838" t="s">
        <v>704</v>
      </c>
      <c r="AQ6838" t="s">
        <v>99</v>
      </c>
      <c r="AR6838" t="s">
        <v>104</v>
      </c>
      <c r="AS6838">
        <v>265</v>
      </c>
      <c r="AT6838" t="s">
        <v>417</v>
      </c>
      <c r="AU6838" t="s">
        <v>99</v>
      </c>
      <c r="AV6838" t="s">
        <v>149</v>
      </c>
      <c r="AW6838" t="s">
        <v>115</v>
      </c>
      <c r="AX6838" t="s">
        <v>145</v>
      </c>
      <c r="AY6838">
        <v>265</v>
      </c>
      <c r="AZ6838" t="s">
        <v>366</v>
      </c>
      <c r="BA6838" t="s">
        <v>112</v>
      </c>
      <c r="BB6838" t="s">
        <v>99</v>
      </c>
      <c r="BC6838" t="s">
        <v>74</v>
      </c>
      <c r="BD6838" t="s">
        <v>99</v>
      </c>
      <c r="BE6838">
        <v>265</v>
      </c>
      <c r="BF6838" t="s">
        <v>1515</v>
      </c>
      <c r="BG6838" t="s">
        <v>104</v>
      </c>
      <c r="BH6838" t="s">
        <v>301</v>
      </c>
      <c r="BI6838" t="s">
        <v>115</v>
      </c>
      <c r="BJ6838" t="s">
        <v>111</v>
      </c>
      <c r="BK6838">
        <v>265</v>
      </c>
      <c r="BL6838" t="s">
        <v>378</v>
      </c>
      <c r="BM6838" t="s">
        <v>143</v>
      </c>
      <c r="BN6838" t="s">
        <v>99</v>
      </c>
      <c r="BO6838" t="s">
        <v>120</v>
      </c>
      <c r="BP6838" t="s">
        <v>198</v>
      </c>
    </row>
    <row r="6839" spans="1:68" x14ac:dyDescent="0.3">
      <c r="A6839" t="s">
        <v>34</v>
      </c>
      <c r="B6839" t="s">
        <v>210</v>
      </c>
      <c r="C6839">
        <v>256</v>
      </c>
      <c r="D6839" t="s">
        <v>1104</v>
      </c>
      <c r="E6839" t="s">
        <v>112</v>
      </c>
      <c r="F6839" t="s">
        <v>681</v>
      </c>
      <c r="G6839" t="s">
        <v>121</v>
      </c>
      <c r="H6839" t="s">
        <v>143</v>
      </c>
      <c r="I6839">
        <v>256</v>
      </c>
      <c r="J6839" t="s">
        <v>1222</v>
      </c>
      <c r="K6839" t="s">
        <v>369</v>
      </c>
      <c r="L6839" t="s">
        <v>307</v>
      </c>
      <c r="M6839" t="s">
        <v>104</v>
      </c>
      <c r="N6839" t="s">
        <v>626</v>
      </c>
      <c r="O6839">
        <v>256</v>
      </c>
      <c r="P6839" t="s">
        <v>1228</v>
      </c>
      <c r="Q6839" t="s">
        <v>128</v>
      </c>
      <c r="R6839" t="s">
        <v>99</v>
      </c>
      <c r="S6839" t="s">
        <v>255</v>
      </c>
      <c r="T6839" t="s">
        <v>70</v>
      </c>
      <c r="U6839">
        <v>256</v>
      </c>
      <c r="V6839" t="s">
        <v>250</v>
      </c>
      <c r="W6839" t="s">
        <v>99</v>
      </c>
      <c r="X6839" t="s">
        <v>147</v>
      </c>
      <c r="Y6839" t="s">
        <v>99</v>
      </c>
      <c r="Z6839" t="s">
        <v>160</v>
      </c>
      <c r="AA6839">
        <v>256</v>
      </c>
      <c r="AB6839" t="s">
        <v>2101</v>
      </c>
      <c r="AC6839" t="s">
        <v>128</v>
      </c>
      <c r="AD6839" t="s">
        <v>99</v>
      </c>
      <c r="AE6839" t="s">
        <v>809</v>
      </c>
      <c r="AF6839" t="s">
        <v>132</v>
      </c>
      <c r="AG6839">
        <v>256</v>
      </c>
      <c r="AH6839" t="s">
        <v>1350</v>
      </c>
      <c r="AI6839" t="s">
        <v>697</v>
      </c>
      <c r="AJ6839" t="s">
        <v>132</v>
      </c>
      <c r="AK6839" t="s">
        <v>664</v>
      </c>
      <c r="AL6839" t="s">
        <v>215</v>
      </c>
      <c r="AM6839">
        <v>256</v>
      </c>
      <c r="AN6839" t="s">
        <v>917</v>
      </c>
      <c r="AO6839" t="s">
        <v>100</v>
      </c>
      <c r="AP6839" t="s">
        <v>1110</v>
      </c>
      <c r="AQ6839" t="s">
        <v>141</v>
      </c>
      <c r="AR6839" t="s">
        <v>99</v>
      </c>
      <c r="AS6839">
        <v>256</v>
      </c>
      <c r="AT6839" t="s">
        <v>1050</v>
      </c>
      <c r="AU6839" t="s">
        <v>103</v>
      </c>
      <c r="AV6839" t="s">
        <v>437</v>
      </c>
      <c r="AW6839" t="s">
        <v>141</v>
      </c>
      <c r="AX6839" t="s">
        <v>147</v>
      </c>
      <c r="AY6839">
        <v>256</v>
      </c>
      <c r="AZ6839" t="s">
        <v>874</v>
      </c>
      <c r="BA6839" t="s">
        <v>186</v>
      </c>
      <c r="BB6839" t="s">
        <v>207</v>
      </c>
      <c r="BC6839" t="s">
        <v>305</v>
      </c>
      <c r="BD6839" t="s">
        <v>207</v>
      </c>
      <c r="BE6839">
        <v>256</v>
      </c>
      <c r="BF6839" t="s">
        <v>1236</v>
      </c>
      <c r="BG6839" t="s">
        <v>127</v>
      </c>
      <c r="BH6839" t="s">
        <v>725</v>
      </c>
      <c r="BI6839" t="s">
        <v>99</v>
      </c>
      <c r="BJ6839" t="s">
        <v>382</v>
      </c>
      <c r="BK6839">
        <v>256</v>
      </c>
      <c r="BL6839" t="s">
        <v>612</v>
      </c>
      <c r="BM6839" t="s">
        <v>355</v>
      </c>
      <c r="BN6839" t="s">
        <v>207</v>
      </c>
      <c r="BO6839" t="s">
        <v>319</v>
      </c>
      <c r="BP6839" t="s">
        <v>207</v>
      </c>
    </row>
    <row r="6840" spans="1:68" x14ac:dyDescent="0.3">
      <c r="A6840" t="s">
        <v>34</v>
      </c>
      <c r="B6840" t="s">
        <v>212</v>
      </c>
      <c r="C6840">
        <v>1582</v>
      </c>
      <c r="D6840" t="s">
        <v>991</v>
      </c>
      <c r="E6840" t="s">
        <v>292</v>
      </c>
      <c r="F6840" t="s">
        <v>416</v>
      </c>
      <c r="G6840" t="s">
        <v>117</v>
      </c>
      <c r="H6840" t="s">
        <v>151</v>
      </c>
      <c r="I6840">
        <v>1582</v>
      </c>
      <c r="J6840" t="s">
        <v>602</v>
      </c>
      <c r="K6840" t="s">
        <v>135</v>
      </c>
      <c r="L6840" t="s">
        <v>626</v>
      </c>
      <c r="M6840" t="s">
        <v>103</v>
      </c>
      <c r="N6840" t="s">
        <v>264</v>
      </c>
      <c r="O6840">
        <v>1582</v>
      </c>
      <c r="P6840" t="s">
        <v>426</v>
      </c>
      <c r="Q6840" t="s">
        <v>253</v>
      </c>
      <c r="R6840" t="s">
        <v>316</v>
      </c>
      <c r="S6840" t="s">
        <v>714</v>
      </c>
      <c r="T6840" t="s">
        <v>112</v>
      </c>
      <c r="U6840">
        <v>1582</v>
      </c>
      <c r="V6840" t="s">
        <v>409</v>
      </c>
      <c r="W6840" t="s">
        <v>117</v>
      </c>
      <c r="X6840" t="s">
        <v>268</v>
      </c>
      <c r="Y6840" t="s">
        <v>198</v>
      </c>
      <c r="Z6840" t="s">
        <v>675</v>
      </c>
      <c r="AA6840">
        <v>1582</v>
      </c>
      <c r="AB6840" t="s">
        <v>1259</v>
      </c>
      <c r="AC6840" t="s">
        <v>155</v>
      </c>
      <c r="AD6840" t="s">
        <v>103</v>
      </c>
      <c r="AE6840" t="s">
        <v>715</v>
      </c>
      <c r="AF6840" t="s">
        <v>198</v>
      </c>
      <c r="AG6840">
        <v>1582</v>
      </c>
      <c r="AH6840" t="s">
        <v>1077</v>
      </c>
      <c r="AI6840" t="s">
        <v>887</v>
      </c>
      <c r="AJ6840" t="s">
        <v>268</v>
      </c>
      <c r="AK6840" t="s">
        <v>103</v>
      </c>
      <c r="AL6840" t="s">
        <v>136</v>
      </c>
      <c r="AM6840">
        <v>1582</v>
      </c>
      <c r="AN6840" t="s">
        <v>1253</v>
      </c>
      <c r="AO6840" t="s">
        <v>136</v>
      </c>
      <c r="AP6840" t="s">
        <v>739</v>
      </c>
      <c r="AQ6840" t="s">
        <v>292</v>
      </c>
      <c r="AR6840" t="s">
        <v>99</v>
      </c>
      <c r="AS6840">
        <v>1582</v>
      </c>
      <c r="AT6840" t="s">
        <v>1228</v>
      </c>
      <c r="AU6840" t="s">
        <v>141</v>
      </c>
      <c r="AV6840" t="s">
        <v>298</v>
      </c>
      <c r="AW6840" t="s">
        <v>117</v>
      </c>
      <c r="AX6840" t="s">
        <v>316</v>
      </c>
      <c r="AY6840">
        <v>1582</v>
      </c>
      <c r="AZ6840" t="s">
        <v>509</v>
      </c>
      <c r="BA6840" t="s">
        <v>465</v>
      </c>
      <c r="BB6840" t="s">
        <v>128</v>
      </c>
      <c r="BC6840" t="s">
        <v>154</v>
      </c>
      <c r="BD6840" t="s">
        <v>136</v>
      </c>
      <c r="BE6840">
        <v>1582</v>
      </c>
      <c r="BF6840" t="s">
        <v>428</v>
      </c>
      <c r="BG6840" t="s">
        <v>100</v>
      </c>
      <c r="BH6840" t="s">
        <v>276</v>
      </c>
      <c r="BI6840" t="s">
        <v>117</v>
      </c>
      <c r="BJ6840" t="s">
        <v>253</v>
      </c>
      <c r="BK6840">
        <v>1582</v>
      </c>
      <c r="BL6840" t="s">
        <v>855</v>
      </c>
      <c r="BM6840" t="s">
        <v>379</v>
      </c>
      <c r="BN6840" t="s">
        <v>292</v>
      </c>
      <c r="BO6840" t="s">
        <v>121</v>
      </c>
      <c r="BP6840" t="s">
        <v>141</v>
      </c>
    </row>
    <row r="6841" spans="1:68" x14ac:dyDescent="0.3">
      <c r="A6841" t="s">
        <v>34</v>
      </c>
      <c r="B6841" t="s">
        <v>216</v>
      </c>
      <c r="C6841">
        <v>242</v>
      </c>
      <c r="D6841" t="s">
        <v>458</v>
      </c>
      <c r="E6841" t="s">
        <v>143</v>
      </c>
      <c r="F6841" t="s">
        <v>1059</v>
      </c>
      <c r="G6841" t="s">
        <v>100</v>
      </c>
      <c r="H6841" t="s">
        <v>353</v>
      </c>
      <c r="I6841">
        <v>242</v>
      </c>
      <c r="J6841" t="s">
        <v>1062</v>
      </c>
      <c r="K6841" t="s">
        <v>672</v>
      </c>
      <c r="L6841" t="s">
        <v>451</v>
      </c>
      <c r="M6841" t="s">
        <v>198</v>
      </c>
      <c r="N6841" t="s">
        <v>341</v>
      </c>
      <c r="O6841">
        <v>242</v>
      </c>
      <c r="P6841" t="s">
        <v>1103</v>
      </c>
      <c r="Q6841" t="s">
        <v>319</v>
      </c>
      <c r="R6841" t="s">
        <v>115</v>
      </c>
      <c r="S6841" t="s">
        <v>276</v>
      </c>
      <c r="T6841" t="s">
        <v>248</v>
      </c>
      <c r="U6841">
        <v>242</v>
      </c>
      <c r="V6841" t="s">
        <v>1137</v>
      </c>
      <c r="W6841" t="s">
        <v>104</v>
      </c>
      <c r="X6841" t="s">
        <v>157</v>
      </c>
      <c r="Y6841" t="s">
        <v>104</v>
      </c>
      <c r="Z6841" t="s">
        <v>685</v>
      </c>
      <c r="AA6841">
        <v>242</v>
      </c>
      <c r="AB6841" t="s">
        <v>793</v>
      </c>
      <c r="AC6841" t="s">
        <v>139</v>
      </c>
      <c r="AD6841" t="s">
        <v>198</v>
      </c>
      <c r="AE6841" t="s">
        <v>591</v>
      </c>
      <c r="AF6841" t="s">
        <v>382</v>
      </c>
      <c r="AG6841">
        <v>242</v>
      </c>
      <c r="AH6841" t="s">
        <v>949</v>
      </c>
      <c r="AI6841" t="s">
        <v>665</v>
      </c>
      <c r="AJ6841" t="s">
        <v>198</v>
      </c>
      <c r="AK6841" t="s">
        <v>296</v>
      </c>
      <c r="AL6841" t="s">
        <v>108</v>
      </c>
      <c r="AM6841">
        <v>242</v>
      </c>
      <c r="AN6841" t="s">
        <v>1337</v>
      </c>
      <c r="AO6841" t="s">
        <v>207</v>
      </c>
      <c r="AP6841" t="s">
        <v>513</v>
      </c>
      <c r="AQ6841" t="s">
        <v>104</v>
      </c>
      <c r="AR6841" t="s">
        <v>99</v>
      </c>
      <c r="AS6841">
        <v>242</v>
      </c>
      <c r="AT6841" t="s">
        <v>1341</v>
      </c>
      <c r="AU6841" t="s">
        <v>147</v>
      </c>
      <c r="AV6841" t="s">
        <v>811</v>
      </c>
      <c r="AW6841" t="s">
        <v>104</v>
      </c>
      <c r="AX6841" t="s">
        <v>721</v>
      </c>
      <c r="AY6841">
        <v>242</v>
      </c>
      <c r="AZ6841" t="s">
        <v>581</v>
      </c>
      <c r="BA6841" t="s">
        <v>501</v>
      </c>
      <c r="BB6841" t="s">
        <v>114</v>
      </c>
      <c r="BC6841" t="s">
        <v>482</v>
      </c>
      <c r="BD6841" t="s">
        <v>104</v>
      </c>
      <c r="BE6841">
        <v>242</v>
      </c>
      <c r="BF6841" t="s">
        <v>1192</v>
      </c>
      <c r="BG6841" t="s">
        <v>127</v>
      </c>
      <c r="BH6841" t="s">
        <v>812</v>
      </c>
      <c r="BI6841" t="s">
        <v>104</v>
      </c>
      <c r="BJ6841" t="s">
        <v>292</v>
      </c>
      <c r="BK6841">
        <v>242</v>
      </c>
      <c r="BL6841" t="s">
        <v>518</v>
      </c>
      <c r="BM6841" t="s">
        <v>197</v>
      </c>
      <c r="BN6841" t="s">
        <v>121</v>
      </c>
      <c r="BO6841" t="s">
        <v>107</v>
      </c>
      <c r="BP6841" t="s">
        <v>104</v>
      </c>
    </row>
    <row r="6842" spans="1:68" x14ac:dyDescent="0.3">
      <c r="A6842" t="s">
        <v>33</v>
      </c>
      <c r="B6842" t="s">
        <v>210</v>
      </c>
      <c r="C6842">
        <v>68</v>
      </c>
      <c r="D6842" t="s">
        <v>261</v>
      </c>
      <c r="E6842" t="s">
        <v>151</v>
      </c>
      <c r="F6842" t="s">
        <v>482</v>
      </c>
      <c r="G6842" t="s">
        <v>107</v>
      </c>
      <c r="H6842" t="s">
        <v>99</v>
      </c>
      <c r="I6842">
        <v>68</v>
      </c>
      <c r="J6842" t="s">
        <v>953</v>
      </c>
      <c r="K6842" t="s">
        <v>401</v>
      </c>
      <c r="L6842" t="s">
        <v>291</v>
      </c>
      <c r="M6842" t="s">
        <v>107</v>
      </c>
      <c r="N6842" t="s">
        <v>393</v>
      </c>
      <c r="O6842">
        <v>68</v>
      </c>
      <c r="P6842" t="s">
        <v>77</v>
      </c>
      <c r="Q6842" t="s">
        <v>108</v>
      </c>
      <c r="R6842" t="s">
        <v>107</v>
      </c>
      <c r="S6842" t="s">
        <v>379</v>
      </c>
      <c r="T6842" t="s">
        <v>99</v>
      </c>
      <c r="U6842">
        <v>68</v>
      </c>
      <c r="V6842" t="s">
        <v>433</v>
      </c>
      <c r="W6842" t="s">
        <v>107</v>
      </c>
      <c r="X6842" t="s">
        <v>121</v>
      </c>
      <c r="Y6842" t="s">
        <v>99</v>
      </c>
      <c r="Z6842" t="s">
        <v>99</v>
      </c>
      <c r="AA6842">
        <v>68</v>
      </c>
      <c r="AB6842" t="s">
        <v>1027</v>
      </c>
      <c r="AC6842" t="s">
        <v>117</v>
      </c>
      <c r="AD6842" t="s">
        <v>107</v>
      </c>
      <c r="AE6842" t="s">
        <v>911</v>
      </c>
      <c r="AF6842" t="s">
        <v>99</v>
      </c>
      <c r="AG6842">
        <v>68</v>
      </c>
      <c r="AH6842" t="s">
        <v>547</v>
      </c>
      <c r="AI6842" t="s">
        <v>321</v>
      </c>
      <c r="AJ6842" t="s">
        <v>107</v>
      </c>
      <c r="AK6842" t="s">
        <v>215</v>
      </c>
      <c r="AL6842" t="s">
        <v>99</v>
      </c>
      <c r="AM6842">
        <v>68</v>
      </c>
      <c r="AN6842" t="s">
        <v>1060</v>
      </c>
      <c r="AO6842" t="s">
        <v>101</v>
      </c>
      <c r="AP6842" t="s">
        <v>370</v>
      </c>
      <c r="AQ6842" t="s">
        <v>107</v>
      </c>
      <c r="AR6842" t="s">
        <v>99</v>
      </c>
      <c r="AS6842">
        <v>68</v>
      </c>
      <c r="AT6842" t="s">
        <v>314</v>
      </c>
      <c r="AU6842" t="s">
        <v>151</v>
      </c>
      <c r="AV6842" t="s">
        <v>145</v>
      </c>
      <c r="AW6842" t="s">
        <v>107</v>
      </c>
      <c r="AX6842" t="s">
        <v>316</v>
      </c>
      <c r="AY6842">
        <v>68</v>
      </c>
      <c r="AZ6842" t="s">
        <v>854</v>
      </c>
      <c r="BA6842" t="s">
        <v>74</v>
      </c>
      <c r="BB6842" t="s">
        <v>107</v>
      </c>
      <c r="BC6842" t="s">
        <v>107</v>
      </c>
      <c r="BD6842" t="s">
        <v>99</v>
      </c>
      <c r="BE6842">
        <v>68</v>
      </c>
      <c r="BF6842" t="s">
        <v>530</v>
      </c>
      <c r="BG6842" t="s">
        <v>151</v>
      </c>
      <c r="BH6842" t="s">
        <v>1044</v>
      </c>
      <c r="BI6842" t="s">
        <v>107</v>
      </c>
      <c r="BJ6842" t="s">
        <v>99</v>
      </c>
      <c r="BK6842">
        <v>68</v>
      </c>
      <c r="BL6842" t="s">
        <v>326</v>
      </c>
      <c r="BM6842" t="s">
        <v>147</v>
      </c>
      <c r="BN6842" t="s">
        <v>129</v>
      </c>
      <c r="BO6842" t="s">
        <v>99</v>
      </c>
      <c r="BP6842" t="s">
        <v>99</v>
      </c>
    </row>
    <row r="6843" spans="1:68" x14ac:dyDescent="0.3">
      <c r="A6843" t="s">
        <v>33</v>
      </c>
      <c r="B6843" t="s">
        <v>212</v>
      </c>
      <c r="C6843">
        <v>1800</v>
      </c>
      <c r="D6843" t="s">
        <v>162</v>
      </c>
      <c r="E6843" t="s">
        <v>136</v>
      </c>
      <c r="F6843" t="s">
        <v>292</v>
      </c>
      <c r="G6843" t="s">
        <v>268</v>
      </c>
      <c r="H6843" t="s">
        <v>101</v>
      </c>
      <c r="I6843">
        <v>1800</v>
      </c>
      <c r="J6843" t="s">
        <v>428</v>
      </c>
      <c r="K6843" t="s">
        <v>134</v>
      </c>
      <c r="L6843" t="s">
        <v>672</v>
      </c>
      <c r="M6843" t="s">
        <v>268</v>
      </c>
      <c r="N6843" t="s">
        <v>41</v>
      </c>
      <c r="O6843">
        <v>1800</v>
      </c>
      <c r="P6843" t="s">
        <v>380</v>
      </c>
      <c r="Q6843" t="s">
        <v>198</v>
      </c>
      <c r="R6843" t="s">
        <v>268</v>
      </c>
      <c r="S6843" t="s">
        <v>663</v>
      </c>
      <c r="T6843" t="s">
        <v>120</v>
      </c>
      <c r="U6843">
        <v>1800</v>
      </c>
      <c r="V6843" t="s">
        <v>362</v>
      </c>
      <c r="W6843" t="s">
        <v>268</v>
      </c>
      <c r="X6843" t="s">
        <v>253</v>
      </c>
      <c r="Y6843" t="s">
        <v>198</v>
      </c>
      <c r="Z6843" t="s">
        <v>129</v>
      </c>
      <c r="AA6843">
        <v>1800</v>
      </c>
      <c r="AB6843" t="s">
        <v>883</v>
      </c>
      <c r="AC6843" t="s">
        <v>151</v>
      </c>
      <c r="AD6843" t="s">
        <v>268</v>
      </c>
      <c r="AE6843" t="s">
        <v>171</v>
      </c>
      <c r="AF6843" t="s">
        <v>207</v>
      </c>
      <c r="AG6843">
        <v>1800</v>
      </c>
      <c r="AH6843" t="s">
        <v>1064</v>
      </c>
      <c r="AI6843" t="s">
        <v>1044</v>
      </c>
      <c r="AJ6843" t="s">
        <v>117</v>
      </c>
      <c r="AK6843" t="s">
        <v>114</v>
      </c>
      <c r="AL6843" t="s">
        <v>99</v>
      </c>
      <c r="AM6843">
        <v>1800</v>
      </c>
      <c r="AN6843" t="s">
        <v>326</v>
      </c>
      <c r="AO6843" t="s">
        <v>104</v>
      </c>
      <c r="AP6843" t="s">
        <v>434</v>
      </c>
      <c r="AQ6843" t="s">
        <v>268</v>
      </c>
      <c r="AR6843" t="s">
        <v>104</v>
      </c>
      <c r="AS6843">
        <v>1800</v>
      </c>
      <c r="AT6843" t="s">
        <v>400</v>
      </c>
      <c r="AU6843" t="s">
        <v>207</v>
      </c>
      <c r="AV6843" t="s">
        <v>139</v>
      </c>
      <c r="AW6843" t="s">
        <v>117</v>
      </c>
      <c r="AX6843" t="s">
        <v>121</v>
      </c>
      <c r="AY6843">
        <v>1800</v>
      </c>
      <c r="AZ6843" t="s">
        <v>183</v>
      </c>
      <c r="BA6843" t="s">
        <v>328</v>
      </c>
      <c r="BB6843" t="s">
        <v>117</v>
      </c>
      <c r="BC6843" t="s">
        <v>108</v>
      </c>
      <c r="BD6843" t="s">
        <v>99</v>
      </c>
      <c r="BE6843">
        <v>1800</v>
      </c>
      <c r="BF6843" t="s">
        <v>293</v>
      </c>
      <c r="BG6843" t="s">
        <v>141</v>
      </c>
      <c r="BH6843" t="s">
        <v>150</v>
      </c>
      <c r="BI6843" t="s">
        <v>268</v>
      </c>
      <c r="BJ6843" t="s">
        <v>104</v>
      </c>
      <c r="BK6843">
        <v>1800</v>
      </c>
      <c r="BL6843" t="s">
        <v>419</v>
      </c>
      <c r="BM6843" t="s">
        <v>112</v>
      </c>
      <c r="BN6843" t="s">
        <v>268</v>
      </c>
      <c r="BO6843" t="s">
        <v>114</v>
      </c>
      <c r="BP6843" t="s">
        <v>99</v>
      </c>
    </row>
    <row r="6844" spans="1:68" x14ac:dyDescent="0.3">
      <c r="A6844" t="s">
        <v>33</v>
      </c>
      <c r="B6844" t="s">
        <v>216</v>
      </c>
      <c r="C6844">
        <v>69</v>
      </c>
      <c r="D6844" t="s">
        <v>414</v>
      </c>
      <c r="E6844" t="s">
        <v>99</v>
      </c>
      <c r="F6844" t="s">
        <v>99</v>
      </c>
      <c r="G6844" t="s">
        <v>319</v>
      </c>
      <c r="H6844" t="s">
        <v>412</v>
      </c>
      <c r="I6844">
        <v>69</v>
      </c>
      <c r="J6844" t="s">
        <v>1405</v>
      </c>
      <c r="K6844" t="s">
        <v>155</v>
      </c>
      <c r="L6844" t="s">
        <v>74</v>
      </c>
      <c r="M6844" t="s">
        <v>319</v>
      </c>
      <c r="N6844" t="s">
        <v>677</v>
      </c>
      <c r="O6844">
        <v>69</v>
      </c>
      <c r="P6844" t="s">
        <v>991</v>
      </c>
      <c r="Q6844" t="s">
        <v>99</v>
      </c>
      <c r="R6844" t="s">
        <v>319</v>
      </c>
      <c r="S6844" t="s">
        <v>737</v>
      </c>
      <c r="T6844" t="s">
        <v>130</v>
      </c>
      <c r="U6844">
        <v>69</v>
      </c>
      <c r="V6844" t="s">
        <v>334</v>
      </c>
      <c r="W6844" t="s">
        <v>319</v>
      </c>
      <c r="X6844" t="s">
        <v>99</v>
      </c>
      <c r="Y6844" t="s">
        <v>99</v>
      </c>
      <c r="Z6844" t="s">
        <v>242</v>
      </c>
      <c r="AA6844">
        <v>69</v>
      </c>
      <c r="AB6844" t="s">
        <v>247</v>
      </c>
      <c r="AC6844" t="s">
        <v>107</v>
      </c>
      <c r="AD6844" t="s">
        <v>319</v>
      </c>
      <c r="AE6844" t="s">
        <v>127</v>
      </c>
      <c r="AF6844" t="s">
        <v>382</v>
      </c>
      <c r="AG6844">
        <v>69</v>
      </c>
      <c r="AH6844" t="s">
        <v>1276</v>
      </c>
      <c r="AI6844" t="s">
        <v>296</v>
      </c>
      <c r="AJ6844" t="s">
        <v>319</v>
      </c>
      <c r="AK6844" t="s">
        <v>99</v>
      </c>
      <c r="AL6844" t="s">
        <v>99</v>
      </c>
      <c r="AM6844">
        <v>69</v>
      </c>
      <c r="AN6844" t="s">
        <v>961</v>
      </c>
      <c r="AO6844" t="s">
        <v>99</v>
      </c>
      <c r="AP6844" t="s">
        <v>299</v>
      </c>
      <c r="AQ6844" t="s">
        <v>319</v>
      </c>
      <c r="AR6844" t="s">
        <v>99</v>
      </c>
      <c r="AS6844">
        <v>69</v>
      </c>
      <c r="AT6844" t="s">
        <v>73</v>
      </c>
      <c r="AU6844" t="s">
        <v>99</v>
      </c>
      <c r="AV6844" t="s">
        <v>328</v>
      </c>
      <c r="AW6844" t="s">
        <v>319</v>
      </c>
      <c r="AX6844" t="s">
        <v>319</v>
      </c>
      <c r="AY6844">
        <v>69</v>
      </c>
      <c r="AZ6844" t="s">
        <v>335</v>
      </c>
      <c r="BA6844" t="s">
        <v>110</v>
      </c>
      <c r="BB6844" t="s">
        <v>319</v>
      </c>
      <c r="BC6844" t="s">
        <v>99</v>
      </c>
      <c r="BD6844" t="s">
        <v>99</v>
      </c>
      <c r="BE6844">
        <v>69</v>
      </c>
      <c r="BF6844" t="s">
        <v>288</v>
      </c>
      <c r="BG6844" t="s">
        <v>127</v>
      </c>
      <c r="BH6844" t="s">
        <v>369</v>
      </c>
      <c r="BI6844" t="s">
        <v>319</v>
      </c>
      <c r="BJ6844" t="s">
        <v>99</v>
      </c>
      <c r="BK6844">
        <v>69</v>
      </c>
      <c r="BL6844" t="s">
        <v>778</v>
      </c>
      <c r="BM6844" t="s">
        <v>134</v>
      </c>
      <c r="BN6844" t="s">
        <v>319</v>
      </c>
      <c r="BO6844" t="s">
        <v>99</v>
      </c>
      <c r="BP6844" t="s">
        <v>99</v>
      </c>
    </row>
    <row r="6845" spans="1:68" x14ac:dyDescent="0.3">
      <c r="A6845" t="s">
        <v>49</v>
      </c>
      <c r="B6845" t="s">
        <v>210</v>
      </c>
      <c r="C6845">
        <v>763</v>
      </c>
      <c r="D6845" t="s">
        <v>1155</v>
      </c>
      <c r="E6845" t="s">
        <v>120</v>
      </c>
      <c r="F6845" t="s">
        <v>833</v>
      </c>
      <c r="G6845" t="s">
        <v>126</v>
      </c>
      <c r="H6845" t="s">
        <v>684</v>
      </c>
      <c r="I6845">
        <v>763</v>
      </c>
      <c r="J6845" t="s">
        <v>957</v>
      </c>
      <c r="K6845" t="s">
        <v>679</v>
      </c>
      <c r="L6845" t="s">
        <v>811</v>
      </c>
      <c r="M6845" t="s">
        <v>101</v>
      </c>
      <c r="N6845" t="s">
        <v>803</v>
      </c>
      <c r="O6845">
        <v>763</v>
      </c>
      <c r="P6845" t="s">
        <v>1246</v>
      </c>
      <c r="Q6845" t="s">
        <v>382</v>
      </c>
      <c r="R6845" t="s">
        <v>100</v>
      </c>
      <c r="S6845" t="s">
        <v>798</v>
      </c>
      <c r="T6845" t="s">
        <v>325</v>
      </c>
      <c r="U6845">
        <v>763</v>
      </c>
      <c r="V6845" t="s">
        <v>1010</v>
      </c>
      <c r="W6845" t="s">
        <v>101</v>
      </c>
      <c r="X6845" t="s">
        <v>68</v>
      </c>
      <c r="Y6845" t="s">
        <v>104</v>
      </c>
      <c r="Z6845" t="s">
        <v>122</v>
      </c>
      <c r="AA6845">
        <v>763</v>
      </c>
      <c r="AB6845" t="s">
        <v>1327</v>
      </c>
      <c r="AC6845" t="s">
        <v>107</v>
      </c>
      <c r="AD6845" t="s">
        <v>114</v>
      </c>
      <c r="AE6845" t="s">
        <v>832</v>
      </c>
      <c r="AF6845" t="s">
        <v>207</v>
      </c>
      <c r="AG6845">
        <v>763</v>
      </c>
      <c r="AH6845" t="s">
        <v>985</v>
      </c>
      <c r="AI6845" t="s">
        <v>395</v>
      </c>
      <c r="AJ6845" t="s">
        <v>319</v>
      </c>
      <c r="AK6845" t="s">
        <v>135</v>
      </c>
      <c r="AL6845" t="s">
        <v>115</v>
      </c>
      <c r="AM6845">
        <v>763</v>
      </c>
      <c r="AN6845" t="s">
        <v>306</v>
      </c>
      <c r="AO6845" t="s">
        <v>101</v>
      </c>
      <c r="AP6845" t="s">
        <v>1107</v>
      </c>
      <c r="AQ6845" t="s">
        <v>121</v>
      </c>
      <c r="AR6845" t="s">
        <v>99</v>
      </c>
      <c r="AS6845">
        <v>763</v>
      </c>
      <c r="AT6845" t="s">
        <v>568</v>
      </c>
      <c r="AU6845" t="s">
        <v>215</v>
      </c>
      <c r="AV6845" t="s">
        <v>38</v>
      </c>
      <c r="AW6845" t="s">
        <v>101</v>
      </c>
      <c r="AX6845" t="s">
        <v>277</v>
      </c>
      <c r="AY6845">
        <v>763</v>
      </c>
      <c r="AZ6845" t="s">
        <v>763</v>
      </c>
      <c r="BA6845" t="s">
        <v>408</v>
      </c>
      <c r="BB6845" t="s">
        <v>100</v>
      </c>
      <c r="BC6845" t="s">
        <v>204</v>
      </c>
      <c r="BD6845" t="s">
        <v>108</v>
      </c>
      <c r="BE6845">
        <v>763</v>
      </c>
      <c r="BF6845" t="s">
        <v>2101</v>
      </c>
      <c r="BG6845" t="s">
        <v>126</v>
      </c>
      <c r="BH6845" t="s">
        <v>834</v>
      </c>
      <c r="BI6845" t="s">
        <v>100</v>
      </c>
      <c r="BJ6845" t="s">
        <v>215</v>
      </c>
      <c r="BK6845">
        <v>763</v>
      </c>
      <c r="BL6845" t="s">
        <v>1010</v>
      </c>
      <c r="BM6845" t="s">
        <v>379</v>
      </c>
      <c r="BN6845" t="s">
        <v>101</v>
      </c>
      <c r="BO6845" t="s">
        <v>101</v>
      </c>
      <c r="BP6845" t="s">
        <v>115</v>
      </c>
    </row>
    <row r="6846" spans="1:68" x14ac:dyDescent="0.3">
      <c r="A6846" t="s">
        <v>49</v>
      </c>
      <c r="B6846" t="s">
        <v>212</v>
      </c>
      <c r="C6846">
        <v>11305</v>
      </c>
      <c r="D6846" t="s">
        <v>1135</v>
      </c>
      <c r="E6846" t="s">
        <v>319</v>
      </c>
      <c r="F6846" t="s">
        <v>113</v>
      </c>
      <c r="G6846" t="s">
        <v>151</v>
      </c>
      <c r="H6846" t="s">
        <v>157</v>
      </c>
      <c r="I6846">
        <v>11305</v>
      </c>
      <c r="J6846" t="s">
        <v>1331</v>
      </c>
      <c r="K6846" t="s">
        <v>139</v>
      </c>
      <c r="L6846" t="s">
        <v>231</v>
      </c>
      <c r="M6846" t="s">
        <v>111</v>
      </c>
      <c r="N6846" t="s">
        <v>672</v>
      </c>
      <c r="O6846">
        <v>11305</v>
      </c>
      <c r="P6846" t="s">
        <v>537</v>
      </c>
      <c r="Q6846" t="s">
        <v>115</v>
      </c>
      <c r="R6846" t="s">
        <v>151</v>
      </c>
      <c r="S6846" t="s">
        <v>420</v>
      </c>
      <c r="T6846" t="s">
        <v>139</v>
      </c>
      <c r="U6846">
        <v>11305</v>
      </c>
      <c r="V6846" t="s">
        <v>312</v>
      </c>
      <c r="W6846" t="s">
        <v>151</v>
      </c>
      <c r="X6846" t="s">
        <v>117</v>
      </c>
      <c r="Y6846" t="s">
        <v>207</v>
      </c>
      <c r="Z6846" t="s">
        <v>70</v>
      </c>
      <c r="AA6846">
        <v>11305</v>
      </c>
      <c r="AB6846" t="s">
        <v>1235</v>
      </c>
      <c r="AC6846" t="s">
        <v>139</v>
      </c>
      <c r="AD6846" t="s">
        <v>151</v>
      </c>
      <c r="AE6846" t="s">
        <v>705</v>
      </c>
      <c r="AF6846" t="s">
        <v>253</v>
      </c>
      <c r="AG6846">
        <v>11305</v>
      </c>
      <c r="AH6846" t="s">
        <v>57</v>
      </c>
      <c r="AI6846" t="s">
        <v>805</v>
      </c>
      <c r="AJ6846" t="s">
        <v>123</v>
      </c>
      <c r="AK6846" t="s">
        <v>268</v>
      </c>
      <c r="AL6846" t="s">
        <v>198</v>
      </c>
      <c r="AM6846">
        <v>11305</v>
      </c>
      <c r="AN6846" t="s">
        <v>769</v>
      </c>
      <c r="AO6846" t="s">
        <v>136</v>
      </c>
      <c r="AP6846" t="s">
        <v>737</v>
      </c>
      <c r="AQ6846" t="s">
        <v>123</v>
      </c>
      <c r="AR6846" t="s">
        <v>104</v>
      </c>
      <c r="AS6846">
        <v>11305</v>
      </c>
      <c r="AT6846" t="s">
        <v>547</v>
      </c>
      <c r="AU6846" t="s">
        <v>132</v>
      </c>
      <c r="AV6846" t="s">
        <v>267</v>
      </c>
      <c r="AW6846" t="s">
        <v>151</v>
      </c>
      <c r="AX6846" t="s">
        <v>111</v>
      </c>
      <c r="AY6846">
        <v>11305</v>
      </c>
      <c r="AZ6846" t="s">
        <v>543</v>
      </c>
      <c r="BA6846" t="s">
        <v>315</v>
      </c>
      <c r="BB6846" t="s">
        <v>111</v>
      </c>
      <c r="BC6846" t="s">
        <v>107</v>
      </c>
      <c r="BD6846" t="s">
        <v>198</v>
      </c>
      <c r="BE6846">
        <v>11305</v>
      </c>
      <c r="BF6846" t="s">
        <v>1277</v>
      </c>
      <c r="BG6846" t="s">
        <v>132</v>
      </c>
      <c r="BH6846" t="s">
        <v>482</v>
      </c>
      <c r="BI6846" t="s">
        <v>123</v>
      </c>
      <c r="BJ6846" t="s">
        <v>132</v>
      </c>
      <c r="BK6846">
        <v>11305</v>
      </c>
      <c r="BL6846" t="s">
        <v>380</v>
      </c>
      <c r="BM6846" t="s">
        <v>353</v>
      </c>
      <c r="BN6846" t="s">
        <v>151</v>
      </c>
      <c r="BO6846" t="s">
        <v>215</v>
      </c>
      <c r="BP6846" t="s">
        <v>207</v>
      </c>
    </row>
    <row r="6847" spans="1:68" x14ac:dyDescent="0.3">
      <c r="A6847" t="s">
        <v>49</v>
      </c>
      <c r="B6847" t="s">
        <v>216</v>
      </c>
      <c r="C6847">
        <v>1254</v>
      </c>
      <c r="D6847" t="s">
        <v>1478</v>
      </c>
      <c r="E6847" t="s">
        <v>157</v>
      </c>
      <c r="F6847" t="s">
        <v>680</v>
      </c>
      <c r="G6847" t="s">
        <v>114</v>
      </c>
      <c r="H6847" t="s">
        <v>98</v>
      </c>
      <c r="I6847">
        <v>1254</v>
      </c>
      <c r="J6847" t="s">
        <v>589</v>
      </c>
      <c r="K6847" t="s">
        <v>109</v>
      </c>
      <c r="L6847" t="s">
        <v>318</v>
      </c>
      <c r="M6847" t="s">
        <v>100</v>
      </c>
      <c r="N6847" t="s">
        <v>197</v>
      </c>
      <c r="O6847">
        <v>1254</v>
      </c>
      <c r="P6847" t="s">
        <v>772</v>
      </c>
      <c r="Q6847" t="s">
        <v>127</v>
      </c>
      <c r="R6847" t="s">
        <v>114</v>
      </c>
      <c r="S6847" t="s">
        <v>746</v>
      </c>
      <c r="T6847" t="s">
        <v>684</v>
      </c>
      <c r="U6847">
        <v>1254</v>
      </c>
      <c r="V6847" t="s">
        <v>854</v>
      </c>
      <c r="W6847" t="s">
        <v>132</v>
      </c>
      <c r="X6847" t="s">
        <v>111</v>
      </c>
      <c r="Y6847" t="s">
        <v>99</v>
      </c>
      <c r="Z6847" t="s">
        <v>671</v>
      </c>
      <c r="AA6847">
        <v>1254</v>
      </c>
      <c r="AB6847" t="s">
        <v>1153</v>
      </c>
      <c r="AC6847" t="s">
        <v>110</v>
      </c>
      <c r="AD6847" t="s">
        <v>114</v>
      </c>
      <c r="AE6847" t="s">
        <v>40</v>
      </c>
      <c r="AF6847" t="s">
        <v>132</v>
      </c>
      <c r="AG6847">
        <v>1254</v>
      </c>
      <c r="AH6847" t="s">
        <v>1064</v>
      </c>
      <c r="AI6847" t="s">
        <v>482</v>
      </c>
      <c r="AJ6847" t="s">
        <v>100</v>
      </c>
      <c r="AK6847" t="s">
        <v>468</v>
      </c>
      <c r="AL6847" t="s">
        <v>207</v>
      </c>
      <c r="AM6847">
        <v>1254</v>
      </c>
      <c r="AN6847" t="s">
        <v>968</v>
      </c>
      <c r="AO6847" t="s">
        <v>319</v>
      </c>
      <c r="AP6847" t="s">
        <v>373</v>
      </c>
      <c r="AQ6847" t="s">
        <v>132</v>
      </c>
      <c r="AR6847" t="s">
        <v>253</v>
      </c>
      <c r="AS6847">
        <v>1254</v>
      </c>
      <c r="AT6847" t="s">
        <v>1277</v>
      </c>
      <c r="AU6847" t="s">
        <v>215</v>
      </c>
      <c r="AV6847" t="s">
        <v>408</v>
      </c>
      <c r="AW6847" t="s">
        <v>132</v>
      </c>
      <c r="AX6847" t="s">
        <v>684</v>
      </c>
      <c r="AY6847">
        <v>1254</v>
      </c>
      <c r="AZ6847" t="s">
        <v>189</v>
      </c>
      <c r="BA6847" t="s">
        <v>262</v>
      </c>
      <c r="BB6847" t="s">
        <v>114</v>
      </c>
      <c r="BC6847" t="s">
        <v>98</v>
      </c>
      <c r="BD6847" t="s">
        <v>319</v>
      </c>
      <c r="BE6847">
        <v>1254</v>
      </c>
      <c r="BF6847" t="s">
        <v>1023</v>
      </c>
      <c r="BG6847" t="s">
        <v>151</v>
      </c>
      <c r="BH6847" t="s">
        <v>704</v>
      </c>
      <c r="BI6847" t="s">
        <v>132</v>
      </c>
      <c r="BJ6847" t="s">
        <v>215</v>
      </c>
      <c r="BK6847">
        <v>1254</v>
      </c>
      <c r="BL6847" t="s">
        <v>290</v>
      </c>
      <c r="BM6847" t="s">
        <v>379</v>
      </c>
      <c r="BN6847" t="s">
        <v>114</v>
      </c>
      <c r="BO6847" t="s">
        <v>126</v>
      </c>
      <c r="BP6847" t="s">
        <v>253</v>
      </c>
    </row>
    <row r="6849" spans="1:68" x14ac:dyDescent="0.3">
      <c r="A6849" t="s">
        <v>2204</v>
      </c>
    </row>
    <row r="6850" spans="1:68" x14ac:dyDescent="0.3">
      <c r="A6850" t="s">
        <v>44</v>
      </c>
      <c r="B6850" t="s">
        <v>388</v>
      </c>
      <c r="C6850" t="s">
        <v>2135</v>
      </c>
      <c r="D6850" t="s">
        <v>2136</v>
      </c>
      <c r="E6850" t="s">
        <v>2137</v>
      </c>
      <c r="F6850" t="s">
        <v>2138</v>
      </c>
      <c r="G6850" t="s">
        <v>2139</v>
      </c>
      <c r="H6850" t="s">
        <v>2140</v>
      </c>
      <c r="I6850" t="s">
        <v>2141</v>
      </c>
      <c r="J6850" t="s">
        <v>2142</v>
      </c>
      <c r="K6850" t="s">
        <v>2143</v>
      </c>
      <c r="L6850" t="s">
        <v>2144</v>
      </c>
      <c r="M6850" t="s">
        <v>2145</v>
      </c>
      <c r="N6850" t="s">
        <v>2146</v>
      </c>
      <c r="O6850" t="s">
        <v>2147</v>
      </c>
      <c r="P6850" t="s">
        <v>2148</v>
      </c>
      <c r="Q6850" t="s">
        <v>2149</v>
      </c>
      <c r="R6850" t="s">
        <v>2150</v>
      </c>
      <c r="S6850" t="s">
        <v>2151</v>
      </c>
      <c r="T6850" t="s">
        <v>2152</v>
      </c>
      <c r="U6850" t="s">
        <v>2153</v>
      </c>
      <c r="V6850" t="s">
        <v>2154</v>
      </c>
      <c r="W6850" t="s">
        <v>2155</v>
      </c>
      <c r="X6850" t="s">
        <v>2156</v>
      </c>
      <c r="Y6850" t="s">
        <v>2157</v>
      </c>
      <c r="Z6850" t="s">
        <v>2158</v>
      </c>
      <c r="AA6850" t="s">
        <v>2159</v>
      </c>
      <c r="AB6850" t="s">
        <v>2160</v>
      </c>
      <c r="AC6850" t="s">
        <v>2161</v>
      </c>
      <c r="AD6850" t="s">
        <v>2162</v>
      </c>
      <c r="AE6850" t="s">
        <v>2163</v>
      </c>
      <c r="AF6850" t="s">
        <v>2164</v>
      </c>
      <c r="AG6850" t="s">
        <v>2165</v>
      </c>
      <c r="AH6850" t="s">
        <v>2166</v>
      </c>
      <c r="AI6850" t="s">
        <v>2167</v>
      </c>
      <c r="AJ6850" t="s">
        <v>2168</v>
      </c>
      <c r="AK6850" t="s">
        <v>2169</v>
      </c>
      <c r="AL6850" t="s">
        <v>2170</v>
      </c>
      <c r="AM6850" t="s">
        <v>2171</v>
      </c>
      <c r="AN6850" t="s">
        <v>2172</v>
      </c>
      <c r="AO6850" t="s">
        <v>2173</v>
      </c>
      <c r="AP6850" t="s">
        <v>2174</v>
      </c>
      <c r="AQ6850" t="s">
        <v>2175</v>
      </c>
      <c r="AR6850" t="s">
        <v>2176</v>
      </c>
      <c r="AS6850" t="s">
        <v>2177</v>
      </c>
      <c r="AT6850" t="s">
        <v>2178</v>
      </c>
      <c r="AU6850" t="s">
        <v>2179</v>
      </c>
      <c r="AV6850" t="s">
        <v>2180</v>
      </c>
      <c r="AW6850" t="s">
        <v>2181</v>
      </c>
      <c r="AX6850" t="s">
        <v>2182</v>
      </c>
      <c r="AY6850" t="s">
        <v>2183</v>
      </c>
      <c r="AZ6850" t="s">
        <v>2184</v>
      </c>
      <c r="BA6850" t="s">
        <v>2185</v>
      </c>
      <c r="BB6850" t="s">
        <v>2186</v>
      </c>
      <c r="BC6850" t="s">
        <v>2187</v>
      </c>
      <c r="BD6850" t="s">
        <v>2188</v>
      </c>
      <c r="BE6850" t="s">
        <v>2189</v>
      </c>
      <c r="BF6850" t="s">
        <v>2190</v>
      </c>
      <c r="BG6850" t="s">
        <v>2191</v>
      </c>
      <c r="BH6850" t="s">
        <v>2192</v>
      </c>
      <c r="BI6850" t="s">
        <v>2193</v>
      </c>
      <c r="BJ6850" t="s">
        <v>2194</v>
      </c>
      <c r="BK6850" t="s">
        <v>2195</v>
      </c>
      <c r="BL6850" t="s">
        <v>2196</v>
      </c>
      <c r="BM6850" t="s">
        <v>2197</v>
      </c>
      <c r="BN6850" t="s">
        <v>2198</v>
      </c>
      <c r="BO6850" t="s">
        <v>2199</v>
      </c>
      <c r="BP6850" t="s">
        <v>2200</v>
      </c>
    </row>
    <row r="6851" spans="1:68" x14ac:dyDescent="0.3">
      <c r="A6851" t="s">
        <v>35</v>
      </c>
      <c r="B6851" t="s">
        <v>389</v>
      </c>
      <c r="C6851">
        <v>2141</v>
      </c>
      <c r="D6851" t="s">
        <v>1253</v>
      </c>
      <c r="E6851" t="s">
        <v>111</v>
      </c>
      <c r="F6851" t="s">
        <v>737</v>
      </c>
      <c r="G6851" t="s">
        <v>141</v>
      </c>
      <c r="H6851" t="s">
        <v>110</v>
      </c>
      <c r="I6851">
        <v>2141</v>
      </c>
      <c r="J6851" t="s">
        <v>1122</v>
      </c>
      <c r="K6851" t="s">
        <v>684</v>
      </c>
      <c r="L6851" t="s">
        <v>231</v>
      </c>
      <c r="M6851" t="s">
        <v>132</v>
      </c>
      <c r="N6851" t="s">
        <v>536</v>
      </c>
      <c r="O6851">
        <v>2141</v>
      </c>
      <c r="P6851" t="s">
        <v>475</v>
      </c>
      <c r="Q6851" t="s">
        <v>101</v>
      </c>
      <c r="R6851" t="s">
        <v>112</v>
      </c>
      <c r="S6851" t="s">
        <v>141</v>
      </c>
      <c r="T6851" t="s">
        <v>688</v>
      </c>
      <c r="U6851">
        <v>2141</v>
      </c>
      <c r="V6851" t="s">
        <v>845</v>
      </c>
      <c r="W6851" t="s">
        <v>136</v>
      </c>
      <c r="X6851" t="s">
        <v>420</v>
      </c>
      <c r="Y6851" t="s">
        <v>115</v>
      </c>
      <c r="Z6851" t="s">
        <v>155</v>
      </c>
      <c r="AA6851">
        <v>2141</v>
      </c>
      <c r="AB6851" t="s">
        <v>490</v>
      </c>
      <c r="AC6851" t="s">
        <v>100</v>
      </c>
      <c r="AD6851" t="s">
        <v>124</v>
      </c>
      <c r="AE6851" t="s">
        <v>253</v>
      </c>
      <c r="AF6851" t="s">
        <v>42</v>
      </c>
      <c r="AG6851">
        <v>2141</v>
      </c>
      <c r="AH6851" t="s">
        <v>1186</v>
      </c>
      <c r="AI6851" t="s">
        <v>432</v>
      </c>
      <c r="AJ6851" t="s">
        <v>141</v>
      </c>
      <c r="AK6851" t="s">
        <v>434</v>
      </c>
      <c r="AL6851" t="s">
        <v>207</v>
      </c>
      <c r="AM6851">
        <v>2141</v>
      </c>
      <c r="AN6851" t="s">
        <v>1453</v>
      </c>
      <c r="AO6851" t="s">
        <v>100</v>
      </c>
      <c r="AP6851" t="s">
        <v>491</v>
      </c>
      <c r="AQ6851" t="s">
        <v>136</v>
      </c>
      <c r="AR6851" t="s">
        <v>198</v>
      </c>
      <c r="AS6851">
        <v>2141</v>
      </c>
      <c r="AT6851" t="s">
        <v>774</v>
      </c>
      <c r="AU6851" t="s">
        <v>115</v>
      </c>
      <c r="AV6851" t="s">
        <v>536</v>
      </c>
      <c r="AW6851" t="s">
        <v>141</v>
      </c>
      <c r="AX6851" t="s">
        <v>332</v>
      </c>
      <c r="AY6851">
        <v>2141</v>
      </c>
      <c r="AZ6851" t="s">
        <v>168</v>
      </c>
      <c r="BA6851" t="s">
        <v>218</v>
      </c>
      <c r="BB6851" t="s">
        <v>115</v>
      </c>
      <c r="BC6851" t="s">
        <v>292</v>
      </c>
      <c r="BD6851" t="s">
        <v>115</v>
      </c>
      <c r="BE6851">
        <v>2141</v>
      </c>
      <c r="BF6851" t="s">
        <v>426</v>
      </c>
      <c r="BG6851" t="s">
        <v>121</v>
      </c>
      <c r="BH6851" t="s">
        <v>718</v>
      </c>
      <c r="BI6851" t="s">
        <v>136</v>
      </c>
      <c r="BJ6851" t="s">
        <v>382</v>
      </c>
      <c r="BK6851">
        <v>2141</v>
      </c>
      <c r="BL6851" t="s">
        <v>875</v>
      </c>
      <c r="BM6851" t="s">
        <v>233</v>
      </c>
      <c r="BN6851" t="s">
        <v>141</v>
      </c>
      <c r="BO6851" t="s">
        <v>126</v>
      </c>
      <c r="BP6851" t="s">
        <v>141</v>
      </c>
    </row>
    <row r="6852" spans="1:68" x14ac:dyDescent="0.3">
      <c r="A6852" t="s">
        <v>35</v>
      </c>
      <c r="B6852" t="s">
        <v>390</v>
      </c>
      <c r="C6852">
        <v>875</v>
      </c>
      <c r="D6852" t="s">
        <v>462</v>
      </c>
      <c r="E6852" t="s">
        <v>123</v>
      </c>
      <c r="F6852" t="s">
        <v>311</v>
      </c>
      <c r="G6852" t="s">
        <v>215</v>
      </c>
      <c r="H6852" t="s">
        <v>139</v>
      </c>
      <c r="I6852">
        <v>875</v>
      </c>
      <c r="J6852" t="s">
        <v>1194</v>
      </c>
      <c r="K6852" t="s">
        <v>98</v>
      </c>
      <c r="L6852" t="s">
        <v>672</v>
      </c>
      <c r="M6852" t="s">
        <v>117</v>
      </c>
      <c r="N6852" t="s">
        <v>737</v>
      </c>
      <c r="O6852">
        <v>875</v>
      </c>
      <c r="P6852" t="s">
        <v>968</v>
      </c>
      <c r="Q6852" t="s">
        <v>127</v>
      </c>
      <c r="R6852" t="s">
        <v>144</v>
      </c>
      <c r="S6852" t="s">
        <v>123</v>
      </c>
      <c r="T6852" t="s">
        <v>171</v>
      </c>
      <c r="U6852">
        <v>875</v>
      </c>
      <c r="V6852" t="s">
        <v>524</v>
      </c>
      <c r="W6852" t="s">
        <v>132</v>
      </c>
      <c r="X6852" t="s">
        <v>220</v>
      </c>
      <c r="Y6852" t="s">
        <v>117</v>
      </c>
      <c r="Z6852" t="s">
        <v>328</v>
      </c>
      <c r="AA6852">
        <v>875</v>
      </c>
      <c r="AB6852" t="s">
        <v>1124</v>
      </c>
      <c r="AC6852" t="s">
        <v>132</v>
      </c>
      <c r="AD6852" t="s">
        <v>325</v>
      </c>
      <c r="AE6852" t="s">
        <v>127</v>
      </c>
      <c r="AF6852" t="s">
        <v>39</v>
      </c>
      <c r="AG6852">
        <v>875</v>
      </c>
      <c r="AH6852" t="s">
        <v>53</v>
      </c>
      <c r="AI6852" t="s">
        <v>720</v>
      </c>
      <c r="AJ6852" t="s">
        <v>151</v>
      </c>
      <c r="AK6852" t="s">
        <v>118</v>
      </c>
      <c r="AL6852" t="s">
        <v>104</v>
      </c>
      <c r="AM6852">
        <v>875</v>
      </c>
      <c r="AN6852" t="s">
        <v>968</v>
      </c>
      <c r="AO6852" t="s">
        <v>100</v>
      </c>
      <c r="AP6852" t="s">
        <v>167</v>
      </c>
      <c r="AQ6852" t="s">
        <v>127</v>
      </c>
      <c r="AR6852" t="s">
        <v>114</v>
      </c>
      <c r="AS6852">
        <v>875</v>
      </c>
      <c r="AT6852" t="s">
        <v>259</v>
      </c>
      <c r="AU6852" t="s">
        <v>128</v>
      </c>
      <c r="AV6852" t="s">
        <v>746</v>
      </c>
      <c r="AW6852" t="s">
        <v>123</v>
      </c>
      <c r="AX6852" t="s">
        <v>434</v>
      </c>
      <c r="AY6852">
        <v>875</v>
      </c>
      <c r="AZ6852" t="s">
        <v>870</v>
      </c>
      <c r="BA6852" t="s">
        <v>353</v>
      </c>
      <c r="BB6852" t="s">
        <v>123</v>
      </c>
      <c r="BC6852" t="s">
        <v>145</v>
      </c>
      <c r="BD6852" t="s">
        <v>382</v>
      </c>
      <c r="BE6852">
        <v>875</v>
      </c>
      <c r="BF6852" t="s">
        <v>1137</v>
      </c>
      <c r="BG6852" t="s">
        <v>151</v>
      </c>
      <c r="BH6852" t="s">
        <v>163</v>
      </c>
      <c r="BI6852" t="s">
        <v>123</v>
      </c>
      <c r="BJ6852" t="s">
        <v>111</v>
      </c>
      <c r="BK6852">
        <v>875</v>
      </c>
      <c r="BL6852" t="s">
        <v>612</v>
      </c>
      <c r="BM6852" t="s">
        <v>70</v>
      </c>
      <c r="BN6852" t="s">
        <v>292</v>
      </c>
      <c r="BO6852" t="s">
        <v>112</v>
      </c>
      <c r="BP6852" t="s">
        <v>121</v>
      </c>
    </row>
    <row r="6853" spans="1:68" x14ac:dyDescent="0.3">
      <c r="A6853" t="s">
        <v>35</v>
      </c>
      <c r="B6853" t="s">
        <v>365</v>
      </c>
      <c r="C6853">
        <v>129</v>
      </c>
      <c r="D6853" t="s">
        <v>1135</v>
      </c>
      <c r="E6853" t="s">
        <v>99</v>
      </c>
      <c r="F6853" t="s">
        <v>72</v>
      </c>
      <c r="G6853" t="s">
        <v>99</v>
      </c>
      <c r="H6853" t="s">
        <v>74</v>
      </c>
      <c r="I6853">
        <v>129</v>
      </c>
      <c r="J6853" t="s">
        <v>1235</v>
      </c>
      <c r="K6853" t="s">
        <v>132</v>
      </c>
      <c r="L6853" t="s">
        <v>135</v>
      </c>
      <c r="M6853" t="s">
        <v>99</v>
      </c>
      <c r="N6853" t="s">
        <v>357</v>
      </c>
      <c r="O6853">
        <v>129</v>
      </c>
      <c r="P6853" t="s">
        <v>771</v>
      </c>
      <c r="Q6853" t="s">
        <v>132</v>
      </c>
      <c r="R6853" t="s">
        <v>126</v>
      </c>
      <c r="S6853" t="s">
        <v>132</v>
      </c>
      <c r="T6853" t="s">
        <v>134</v>
      </c>
      <c r="U6853">
        <v>129</v>
      </c>
      <c r="V6853" t="s">
        <v>759</v>
      </c>
      <c r="W6853" t="s">
        <v>132</v>
      </c>
      <c r="X6853" t="s">
        <v>111</v>
      </c>
      <c r="Y6853" t="s">
        <v>99</v>
      </c>
      <c r="Z6853" t="s">
        <v>253</v>
      </c>
      <c r="AA6853">
        <v>129</v>
      </c>
      <c r="AB6853" t="s">
        <v>469</v>
      </c>
      <c r="AC6853" t="s">
        <v>99</v>
      </c>
      <c r="AD6853" t="s">
        <v>149</v>
      </c>
      <c r="AE6853" t="s">
        <v>99</v>
      </c>
      <c r="AF6853" t="s">
        <v>449</v>
      </c>
      <c r="AG6853">
        <v>129</v>
      </c>
      <c r="AH6853" t="s">
        <v>1308</v>
      </c>
      <c r="AI6853" t="s">
        <v>305</v>
      </c>
      <c r="AJ6853" t="s">
        <v>99</v>
      </c>
      <c r="AK6853" t="s">
        <v>136</v>
      </c>
      <c r="AL6853" t="s">
        <v>99</v>
      </c>
      <c r="AM6853">
        <v>129</v>
      </c>
      <c r="AN6853" t="s">
        <v>866</v>
      </c>
      <c r="AO6853" t="s">
        <v>114</v>
      </c>
      <c r="AP6853" t="s">
        <v>206</v>
      </c>
      <c r="AQ6853" t="s">
        <v>99</v>
      </c>
      <c r="AR6853" t="s">
        <v>99</v>
      </c>
      <c r="AS6853">
        <v>129</v>
      </c>
      <c r="AT6853" t="s">
        <v>329</v>
      </c>
      <c r="AU6853" t="s">
        <v>99</v>
      </c>
      <c r="AV6853" t="s">
        <v>675</v>
      </c>
      <c r="AW6853" t="s">
        <v>99</v>
      </c>
      <c r="AX6853" t="s">
        <v>108</v>
      </c>
      <c r="AY6853">
        <v>129</v>
      </c>
      <c r="AZ6853" t="s">
        <v>771</v>
      </c>
      <c r="BA6853" t="s">
        <v>103</v>
      </c>
      <c r="BB6853" t="s">
        <v>99</v>
      </c>
      <c r="BC6853" t="s">
        <v>434</v>
      </c>
      <c r="BD6853" t="s">
        <v>99</v>
      </c>
      <c r="BE6853">
        <v>129</v>
      </c>
      <c r="BF6853" t="s">
        <v>205</v>
      </c>
      <c r="BG6853" t="s">
        <v>198</v>
      </c>
      <c r="BH6853" t="s">
        <v>368</v>
      </c>
      <c r="BI6853" t="s">
        <v>99</v>
      </c>
      <c r="BJ6853" t="s">
        <v>99</v>
      </c>
      <c r="BK6853">
        <v>129</v>
      </c>
      <c r="BL6853" t="s">
        <v>324</v>
      </c>
      <c r="BM6853" t="s">
        <v>328</v>
      </c>
      <c r="BN6853" t="s">
        <v>99</v>
      </c>
      <c r="BO6853" t="s">
        <v>115</v>
      </c>
      <c r="BP6853" t="s">
        <v>100</v>
      </c>
    </row>
    <row r="6854" spans="1:68" x14ac:dyDescent="0.3">
      <c r="A6854" t="s">
        <v>37</v>
      </c>
      <c r="B6854" t="s">
        <v>389</v>
      </c>
      <c r="C6854">
        <v>2305</v>
      </c>
      <c r="D6854" t="s">
        <v>469</v>
      </c>
      <c r="E6854" t="s">
        <v>100</v>
      </c>
      <c r="F6854" t="s">
        <v>405</v>
      </c>
      <c r="G6854" t="s">
        <v>332</v>
      </c>
      <c r="H6854" t="s">
        <v>292</v>
      </c>
      <c r="I6854">
        <v>2305</v>
      </c>
      <c r="J6854" t="s">
        <v>1150</v>
      </c>
      <c r="K6854" t="s">
        <v>118</v>
      </c>
      <c r="L6854" t="s">
        <v>313</v>
      </c>
      <c r="M6854" t="s">
        <v>129</v>
      </c>
      <c r="N6854" t="s">
        <v>678</v>
      </c>
      <c r="O6854">
        <v>2305</v>
      </c>
      <c r="P6854" t="s">
        <v>784</v>
      </c>
      <c r="Q6854" t="s">
        <v>115</v>
      </c>
      <c r="R6854" t="s">
        <v>160</v>
      </c>
      <c r="S6854" t="s">
        <v>154</v>
      </c>
      <c r="T6854" t="s">
        <v>158</v>
      </c>
      <c r="U6854">
        <v>2305</v>
      </c>
      <c r="V6854" t="s">
        <v>443</v>
      </c>
      <c r="W6854" t="s">
        <v>104</v>
      </c>
      <c r="X6854" t="s">
        <v>233</v>
      </c>
      <c r="Y6854" t="s">
        <v>332</v>
      </c>
      <c r="Z6854" t="s">
        <v>151</v>
      </c>
      <c r="AA6854">
        <v>2305</v>
      </c>
      <c r="AB6854" t="s">
        <v>1333</v>
      </c>
      <c r="AC6854" t="s">
        <v>141</v>
      </c>
      <c r="AD6854" t="s">
        <v>204</v>
      </c>
      <c r="AE6854" t="s">
        <v>332</v>
      </c>
      <c r="AF6854" t="s">
        <v>814</v>
      </c>
      <c r="AG6854">
        <v>2305</v>
      </c>
      <c r="AH6854" t="s">
        <v>939</v>
      </c>
      <c r="AI6854" t="s">
        <v>303</v>
      </c>
      <c r="AJ6854" t="s">
        <v>332</v>
      </c>
      <c r="AK6854" t="s">
        <v>147</v>
      </c>
      <c r="AL6854" t="s">
        <v>207</v>
      </c>
      <c r="AM6854">
        <v>2305</v>
      </c>
      <c r="AN6854" t="s">
        <v>1292</v>
      </c>
      <c r="AO6854" t="s">
        <v>207</v>
      </c>
      <c r="AP6854" t="s">
        <v>218</v>
      </c>
      <c r="AQ6854" t="s">
        <v>332</v>
      </c>
      <c r="AR6854" t="s">
        <v>104</v>
      </c>
      <c r="AS6854">
        <v>2305</v>
      </c>
      <c r="AT6854" t="s">
        <v>772</v>
      </c>
      <c r="AU6854" t="s">
        <v>121</v>
      </c>
      <c r="AV6854" t="s">
        <v>264</v>
      </c>
      <c r="AW6854" t="s">
        <v>332</v>
      </c>
      <c r="AX6854" t="s">
        <v>292</v>
      </c>
      <c r="AY6854">
        <v>2305</v>
      </c>
      <c r="AZ6854" t="s">
        <v>1023</v>
      </c>
      <c r="BA6854" t="s">
        <v>814</v>
      </c>
      <c r="BB6854" t="s">
        <v>332</v>
      </c>
      <c r="BC6854" t="s">
        <v>111</v>
      </c>
      <c r="BD6854" t="s">
        <v>207</v>
      </c>
      <c r="BE6854">
        <v>2305</v>
      </c>
      <c r="BF6854" t="s">
        <v>1020</v>
      </c>
      <c r="BG6854" t="s">
        <v>253</v>
      </c>
      <c r="BH6854" t="s">
        <v>807</v>
      </c>
      <c r="BI6854" t="s">
        <v>332</v>
      </c>
      <c r="BJ6854" t="s">
        <v>136</v>
      </c>
      <c r="BK6854">
        <v>2305</v>
      </c>
      <c r="BL6854" t="s">
        <v>314</v>
      </c>
      <c r="BM6854" t="s">
        <v>41</v>
      </c>
      <c r="BN6854" t="s">
        <v>154</v>
      </c>
      <c r="BO6854" t="s">
        <v>100</v>
      </c>
      <c r="BP6854" t="s">
        <v>207</v>
      </c>
    </row>
    <row r="6855" spans="1:68" x14ac:dyDescent="0.3">
      <c r="A6855" t="s">
        <v>37</v>
      </c>
      <c r="B6855" t="s">
        <v>390</v>
      </c>
      <c r="C6855">
        <v>1309</v>
      </c>
      <c r="D6855" t="s">
        <v>1640</v>
      </c>
      <c r="E6855" t="s">
        <v>132</v>
      </c>
      <c r="F6855" t="s">
        <v>353</v>
      </c>
      <c r="G6855" t="s">
        <v>117</v>
      </c>
      <c r="H6855" t="s">
        <v>254</v>
      </c>
      <c r="I6855">
        <v>1309</v>
      </c>
      <c r="J6855" t="s">
        <v>997</v>
      </c>
      <c r="K6855" t="s">
        <v>155</v>
      </c>
      <c r="L6855" t="s">
        <v>369</v>
      </c>
      <c r="M6855" t="s">
        <v>117</v>
      </c>
      <c r="N6855" t="s">
        <v>536</v>
      </c>
      <c r="O6855">
        <v>1309</v>
      </c>
      <c r="P6855" t="s">
        <v>205</v>
      </c>
      <c r="Q6855" t="s">
        <v>136</v>
      </c>
      <c r="R6855" t="s">
        <v>204</v>
      </c>
      <c r="S6855" t="s">
        <v>316</v>
      </c>
      <c r="T6855" t="s">
        <v>149</v>
      </c>
      <c r="U6855">
        <v>1309</v>
      </c>
      <c r="V6855" t="s">
        <v>769</v>
      </c>
      <c r="W6855" t="s">
        <v>198</v>
      </c>
      <c r="X6855" t="s">
        <v>470</v>
      </c>
      <c r="Y6855" t="s">
        <v>117</v>
      </c>
      <c r="Z6855" t="s">
        <v>103</v>
      </c>
      <c r="AA6855">
        <v>1309</v>
      </c>
      <c r="AB6855" t="s">
        <v>547</v>
      </c>
      <c r="AC6855" t="s">
        <v>253</v>
      </c>
      <c r="AD6855" t="s">
        <v>663</v>
      </c>
      <c r="AE6855" t="s">
        <v>268</v>
      </c>
      <c r="AF6855" t="s">
        <v>41</v>
      </c>
      <c r="AG6855">
        <v>1309</v>
      </c>
      <c r="AH6855" t="s">
        <v>472</v>
      </c>
      <c r="AI6855" t="s">
        <v>1044</v>
      </c>
      <c r="AJ6855" t="s">
        <v>117</v>
      </c>
      <c r="AK6855" t="s">
        <v>215</v>
      </c>
      <c r="AL6855" t="s">
        <v>104</v>
      </c>
      <c r="AM6855">
        <v>1309</v>
      </c>
      <c r="AN6855" t="s">
        <v>320</v>
      </c>
      <c r="AO6855" t="s">
        <v>136</v>
      </c>
      <c r="AP6855" t="s">
        <v>708</v>
      </c>
      <c r="AQ6855" t="s">
        <v>268</v>
      </c>
      <c r="AR6855" t="s">
        <v>104</v>
      </c>
      <c r="AS6855">
        <v>1309</v>
      </c>
      <c r="AT6855" t="s">
        <v>509</v>
      </c>
      <c r="AU6855" t="s">
        <v>100</v>
      </c>
      <c r="AV6855" t="s">
        <v>372</v>
      </c>
      <c r="AW6855" t="s">
        <v>117</v>
      </c>
      <c r="AX6855" t="s">
        <v>292</v>
      </c>
      <c r="AY6855">
        <v>1309</v>
      </c>
      <c r="AZ6855" t="s">
        <v>1475</v>
      </c>
      <c r="BA6855" t="s">
        <v>175</v>
      </c>
      <c r="BB6855" t="s">
        <v>147</v>
      </c>
      <c r="BC6855" t="s">
        <v>332</v>
      </c>
      <c r="BD6855" t="s">
        <v>198</v>
      </c>
      <c r="BE6855">
        <v>1309</v>
      </c>
      <c r="BF6855" t="s">
        <v>547</v>
      </c>
      <c r="BG6855" t="s">
        <v>115</v>
      </c>
      <c r="BH6855" t="s">
        <v>318</v>
      </c>
      <c r="BI6855" t="s">
        <v>268</v>
      </c>
      <c r="BJ6855" t="s">
        <v>108</v>
      </c>
      <c r="BK6855">
        <v>1309</v>
      </c>
      <c r="BL6855" t="s">
        <v>221</v>
      </c>
      <c r="BM6855" t="s">
        <v>679</v>
      </c>
      <c r="BN6855" t="s">
        <v>120</v>
      </c>
      <c r="BO6855" t="s">
        <v>151</v>
      </c>
      <c r="BP6855" t="s">
        <v>198</v>
      </c>
    </row>
    <row r="6856" spans="1:68" x14ac:dyDescent="0.3">
      <c r="A6856" t="s">
        <v>37</v>
      </c>
      <c r="B6856" t="s">
        <v>365</v>
      </c>
      <c r="C6856">
        <v>241</v>
      </c>
      <c r="D6856" t="s">
        <v>172</v>
      </c>
      <c r="E6856" t="s">
        <v>157</v>
      </c>
      <c r="F6856" t="s">
        <v>134</v>
      </c>
      <c r="G6856" t="s">
        <v>114</v>
      </c>
      <c r="H6856" t="s">
        <v>316</v>
      </c>
      <c r="I6856">
        <v>241</v>
      </c>
      <c r="J6856" t="s">
        <v>1193</v>
      </c>
      <c r="K6856" t="s">
        <v>128</v>
      </c>
      <c r="L6856" t="s">
        <v>152</v>
      </c>
      <c r="M6856" t="s">
        <v>215</v>
      </c>
      <c r="N6856" t="s">
        <v>670</v>
      </c>
      <c r="O6856">
        <v>241</v>
      </c>
      <c r="P6856" t="s">
        <v>1707</v>
      </c>
      <c r="Q6856" t="s">
        <v>382</v>
      </c>
      <c r="R6856" t="s">
        <v>474</v>
      </c>
      <c r="S6856" t="s">
        <v>99</v>
      </c>
      <c r="T6856" t="s">
        <v>296</v>
      </c>
      <c r="U6856">
        <v>241</v>
      </c>
      <c r="V6856" t="s">
        <v>356</v>
      </c>
      <c r="W6856" t="s">
        <v>198</v>
      </c>
      <c r="X6856" t="s">
        <v>721</v>
      </c>
      <c r="Y6856" t="s">
        <v>99</v>
      </c>
      <c r="Z6856" t="s">
        <v>141</v>
      </c>
      <c r="AA6856">
        <v>241</v>
      </c>
      <c r="AB6856" t="s">
        <v>1478</v>
      </c>
      <c r="AC6856" t="s">
        <v>253</v>
      </c>
      <c r="AD6856" t="s">
        <v>157</v>
      </c>
      <c r="AE6856" t="s">
        <v>115</v>
      </c>
      <c r="AF6856" t="s">
        <v>718</v>
      </c>
      <c r="AG6856">
        <v>241</v>
      </c>
      <c r="AH6856" t="s">
        <v>985</v>
      </c>
      <c r="AI6856" t="s">
        <v>499</v>
      </c>
      <c r="AJ6856" t="s">
        <v>99</v>
      </c>
      <c r="AK6856" t="s">
        <v>139</v>
      </c>
      <c r="AL6856" t="s">
        <v>141</v>
      </c>
      <c r="AM6856">
        <v>241</v>
      </c>
      <c r="AN6856" t="s">
        <v>857</v>
      </c>
      <c r="AO6856" t="s">
        <v>198</v>
      </c>
      <c r="AP6856" t="s">
        <v>184</v>
      </c>
      <c r="AQ6856" t="s">
        <v>114</v>
      </c>
      <c r="AR6856" t="s">
        <v>115</v>
      </c>
      <c r="AS6856">
        <v>241</v>
      </c>
      <c r="AT6856" t="s">
        <v>460</v>
      </c>
      <c r="AU6856" t="s">
        <v>132</v>
      </c>
      <c r="AV6856" t="s">
        <v>688</v>
      </c>
      <c r="AW6856" t="s">
        <v>136</v>
      </c>
      <c r="AX6856" t="s">
        <v>215</v>
      </c>
      <c r="AY6856">
        <v>241</v>
      </c>
      <c r="AZ6856" t="s">
        <v>1453</v>
      </c>
      <c r="BA6856" t="s">
        <v>444</v>
      </c>
      <c r="BB6856" t="s">
        <v>253</v>
      </c>
      <c r="BC6856" t="s">
        <v>118</v>
      </c>
      <c r="BD6856" t="s">
        <v>198</v>
      </c>
      <c r="BE6856">
        <v>241</v>
      </c>
      <c r="BF6856" t="s">
        <v>1226</v>
      </c>
      <c r="BG6856" t="s">
        <v>100</v>
      </c>
      <c r="BH6856" t="s">
        <v>444</v>
      </c>
      <c r="BI6856" t="s">
        <v>207</v>
      </c>
      <c r="BJ6856" t="s">
        <v>198</v>
      </c>
      <c r="BK6856">
        <v>241</v>
      </c>
      <c r="BL6856" t="s">
        <v>169</v>
      </c>
      <c r="BM6856" t="s">
        <v>78</v>
      </c>
      <c r="BN6856" t="s">
        <v>141</v>
      </c>
      <c r="BO6856" t="s">
        <v>132</v>
      </c>
      <c r="BP6856" t="s">
        <v>198</v>
      </c>
    </row>
    <row r="6857" spans="1:68" x14ac:dyDescent="0.3">
      <c r="A6857" t="s">
        <v>36</v>
      </c>
      <c r="B6857" t="s">
        <v>389</v>
      </c>
      <c r="C6857">
        <v>1578</v>
      </c>
      <c r="D6857" t="s">
        <v>290</v>
      </c>
      <c r="E6857" t="s">
        <v>127</v>
      </c>
      <c r="F6857" t="s">
        <v>109</v>
      </c>
      <c r="G6857" t="s">
        <v>198</v>
      </c>
      <c r="H6857" t="s">
        <v>112</v>
      </c>
      <c r="I6857">
        <v>1578</v>
      </c>
      <c r="J6857" t="s">
        <v>304</v>
      </c>
      <c r="K6857" t="s">
        <v>74</v>
      </c>
      <c r="L6857" t="s">
        <v>125</v>
      </c>
      <c r="M6857" t="s">
        <v>253</v>
      </c>
      <c r="N6857" t="s">
        <v>700</v>
      </c>
      <c r="O6857">
        <v>1578</v>
      </c>
      <c r="P6857" t="s">
        <v>288</v>
      </c>
      <c r="Q6857" t="s">
        <v>108</v>
      </c>
      <c r="R6857" t="s">
        <v>382</v>
      </c>
      <c r="S6857" t="s">
        <v>207</v>
      </c>
      <c r="T6857" t="s">
        <v>716</v>
      </c>
      <c r="U6857">
        <v>1578</v>
      </c>
      <c r="V6857" t="s">
        <v>185</v>
      </c>
      <c r="W6857" t="s">
        <v>99</v>
      </c>
      <c r="X6857" t="s">
        <v>112</v>
      </c>
      <c r="Y6857" t="s">
        <v>198</v>
      </c>
      <c r="Z6857" t="s">
        <v>128</v>
      </c>
      <c r="AA6857">
        <v>1578</v>
      </c>
      <c r="AB6857" t="s">
        <v>1020</v>
      </c>
      <c r="AC6857" t="s">
        <v>253</v>
      </c>
      <c r="AD6857" t="s">
        <v>292</v>
      </c>
      <c r="AE6857" t="s">
        <v>207</v>
      </c>
      <c r="AF6857" t="s">
        <v>197</v>
      </c>
      <c r="AG6857">
        <v>1578</v>
      </c>
      <c r="AH6857" t="s">
        <v>543</v>
      </c>
      <c r="AI6857" t="s">
        <v>677</v>
      </c>
      <c r="AJ6857" t="s">
        <v>207</v>
      </c>
      <c r="AK6857" t="s">
        <v>332</v>
      </c>
      <c r="AL6857" t="s">
        <v>99</v>
      </c>
      <c r="AM6857">
        <v>1578</v>
      </c>
      <c r="AN6857" t="s">
        <v>219</v>
      </c>
      <c r="AO6857" t="s">
        <v>101</v>
      </c>
      <c r="AP6857" t="s">
        <v>470</v>
      </c>
      <c r="AQ6857" t="s">
        <v>198</v>
      </c>
      <c r="AR6857" t="s">
        <v>104</v>
      </c>
      <c r="AS6857">
        <v>1578</v>
      </c>
      <c r="AT6857" t="s">
        <v>877</v>
      </c>
      <c r="AU6857" t="s">
        <v>136</v>
      </c>
      <c r="AV6857" t="s">
        <v>353</v>
      </c>
      <c r="AW6857" t="s">
        <v>207</v>
      </c>
      <c r="AX6857" t="s">
        <v>128</v>
      </c>
      <c r="AY6857">
        <v>1578</v>
      </c>
      <c r="AZ6857" t="s">
        <v>359</v>
      </c>
      <c r="BA6857" t="s">
        <v>118</v>
      </c>
      <c r="BB6857" t="s">
        <v>198</v>
      </c>
      <c r="BC6857" t="s">
        <v>684</v>
      </c>
      <c r="BD6857" t="s">
        <v>104</v>
      </c>
      <c r="BE6857">
        <v>1578</v>
      </c>
      <c r="BF6857" t="s">
        <v>908</v>
      </c>
      <c r="BG6857" t="s">
        <v>253</v>
      </c>
      <c r="BH6857" t="s">
        <v>264</v>
      </c>
      <c r="BI6857" t="s">
        <v>207</v>
      </c>
      <c r="BJ6857" t="s">
        <v>319</v>
      </c>
      <c r="BK6857">
        <v>1578</v>
      </c>
      <c r="BL6857" t="s">
        <v>415</v>
      </c>
      <c r="BM6857" t="s">
        <v>134</v>
      </c>
      <c r="BN6857" t="s">
        <v>198</v>
      </c>
      <c r="BO6857" t="s">
        <v>382</v>
      </c>
      <c r="BP6857" t="s">
        <v>136</v>
      </c>
    </row>
    <row r="6858" spans="1:68" x14ac:dyDescent="0.3">
      <c r="A6858" t="s">
        <v>36</v>
      </c>
      <c r="B6858" t="s">
        <v>390</v>
      </c>
      <c r="C6858">
        <v>627</v>
      </c>
      <c r="D6858" t="s">
        <v>537</v>
      </c>
      <c r="E6858" t="s">
        <v>128</v>
      </c>
      <c r="F6858" t="s">
        <v>353</v>
      </c>
      <c r="G6858" t="s">
        <v>141</v>
      </c>
      <c r="H6858" t="s">
        <v>68</v>
      </c>
      <c r="I6858">
        <v>627</v>
      </c>
      <c r="J6858" t="s">
        <v>278</v>
      </c>
      <c r="K6858" t="s">
        <v>712</v>
      </c>
      <c r="L6858" t="s">
        <v>184</v>
      </c>
      <c r="M6858" t="s">
        <v>198</v>
      </c>
      <c r="N6858" t="s">
        <v>442</v>
      </c>
      <c r="O6858">
        <v>627</v>
      </c>
      <c r="P6858" t="s">
        <v>448</v>
      </c>
      <c r="Q6858" t="s">
        <v>104</v>
      </c>
      <c r="R6858" t="s">
        <v>115</v>
      </c>
      <c r="S6858" t="s">
        <v>136</v>
      </c>
      <c r="T6858" t="s">
        <v>171</v>
      </c>
      <c r="U6858">
        <v>627</v>
      </c>
      <c r="V6858" t="s">
        <v>354</v>
      </c>
      <c r="W6858" t="s">
        <v>108</v>
      </c>
      <c r="X6858" t="s">
        <v>128</v>
      </c>
      <c r="Y6858" t="s">
        <v>104</v>
      </c>
      <c r="Z6858" t="s">
        <v>434</v>
      </c>
      <c r="AA6858">
        <v>627</v>
      </c>
      <c r="AB6858" t="s">
        <v>371</v>
      </c>
      <c r="AC6858" t="s">
        <v>136</v>
      </c>
      <c r="AD6858" t="s">
        <v>121</v>
      </c>
      <c r="AE6858" t="s">
        <v>136</v>
      </c>
      <c r="AF6858" t="s">
        <v>990</v>
      </c>
      <c r="AG6858">
        <v>627</v>
      </c>
      <c r="AH6858" t="s">
        <v>875</v>
      </c>
      <c r="AI6858" t="s">
        <v>262</v>
      </c>
      <c r="AJ6858" t="s">
        <v>136</v>
      </c>
      <c r="AK6858" t="s">
        <v>268</v>
      </c>
      <c r="AL6858" t="s">
        <v>99</v>
      </c>
      <c r="AM6858">
        <v>627</v>
      </c>
      <c r="AN6858" t="s">
        <v>392</v>
      </c>
      <c r="AO6858" t="s">
        <v>141</v>
      </c>
      <c r="AP6858" t="s">
        <v>133</v>
      </c>
      <c r="AQ6858" t="s">
        <v>104</v>
      </c>
      <c r="AR6858" t="s">
        <v>207</v>
      </c>
      <c r="AS6858">
        <v>627</v>
      </c>
      <c r="AT6858" t="s">
        <v>161</v>
      </c>
      <c r="AU6858" t="s">
        <v>136</v>
      </c>
      <c r="AV6858" t="s">
        <v>118</v>
      </c>
      <c r="AW6858" t="s">
        <v>104</v>
      </c>
      <c r="AX6858" t="s">
        <v>147</v>
      </c>
      <c r="AY6858">
        <v>627</v>
      </c>
      <c r="AZ6858" t="s">
        <v>447</v>
      </c>
      <c r="BA6858" t="s">
        <v>120</v>
      </c>
      <c r="BB6858" t="s">
        <v>100</v>
      </c>
      <c r="BC6858" t="s">
        <v>353</v>
      </c>
      <c r="BD6858" t="s">
        <v>207</v>
      </c>
      <c r="BE6858">
        <v>627</v>
      </c>
      <c r="BF6858" t="s">
        <v>1010</v>
      </c>
      <c r="BG6858" t="s">
        <v>100</v>
      </c>
      <c r="BH6858" t="s">
        <v>405</v>
      </c>
      <c r="BI6858" t="s">
        <v>104</v>
      </c>
      <c r="BJ6858" t="s">
        <v>117</v>
      </c>
      <c r="BK6858">
        <v>627</v>
      </c>
      <c r="BL6858" t="s">
        <v>79</v>
      </c>
      <c r="BM6858" t="s">
        <v>103</v>
      </c>
      <c r="BN6858" t="s">
        <v>114</v>
      </c>
      <c r="BO6858" t="s">
        <v>130</v>
      </c>
      <c r="BP6858" t="s">
        <v>104</v>
      </c>
    </row>
    <row r="6859" spans="1:68" x14ac:dyDescent="0.3">
      <c r="A6859" t="s">
        <v>36</v>
      </c>
      <c r="B6859" t="s">
        <v>365</v>
      </c>
      <c r="C6859">
        <v>100</v>
      </c>
      <c r="D6859" t="s">
        <v>263</v>
      </c>
      <c r="E6859" t="s">
        <v>207</v>
      </c>
      <c r="F6859" t="s">
        <v>412</v>
      </c>
      <c r="G6859" t="s">
        <v>104</v>
      </c>
      <c r="H6859" t="s">
        <v>125</v>
      </c>
      <c r="I6859">
        <v>100</v>
      </c>
      <c r="J6859" t="s">
        <v>2120</v>
      </c>
      <c r="K6859" t="s">
        <v>215</v>
      </c>
      <c r="L6859" t="s">
        <v>434</v>
      </c>
      <c r="M6859" t="s">
        <v>99</v>
      </c>
      <c r="N6859" t="s">
        <v>809</v>
      </c>
      <c r="O6859">
        <v>100</v>
      </c>
      <c r="P6859" t="s">
        <v>161</v>
      </c>
      <c r="Q6859" t="s">
        <v>99</v>
      </c>
      <c r="R6859" t="s">
        <v>121</v>
      </c>
      <c r="S6859" t="s">
        <v>99</v>
      </c>
      <c r="T6859" t="s">
        <v>325</v>
      </c>
      <c r="U6859">
        <v>100</v>
      </c>
      <c r="V6859" t="s">
        <v>1026</v>
      </c>
      <c r="W6859" t="s">
        <v>99</v>
      </c>
      <c r="X6859" t="s">
        <v>319</v>
      </c>
      <c r="Y6859" t="s">
        <v>99</v>
      </c>
      <c r="Z6859" t="s">
        <v>207</v>
      </c>
      <c r="AA6859">
        <v>100</v>
      </c>
      <c r="AB6859" t="s">
        <v>397</v>
      </c>
      <c r="AC6859" t="s">
        <v>99</v>
      </c>
      <c r="AD6859" t="s">
        <v>121</v>
      </c>
      <c r="AE6859" t="s">
        <v>99</v>
      </c>
      <c r="AF6859" t="s">
        <v>807</v>
      </c>
      <c r="AG6859">
        <v>100</v>
      </c>
      <c r="AH6859" t="s">
        <v>889</v>
      </c>
      <c r="AI6859" t="s">
        <v>154</v>
      </c>
      <c r="AJ6859" t="s">
        <v>99</v>
      </c>
      <c r="AK6859" t="s">
        <v>135</v>
      </c>
      <c r="AL6859" t="s">
        <v>99</v>
      </c>
      <c r="AM6859">
        <v>100</v>
      </c>
      <c r="AN6859" t="s">
        <v>421</v>
      </c>
      <c r="AO6859" t="s">
        <v>99</v>
      </c>
      <c r="AP6859" t="s">
        <v>41</v>
      </c>
      <c r="AQ6859" t="s">
        <v>99</v>
      </c>
      <c r="AR6859" t="s">
        <v>99</v>
      </c>
      <c r="AS6859">
        <v>100</v>
      </c>
      <c r="AT6859" t="s">
        <v>314</v>
      </c>
      <c r="AU6859" t="s">
        <v>121</v>
      </c>
      <c r="AV6859" t="s">
        <v>461</v>
      </c>
      <c r="AW6859" t="s">
        <v>99</v>
      </c>
      <c r="AX6859" t="s">
        <v>129</v>
      </c>
      <c r="AY6859">
        <v>100</v>
      </c>
      <c r="AZ6859" t="s">
        <v>326</v>
      </c>
      <c r="BA6859" t="s">
        <v>382</v>
      </c>
      <c r="BB6859" t="s">
        <v>99</v>
      </c>
      <c r="BC6859" t="s">
        <v>110</v>
      </c>
      <c r="BD6859" t="s">
        <v>121</v>
      </c>
      <c r="BE6859">
        <v>100</v>
      </c>
      <c r="BF6859" t="s">
        <v>358</v>
      </c>
      <c r="BG6859" t="s">
        <v>207</v>
      </c>
      <c r="BH6859" t="s">
        <v>158</v>
      </c>
      <c r="BI6859" t="s">
        <v>99</v>
      </c>
      <c r="BJ6859" t="s">
        <v>99</v>
      </c>
      <c r="BK6859">
        <v>100</v>
      </c>
      <c r="BL6859" t="s">
        <v>333</v>
      </c>
      <c r="BM6859" t="s">
        <v>134</v>
      </c>
      <c r="BN6859" t="s">
        <v>99</v>
      </c>
      <c r="BO6859" t="s">
        <v>99</v>
      </c>
      <c r="BP6859" t="s">
        <v>99</v>
      </c>
    </row>
    <row r="6860" spans="1:68" x14ac:dyDescent="0.3">
      <c r="A6860" t="s">
        <v>34</v>
      </c>
      <c r="B6860" t="s">
        <v>389</v>
      </c>
      <c r="C6860">
        <v>1385</v>
      </c>
      <c r="D6860" t="s">
        <v>1075</v>
      </c>
      <c r="E6860" t="s">
        <v>155</v>
      </c>
      <c r="F6860" t="s">
        <v>689</v>
      </c>
      <c r="G6860" t="s">
        <v>103</v>
      </c>
      <c r="H6860" t="s">
        <v>110</v>
      </c>
      <c r="I6860">
        <v>1385</v>
      </c>
      <c r="J6860" t="s">
        <v>862</v>
      </c>
      <c r="K6860" t="s">
        <v>671</v>
      </c>
      <c r="L6860" t="s">
        <v>574</v>
      </c>
      <c r="M6860" t="s">
        <v>292</v>
      </c>
      <c r="N6860" t="s">
        <v>177</v>
      </c>
      <c r="O6860">
        <v>1385</v>
      </c>
      <c r="P6860" t="s">
        <v>985</v>
      </c>
      <c r="Q6860" t="s">
        <v>319</v>
      </c>
      <c r="R6860" t="s">
        <v>328</v>
      </c>
      <c r="S6860" t="s">
        <v>117</v>
      </c>
      <c r="T6860" t="s">
        <v>542</v>
      </c>
      <c r="U6860">
        <v>1385</v>
      </c>
      <c r="V6860" t="s">
        <v>762</v>
      </c>
      <c r="W6860" t="s">
        <v>207</v>
      </c>
      <c r="X6860" t="s">
        <v>78</v>
      </c>
      <c r="Y6860" t="s">
        <v>123</v>
      </c>
      <c r="Z6860" t="s">
        <v>103</v>
      </c>
      <c r="AA6860">
        <v>1385</v>
      </c>
      <c r="AB6860" t="s">
        <v>1180</v>
      </c>
      <c r="AC6860" t="s">
        <v>136</v>
      </c>
      <c r="AD6860" t="s">
        <v>118</v>
      </c>
      <c r="AE6860" t="s">
        <v>292</v>
      </c>
      <c r="AF6860" t="s">
        <v>924</v>
      </c>
      <c r="AG6860">
        <v>1385</v>
      </c>
      <c r="AH6860" t="s">
        <v>1231</v>
      </c>
      <c r="AI6860" t="s">
        <v>645</v>
      </c>
      <c r="AJ6860" t="s">
        <v>151</v>
      </c>
      <c r="AK6860" t="s">
        <v>68</v>
      </c>
      <c r="AL6860" t="s">
        <v>132</v>
      </c>
      <c r="AM6860">
        <v>1385</v>
      </c>
      <c r="AN6860" t="s">
        <v>1457</v>
      </c>
      <c r="AO6860" t="s">
        <v>104</v>
      </c>
      <c r="AP6860" t="s">
        <v>517</v>
      </c>
      <c r="AQ6860" t="s">
        <v>123</v>
      </c>
      <c r="AR6860" t="s">
        <v>99</v>
      </c>
      <c r="AS6860">
        <v>1385</v>
      </c>
      <c r="AT6860" t="s">
        <v>350</v>
      </c>
      <c r="AU6860" t="s">
        <v>101</v>
      </c>
      <c r="AV6860" t="s">
        <v>749</v>
      </c>
      <c r="AW6860" t="s">
        <v>292</v>
      </c>
      <c r="AX6860" t="s">
        <v>112</v>
      </c>
      <c r="AY6860">
        <v>1385</v>
      </c>
      <c r="AZ6860" t="s">
        <v>775</v>
      </c>
      <c r="BA6860" t="s">
        <v>395</v>
      </c>
      <c r="BB6860" t="s">
        <v>103</v>
      </c>
      <c r="BC6860" t="s">
        <v>412</v>
      </c>
      <c r="BD6860" t="s">
        <v>136</v>
      </c>
      <c r="BE6860">
        <v>1385</v>
      </c>
      <c r="BF6860" t="s">
        <v>922</v>
      </c>
      <c r="BG6860" t="s">
        <v>126</v>
      </c>
      <c r="BH6860" t="s">
        <v>745</v>
      </c>
      <c r="BI6860" t="s">
        <v>292</v>
      </c>
      <c r="BJ6860" t="s">
        <v>141</v>
      </c>
      <c r="BK6860">
        <v>1385</v>
      </c>
      <c r="BL6860" t="s">
        <v>870</v>
      </c>
      <c r="BM6860" t="s">
        <v>672</v>
      </c>
      <c r="BN6860" t="s">
        <v>292</v>
      </c>
      <c r="BO6860" t="s">
        <v>121</v>
      </c>
      <c r="BP6860" t="s">
        <v>207</v>
      </c>
    </row>
    <row r="6861" spans="1:68" x14ac:dyDescent="0.3">
      <c r="A6861" t="s">
        <v>34</v>
      </c>
      <c r="B6861" t="s">
        <v>390</v>
      </c>
      <c r="C6861">
        <v>615</v>
      </c>
      <c r="D6861" t="s">
        <v>1510</v>
      </c>
      <c r="E6861" t="s">
        <v>128</v>
      </c>
      <c r="F6861" t="s">
        <v>737</v>
      </c>
      <c r="G6861" t="s">
        <v>108</v>
      </c>
      <c r="H6861" t="s">
        <v>128</v>
      </c>
      <c r="I6861">
        <v>615</v>
      </c>
      <c r="J6861" t="s">
        <v>576</v>
      </c>
      <c r="K6861" t="s">
        <v>109</v>
      </c>
      <c r="L6861" t="s">
        <v>501</v>
      </c>
      <c r="M6861" t="s">
        <v>114</v>
      </c>
      <c r="N6861" t="s">
        <v>820</v>
      </c>
      <c r="O6861">
        <v>615</v>
      </c>
      <c r="P6861" t="s">
        <v>785</v>
      </c>
      <c r="Q6861" t="s">
        <v>253</v>
      </c>
      <c r="R6861" t="s">
        <v>68</v>
      </c>
      <c r="S6861" t="s">
        <v>108</v>
      </c>
      <c r="T6861" t="s">
        <v>287</v>
      </c>
      <c r="U6861">
        <v>615</v>
      </c>
      <c r="V6861" t="s">
        <v>366</v>
      </c>
      <c r="W6861" t="s">
        <v>99</v>
      </c>
      <c r="X6861" t="s">
        <v>664</v>
      </c>
      <c r="Y6861" t="s">
        <v>114</v>
      </c>
      <c r="Z6861" t="s">
        <v>103</v>
      </c>
      <c r="AA6861">
        <v>615</v>
      </c>
      <c r="AB6861" t="s">
        <v>939</v>
      </c>
      <c r="AC6861" t="s">
        <v>253</v>
      </c>
      <c r="AD6861" t="s">
        <v>123</v>
      </c>
      <c r="AE6861" t="s">
        <v>114</v>
      </c>
      <c r="AF6861" t="s">
        <v>437</v>
      </c>
      <c r="AG6861">
        <v>615</v>
      </c>
      <c r="AH6861" t="s">
        <v>1706</v>
      </c>
      <c r="AI6861" t="s">
        <v>566</v>
      </c>
      <c r="AJ6861" t="s">
        <v>101</v>
      </c>
      <c r="AK6861" t="s">
        <v>105</v>
      </c>
      <c r="AL6861" t="s">
        <v>207</v>
      </c>
      <c r="AM6861">
        <v>615</v>
      </c>
      <c r="AN6861" t="s">
        <v>477</v>
      </c>
      <c r="AO6861" t="s">
        <v>382</v>
      </c>
      <c r="AP6861" t="s">
        <v>186</v>
      </c>
      <c r="AQ6861" t="s">
        <v>108</v>
      </c>
      <c r="AR6861" t="s">
        <v>99</v>
      </c>
      <c r="AS6861">
        <v>615</v>
      </c>
      <c r="AT6861" t="s">
        <v>1475</v>
      </c>
      <c r="AU6861" t="s">
        <v>100</v>
      </c>
      <c r="AV6861" t="s">
        <v>393</v>
      </c>
      <c r="AW6861" t="s">
        <v>114</v>
      </c>
      <c r="AX6861" t="s">
        <v>316</v>
      </c>
      <c r="AY6861">
        <v>615</v>
      </c>
      <c r="AZ6861" t="s">
        <v>1453</v>
      </c>
      <c r="BA6861" t="s">
        <v>311</v>
      </c>
      <c r="BB6861" t="s">
        <v>100</v>
      </c>
      <c r="BC6861" t="s">
        <v>72</v>
      </c>
      <c r="BD6861" t="s">
        <v>198</v>
      </c>
      <c r="BE6861">
        <v>615</v>
      </c>
      <c r="BF6861" t="s">
        <v>371</v>
      </c>
      <c r="BG6861" t="s">
        <v>121</v>
      </c>
      <c r="BH6861" t="s">
        <v>393</v>
      </c>
      <c r="BI6861" t="s">
        <v>108</v>
      </c>
      <c r="BJ6861" t="s">
        <v>127</v>
      </c>
      <c r="BK6861">
        <v>615</v>
      </c>
      <c r="BL6861" t="s">
        <v>380</v>
      </c>
      <c r="BM6861" t="s">
        <v>299</v>
      </c>
      <c r="BN6861" t="s">
        <v>108</v>
      </c>
      <c r="BO6861" t="s">
        <v>268</v>
      </c>
      <c r="BP6861" t="s">
        <v>253</v>
      </c>
    </row>
    <row r="6862" spans="1:68" x14ac:dyDescent="0.3">
      <c r="A6862" t="s">
        <v>34</v>
      </c>
      <c r="B6862" t="s">
        <v>365</v>
      </c>
      <c r="C6862">
        <v>80</v>
      </c>
      <c r="D6862" t="s">
        <v>509</v>
      </c>
      <c r="E6862" t="s">
        <v>99</v>
      </c>
      <c r="F6862" t="s">
        <v>704</v>
      </c>
      <c r="G6862" t="s">
        <v>126</v>
      </c>
      <c r="H6862" t="s">
        <v>434</v>
      </c>
      <c r="I6862">
        <v>80</v>
      </c>
      <c r="J6862" t="s">
        <v>905</v>
      </c>
      <c r="K6862" t="s">
        <v>277</v>
      </c>
      <c r="L6862" t="s">
        <v>735</v>
      </c>
      <c r="M6862" t="s">
        <v>126</v>
      </c>
      <c r="N6862" t="s">
        <v>457</v>
      </c>
      <c r="O6862">
        <v>80</v>
      </c>
      <c r="P6862" t="s">
        <v>431</v>
      </c>
      <c r="Q6862" t="s">
        <v>99</v>
      </c>
      <c r="R6862" t="s">
        <v>679</v>
      </c>
      <c r="S6862" t="s">
        <v>126</v>
      </c>
      <c r="T6862" t="s">
        <v>41</v>
      </c>
      <c r="U6862">
        <v>80</v>
      </c>
      <c r="V6862" t="s">
        <v>612</v>
      </c>
      <c r="W6862" t="s">
        <v>99</v>
      </c>
      <c r="X6862" t="s">
        <v>287</v>
      </c>
      <c r="Y6862" t="s">
        <v>126</v>
      </c>
      <c r="Z6862" t="s">
        <v>105</v>
      </c>
      <c r="AA6862">
        <v>80</v>
      </c>
      <c r="AB6862" t="s">
        <v>1366</v>
      </c>
      <c r="AC6862" t="s">
        <v>151</v>
      </c>
      <c r="AD6862" t="s">
        <v>305</v>
      </c>
      <c r="AE6862" t="s">
        <v>126</v>
      </c>
      <c r="AF6862" t="s">
        <v>726</v>
      </c>
      <c r="AG6862">
        <v>80</v>
      </c>
      <c r="AH6862" t="s">
        <v>1188</v>
      </c>
      <c r="AI6862" t="s">
        <v>577</v>
      </c>
      <c r="AJ6862" t="s">
        <v>126</v>
      </c>
      <c r="AK6862" t="s">
        <v>141</v>
      </c>
      <c r="AL6862" t="s">
        <v>99</v>
      </c>
      <c r="AM6862">
        <v>80</v>
      </c>
      <c r="AN6862" t="s">
        <v>494</v>
      </c>
      <c r="AO6862" t="s">
        <v>99</v>
      </c>
      <c r="AP6862" t="s">
        <v>682</v>
      </c>
      <c r="AQ6862" t="s">
        <v>126</v>
      </c>
      <c r="AR6862" t="s">
        <v>99</v>
      </c>
      <c r="AS6862">
        <v>80</v>
      </c>
      <c r="AT6862" t="s">
        <v>869</v>
      </c>
      <c r="AU6862" t="s">
        <v>99</v>
      </c>
      <c r="AV6862" t="s">
        <v>201</v>
      </c>
      <c r="AW6862" t="s">
        <v>126</v>
      </c>
      <c r="AX6862" t="s">
        <v>220</v>
      </c>
      <c r="AY6862">
        <v>80</v>
      </c>
      <c r="AZ6862" t="s">
        <v>472</v>
      </c>
      <c r="BA6862" t="s">
        <v>175</v>
      </c>
      <c r="BB6862" t="s">
        <v>126</v>
      </c>
      <c r="BC6862" t="s">
        <v>78</v>
      </c>
      <c r="BD6862" t="s">
        <v>99</v>
      </c>
      <c r="BE6862">
        <v>80</v>
      </c>
      <c r="BF6862" t="s">
        <v>915</v>
      </c>
      <c r="BG6862" t="s">
        <v>99</v>
      </c>
      <c r="BH6862" t="s">
        <v>868</v>
      </c>
      <c r="BI6862" t="s">
        <v>126</v>
      </c>
      <c r="BJ6862" t="s">
        <v>134</v>
      </c>
      <c r="BK6862">
        <v>80</v>
      </c>
      <c r="BL6862" t="s">
        <v>845</v>
      </c>
      <c r="BM6862" t="s">
        <v>408</v>
      </c>
      <c r="BN6862" t="s">
        <v>126</v>
      </c>
      <c r="BO6862" t="s">
        <v>99</v>
      </c>
      <c r="BP6862" t="s">
        <v>99</v>
      </c>
    </row>
    <row r="6863" spans="1:68" x14ac:dyDescent="0.3">
      <c r="A6863" t="s">
        <v>33</v>
      </c>
      <c r="B6863" t="s">
        <v>389</v>
      </c>
      <c r="C6863">
        <v>1090</v>
      </c>
      <c r="D6863" t="s">
        <v>326</v>
      </c>
      <c r="E6863" t="s">
        <v>253</v>
      </c>
      <c r="F6863" t="s">
        <v>147</v>
      </c>
      <c r="G6863" t="s">
        <v>268</v>
      </c>
      <c r="H6863" t="s">
        <v>100</v>
      </c>
      <c r="I6863">
        <v>1090</v>
      </c>
      <c r="J6863" t="s">
        <v>445</v>
      </c>
      <c r="K6863" t="s">
        <v>158</v>
      </c>
      <c r="L6863" t="s">
        <v>465</v>
      </c>
      <c r="M6863" t="s">
        <v>268</v>
      </c>
      <c r="N6863" t="s">
        <v>470</v>
      </c>
      <c r="O6863">
        <v>1090</v>
      </c>
      <c r="P6863" t="s">
        <v>221</v>
      </c>
      <c r="Q6863" t="s">
        <v>207</v>
      </c>
      <c r="R6863" t="s">
        <v>111</v>
      </c>
      <c r="S6863" t="s">
        <v>268</v>
      </c>
      <c r="T6863" t="s">
        <v>353</v>
      </c>
      <c r="U6863">
        <v>1090</v>
      </c>
      <c r="V6863" t="s">
        <v>358</v>
      </c>
      <c r="W6863" t="s">
        <v>104</v>
      </c>
      <c r="X6863" t="s">
        <v>147</v>
      </c>
      <c r="Y6863" t="s">
        <v>268</v>
      </c>
      <c r="Z6863" t="s">
        <v>136</v>
      </c>
      <c r="AA6863">
        <v>1090</v>
      </c>
      <c r="AB6863" t="s">
        <v>230</v>
      </c>
      <c r="AC6863" t="s">
        <v>141</v>
      </c>
      <c r="AD6863" t="s">
        <v>151</v>
      </c>
      <c r="AE6863" t="s">
        <v>117</v>
      </c>
      <c r="AF6863" t="s">
        <v>714</v>
      </c>
      <c r="AG6863">
        <v>1090</v>
      </c>
      <c r="AH6863" t="s">
        <v>865</v>
      </c>
      <c r="AI6863" t="s">
        <v>807</v>
      </c>
      <c r="AJ6863" t="s">
        <v>117</v>
      </c>
      <c r="AK6863" t="s">
        <v>121</v>
      </c>
      <c r="AL6863" t="s">
        <v>99</v>
      </c>
      <c r="AM6863">
        <v>1090</v>
      </c>
      <c r="AN6863" t="s">
        <v>252</v>
      </c>
      <c r="AO6863" t="s">
        <v>198</v>
      </c>
      <c r="AP6863" t="s">
        <v>468</v>
      </c>
      <c r="AQ6863" t="s">
        <v>268</v>
      </c>
      <c r="AR6863" t="s">
        <v>99</v>
      </c>
      <c r="AS6863">
        <v>1090</v>
      </c>
      <c r="AT6863" t="s">
        <v>73</v>
      </c>
      <c r="AU6863" t="s">
        <v>136</v>
      </c>
      <c r="AV6863" t="s">
        <v>112</v>
      </c>
      <c r="AW6863" t="s">
        <v>117</v>
      </c>
      <c r="AX6863" t="s">
        <v>121</v>
      </c>
      <c r="AY6863">
        <v>1090</v>
      </c>
      <c r="AZ6863" t="s">
        <v>1308</v>
      </c>
      <c r="BA6863" t="s">
        <v>158</v>
      </c>
      <c r="BB6863" t="s">
        <v>103</v>
      </c>
      <c r="BC6863" t="s">
        <v>114</v>
      </c>
      <c r="BD6863" t="s">
        <v>99</v>
      </c>
      <c r="BE6863">
        <v>1090</v>
      </c>
      <c r="BF6863" t="s">
        <v>417</v>
      </c>
      <c r="BG6863" t="s">
        <v>115</v>
      </c>
      <c r="BH6863" t="s">
        <v>461</v>
      </c>
      <c r="BI6863" t="s">
        <v>268</v>
      </c>
      <c r="BJ6863" t="s">
        <v>99</v>
      </c>
      <c r="BK6863">
        <v>1090</v>
      </c>
      <c r="BL6863" t="s">
        <v>226</v>
      </c>
      <c r="BM6863" t="s">
        <v>138</v>
      </c>
      <c r="BN6863" t="s">
        <v>103</v>
      </c>
      <c r="BO6863" t="s">
        <v>121</v>
      </c>
      <c r="BP6863" t="s">
        <v>99</v>
      </c>
    </row>
    <row r="6864" spans="1:68" x14ac:dyDescent="0.3">
      <c r="A6864" t="s">
        <v>33</v>
      </c>
      <c r="B6864" t="s">
        <v>390</v>
      </c>
      <c r="C6864">
        <v>708</v>
      </c>
      <c r="D6864" t="s">
        <v>376</v>
      </c>
      <c r="E6864" t="s">
        <v>207</v>
      </c>
      <c r="F6864" t="s">
        <v>292</v>
      </c>
      <c r="G6864" t="s">
        <v>292</v>
      </c>
      <c r="H6864" t="s">
        <v>382</v>
      </c>
      <c r="I6864">
        <v>708</v>
      </c>
      <c r="J6864" t="s">
        <v>608</v>
      </c>
      <c r="K6864" t="s">
        <v>117</v>
      </c>
      <c r="L6864" t="s">
        <v>814</v>
      </c>
      <c r="M6864" t="s">
        <v>292</v>
      </c>
      <c r="N6864" t="s">
        <v>305</v>
      </c>
      <c r="O6864">
        <v>708</v>
      </c>
      <c r="P6864" t="s">
        <v>1282</v>
      </c>
      <c r="Q6864" t="s">
        <v>198</v>
      </c>
      <c r="R6864" t="s">
        <v>120</v>
      </c>
      <c r="S6864" t="s">
        <v>292</v>
      </c>
      <c r="T6864" t="s">
        <v>328</v>
      </c>
      <c r="U6864">
        <v>708</v>
      </c>
      <c r="V6864" t="s">
        <v>329</v>
      </c>
      <c r="W6864" t="s">
        <v>198</v>
      </c>
      <c r="X6864" t="s">
        <v>130</v>
      </c>
      <c r="Y6864" t="s">
        <v>292</v>
      </c>
      <c r="Z6864" t="s">
        <v>114</v>
      </c>
      <c r="AA6864">
        <v>708</v>
      </c>
      <c r="AB6864" t="s">
        <v>356</v>
      </c>
      <c r="AC6864" t="s">
        <v>207</v>
      </c>
      <c r="AD6864" t="s">
        <v>268</v>
      </c>
      <c r="AE6864" t="s">
        <v>292</v>
      </c>
      <c r="AF6864" t="s">
        <v>182</v>
      </c>
      <c r="AG6864">
        <v>708</v>
      </c>
      <c r="AH6864" t="s">
        <v>1132</v>
      </c>
      <c r="AI6864" t="s">
        <v>743</v>
      </c>
      <c r="AJ6864" t="s">
        <v>292</v>
      </c>
      <c r="AK6864" t="s">
        <v>132</v>
      </c>
      <c r="AL6864" t="s">
        <v>99</v>
      </c>
      <c r="AM6864">
        <v>708</v>
      </c>
      <c r="AN6864" t="s">
        <v>771</v>
      </c>
      <c r="AO6864" t="s">
        <v>198</v>
      </c>
      <c r="AP6864" t="s">
        <v>129</v>
      </c>
      <c r="AQ6864" t="s">
        <v>292</v>
      </c>
      <c r="AR6864" t="s">
        <v>207</v>
      </c>
      <c r="AS6864">
        <v>708</v>
      </c>
      <c r="AT6864" t="s">
        <v>419</v>
      </c>
      <c r="AU6864" t="s">
        <v>207</v>
      </c>
      <c r="AV6864" t="s">
        <v>129</v>
      </c>
      <c r="AW6864" t="s">
        <v>292</v>
      </c>
      <c r="AX6864" t="s">
        <v>382</v>
      </c>
      <c r="AY6864">
        <v>708</v>
      </c>
      <c r="AZ6864" t="s">
        <v>324</v>
      </c>
      <c r="BA6864" t="s">
        <v>712</v>
      </c>
      <c r="BB6864" t="s">
        <v>292</v>
      </c>
      <c r="BC6864" t="s">
        <v>100</v>
      </c>
      <c r="BD6864" t="s">
        <v>99</v>
      </c>
      <c r="BE6864">
        <v>708</v>
      </c>
      <c r="BF6864" t="s">
        <v>183</v>
      </c>
      <c r="BG6864" t="s">
        <v>115</v>
      </c>
      <c r="BH6864" t="s">
        <v>143</v>
      </c>
      <c r="BI6864" t="s">
        <v>292</v>
      </c>
      <c r="BJ6864" t="s">
        <v>198</v>
      </c>
      <c r="BK6864">
        <v>708</v>
      </c>
      <c r="BL6864" t="s">
        <v>329</v>
      </c>
      <c r="BM6864" t="s">
        <v>112</v>
      </c>
      <c r="BN6864" t="s">
        <v>292</v>
      </c>
      <c r="BO6864" t="s">
        <v>115</v>
      </c>
      <c r="BP6864" t="s">
        <v>99</v>
      </c>
    </row>
    <row r="6865" spans="1:68" x14ac:dyDescent="0.3">
      <c r="A6865" t="s">
        <v>33</v>
      </c>
      <c r="B6865" t="s">
        <v>365</v>
      </c>
      <c r="C6865">
        <v>139</v>
      </c>
      <c r="D6865" t="s">
        <v>403</v>
      </c>
      <c r="E6865" t="s">
        <v>99</v>
      </c>
      <c r="F6865" t="s">
        <v>128</v>
      </c>
      <c r="G6865" t="s">
        <v>155</v>
      </c>
      <c r="H6865" t="s">
        <v>316</v>
      </c>
      <c r="I6865">
        <v>139</v>
      </c>
      <c r="J6865" t="s">
        <v>1362</v>
      </c>
      <c r="K6865" t="s">
        <v>99</v>
      </c>
      <c r="L6865" t="s">
        <v>675</v>
      </c>
      <c r="M6865" t="s">
        <v>155</v>
      </c>
      <c r="N6865" t="s">
        <v>379</v>
      </c>
      <c r="O6865">
        <v>139</v>
      </c>
      <c r="P6865" t="s">
        <v>1292</v>
      </c>
      <c r="Q6865" t="s">
        <v>99</v>
      </c>
      <c r="R6865" t="s">
        <v>122</v>
      </c>
      <c r="S6865" t="s">
        <v>155</v>
      </c>
      <c r="T6865" t="s">
        <v>143</v>
      </c>
      <c r="U6865">
        <v>139</v>
      </c>
      <c r="V6865" t="s">
        <v>469</v>
      </c>
      <c r="W6865" t="s">
        <v>100</v>
      </c>
      <c r="X6865" t="s">
        <v>680</v>
      </c>
      <c r="Y6865" t="s">
        <v>155</v>
      </c>
      <c r="Z6865" t="s">
        <v>99</v>
      </c>
      <c r="AA6865">
        <v>139</v>
      </c>
      <c r="AB6865" t="s">
        <v>354</v>
      </c>
      <c r="AC6865" t="s">
        <v>99</v>
      </c>
      <c r="AD6865" t="s">
        <v>132</v>
      </c>
      <c r="AE6865" t="s">
        <v>155</v>
      </c>
      <c r="AF6865" t="s">
        <v>118</v>
      </c>
      <c r="AG6865">
        <v>139</v>
      </c>
      <c r="AH6865" t="s">
        <v>187</v>
      </c>
      <c r="AI6865" t="s">
        <v>708</v>
      </c>
      <c r="AJ6865" t="s">
        <v>155</v>
      </c>
      <c r="AK6865" t="s">
        <v>99</v>
      </c>
      <c r="AL6865" t="s">
        <v>99</v>
      </c>
      <c r="AM6865">
        <v>139</v>
      </c>
      <c r="AN6865" t="s">
        <v>419</v>
      </c>
      <c r="AO6865" t="s">
        <v>99</v>
      </c>
      <c r="AP6865" t="s">
        <v>474</v>
      </c>
      <c r="AQ6865" t="s">
        <v>155</v>
      </c>
      <c r="AR6865" t="s">
        <v>99</v>
      </c>
      <c r="AS6865">
        <v>139</v>
      </c>
      <c r="AT6865" t="s">
        <v>263</v>
      </c>
      <c r="AU6865" t="s">
        <v>99</v>
      </c>
      <c r="AV6865" t="s">
        <v>165</v>
      </c>
      <c r="AW6865" t="s">
        <v>155</v>
      </c>
      <c r="AX6865" t="s">
        <v>99</v>
      </c>
      <c r="AY6865">
        <v>139</v>
      </c>
      <c r="AZ6865" t="s">
        <v>371</v>
      </c>
      <c r="BA6865" t="s">
        <v>739</v>
      </c>
      <c r="BB6865" t="s">
        <v>155</v>
      </c>
      <c r="BC6865" t="s">
        <v>99</v>
      </c>
      <c r="BD6865" t="s">
        <v>99</v>
      </c>
      <c r="BE6865">
        <v>139</v>
      </c>
      <c r="BF6865" t="s">
        <v>169</v>
      </c>
      <c r="BG6865" t="s">
        <v>99</v>
      </c>
      <c r="BH6865" t="s">
        <v>204</v>
      </c>
      <c r="BI6865" t="s">
        <v>155</v>
      </c>
      <c r="BJ6865" t="s">
        <v>99</v>
      </c>
      <c r="BK6865">
        <v>139</v>
      </c>
      <c r="BL6865" t="s">
        <v>785</v>
      </c>
      <c r="BM6865" t="s">
        <v>244</v>
      </c>
      <c r="BN6865" t="s">
        <v>155</v>
      </c>
      <c r="BO6865" t="s">
        <v>99</v>
      </c>
      <c r="BP6865" t="s">
        <v>99</v>
      </c>
    </row>
    <row r="6866" spans="1:68" x14ac:dyDescent="0.3">
      <c r="A6866" t="s">
        <v>49</v>
      </c>
      <c r="B6866" t="s">
        <v>389</v>
      </c>
      <c r="C6866">
        <v>8499</v>
      </c>
      <c r="D6866" t="s">
        <v>1226</v>
      </c>
      <c r="E6866" t="s">
        <v>123</v>
      </c>
      <c r="F6866" t="s">
        <v>311</v>
      </c>
      <c r="G6866" t="s">
        <v>123</v>
      </c>
      <c r="H6866" t="s">
        <v>157</v>
      </c>
      <c r="I6866">
        <v>8499</v>
      </c>
      <c r="J6866" t="s">
        <v>1180</v>
      </c>
      <c r="K6866" t="s">
        <v>328</v>
      </c>
      <c r="L6866" t="s">
        <v>542</v>
      </c>
      <c r="M6866" t="s">
        <v>151</v>
      </c>
      <c r="N6866" t="s">
        <v>536</v>
      </c>
      <c r="O6866">
        <v>8499</v>
      </c>
      <c r="P6866" t="s">
        <v>317</v>
      </c>
      <c r="Q6866" t="s">
        <v>114</v>
      </c>
      <c r="R6866" t="s">
        <v>68</v>
      </c>
      <c r="S6866" t="s">
        <v>123</v>
      </c>
      <c r="T6866" t="s">
        <v>287</v>
      </c>
      <c r="U6866">
        <v>8499</v>
      </c>
      <c r="V6866" t="s">
        <v>854</v>
      </c>
      <c r="W6866" t="s">
        <v>198</v>
      </c>
      <c r="X6866" t="s">
        <v>78</v>
      </c>
      <c r="Y6866" t="s">
        <v>127</v>
      </c>
      <c r="Z6866" t="s">
        <v>117</v>
      </c>
      <c r="AA6866">
        <v>8499</v>
      </c>
      <c r="AB6866" t="s">
        <v>59</v>
      </c>
      <c r="AC6866" t="s">
        <v>115</v>
      </c>
      <c r="AD6866" t="s">
        <v>112</v>
      </c>
      <c r="AE6866" t="s">
        <v>127</v>
      </c>
      <c r="AF6866" t="s">
        <v>730</v>
      </c>
      <c r="AG6866">
        <v>8499</v>
      </c>
      <c r="AH6866" t="s">
        <v>1279</v>
      </c>
      <c r="AI6866" t="s">
        <v>864</v>
      </c>
      <c r="AJ6866" t="s">
        <v>127</v>
      </c>
      <c r="AK6866" t="s">
        <v>332</v>
      </c>
      <c r="AL6866" t="s">
        <v>207</v>
      </c>
      <c r="AM6866">
        <v>8499</v>
      </c>
      <c r="AN6866" t="s">
        <v>189</v>
      </c>
      <c r="AO6866" t="s">
        <v>253</v>
      </c>
      <c r="AP6866" t="s">
        <v>38</v>
      </c>
      <c r="AQ6866" t="s">
        <v>215</v>
      </c>
      <c r="AR6866" t="s">
        <v>104</v>
      </c>
      <c r="AS6866">
        <v>8499</v>
      </c>
      <c r="AT6866" t="s">
        <v>371</v>
      </c>
      <c r="AU6866" t="s">
        <v>108</v>
      </c>
      <c r="AV6866" t="s">
        <v>264</v>
      </c>
      <c r="AW6866" t="s">
        <v>127</v>
      </c>
      <c r="AX6866" t="s">
        <v>147</v>
      </c>
      <c r="AY6866">
        <v>8499</v>
      </c>
      <c r="AZ6866" t="s">
        <v>396</v>
      </c>
      <c r="BA6866" t="s">
        <v>710</v>
      </c>
      <c r="BB6866" t="s">
        <v>151</v>
      </c>
      <c r="BC6866" t="s">
        <v>120</v>
      </c>
      <c r="BD6866" t="s">
        <v>136</v>
      </c>
      <c r="BE6866">
        <v>8499</v>
      </c>
      <c r="BF6866" t="s">
        <v>1186</v>
      </c>
      <c r="BG6866" t="s">
        <v>114</v>
      </c>
      <c r="BH6866" t="s">
        <v>463</v>
      </c>
      <c r="BI6866" t="s">
        <v>127</v>
      </c>
      <c r="BJ6866" t="s">
        <v>108</v>
      </c>
      <c r="BK6866">
        <v>8499</v>
      </c>
      <c r="BL6866" t="s">
        <v>221</v>
      </c>
      <c r="BM6866" t="s">
        <v>182</v>
      </c>
      <c r="BN6866" t="s">
        <v>127</v>
      </c>
      <c r="BO6866" t="s">
        <v>101</v>
      </c>
      <c r="BP6866" t="s">
        <v>207</v>
      </c>
    </row>
    <row r="6867" spans="1:68" x14ac:dyDescent="0.3">
      <c r="A6867" t="s">
        <v>49</v>
      </c>
      <c r="B6867" t="s">
        <v>390</v>
      </c>
      <c r="C6867">
        <v>4134</v>
      </c>
      <c r="D6867" t="s">
        <v>537</v>
      </c>
      <c r="E6867" t="s">
        <v>319</v>
      </c>
      <c r="F6867" t="s">
        <v>305</v>
      </c>
      <c r="G6867" t="s">
        <v>127</v>
      </c>
      <c r="H6867" t="s">
        <v>712</v>
      </c>
      <c r="I6867">
        <v>4134</v>
      </c>
      <c r="J6867" t="s">
        <v>949</v>
      </c>
      <c r="K6867" t="s">
        <v>474</v>
      </c>
      <c r="L6867" t="s">
        <v>721</v>
      </c>
      <c r="M6867" t="s">
        <v>123</v>
      </c>
      <c r="N6867" t="s">
        <v>231</v>
      </c>
      <c r="O6867">
        <v>4134</v>
      </c>
      <c r="P6867" t="s">
        <v>883</v>
      </c>
      <c r="Q6867" t="s">
        <v>115</v>
      </c>
      <c r="R6867" t="s">
        <v>149</v>
      </c>
      <c r="S6867" t="s">
        <v>123</v>
      </c>
      <c r="T6867" t="s">
        <v>248</v>
      </c>
      <c r="U6867">
        <v>4134</v>
      </c>
      <c r="V6867" t="s">
        <v>866</v>
      </c>
      <c r="W6867" t="s">
        <v>136</v>
      </c>
      <c r="X6867" t="s">
        <v>78</v>
      </c>
      <c r="Y6867" t="s">
        <v>123</v>
      </c>
      <c r="Z6867" t="s">
        <v>157</v>
      </c>
      <c r="AA6867">
        <v>4134</v>
      </c>
      <c r="AB6867" t="s">
        <v>509</v>
      </c>
      <c r="AC6867" t="s">
        <v>253</v>
      </c>
      <c r="AD6867" t="s">
        <v>474</v>
      </c>
      <c r="AE6867" t="s">
        <v>127</v>
      </c>
      <c r="AF6867" t="s">
        <v>175</v>
      </c>
      <c r="AG6867">
        <v>4134</v>
      </c>
      <c r="AH6867" t="s">
        <v>1279</v>
      </c>
      <c r="AI6867" t="s">
        <v>281</v>
      </c>
      <c r="AJ6867" t="s">
        <v>123</v>
      </c>
      <c r="AK6867" t="s">
        <v>268</v>
      </c>
      <c r="AL6867" t="s">
        <v>104</v>
      </c>
      <c r="AM6867">
        <v>4134</v>
      </c>
      <c r="AN6867" t="s">
        <v>450</v>
      </c>
      <c r="AO6867" t="s">
        <v>115</v>
      </c>
      <c r="AP6867" t="s">
        <v>714</v>
      </c>
      <c r="AQ6867" t="s">
        <v>215</v>
      </c>
      <c r="AR6867" t="s">
        <v>136</v>
      </c>
      <c r="AS6867">
        <v>4134</v>
      </c>
      <c r="AT6867" t="s">
        <v>1640</v>
      </c>
      <c r="AU6867" t="s">
        <v>101</v>
      </c>
      <c r="AV6867" t="s">
        <v>680</v>
      </c>
      <c r="AW6867" t="s">
        <v>127</v>
      </c>
      <c r="AX6867" t="s">
        <v>316</v>
      </c>
      <c r="AY6867">
        <v>4134</v>
      </c>
      <c r="AZ6867" t="s">
        <v>439</v>
      </c>
      <c r="BA6867" t="s">
        <v>142</v>
      </c>
      <c r="BB6867" t="s">
        <v>292</v>
      </c>
      <c r="BC6867" t="s">
        <v>412</v>
      </c>
      <c r="BD6867" t="s">
        <v>141</v>
      </c>
      <c r="BE6867">
        <v>4134</v>
      </c>
      <c r="BF6867" t="s">
        <v>168</v>
      </c>
      <c r="BG6867" t="s">
        <v>100</v>
      </c>
      <c r="BH6867" t="s">
        <v>206</v>
      </c>
      <c r="BI6867" t="s">
        <v>215</v>
      </c>
      <c r="BJ6867" t="s">
        <v>319</v>
      </c>
      <c r="BK6867">
        <v>4134</v>
      </c>
      <c r="BL6867" t="s">
        <v>180</v>
      </c>
      <c r="BM6867" t="s">
        <v>135</v>
      </c>
      <c r="BN6867" t="s">
        <v>151</v>
      </c>
      <c r="BO6867" t="s">
        <v>316</v>
      </c>
      <c r="BP6867" t="s">
        <v>141</v>
      </c>
    </row>
    <row r="6868" spans="1:68" x14ac:dyDescent="0.3">
      <c r="A6868" t="s">
        <v>49</v>
      </c>
      <c r="B6868" t="s">
        <v>365</v>
      </c>
      <c r="C6868">
        <v>689</v>
      </c>
      <c r="D6868" t="s">
        <v>875</v>
      </c>
      <c r="E6868" t="s">
        <v>100</v>
      </c>
      <c r="F6868" t="s">
        <v>145</v>
      </c>
      <c r="G6868" t="s">
        <v>121</v>
      </c>
      <c r="H6868" t="s">
        <v>712</v>
      </c>
      <c r="I6868">
        <v>689</v>
      </c>
      <c r="J6868" t="s">
        <v>278</v>
      </c>
      <c r="K6868" t="s">
        <v>151</v>
      </c>
      <c r="L6868" t="s">
        <v>41</v>
      </c>
      <c r="M6868" t="s">
        <v>126</v>
      </c>
      <c r="N6868" t="s">
        <v>743</v>
      </c>
      <c r="O6868">
        <v>689</v>
      </c>
      <c r="P6868" t="s">
        <v>866</v>
      </c>
      <c r="Q6868" t="s">
        <v>115</v>
      </c>
      <c r="R6868" t="s">
        <v>112</v>
      </c>
      <c r="S6868" t="s">
        <v>114</v>
      </c>
      <c r="T6868" t="s">
        <v>152</v>
      </c>
      <c r="U6868">
        <v>689</v>
      </c>
      <c r="V6868" t="s">
        <v>164</v>
      </c>
      <c r="W6868" t="s">
        <v>136</v>
      </c>
      <c r="X6868" t="s">
        <v>125</v>
      </c>
      <c r="Y6868" t="s">
        <v>108</v>
      </c>
      <c r="Z6868" t="s">
        <v>132</v>
      </c>
      <c r="AA6868">
        <v>689</v>
      </c>
      <c r="AB6868" t="s">
        <v>317</v>
      </c>
      <c r="AC6868" t="s">
        <v>141</v>
      </c>
      <c r="AD6868" t="s">
        <v>154</v>
      </c>
      <c r="AE6868" t="s">
        <v>100</v>
      </c>
      <c r="AF6868" t="s">
        <v>746</v>
      </c>
      <c r="AG6868">
        <v>689</v>
      </c>
      <c r="AH6868" t="s">
        <v>1079</v>
      </c>
      <c r="AI6868" t="s">
        <v>501</v>
      </c>
      <c r="AJ6868" t="s">
        <v>108</v>
      </c>
      <c r="AK6868" t="s">
        <v>103</v>
      </c>
      <c r="AL6868" t="s">
        <v>198</v>
      </c>
      <c r="AM6868">
        <v>689</v>
      </c>
      <c r="AN6868" t="s">
        <v>221</v>
      </c>
      <c r="AO6868" t="s">
        <v>207</v>
      </c>
      <c r="AP6868" t="s">
        <v>165</v>
      </c>
      <c r="AQ6868" t="s">
        <v>121</v>
      </c>
      <c r="AR6868" t="s">
        <v>198</v>
      </c>
      <c r="AS6868">
        <v>689</v>
      </c>
      <c r="AT6868" t="s">
        <v>769</v>
      </c>
      <c r="AU6868" t="s">
        <v>136</v>
      </c>
      <c r="AV6868" t="s">
        <v>165</v>
      </c>
      <c r="AW6868" t="s">
        <v>114</v>
      </c>
      <c r="AX6868" t="s">
        <v>316</v>
      </c>
      <c r="AY6868">
        <v>689</v>
      </c>
      <c r="AZ6868" t="s">
        <v>784</v>
      </c>
      <c r="BA6868" t="s">
        <v>289</v>
      </c>
      <c r="BB6868" t="s">
        <v>100</v>
      </c>
      <c r="BC6868" t="s">
        <v>134</v>
      </c>
      <c r="BD6868" t="s">
        <v>198</v>
      </c>
      <c r="BE6868">
        <v>689</v>
      </c>
      <c r="BF6868" t="s">
        <v>187</v>
      </c>
      <c r="BG6868" t="s">
        <v>141</v>
      </c>
      <c r="BH6868" t="s">
        <v>321</v>
      </c>
      <c r="BI6868" t="s">
        <v>114</v>
      </c>
      <c r="BJ6868" t="s">
        <v>253</v>
      </c>
      <c r="BK6868">
        <v>689</v>
      </c>
      <c r="BL6868" t="s">
        <v>172</v>
      </c>
      <c r="BM6868" t="s">
        <v>72</v>
      </c>
      <c r="BN6868" t="s">
        <v>100</v>
      </c>
      <c r="BO6868" t="s">
        <v>136</v>
      </c>
      <c r="BP6868" t="s">
        <v>207</v>
      </c>
    </row>
    <row r="6870" spans="1:68" x14ac:dyDescent="0.3">
      <c r="A6870" t="s">
        <v>2205</v>
      </c>
    </row>
    <row r="6871" spans="1:68" x14ac:dyDescent="0.3">
      <c r="A6871" t="s">
        <v>44</v>
      </c>
      <c r="B6871" t="s">
        <v>32</v>
      </c>
      <c r="C6871" t="s">
        <v>2206</v>
      </c>
      <c r="D6871" t="s">
        <v>2207</v>
      </c>
      <c r="E6871" t="s">
        <v>2208</v>
      </c>
      <c r="F6871" t="s">
        <v>2209</v>
      </c>
      <c r="G6871" t="s">
        <v>1275</v>
      </c>
      <c r="H6871" t="s">
        <v>83</v>
      </c>
    </row>
    <row r="6872" spans="1:68" x14ac:dyDescent="0.3">
      <c r="A6872" t="s">
        <v>35</v>
      </c>
      <c r="B6872">
        <v>1053</v>
      </c>
      <c r="C6872" t="s">
        <v>1082</v>
      </c>
      <c r="D6872" t="s">
        <v>1052</v>
      </c>
      <c r="E6872" t="s">
        <v>960</v>
      </c>
      <c r="F6872" t="s">
        <v>143</v>
      </c>
      <c r="G6872" t="s">
        <v>215</v>
      </c>
      <c r="H6872" t="s">
        <v>105</v>
      </c>
    </row>
    <row r="6873" spans="1:68" x14ac:dyDescent="0.3">
      <c r="A6873" t="s">
        <v>37</v>
      </c>
      <c r="B6873">
        <v>1177</v>
      </c>
      <c r="C6873" t="s">
        <v>1111</v>
      </c>
      <c r="D6873" t="s">
        <v>605</v>
      </c>
      <c r="E6873" t="s">
        <v>347</v>
      </c>
      <c r="F6873" t="s">
        <v>144</v>
      </c>
      <c r="G6873" t="s">
        <v>114</v>
      </c>
      <c r="H6873" t="s">
        <v>157</v>
      </c>
    </row>
    <row r="6874" spans="1:68" x14ac:dyDescent="0.3">
      <c r="A6874" t="s">
        <v>36</v>
      </c>
      <c r="B6874">
        <v>825</v>
      </c>
      <c r="C6874" t="s">
        <v>308</v>
      </c>
      <c r="D6874" t="s">
        <v>642</v>
      </c>
      <c r="E6874" t="s">
        <v>822</v>
      </c>
      <c r="F6874" t="s">
        <v>412</v>
      </c>
      <c r="G6874" t="s">
        <v>134</v>
      </c>
      <c r="H6874" t="s">
        <v>118</v>
      </c>
    </row>
    <row r="6875" spans="1:68" x14ac:dyDescent="0.3">
      <c r="A6875" t="s">
        <v>34</v>
      </c>
      <c r="B6875">
        <v>763</v>
      </c>
      <c r="C6875" t="s">
        <v>634</v>
      </c>
      <c r="D6875" t="s">
        <v>943</v>
      </c>
      <c r="E6875" t="s">
        <v>650</v>
      </c>
      <c r="F6875" t="s">
        <v>160</v>
      </c>
      <c r="G6875" t="s">
        <v>382</v>
      </c>
      <c r="H6875" t="s">
        <v>145</v>
      </c>
    </row>
    <row r="6876" spans="1:68" x14ac:dyDescent="0.3">
      <c r="A6876" t="s">
        <v>33</v>
      </c>
      <c r="B6876">
        <v>399</v>
      </c>
      <c r="C6876" t="s">
        <v>1259</v>
      </c>
      <c r="D6876" t="s">
        <v>1095</v>
      </c>
      <c r="E6876" t="s">
        <v>1105</v>
      </c>
      <c r="F6876" t="s">
        <v>138</v>
      </c>
      <c r="G6876" t="s">
        <v>127</v>
      </c>
      <c r="H6876" t="s">
        <v>207</v>
      </c>
    </row>
    <row r="6877" spans="1:68" x14ac:dyDescent="0.3">
      <c r="A6877" t="s">
        <v>49</v>
      </c>
      <c r="B6877">
        <v>4217</v>
      </c>
      <c r="C6877" t="s">
        <v>601</v>
      </c>
      <c r="D6877" t="s">
        <v>564</v>
      </c>
      <c r="E6877" t="s">
        <v>836</v>
      </c>
      <c r="F6877" t="s">
        <v>204</v>
      </c>
      <c r="G6877" t="s">
        <v>215</v>
      </c>
      <c r="H6877" t="s">
        <v>134</v>
      </c>
    </row>
    <row r="6879" spans="1:68" x14ac:dyDescent="0.3">
      <c r="A6879" t="s">
        <v>2210</v>
      </c>
    </row>
    <row r="6880" spans="1:68" x14ac:dyDescent="0.3">
      <c r="A6880" t="s">
        <v>44</v>
      </c>
      <c r="B6880" t="s">
        <v>388</v>
      </c>
      <c r="C6880" t="s">
        <v>32</v>
      </c>
      <c r="D6880" t="s">
        <v>2206</v>
      </c>
      <c r="E6880" t="s">
        <v>2207</v>
      </c>
      <c r="F6880" t="s">
        <v>2208</v>
      </c>
      <c r="G6880" t="s">
        <v>2209</v>
      </c>
      <c r="H6880" t="s">
        <v>1275</v>
      </c>
      <c r="I6880" t="s">
        <v>83</v>
      </c>
    </row>
    <row r="6881" spans="1:9" x14ac:dyDescent="0.3">
      <c r="A6881" t="s">
        <v>35</v>
      </c>
      <c r="B6881" t="s">
        <v>389</v>
      </c>
      <c r="C6881">
        <v>753</v>
      </c>
      <c r="D6881" t="s">
        <v>304</v>
      </c>
      <c r="E6881" t="s">
        <v>213</v>
      </c>
      <c r="F6881" t="s">
        <v>667</v>
      </c>
      <c r="G6881" t="s">
        <v>254</v>
      </c>
      <c r="H6881" t="s">
        <v>319</v>
      </c>
      <c r="I6881" t="s">
        <v>107</v>
      </c>
    </row>
    <row r="6882" spans="1:9" x14ac:dyDescent="0.3">
      <c r="A6882" t="s">
        <v>35</v>
      </c>
      <c r="B6882" t="s">
        <v>390</v>
      </c>
      <c r="C6882">
        <v>261</v>
      </c>
      <c r="D6882" t="s">
        <v>455</v>
      </c>
      <c r="E6882" t="s">
        <v>886</v>
      </c>
      <c r="F6882" t="s">
        <v>666</v>
      </c>
      <c r="G6882" t="s">
        <v>110</v>
      </c>
      <c r="H6882" t="s">
        <v>316</v>
      </c>
      <c r="I6882" t="s">
        <v>332</v>
      </c>
    </row>
    <row r="6883" spans="1:9" x14ac:dyDescent="0.3">
      <c r="A6883" t="s">
        <v>35</v>
      </c>
      <c r="B6883" t="s">
        <v>365</v>
      </c>
      <c r="C6883">
        <v>39</v>
      </c>
      <c r="D6883" t="s">
        <v>57</v>
      </c>
      <c r="E6883" t="s">
        <v>837</v>
      </c>
      <c r="F6883" t="s">
        <v>821</v>
      </c>
      <c r="G6883" t="s">
        <v>731</v>
      </c>
      <c r="H6883" t="s">
        <v>132</v>
      </c>
      <c r="I6883" t="s">
        <v>124</v>
      </c>
    </row>
    <row r="6884" spans="1:9" x14ac:dyDescent="0.3">
      <c r="A6884" t="s">
        <v>37</v>
      </c>
      <c r="B6884" t="s">
        <v>389</v>
      </c>
      <c r="C6884">
        <v>710</v>
      </c>
      <c r="D6884" t="s">
        <v>601</v>
      </c>
      <c r="E6884" t="s">
        <v>634</v>
      </c>
      <c r="F6884" t="s">
        <v>446</v>
      </c>
      <c r="G6884" t="s">
        <v>684</v>
      </c>
      <c r="H6884" t="s">
        <v>114</v>
      </c>
      <c r="I6884" t="s">
        <v>155</v>
      </c>
    </row>
    <row r="6885" spans="1:9" x14ac:dyDescent="0.3">
      <c r="A6885" t="s">
        <v>37</v>
      </c>
      <c r="B6885" t="s">
        <v>390</v>
      </c>
      <c r="C6885">
        <v>369</v>
      </c>
      <c r="D6885" t="s">
        <v>639</v>
      </c>
      <c r="E6885" t="s">
        <v>458</v>
      </c>
      <c r="F6885" t="s">
        <v>715</v>
      </c>
      <c r="G6885" t="s">
        <v>664</v>
      </c>
      <c r="H6885" t="s">
        <v>319</v>
      </c>
      <c r="I6885" t="s">
        <v>108</v>
      </c>
    </row>
    <row r="6886" spans="1:9" x14ac:dyDescent="0.3">
      <c r="A6886" t="s">
        <v>37</v>
      </c>
      <c r="B6886" t="s">
        <v>365</v>
      </c>
      <c r="C6886">
        <v>98</v>
      </c>
      <c r="D6886" t="s">
        <v>907</v>
      </c>
      <c r="E6886" t="s">
        <v>507</v>
      </c>
      <c r="F6886" t="s">
        <v>119</v>
      </c>
      <c r="G6886" t="s">
        <v>150</v>
      </c>
      <c r="H6886" t="s">
        <v>99</v>
      </c>
      <c r="I6886" t="s">
        <v>470</v>
      </c>
    </row>
    <row r="6887" spans="1:9" x14ac:dyDescent="0.3">
      <c r="A6887" t="s">
        <v>36</v>
      </c>
      <c r="B6887" t="s">
        <v>389</v>
      </c>
      <c r="C6887">
        <v>560</v>
      </c>
      <c r="D6887" t="s">
        <v>526</v>
      </c>
      <c r="E6887" t="s">
        <v>1043</v>
      </c>
      <c r="F6887" t="s">
        <v>1048</v>
      </c>
      <c r="G6887" t="s">
        <v>158</v>
      </c>
      <c r="H6887" t="s">
        <v>129</v>
      </c>
      <c r="I6887" t="s">
        <v>149</v>
      </c>
    </row>
    <row r="6888" spans="1:9" x14ac:dyDescent="0.3">
      <c r="A6888" t="s">
        <v>36</v>
      </c>
      <c r="B6888" t="s">
        <v>390</v>
      </c>
      <c r="C6888">
        <v>222</v>
      </c>
      <c r="D6888" t="s">
        <v>1337</v>
      </c>
      <c r="E6888" t="s">
        <v>946</v>
      </c>
      <c r="F6888" t="s">
        <v>728</v>
      </c>
      <c r="G6888" t="s">
        <v>111</v>
      </c>
      <c r="H6888" t="s">
        <v>118</v>
      </c>
      <c r="I6888" t="s">
        <v>215</v>
      </c>
    </row>
    <row r="6889" spans="1:9" x14ac:dyDescent="0.3">
      <c r="A6889" t="s">
        <v>36</v>
      </c>
      <c r="B6889" t="s">
        <v>365</v>
      </c>
      <c r="C6889">
        <v>43</v>
      </c>
      <c r="D6889" t="s">
        <v>922</v>
      </c>
      <c r="E6889" t="s">
        <v>1163</v>
      </c>
      <c r="F6889" t="s">
        <v>1061</v>
      </c>
      <c r="G6889" t="s">
        <v>416</v>
      </c>
      <c r="H6889" t="s">
        <v>99</v>
      </c>
      <c r="I6889" t="s">
        <v>120</v>
      </c>
    </row>
    <row r="6890" spans="1:9" x14ac:dyDescent="0.3">
      <c r="A6890" t="s">
        <v>34</v>
      </c>
      <c r="B6890" t="s">
        <v>389</v>
      </c>
      <c r="C6890">
        <v>532</v>
      </c>
      <c r="D6890" t="s">
        <v>539</v>
      </c>
      <c r="E6890" t="s">
        <v>602</v>
      </c>
      <c r="F6890" t="s">
        <v>344</v>
      </c>
      <c r="G6890" t="s">
        <v>152</v>
      </c>
      <c r="H6890" t="s">
        <v>100</v>
      </c>
      <c r="I6890" t="s">
        <v>663</v>
      </c>
    </row>
    <row r="6891" spans="1:9" x14ac:dyDescent="0.3">
      <c r="A6891" t="s">
        <v>34</v>
      </c>
      <c r="B6891" t="s">
        <v>390</v>
      </c>
      <c r="C6891">
        <v>205</v>
      </c>
      <c r="D6891" t="s">
        <v>900</v>
      </c>
      <c r="E6891" t="s">
        <v>818</v>
      </c>
      <c r="F6891" t="s">
        <v>794</v>
      </c>
      <c r="G6891" t="s">
        <v>150</v>
      </c>
      <c r="H6891" t="s">
        <v>107</v>
      </c>
      <c r="I6891" t="s">
        <v>204</v>
      </c>
    </row>
    <row r="6892" spans="1:9" x14ac:dyDescent="0.3">
      <c r="A6892" t="s">
        <v>34</v>
      </c>
      <c r="B6892" t="s">
        <v>365</v>
      </c>
      <c r="C6892">
        <v>26</v>
      </c>
      <c r="D6892" t="s">
        <v>1193</v>
      </c>
      <c r="E6892" t="s">
        <v>456</v>
      </c>
      <c r="F6892" t="s">
        <v>1061</v>
      </c>
      <c r="G6892" t="s">
        <v>294</v>
      </c>
      <c r="H6892" t="s">
        <v>99</v>
      </c>
      <c r="I6892" t="s">
        <v>147</v>
      </c>
    </row>
    <row r="6893" spans="1:9" x14ac:dyDescent="0.3">
      <c r="A6893" t="s">
        <v>33</v>
      </c>
      <c r="B6893" t="s">
        <v>389</v>
      </c>
      <c r="C6893">
        <v>244</v>
      </c>
      <c r="D6893" t="s">
        <v>1455</v>
      </c>
      <c r="E6893" t="s">
        <v>558</v>
      </c>
      <c r="F6893" t="s">
        <v>736</v>
      </c>
      <c r="G6893" t="s">
        <v>139</v>
      </c>
      <c r="H6893" t="s">
        <v>111</v>
      </c>
      <c r="I6893" t="s">
        <v>99</v>
      </c>
    </row>
    <row r="6894" spans="1:9" x14ac:dyDescent="0.3">
      <c r="A6894" t="s">
        <v>33</v>
      </c>
      <c r="B6894" t="s">
        <v>390</v>
      </c>
      <c r="C6894">
        <v>137</v>
      </c>
      <c r="D6894" t="s">
        <v>1160</v>
      </c>
      <c r="E6894" t="s">
        <v>1184</v>
      </c>
      <c r="F6894" t="s">
        <v>742</v>
      </c>
      <c r="G6894" t="s">
        <v>319</v>
      </c>
      <c r="H6894" t="s">
        <v>126</v>
      </c>
      <c r="I6894" t="s">
        <v>132</v>
      </c>
    </row>
    <row r="6895" spans="1:9" x14ac:dyDescent="0.3">
      <c r="A6895" t="s">
        <v>33</v>
      </c>
      <c r="B6895" t="s">
        <v>365</v>
      </c>
      <c r="C6895">
        <v>18</v>
      </c>
      <c r="D6895" t="s">
        <v>280</v>
      </c>
      <c r="E6895" t="s">
        <v>1239</v>
      </c>
      <c r="F6895" t="s">
        <v>149</v>
      </c>
      <c r="G6895" t="s">
        <v>99</v>
      </c>
      <c r="H6895" t="s">
        <v>99</v>
      </c>
      <c r="I6895" t="s">
        <v>99</v>
      </c>
    </row>
    <row r="6896" spans="1:9" x14ac:dyDescent="0.3">
      <c r="A6896" t="s">
        <v>49</v>
      </c>
      <c r="B6896" t="s">
        <v>389</v>
      </c>
      <c r="C6896">
        <v>2799</v>
      </c>
      <c r="D6896" t="s">
        <v>1331</v>
      </c>
      <c r="E6896" t="s">
        <v>563</v>
      </c>
      <c r="F6896" t="s">
        <v>574</v>
      </c>
      <c r="G6896" t="s">
        <v>144</v>
      </c>
      <c r="H6896" t="s">
        <v>382</v>
      </c>
      <c r="I6896" t="s">
        <v>110</v>
      </c>
    </row>
    <row r="6897" spans="1:9" x14ac:dyDescent="0.3">
      <c r="A6897" t="s">
        <v>49</v>
      </c>
      <c r="B6897" t="s">
        <v>390</v>
      </c>
      <c r="C6897">
        <v>1194</v>
      </c>
      <c r="D6897" t="s">
        <v>61</v>
      </c>
      <c r="E6897" t="s">
        <v>1215</v>
      </c>
      <c r="F6897" t="s">
        <v>1062</v>
      </c>
      <c r="G6897" t="s">
        <v>684</v>
      </c>
      <c r="H6897" t="s">
        <v>268</v>
      </c>
      <c r="I6897" t="s">
        <v>120</v>
      </c>
    </row>
    <row r="6898" spans="1:9" x14ac:dyDescent="0.3">
      <c r="A6898" t="s">
        <v>49</v>
      </c>
      <c r="B6898" t="s">
        <v>365</v>
      </c>
      <c r="C6898">
        <v>224</v>
      </c>
      <c r="D6898" t="s">
        <v>1474</v>
      </c>
      <c r="E6898" t="s">
        <v>1178</v>
      </c>
      <c r="F6898" t="s">
        <v>62</v>
      </c>
      <c r="G6898" t="s">
        <v>671</v>
      </c>
      <c r="H6898" t="s">
        <v>198</v>
      </c>
      <c r="I6898" t="s">
        <v>325</v>
      </c>
    </row>
    <row r="6900" spans="1:9" x14ac:dyDescent="0.3">
      <c r="A6900" t="s">
        <v>2211</v>
      </c>
    </row>
    <row r="6901" spans="1:9" x14ac:dyDescent="0.3">
      <c r="A6901" t="s">
        <v>44</v>
      </c>
      <c r="B6901" t="s">
        <v>257</v>
      </c>
      <c r="C6901" t="s">
        <v>32</v>
      </c>
      <c r="D6901" t="s">
        <v>2206</v>
      </c>
      <c r="E6901" t="s">
        <v>2207</v>
      </c>
      <c r="F6901" t="s">
        <v>2208</v>
      </c>
      <c r="G6901" t="s">
        <v>2209</v>
      </c>
      <c r="H6901" t="s">
        <v>1275</v>
      </c>
      <c r="I6901" t="s">
        <v>83</v>
      </c>
    </row>
    <row r="6902" spans="1:9" x14ac:dyDescent="0.3">
      <c r="A6902" t="s">
        <v>35</v>
      </c>
      <c r="B6902" t="s">
        <v>258</v>
      </c>
      <c r="C6902">
        <v>905</v>
      </c>
      <c r="D6902" t="s">
        <v>1162</v>
      </c>
      <c r="E6902" t="s">
        <v>279</v>
      </c>
      <c r="F6902" t="s">
        <v>840</v>
      </c>
      <c r="G6902" t="s">
        <v>98</v>
      </c>
      <c r="H6902" t="s">
        <v>121</v>
      </c>
      <c r="I6902" t="s">
        <v>117</v>
      </c>
    </row>
    <row r="6903" spans="1:9" x14ac:dyDescent="0.3">
      <c r="A6903" t="s">
        <v>35</v>
      </c>
      <c r="B6903" t="s">
        <v>260</v>
      </c>
      <c r="C6903">
        <v>148</v>
      </c>
      <c r="D6903" t="s">
        <v>634</v>
      </c>
      <c r="E6903" t="s">
        <v>633</v>
      </c>
      <c r="F6903" t="s">
        <v>146</v>
      </c>
      <c r="G6903" t="s">
        <v>470</v>
      </c>
      <c r="H6903" t="s">
        <v>712</v>
      </c>
      <c r="I6903" t="s">
        <v>70</v>
      </c>
    </row>
    <row r="6904" spans="1:9" x14ac:dyDescent="0.3">
      <c r="A6904" t="s">
        <v>37</v>
      </c>
      <c r="B6904" t="s">
        <v>258</v>
      </c>
      <c r="C6904">
        <v>1177</v>
      </c>
      <c r="D6904" t="s">
        <v>1111</v>
      </c>
      <c r="E6904" t="s">
        <v>605</v>
      </c>
      <c r="F6904" t="s">
        <v>347</v>
      </c>
      <c r="G6904" t="s">
        <v>144</v>
      </c>
      <c r="H6904" t="s">
        <v>114</v>
      </c>
      <c r="I6904" t="s">
        <v>157</v>
      </c>
    </row>
    <row r="6905" spans="1:9" x14ac:dyDescent="0.3">
      <c r="A6905" t="s">
        <v>36</v>
      </c>
      <c r="B6905" t="s">
        <v>258</v>
      </c>
      <c r="C6905">
        <v>701</v>
      </c>
      <c r="D6905" t="s">
        <v>526</v>
      </c>
      <c r="E6905" t="s">
        <v>549</v>
      </c>
      <c r="F6905" t="s">
        <v>459</v>
      </c>
      <c r="G6905" t="s">
        <v>412</v>
      </c>
      <c r="H6905" t="s">
        <v>134</v>
      </c>
      <c r="I6905" t="s">
        <v>118</v>
      </c>
    </row>
    <row r="6906" spans="1:9" x14ac:dyDescent="0.3">
      <c r="A6906" t="s">
        <v>36</v>
      </c>
      <c r="B6906" t="s">
        <v>260</v>
      </c>
      <c r="C6906">
        <v>124</v>
      </c>
      <c r="D6906" t="s">
        <v>622</v>
      </c>
      <c r="E6906" t="s">
        <v>816</v>
      </c>
      <c r="F6906" t="s">
        <v>899</v>
      </c>
      <c r="G6906" t="s">
        <v>468</v>
      </c>
      <c r="H6906" t="s">
        <v>68</v>
      </c>
      <c r="I6906" t="s">
        <v>299</v>
      </c>
    </row>
    <row r="6907" spans="1:9" x14ac:dyDescent="0.3">
      <c r="A6907" t="s">
        <v>34</v>
      </c>
      <c r="B6907" t="s">
        <v>258</v>
      </c>
      <c r="C6907">
        <v>222</v>
      </c>
      <c r="D6907" t="s">
        <v>1239</v>
      </c>
      <c r="E6907" t="s">
        <v>515</v>
      </c>
      <c r="F6907" t="s">
        <v>457</v>
      </c>
      <c r="G6907" t="s">
        <v>105</v>
      </c>
      <c r="H6907" t="s">
        <v>215</v>
      </c>
      <c r="I6907" t="s">
        <v>104</v>
      </c>
    </row>
    <row r="6908" spans="1:9" x14ac:dyDescent="0.3">
      <c r="A6908" t="s">
        <v>34</v>
      </c>
      <c r="B6908" t="s">
        <v>260</v>
      </c>
      <c r="C6908">
        <v>541</v>
      </c>
      <c r="D6908" t="s">
        <v>528</v>
      </c>
      <c r="E6908" t="s">
        <v>1055</v>
      </c>
      <c r="F6908" t="s">
        <v>794</v>
      </c>
      <c r="G6908" t="s">
        <v>78</v>
      </c>
      <c r="H6908" t="s">
        <v>126</v>
      </c>
      <c r="I6908" t="s">
        <v>122</v>
      </c>
    </row>
    <row r="6909" spans="1:9" x14ac:dyDescent="0.3">
      <c r="A6909" t="s">
        <v>33</v>
      </c>
      <c r="B6909" t="s">
        <v>258</v>
      </c>
      <c r="C6909">
        <v>399</v>
      </c>
      <c r="D6909" t="s">
        <v>1259</v>
      </c>
      <c r="E6909" t="s">
        <v>1095</v>
      </c>
      <c r="F6909" t="s">
        <v>1105</v>
      </c>
      <c r="G6909" t="s">
        <v>138</v>
      </c>
      <c r="H6909" t="s">
        <v>127</v>
      </c>
      <c r="I6909" t="s">
        <v>207</v>
      </c>
    </row>
    <row r="6910" spans="1:9" x14ac:dyDescent="0.3">
      <c r="A6910" t="s">
        <v>49</v>
      </c>
      <c r="B6910" t="s">
        <v>258</v>
      </c>
      <c r="C6910">
        <v>3404</v>
      </c>
      <c r="D6910" t="s">
        <v>1160</v>
      </c>
      <c r="E6910" t="s">
        <v>1176</v>
      </c>
      <c r="F6910" t="s">
        <v>834</v>
      </c>
      <c r="G6910" t="s">
        <v>684</v>
      </c>
      <c r="H6910" t="s">
        <v>382</v>
      </c>
      <c r="I6910" t="s">
        <v>117</v>
      </c>
    </row>
    <row r="6911" spans="1:9" x14ac:dyDescent="0.3">
      <c r="A6911" t="s">
        <v>49</v>
      </c>
      <c r="B6911" t="s">
        <v>260</v>
      </c>
      <c r="C6911">
        <v>813</v>
      </c>
      <c r="D6911" t="s">
        <v>641</v>
      </c>
      <c r="E6911" t="s">
        <v>1051</v>
      </c>
      <c r="F6911" t="s">
        <v>1252</v>
      </c>
      <c r="G6911" t="s">
        <v>299</v>
      </c>
      <c r="H6911" t="s">
        <v>151</v>
      </c>
      <c r="I6911" t="s">
        <v>184</v>
      </c>
    </row>
    <row r="6913" spans="1:9" x14ac:dyDescent="0.3">
      <c r="A6913" t="s">
        <v>2212</v>
      </c>
    </row>
    <row r="6914" spans="1:9" x14ac:dyDescent="0.3">
      <c r="A6914" t="s">
        <v>44</v>
      </c>
      <c r="B6914" t="s">
        <v>361</v>
      </c>
      <c r="C6914" t="s">
        <v>32</v>
      </c>
      <c r="D6914" t="s">
        <v>2206</v>
      </c>
      <c r="E6914" t="s">
        <v>2207</v>
      </c>
      <c r="F6914" t="s">
        <v>2208</v>
      </c>
      <c r="G6914" t="s">
        <v>2209</v>
      </c>
      <c r="H6914" t="s">
        <v>1275</v>
      </c>
      <c r="I6914" t="s">
        <v>83</v>
      </c>
    </row>
    <row r="6915" spans="1:9" x14ac:dyDescent="0.3">
      <c r="A6915" t="s">
        <v>35</v>
      </c>
      <c r="B6915" t="s">
        <v>339</v>
      </c>
      <c r="C6915">
        <v>417</v>
      </c>
      <c r="D6915" t="s">
        <v>1150</v>
      </c>
      <c r="E6915" t="s">
        <v>348</v>
      </c>
      <c r="F6915" t="s">
        <v>58</v>
      </c>
      <c r="G6915" t="s">
        <v>143</v>
      </c>
      <c r="H6915" t="s">
        <v>101</v>
      </c>
      <c r="I6915" t="s">
        <v>147</v>
      </c>
    </row>
    <row r="6916" spans="1:9" x14ac:dyDescent="0.3">
      <c r="A6916" t="s">
        <v>35</v>
      </c>
      <c r="B6916" t="s">
        <v>340</v>
      </c>
      <c r="C6916">
        <v>627</v>
      </c>
      <c r="D6916" t="s">
        <v>1370</v>
      </c>
      <c r="E6916" t="s">
        <v>1173</v>
      </c>
      <c r="F6916" t="s">
        <v>662</v>
      </c>
      <c r="G6916" t="s">
        <v>74</v>
      </c>
      <c r="H6916" t="s">
        <v>151</v>
      </c>
      <c r="I6916" t="s">
        <v>105</v>
      </c>
    </row>
    <row r="6917" spans="1:9" x14ac:dyDescent="0.3">
      <c r="A6917" t="s">
        <v>35</v>
      </c>
      <c r="B6917" t="s">
        <v>365</v>
      </c>
      <c r="C6917">
        <v>9</v>
      </c>
      <c r="D6917" t="s">
        <v>938</v>
      </c>
      <c r="E6917" t="s">
        <v>827</v>
      </c>
      <c r="F6917" t="s">
        <v>1476</v>
      </c>
      <c r="G6917" t="s">
        <v>99</v>
      </c>
      <c r="H6917" t="s">
        <v>99</v>
      </c>
      <c r="I6917" t="s">
        <v>814</v>
      </c>
    </row>
    <row r="6918" spans="1:9" x14ac:dyDescent="0.3">
      <c r="A6918" t="s">
        <v>37</v>
      </c>
      <c r="B6918" t="s">
        <v>339</v>
      </c>
      <c r="C6918">
        <v>453</v>
      </c>
      <c r="D6918" t="s">
        <v>1111</v>
      </c>
      <c r="E6918" t="s">
        <v>1082</v>
      </c>
      <c r="F6918" t="s">
        <v>240</v>
      </c>
      <c r="G6918" t="s">
        <v>412</v>
      </c>
      <c r="H6918" t="s">
        <v>121</v>
      </c>
      <c r="I6918" t="s">
        <v>111</v>
      </c>
    </row>
    <row r="6919" spans="1:9" x14ac:dyDescent="0.3">
      <c r="A6919" t="s">
        <v>37</v>
      </c>
      <c r="B6919" t="s">
        <v>340</v>
      </c>
      <c r="C6919">
        <v>716</v>
      </c>
      <c r="D6919" t="s">
        <v>983</v>
      </c>
      <c r="E6919" t="s">
        <v>1340</v>
      </c>
      <c r="F6919" t="s">
        <v>40</v>
      </c>
      <c r="G6919" t="s">
        <v>663</v>
      </c>
      <c r="H6919" t="s">
        <v>114</v>
      </c>
      <c r="I6919" t="s">
        <v>154</v>
      </c>
    </row>
    <row r="6920" spans="1:9" x14ac:dyDescent="0.3">
      <c r="A6920" t="s">
        <v>37</v>
      </c>
      <c r="B6920" t="s">
        <v>365</v>
      </c>
      <c r="C6920">
        <v>8</v>
      </c>
      <c r="D6920" t="s">
        <v>494</v>
      </c>
      <c r="E6920" t="s">
        <v>116</v>
      </c>
      <c r="F6920" t="s">
        <v>1156</v>
      </c>
      <c r="G6920" t="s">
        <v>449</v>
      </c>
      <c r="H6920" t="s">
        <v>99</v>
      </c>
      <c r="I6920" t="s">
        <v>99</v>
      </c>
    </row>
    <row r="6921" spans="1:9" x14ac:dyDescent="0.3">
      <c r="A6921" t="s">
        <v>36</v>
      </c>
      <c r="B6921" t="s">
        <v>339</v>
      </c>
      <c r="C6921">
        <v>314</v>
      </c>
      <c r="D6921" t="s">
        <v>648</v>
      </c>
      <c r="E6921" t="s">
        <v>559</v>
      </c>
      <c r="F6921" t="s">
        <v>626</v>
      </c>
      <c r="G6921" t="s">
        <v>120</v>
      </c>
      <c r="H6921" t="s">
        <v>412</v>
      </c>
      <c r="I6921" t="s">
        <v>120</v>
      </c>
    </row>
    <row r="6922" spans="1:9" x14ac:dyDescent="0.3">
      <c r="A6922" t="s">
        <v>36</v>
      </c>
      <c r="B6922" t="s">
        <v>340</v>
      </c>
      <c r="C6922">
        <v>499</v>
      </c>
      <c r="D6922" t="s">
        <v>773</v>
      </c>
      <c r="E6922" t="s">
        <v>843</v>
      </c>
      <c r="F6922" t="s">
        <v>620</v>
      </c>
      <c r="G6922" t="s">
        <v>74</v>
      </c>
      <c r="H6922" t="s">
        <v>107</v>
      </c>
      <c r="I6922" t="s">
        <v>474</v>
      </c>
    </row>
    <row r="6923" spans="1:9" x14ac:dyDescent="0.3">
      <c r="A6923" t="s">
        <v>36</v>
      </c>
      <c r="B6923" t="s">
        <v>365</v>
      </c>
      <c r="C6923">
        <v>12</v>
      </c>
      <c r="D6923" t="s">
        <v>1052</v>
      </c>
      <c r="E6923" t="s">
        <v>197</v>
      </c>
      <c r="F6923" t="s">
        <v>1065</v>
      </c>
      <c r="G6923" t="s">
        <v>379</v>
      </c>
      <c r="H6923" t="s">
        <v>99</v>
      </c>
      <c r="I6923" t="s">
        <v>101</v>
      </c>
    </row>
    <row r="6924" spans="1:9" x14ac:dyDescent="0.3">
      <c r="A6924" t="s">
        <v>34</v>
      </c>
      <c r="B6924" t="s">
        <v>339</v>
      </c>
      <c r="C6924">
        <v>311</v>
      </c>
      <c r="D6924" t="s">
        <v>522</v>
      </c>
      <c r="E6924" t="s">
        <v>576</v>
      </c>
      <c r="F6924" t="s">
        <v>674</v>
      </c>
      <c r="G6924" t="s">
        <v>325</v>
      </c>
      <c r="H6924" t="s">
        <v>101</v>
      </c>
      <c r="I6924" t="s">
        <v>129</v>
      </c>
    </row>
    <row r="6925" spans="1:9" x14ac:dyDescent="0.3">
      <c r="A6925" t="s">
        <v>34</v>
      </c>
      <c r="B6925" t="s">
        <v>340</v>
      </c>
      <c r="C6925">
        <v>440</v>
      </c>
      <c r="D6925" t="s">
        <v>1101</v>
      </c>
      <c r="E6925" t="s">
        <v>1113</v>
      </c>
      <c r="F6925" t="s">
        <v>102</v>
      </c>
      <c r="G6925" t="s">
        <v>299</v>
      </c>
      <c r="H6925" t="s">
        <v>127</v>
      </c>
      <c r="I6925" t="s">
        <v>78</v>
      </c>
    </row>
    <row r="6926" spans="1:9" x14ac:dyDescent="0.3">
      <c r="A6926" t="s">
        <v>34</v>
      </c>
      <c r="B6926" t="s">
        <v>365</v>
      </c>
      <c r="C6926">
        <v>12</v>
      </c>
      <c r="D6926" t="s">
        <v>983</v>
      </c>
      <c r="E6926" t="s">
        <v>497</v>
      </c>
      <c r="F6926" t="s">
        <v>595</v>
      </c>
      <c r="G6926" t="s">
        <v>291</v>
      </c>
      <c r="H6926" t="s">
        <v>99</v>
      </c>
      <c r="I6926" t="s">
        <v>959</v>
      </c>
    </row>
    <row r="6927" spans="1:9" x14ac:dyDescent="0.3">
      <c r="A6927" t="s">
        <v>33</v>
      </c>
      <c r="B6927" t="s">
        <v>339</v>
      </c>
      <c r="C6927">
        <v>171</v>
      </c>
      <c r="D6927" t="s">
        <v>1474</v>
      </c>
      <c r="E6927" t="s">
        <v>343</v>
      </c>
      <c r="F6927" t="s">
        <v>720</v>
      </c>
      <c r="G6927" t="s">
        <v>117</v>
      </c>
      <c r="H6927" t="s">
        <v>253</v>
      </c>
      <c r="I6927" t="s">
        <v>99</v>
      </c>
    </row>
    <row r="6928" spans="1:9" x14ac:dyDescent="0.3">
      <c r="A6928" t="s">
        <v>33</v>
      </c>
      <c r="B6928" t="s">
        <v>340</v>
      </c>
      <c r="C6928">
        <v>228</v>
      </c>
      <c r="D6928" t="s">
        <v>504</v>
      </c>
      <c r="E6928" t="s">
        <v>1179</v>
      </c>
      <c r="F6928" t="s">
        <v>745</v>
      </c>
      <c r="G6928" t="s">
        <v>110</v>
      </c>
      <c r="H6928" t="s">
        <v>120</v>
      </c>
      <c r="I6928" t="s">
        <v>141</v>
      </c>
    </row>
    <row r="6929" spans="1:9" x14ac:dyDescent="0.3">
      <c r="A6929" t="s">
        <v>49</v>
      </c>
      <c r="B6929" t="s">
        <v>339</v>
      </c>
      <c r="C6929">
        <v>1666</v>
      </c>
      <c r="D6929" t="s">
        <v>926</v>
      </c>
      <c r="E6929" t="s">
        <v>581</v>
      </c>
      <c r="F6929" t="s">
        <v>446</v>
      </c>
      <c r="G6929" t="s">
        <v>277</v>
      </c>
      <c r="H6929" t="s">
        <v>126</v>
      </c>
      <c r="I6929" t="s">
        <v>128</v>
      </c>
    </row>
    <row r="6930" spans="1:9" x14ac:dyDescent="0.3">
      <c r="A6930" t="s">
        <v>49</v>
      </c>
      <c r="B6930" t="s">
        <v>340</v>
      </c>
      <c r="C6930">
        <v>2510</v>
      </c>
      <c r="D6930" t="s">
        <v>2101</v>
      </c>
      <c r="E6930" t="s">
        <v>1118</v>
      </c>
      <c r="F6930" t="s">
        <v>934</v>
      </c>
      <c r="G6930" t="s">
        <v>675</v>
      </c>
      <c r="H6930" t="s">
        <v>123</v>
      </c>
      <c r="I6930" t="s">
        <v>434</v>
      </c>
    </row>
    <row r="6931" spans="1:9" x14ac:dyDescent="0.3">
      <c r="A6931" t="s">
        <v>49</v>
      </c>
      <c r="B6931" t="s">
        <v>365</v>
      </c>
      <c r="C6931">
        <v>41</v>
      </c>
      <c r="D6931" t="s">
        <v>589</v>
      </c>
      <c r="E6931" t="s">
        <v>1148</v>
      </c>
      <c r="F6931" t="s">
        <v>951</v>
      </c>
      <c r="G6931" t="s">
        <v>150</v>
      </c>
      <c r="H6931" t="s">
        <v>99</v>
      </c>
      <c r="I6931" t="s">
        <v>726</v>
      </c>
    </row>
    <row r="6933" spans="1:9" x14ac:dyDescent="0.3">
      <c r="A6933" t="s">
        <v>2213</v>
      </c>
    </row>
    <row r="6934" spans="1:9" x14ac:dyDescent="0.3">
      <c r="A6934" t="s">
        <v>44</v>
      </c>
      <c r="B6934" t="s">
        <v>209</v>
      </c>
      <c r="C6934" t="s">
        <v>32</v>
      </c>
      <c r="D6934" t="s">
        <v>2206</v>
      </c>
      <c r="E6934" t="s">
        <v>2207</v>
      </c>
      <c r="F6934" t="s">
        <v>2208</v>
      </c>
      <c r="G6934" t="s">
        <v>2209</v>
      </c>
      <c r="H6934" t="s">
        <v>1275</v>
      </c>
      <c r="I6934" t="s">
        <v>83</v>
      </c>
    </row>
    <row r="6935" spans="1:9" x14ac:dyDescent="0.3">
      <c r="A6935" t="s">
        <v>35</v>
      </c>
      <c r="B6935" t="s">
        <v>210</v>
      </c>
      <c r="C6935">
        <v>67</v>
      </c>
      <c r="D6935" t="s">
        <v>312</v>
      </c>
      <c r="E6935" t="s">
        <v>596</v>
      </c>
      <c r="F6935" t="s">
        <v>1106</v>
      </c>
      <c r="G6935" t="s">
        <v>710</v>
      </c>
      <c r="H6935" t="s">
        <v>99</v>
      </c>
      <c r="I6935" t="s">
        <v>207</v>
      </c>
    </row>
    <row r="6936" spans="1:9" x14ac:dyDescent="0.3">
      <c r="A6936" t="s">
        <v>35</v>
      </c>
      <c r="B6936" t="s">
        <v>212</v>
      </c>
      <c r="C6936">
        <v>779</v>
      </c>
      <c r="D6936" t="s">
        <v>1196</v>
      </c>
      <c r="E6936" t="s">
        <v>917</v>
      </c>
      <c r="F6936" t="s">
        <v>574</v>
      </c>
      <c r="G6936" t="s">
        <v>139</v>
      </c>
      <c r="H6936" t="s">
        <v>126</v>
      </c>
      <c r="I6936" t="s">
        <v>103</v>
      </c>
    </row>
    <row r="6937" spans="1:9" x14ac:dyDescent="0.3">
      <c r="A6937" t="s">
        <v>35</v>
      </c>
      <c r="B6937" t="s">
        <v>216</v>
      </c>
      <c r="C6937">
        <v>207</v>
      </c>
      <c r="D6937" t="s">
        <v>562</v>
      </c>
      <c r="E6937" t="s">
        <v>1111</v>
      </c>
      <c r="F6937" t="s">
        <v>540</v>
      </c>
      <c r="G6937" t="s">
        <v>78</v>
      </c>
      <c r="H6937" t="s">
        <v>316</v>
      </c>
      <c r="I6937" t="s">
        <v>325</v>
      </c>
    </row>
    <row r="6938" spans="1:9" x14ac:dyDescent="0.3">
      <c r="A6938" t="s">
        <v>37</v>
      </c>
      <c r="B6938" t="s">
        <v>210</v>
      </c>
      <c r="C6938">
        <v>52</v>
      </c>
      <c r="D6938" t="s">
        <v>927</v>
      </c>
      <c r="E6938" t="s">
        <v>967</v>
      </c>
      <c r="F6938" t="s">
        <v>1103</v>
      </c>
      <c r="G6938" t="s">
        <v>215</v>
      </c>
      <c r="H6938" t="s">
        <v>99</v>
      </c>
      <c r="I6938" t="s">
        <v>117</v>
      </c>
    </row>
    <row r="6939" spans="1:9" x14ac:dyDescent="0.3">
      <c r="A6939" t="s">
        <v>37</v>
      </c>
      <c r="B6939" t="s">
        <v>212</v>
      </c>
      <c r="C6939">
        <v>1095</v>
      </c>
      <c r="D6939" t="s">
        <v>635</v>
      </c>
      <c r="E6939" t="s">
        <v>1052</v>
      </c>
      <c r="F6939" t="s">
        <v>276</v>
      </c>
      <c r="G6939" t="s">
        <v>325</v>
      </c>
      <c r="H6939" t="s">
        <v>100</v>
      </c>
      <c r="I6939" t="s">
        <v>107</v>
      </c>
    </row>
    <row r="6940" spans="1:9" s="5" customFormat="1" x14ac:dyDescent="0.3">
      <c r="A6940" s="5" t="s">
        <v>37</v>
      </c>
      <c r="B6940" s="5" t="s">
        <v>216</v>
      </c>
      <c r="C6940" s="5">
        <v>30</v>
      </c>
      <c r="D6940" s="5" t="s">
        <v>1239</v>
      </c>
      <c r="E6940" s="5" t="s">
        <v>917</v>
      </c>
      <c r="F6940" s="5" t="s">
        <v>582</v>
      </c>
      <c r="G6940" s="5" t="s">
        <v>706</v>
      </c>
      <c r="H6940" s="5" t="s">
        <v>99</v>
      </c>
      <c r="I6940" s="5" t="s">
        <v>122</v>
      </c>
    </row>
    <row r="6941" spans="1:9" x14ac:dyDescent="0.3">
      <c r="A6941" t="s">
        <v>36</v>
      </c>
      <c r="B6941" t="s">
        <v>210</v>
      </c>
      <c r="C6941">
        <v>82</v>
      </c>
      <c r="D6941" t="s">
        <v>530</v>
      </c>
      <c r="E6941" t="s">
        <v>576</v>
      </c>
      <c r="F6941" t="s">
        <v>599</v>
      </c>
      <c r="G6941" t="s">
        <v>684</v>
      </c>
      <c r="H6941" t="s">
        <v>128</v>
      </c>
      <c r="I6941" t="s">
        <v>382</v>
      </c>
    </row>
    <row r="6942" spans="1:9" x14ac:dyDescent="0.3">
      <c r="A6942" t="s">
        <v>36</v>
      </c>
      <c r="B6942" t="s">
        <v>212</v>
      </c>
      <c r="C6942">
        <v>590</v>
      </c>
      <c r="D6942" t="s">
        <v>308</v>
      </c>
      <c r="E6942" t="s">
        <v>615</v>
      </c>
      <c r="F6942" t="s">
        <v>666</v>
      </c>
      <c r="G6942" t="s">
        <v>134</v>
      </c>
      <c r="H6942" t="s">
        <v>128</v>
      </c>
      <c r="I6942" t="s">
        <v>684</v>
      </c>
    </row>
    <row r="6943" spans="1:9" x14ac:dyDescent="0.3">
      <c r="A6943" t="s">
        <v>36</v>
      </c>
      <c r="B6943" t="s">
        <v>216</v>
      </c>
      <c r="C6943">
        <v>153</v>
      </c>
      <c r="D6943" t="s">
        <v>1103</v>
      </c>
      <c r="E6943" t="s">
        <v>473</v>
      </c>
      <c r="F6943" t="s">
        <v>904</v>
      </c>
      <c r="G6943" t="s">
        <v>379</v>
      </c>
      <c r="H6943" t="s">
        <v>72</v>
      </c>
      <c r="I6943" t="s">
        <v>104</v>
      </c>
    </row>
    <row r="6944" spans="1:9" x14ac:dyDescent="0.3">
      <c r="A6944" t="s">
        <v>34</v>
      </c>
      <c r="B6944" t="s">
        <v>210</v>
      </c>
      <c r="C6944">
        <v>122</v>
      </c>
      <c r="D6944" t="s">
        <v>641</v>
      </c>
      <c r="E6944" t="s">
        <v>624</v>
      </c>
      <c r="F6944" t="s">
        <v>565</v>
      </c>
      <c r="G6944" t="s">
        <v>355</v>
      </c>
      <c r="H6944" t="s">
        <v>105</v>
      </c>
      <c r="I6944" t="s">
        <v>412</v>
      </c>
    </row>
    <row r="6945" spans="1:9" x14ac:dyDescent="0.3">
      <c r="A6945" t="s">
        <v>34</v>
      </c>
      <c r="B6945" t="s">
        <v>212</v>
      </c>
      <c r="C6945">
        <v>496</v>
      </c>
      <c r="D6945" t="s">
        <v>583</v>
      </c>
      <c r="E6945" t="s">
        <v>577</v>
      </c>
      <c r="F6945" t="s">
        <v>810</v>
      </c>
      <c r="G6945" t="s">
        <v>110</v>
      </c>
      <c r="H6945" t="s">
        <v>319</v>
      </c>
      <c r="I6945" t="s">
        <v>675</v>
      </c>
    </row>
    <row r="6946" spans="1:9" x14ac:dyDescent="0.3">
      <c r="A6946" t="s">
        <v>34</v>
      </c>
      <c r="B6946" t="s">
        <v>216</v>
      </c>
      <c r="C6946">
        <v>145</v>
      </c>
      <c r="D6946" t="s">
        <v>863</v>
      </c>
      <c r="E6946" t="s">
        <v>576</v>
      </c>
      <c r="F6946" t="s">
        <v>897</v>
      </c>
      <c r="G6946" t="s">
        <v>369</v>
      </c>
      <c r="H6946" t="s">
        <v>136</v>
      </c>
      <c r="I6946" t="s">
        <v>109</v>
      </c>
    </row>
    <row r="6947" spans="1:9" s="5" customFormat="1" x14ac:dyDescent="0.3">
      <c r="A6947" s="5" t="s">
        <v>33</v>
      </c>
      <c r="B6947" s="5" t="s">
        <v>210</v>
      </c>
      <c r="C6947" s="5">
        <v>24</v>
      </c>
      <c r="D6947" s="5" t="s">
        <v>261</v>
      </c>
      <c r="E6947" s="5" t="s">
        <v>588</v>
      </c>
      <c r="F6947" s="5" t="s">
        <v>916</v>
      </c>
      <c r="G6947" s="5" t="s">
        <v>99</v>
      </c>
      <c r="H6947" s="5" t="s">
        <v>99</v>
      </c>
      <c r="I6947" s="5" t="s">
        <v>99</v>
      </c>
    </row>
    <row r="6948" spans="1:9" x14ac:dyDescent="0.3">
      <c r="A6948" t="s">
        <v>33</v>
      </c>
      <c r="B6948" t="s">
        <v>212</v>
      </c>
      <c r="C6948">
        <v>361</v>
      </c>
      <c r="D6948" t="s">
        <v>1327</v>
      </c>
      <c r="E6948" t="s">
        <v>573</v>
      </c>
      <c r="F6948" t="s">
        <v>54</v>
      </c>
      <c r="G6948" t="s">
        <v>138</v>
      </c>
      <c r="H6948" t="s">
        <v>151</v>
      </c>
      <c r="I6948" t="s">
        <v>207</v>
      </c>
    </row>
    <row r="6949" spans="1:9" s="5" customFormat="1" x14ac:dyDescent="0.3">
      <c r="A6949" s="5" t="s">
        <v>33</v>
      </c>
      <c r="B6949" s="5" t="s">
        <v>216</v>
      </c>
      <c r="C6949" s="5">
        <v>14</v>
      </c>
      <c r="D6949" s="5" t="s">
        <v>320</v>
      </c>
      <c r="E6949" s="5" t="s">
        <v>318</v>
      </c>
      <c r="F6949" s="5" t="s">
        <v>576</v>
      </c>
      <c r="G6949" s="5" t="s">
        <v>254</v>
      </c>
      <c r="H6949" s="5" t="s">
        <v>99</v>
      </c>
      <c r="I6949" s="5" t="s">
        <v>99</v>
      </c>
    </row>
    <row r="6950" spans="1:9" x14ac:dyDescent="0.3">
      <c r="A6950" t="s">
        <v>49</v>
      </c>
      <c r="B6950" t="s">
        <v>210</v>
      </c>
      <c r="C6950">
        <v>347</v>
      </c>
      <c r="D6950" t="s">
        <v>275</v>
      </c>
      <c r="E6950" t="s">
        <v>1112</v>
      </c>
      <c r="F6950" t="s">
        <v>633</v>
      </c>
      <c r="G6950" t="s">
        <v>369</v>
      </c>
      <c r="H6950" t="s">
        <v>127</v>
      </c>
      <c r="I6950" t="s">
        <v>147</v>
      </c>
    </row>
    <row r="6951" spans="1:9" x14ac:dyDescent="0.3">
      <c r="A6951" t="s">
        <v>49</v>
      </c>
      <c r="B6951" t="s">
        <v>212</v>
      </c>
      <c r="C6951">
        <v>3321</v>
      </c>
      <c r="D6951" t="s">
        <v>601</v>
      </c>
      <c r="E6951" t="s">
        <v>583</v>
      </c>
      <c r="F6951" t="s">
        <v>1157</v>
      </c>
      <c r="G6951" t="s">
        <v>139</v>
      </c>
      <c r="H6951" t="s">
        <v>126</v>
      </c>
      <c r="I6951" t="s">
        <v>155</v>
      </c>
    </row>
    <row r="6952" spans="1:9" x14ac:dyDescent="0.3">
      <c r="A6952" t="s">
        <v>49</v>
      </c>
      <c r="B6952" t="s">
        <v>216</v>
      </c>
      <c r="C6952">
        <v>549</v>
      </c>
      <c r="D6952" t="s">
        <v>1111</v>
      </c>
      <c r="E6952" t="s">
        <v>1002</v>
      </c>
      <c r="F6952" t="s">
        <v>1102</v>
      </c>
      <c r="G6952" t="s">
        <v>671</v>
      </c>
      <c r="H6952" t="s">
        <v>117</v>
      </c>
      <c r="I6952" t="s">
        <v>98</v>
      </c>
    </row>
    <row r="6954" spans="1:9" x14ac:dyDescent="0.3">
      <c r="A6954" t="s">
        <v>2214</v>
      </c>
    </row>
    <row r="6955" spans="1:9" x14ac:dyDescent="0.3">
      <c r="A6955" t="s">
        <v>44</v>
      </c>
      <c r="B6955" t="s">
        <v>32</v>
      </c>
      <c r="C6955" t="s">
        <v>352</v>
      </c>
      <c r="D6955" t="s">
        <v>66</v>
      </c>
      <c r="E6955" t="s">
        <v>67</v>
      </c>
      <c r="F6955" t="s">
        <v>193</v>
      </c>
    </row>
    <row r="6956" spans="1:9" x14ac:dyDescent="0.3">
      <c r="A6956" t="s">
        <v>35</v>
      </c>
      <c r="B6956">
        <v>3145</v>
      </c>
      <c r="C6956" t="s">
        <v>198</v>
      </c>
      <c r="D6956" t="s">
        <v>1101</v>
      </c>
      <c r="E6956" t="s">
        <v>652</v>
      </c>
      <c r="F6956" t="s">
        <v>198</v>
      </c>
    </row>
    <row r="6957" spans="1:9" x14ac:dyDescent="0.3">
      <c r="A6957" t="s">
        <v>37</v>
      </c>
      <c r="B6957">
        <v>3855</v>
      </c>
      <c r="C6957" t="s">
        <v>99</v>
      </c>
      <c r="D6957" t="s">
        <v>960</v>
      </c>
      <c r="E6957" t="s">
        <v>278</v>
      </c>
      <c r="F6957" t="s">
        <v>104</v>
      </c>
    </row>
    <row r="6958" spans="1:9" x14ac:dyDescent="0.3">
      <c r="A6958" t="s">
        <v>36</v>
      </c>
      <c r="B6958">
        <v>2305</v>
      </c>
      <c r="C6958" t="s">
        <v>99</v>
      </c>
      <c r="D6958" t="s">
        <v>1122</v>
      </c>
      <c r="E6958" t="s">
        <v>797</v>
      </c>
      <c r="F6958" t="s">
        <v>104</v>
      </c>
    </row>
    <row r="6959" spans="1:9" x14ac:dyDescent="0.3">
      <c r="A6959" t="s">
        <v>34</v>
      </c>
      <c r="B6959">
        <v>2080</v>
      </c>
      <c r="C6959" t="s">
        <v>198</v>
      </c>
      <c r="D6959" t="s">
        <v>556</v>
      </c>
      <c r="E6959" t="s">
        <v>652</v>
      </c>
      <c r="F6959" t="s">
        <v>207</v>
      </c>
    </row>
    <row r="6960" spans="1:9" x14ac:dyDescent="0.3">
      <c r="A6960" t="s">
        <v>33</v>
      </c>
      <c r="B6960">
        <v>1937</v>
      </c>
      <c r="C6960" t="s">
        <v>99</v>
      </c>
      <c r="D6960" t="s">
        <v>1498</v>
      </c>
      <c r="E6960" t="s">
        <v>1533</v>
      </c>
      <c r="F6960" t="s">
        <v>99</v>
      </c>
    </row>
    <row r="6961" spans="1:7" x14ac:dyDescent="0.3">
      <c r="A6961" t="s">
        <v>49</v>
      </c>
      <c r="B6961">
        <v>13322</v>
      </c>
      <c r="C6961" t="s">
        <v>104</v>
      </c>
      <c r="D6961" t="s">
        <v>918</v>
      </c>
      <c r="E6961" t="s">
        <v>925</v>
      </c>
      <c r="F6961" t="s">
        <v>198</v>
      </c>
    </row>
    <row r="6963" spans="1:7" x14ac:dyDescent="0.3">
      <c r="A6963" t="s">
        <v>2215</v>
      </c>
    </row>
    <row r="6964" spans="1:7" x14ac:dyDescent="0.3">
      <c r="A6964" t="s">
        <v>44</v>
      </c>
      <c r="B6964" t="s">
        <v>388</v>
      </c>
      <c r="C6964" t="s">
        <v>32</v>
      </c>
      <c r="D6964" t="s">
        <v>66</v>
      </c>
      <c r="E6964" t="s">
        <v>67</v>
      </c>
      <c r="F6964" t="s">
        <v>352</v>
      </c>
      <c r="G6964" t="s">
        <v>193</v>
      </c>
    </row>
    <row r="6965" spans="1:7" x14ac:dyDescent="0.3">
      <c r="A6965" t="s">
        <v>35</v>
      </c>
      <c r="B6965" t="s">
        <v>389</v>
      </c>
      <c r="C6965">
        <v>2141</v>
      </c>
      <c r="D6965" t="s">
        <v>1176</v>
      </c>
      <c r="E6965" t="s">
        <v>631</v>
      </c>
      <c r="F6965" t="s">
        <v>207</v>
      </c>
      <c r="G6965" t="s">
        <v>104</v>
      </c>
    </row>
    <row r="6966" spans="1:7" x14ac:dyDescent="0.3">
      <c r="A6966" t="s">
        <v>35</v>
      </c>
      <c r="B6966" t="s">
        <v>390</v>
      </c>
      <c r="C6966">
        <v>875</v>
      </c>
      <c r="D6966" t="s">
        <v>594</v>
      </c>
      <c r="E6966" t="s">
        <v>591</v>
      </c>
      <c r="F6966" t="s">
        <v>99</v>
      </c>
      <c r="G6966" t="s">
        <v>141</v>
      </c>
    </row>
    <row r="6967" spans="1:7" x14ac:dyDescent="0.3">
      <c r="A6967" t="s">
        <v>35</v>
      </c>
      <c r="B6967" t="s">
        <v>365</v>
      </c>
      <c r="C6967">
        <v>129</v>
      </c>
      <c r="D6967" t="s">
        <v>1239</v>
      </c>
      <c r="E6967" t="s">
        <v>497</v>
      </c>
      <c r="F6967" t="s">
        <v>99</v>
      </c>
      <c r="G6967" t="s">
        <v>132</v>
      </c>
    </row>
    <row r="6968" spans="1:7" x14ac:dyDescent="0.3">
      <c r="A6968" t="s">
        <v>37</v>
      </c>
      <c r="B6968" t="s">
        <v>389</v>
      </c>
      <c r="C6968">
        <v>2305</v>
      </c>
      <c r="D6968" t="s">
        <v>214</v>
      </c>
      <c r="E6968" t="s">
        <v>1245</v>
      </c>
      <c r="F6968" t="s">
        <v>99</v>
      </c>
      <c r="G6968" t="s">
        <v>104</v>
      </c>
    </row>
    <row r="6969" spans="1:7" x14ac:dyDescent="0.3">
      <c r="A6969" t="s">
        <v>37</v>
      </c>
      <c r="B6969" t="s">
        <v>390</v>
      </c>
      <c r="C6969">
        <v>1309</v>
      </c>
      <c r="D6969" t="s">
        <v>592</v>
      </c>
      <c r="E6969" t="s">
        <v>546</v>
      </c>
      <c r="F6969" t="s">
        <v>99</v>
      </c>
      <c r="G6969" t="s">
        <v>104</v>
      </c>
    </row>
    <row r="6970" spans="1:7" x14ac:dyDescent="0.3">
      <c r="A6970" t="s">
        <v>37</v>
      </c>
      <c r="B6970" t="s">
        <v>365</v>
      </c>
      <c r="C6970">
        <v>241</v>
      </c>
      <c r="D6970" t="s">
        <v>681</v>
      </c>
      <c r="E6970" t="s">
        <v>297</v>
      </c>
      <c r="F6970" t="s">
        <v>99</v>
      </c>
      <c r="G6970" t="s">
        <v>198</v>
      </c>
    </row>
    <row r="6971" spans="1:7" x14ac:dyDescent="0.3">
      <c r="A6971" t="s">
        <v>36</v>
      </c>
      <c r="B6971" t="s">
        <v>389</v>
      </c>
      <c r="C6971">
        <v>1578</v>
      </c>
      <c r="D6971" t="s">
        <v>605</v>
      </c>
      <c r="E6971" t="s">
        <v>578</v>
      </c>
      <c r="F6971" t="s">
        <v>99</v>
      </c>
      <c r="G6971" t="s">
        <v>104</v>
      </c>
    </row>
    <row r="6972" spans="1:7" x14ac:dyDescent="0.3">
      <c r="A6972" t="s">
        <v>36</v>
      </c>
      <c r="B6972" t="s">
        <v>390</v>
      </c>
      <c r="C6972">
        <v>627</v>
      </c>
      <c r="D6972" t="s">
        <v>1451</v>
      </c>
      <c r="E6972" t="s">
        <v>920</v>
      </c>
      <c r="F6972" t="s">
        <v>99</v>
      </c>
      <c r="G6972" t="s">
        <v>99</v>
      </c>
    </row>
    <row r="6973" spans="1:7" x14ac:dyDescent="0.3">
      <c r="A6973" t="s">
        <v>36</v>
      </c>
      <c r="B6973" t="s">
        <v>365</v>
      </c>
      <c r="C6973">
        <v>100</v>
      </c>
      <c r="D6973" t="s">
        <v>1451</v>
      </c>
      <c r="E6973" t="s">
        <v>668</v>
      </c>
      <c r="F6973" t="s">
        <v>99</v>
      </c>
      <c r="G6973" t="s">
        <v>104</v>
      </c>
    </row>
    <row r="6974" spans="1:7" x14ac:dyDescent="0.3">
      <c r="A6974" t="s">
        <v>34</v>
      </c>
      <c r="B6974" t="s">
        <v>389</v>
      </c>
      <c r="C6974">
        <v>1385</v>
      </c>
      <c r="D6974" t="s">
        <v>558</v>
      </c>
      <c r="E6974" t="s">
        <v>624</v>
      </c>
      <c r="F6974" t="s">
        <v>104</v>
      </c>
      <c r="G6974" t="s">
        <v>207</v>
      </c>
    </row>
    <row r="6975" spans="1:7" x14ac:dyDescent="0.3">
      <c r="A6975" t="s">
        <v>34</v>
      </c>
      <c r="B6975" t="s">
        <v>390</v>
      </c>
      <c r="C6975">
        <v>615</v>
      </c>
      <c r="D6975" t="s">
        <v>1182</v>
      </c>
      <c r="E6975" t="s">
        <v>570</v>
      </c>
      <c r="F6975" t="s">
        <v>141</v>
      </c>
      <c r="G6975" t="s">
        <v>141</v>
      </c>
    </row>
    <row r="6976" spans="1:7" x14ac:dyDescent="0.3">
      <c r="A6976" t="s">
        <v>34</v>
      </c>
      <c r="B6976" t="s">
        <v>365</v>
      </c>
      <c r="C6976">
        <v>80</v>
      </c>
      <c r="D6976" t="s">
        <v>538</v>
      </c>
      <c r="E6976" t="s">
        <v>539</v>
      </c>
      <c r="F6976" t="s">
        <v>99</v>
      </c>
      <c r="G6976" t="s">
        <v>99</v>
      </c>
    </row>
    <row r="6977" spans="1:7" x14ac:dyDescent="0.3">
      <c r="A6977" t="s">
        <v>33</v>
      </c>
      <c r="B6977" t="s">
        <v>389</v>
      </c>
      <c r="C6977">
        <v>1090</v>
      </c>
      <c r="D6977" t="s">
        <v>918</v>
      </c>
      <c r="E6977" t="s">
        <v>1173</v>
      </c>
      <c r="F6977" t="s">
        <v>99</v>
      </c>
      <c r="G6977" t="s">
        <v>99</v>
      </c>
    </row>
    <row r="6978" spans="1:7" x14ac:dyDescent="0.3">
      <c r="A6978" t="s">
        <v>33</v>
      </c>
      <c r="B6978" t="s">
        <v>390</v>
      </c>
      <c r="C6978">
        <v>708</v>
      </c>
      <c r="D6978" t="s">
        <v>1184</v>
      </c>
      <c r="E6978" t="s">
        <v>948</v>
      </c>
      <c r="F6978" t="s">
        <v>104</v>
      </c>
      <c r="G6978" t="s">
        <v>99</v>
      </c>
    </row>
    <row r="6979" spans="1:7" x14ac:dyDescent="0.3">
      <c r="A6979" t="s">
        <v>33</v>
      </c>
      <c r="B6979" t="s">
        <v>365</v>
      </c>
      <c r="C6979">
        <v>139</v>
      </c>
      <c r="D6979" t="s">
        <v>629</v>
      </c>
      <c r="E6979" t="s">
        <v>630</v>
      </c>
      <c r="F6979" t="s">
        <v>99</v>
      </c>
      <c r="G6979" t="s">
        <v>99</v>
      </c>
    </row>
    <row r="6980" spans="1:7" x14ac:dyDescent="0.3">
      <c r="A6980" t="s">
        <v>49</v>
      </c>
      <c r="B6980" t="s">
        <v>389</v>
      </c>
      <c r="C6980">
        <v>8499</v>
      </c>
      <c r="D6980" t="s">
        <v>633</v>
      </c>
      <c r="E6980" t="s">
        <v>909</v>
      </c>
      <c r="F6980" t="s">
        <v>104</v>
      </c>
      <c r="G6980" t="s">
        <v>104</v>
      </c>
    </row>
    <row r="6981" spans="1:7" x14ac:dyDescent="0.3">
      <c r="A6981" t="s">
        <v>49</v>
      </c>
      <c r="B6981" t="s">
        <v>390</v>
      </c>
      <c r="C6981">
        <v>4134</v>
      </c>
      <c r="D6981" t="s">
        <v>943</v>
      </c>
      <c r="E6981" t="s">
        <v>596</v>
      </c>
      <c r="F6981" t="s">
        <v>104</v>
      </c>
      <c r="G6981" t="s">
        <v>198</v>
      </c>
    </row>
    <row r="6982" spans="1:7" x14ac:dyDescent="0.3">
      <c r="A6982" t="s">
        <v>49</v>
      </c>
      <c r="B6982" t="s">
        <v>365</v>
      </c>
      <c r="C6982">
        <v>689</v>
      </c>
      <c r="D6982" t="s">
        <v>1113</v>
      </c>
      <c r="E6982" t="s">
        <v>1106</v>
      </c>
      <c r="F6982" t="s">
        <v>99</v>
      </c>
      <c r="G6982" t="s">
        <v>198</v>
      </c>
    </row>
    <row r="6984" spans="1:7" x14ac:dyDescent="0.3">
      <c r="A6984" t="s">
        <v>2216</v>
      </c>
    </row>
    <row r="6985" spans="1:7" x14ac:dyDescent="0.3">
      <c r="A6985" t="s">
        <v>44</v>
      </c>
      <c r="B6985" t="s">
        <v>235</v>
      </c>
      <c r="C6985" t="s">
        <v>32</v>
      </c>
      <c r="D6985" t="s">
        <v>352</v>
      </c>
      <c r="E6985" t="s">
        <v>66</v>
      </c>
      <c r="F6985" t="s">
        <v>67</v>
      </c>
      <c r="G6985" t="s">
        <v>193</v>
      </c>
    </row>
    <row r="6986" spans="1:7" x14ac:dyDescent="0.3">
      <c r="A6986" t="s">
        <v>35</v>
      </c>
      <c r="B6986" t="s">
        <v>236</v>
      </c>
      <c r="C6986">
        <v>1610</v>
      </c>
      <c r="D6986" t="s">
        <v>104</v>
      </c>
      <c r="E6986" t="s">
        <v>437</v>
      </c>
      <c r="F6986" t="s">
        <v>865</v>
      </c>
      <c r="G6986" t="s">
        <v>207</v>
      </c>
    </row>
    <row r="6987" spans="1:7" x14ac:dyDescent="0.3">
      <c r="A6987" t="s">
        <v>35</v>
      </c>
      <c r="B6987" t="s">
        <v>238</v>
      </c>
      <c r="C6987">
        <v>1535</v>
      </c>
      <c r="D6987" t="s">
        <v>207</v>
      </c>
      <c r="E6987" t="s">
        <v>1162</v>
      </c>
      <c r="F6987" t="s">
        <v>60</v>
      </c>
      <c r="G6987" t="s">
        <v>198</v>
      </c>
    </row>
    <row r="6988" spans="1:7" x14ac:dyDescent="0.3">
      <c r="A6988" t="s">
        <v>37</v>
      </c>
      <c r="B6988" t="s">
        <v>236</v>
      </c>
      <c r="C6988">
        <v>2211</v>
      </c>
      <c r="D6988" t="s">
        <v>99</v>
      </c>
      <c r="E6988" t="s">
        <v>233</v>
      </c>
      <c r="F6988" t="s">
        <v>232</v>
      </c>
      <c r="G6988" t="s">
        <v>99</v>
      </c>
    </row>
    <row r="6989" spans="1:7" x14ac:dyDescent="0.3">
      <c r="A6989" t="s">
        <v>37</v>
      </c>
      <c r="B6989" t="s">
        <v>238</v>
      </c>
      <c r="C6989">
        <v>1644</v>
      </c>
      <c r="D6989" t="s">
        <v>99</v>
      </c>
      <c r="E6989" t="s">
        <v>983</v>
      </c>
      <c r="F6989" t="s">
        <v>913</v>
      </c>
      <c r="G6989" t="s">
        <v>198</v>
      </c>
    </row>
    <row r="6990" spans="1:7" x14ac:dyDescent="0.3">
      <c r="A6990" t="s">
        <v>36</v>
      </c>
      <c r="B6990" t="s">
        <v>236</v>
      </c>
      <c r="C6990">
        <v>1566</v>
      </c>
      <c r="D6990" t="s">
        <v>99</v>
      </c>
      <c r="E6990" t="s">
        <v>906</v>
      </c>
      <c r="F6990" t="s">
        <v>640</v>
      </c>
      <c r="G6990" t="s">
        <v>99</v>
      </c>
    </row>
    <row r="6991" spans="1:7" x14ac:dyDescent="0.3">
      <c r="A6991" t="s">
        <v>36</v>
      </c>
      <c r="B6991" t="s">
        <v>238</v>
      </c>
      <c r="C6991">
        <v>739</v>
      </c>
      <c r="D6991" t="s">
        <v>99</v>
      </c>
      <c r="E6991" t="s">
        <v>1166</v>
      </c>
      <c r="F6991" t="s">
        <v>307</v>
      </c>
      <c r="G6991" t="s">
        <v>104</v>
      </c>
    </row>
    <row r="6992" spans="1:7" x14ac:dyDescent="0.3">
      <c r="A6992" t="s">
        <v>34</v>
      </c>
      <c r="B6992" t="s">
        <v>236</v>
      </c>
      <c r="C6992">
        <v>717</v>
      </c>
      <c r="D6992" t="s">
        <v>136</v>
      </c>
      <c r="E6992" t="s">
        <v>919</v>
      </c>
      <c r="F6992" t="s">
        <v>554</v>
      </c>
      <c r="G6992" t="s">
        <v>99</v>
      </c>
    </row>
    <row r="6993" spans="1:7" x14ac:dyDescent="0.3">
      <c r="A6993" t="s">
        <v>34</v>
      </c>
      <c r="B6993" t="s">
        <v>238</v>
      </c>
      <c r="C6993">
        <v>1363</v>
      </c>
      <c r="D6993" t="s">
        <v>104</v>
      </c>
      <c r="E6993" t="s">
        <v>815</v>
      </c>
      <c r="F6993" t="s">
        <v>1252</v>
      </c>
      <c r="G6993" t="s">
        <v>136</v>
      </c>
    </row>
    <row r="6994" spans="1:7" x14ac:dyDescent="0.3">
      <c r="A6994" t="s">
        <v>33</v>
      </c>
      <c r="B6994" t="s">
        <v>236</v>
      </c>
      <c r="C6994">
        <v>1116</v>
      </c>
      <c r="D6994" t="s">
        <v>104</v>
      </c>
      <c r="E6994" t="s">
        <v>1414</v>
      </c>
      <c r="F6994" t="s">
        <v>520</v>
      </c>
      <c r="G6994" t="s">
        <v>99</v>
      </c>
    </row>
    <row r="6995" spans="1:7" x14ac:dyDescent="0.3">
      <c r="A6995" t="s">
        <v>33</v>
      </c>
      <c r="B6995" t="s">
        <v>238</v>
      </c>
      <c r="C6995">
        <v>821</v>
      </c>
      <c r="D6995" t="s">
        <v>99</v>
      </c>
      <c r="E6995" t="s">
        <v>1047</v>
      </c>
      <c r="F6995" t="s">
        <v>446</v>
      </c>
      <c r="G6995" t="s">
        <v>99</v>
      </c>
    </row>
    <row r="6996" spans="1:7" x14ac:dyDescent="0.3">
      <c r="A6996" t="s">
        <v>49</v>
      </c>
      <c r="B6996" t="s">
        <v>236</v>
      </c>
      <c r="C6996">
        <v>7220</v>
      </c>
      <c r="D6996" t="s">
        <v>104</v>
      </c>
      <c r="E6996" t="s">
        <v>281</v>
      </c>
      <c r="F6996" t="s">
        <v>1170</v>
      </c>
      <c r="G6996" t="s">
        <v>104</v>
      </c>
    </row>
    <row r="6997" spans="1:7" x14ac:dyDescent="0.3">
      <c r="A6997" t="s">
        <v>49</v>
      </c>
      <c r="B6997" t="s">
        <v>238</v>
      </c>
      <c r="C6997">
        <v>6102</v>
      </c>
      <c r="D6997" t="s">
        <v>104</v>
      </c>
      <c r="E6997" t="s">
        <v>1245</v>
      </c>
      <c r="F6997" t="s">
        <v>1094</v>
      </c>
      <c r="G6997" t="s">
        <v>198</v>
      </c>
    </row>
    <row r="6999" spans="1:7" x14ac:dyDescent="0.3">
      <c r="A6999" t="s">
        <v>2217</v>
      </c>
    </row>
    <row r="7000" spans="1:7" x14ac:dyDescent="0.3">
      <c r="A7000" t="s">
        <v>44</v>
      </c>
      <c r="B7000" t="s">
        <v>1335</v>
      </c>
      <c r="C7000" t="s">
        <v>32</v>
      </c>
      <c r="D7000" t="s">
        <v>352</v>
      </c>
      <c r="E7000" t="s">
        <v>66</v>
      </c>
      <c r="F7000" t="s">
        <v>67</v>
      </c>
      <c r="G7000" t="s">
        <v>193</v>
      </c>
    </row>
    <row r="7001" spans="1:7" x14ac:dyDescent="0.3">
      <c r="A7001" t="s">
        <v>35</v>
      </c>
      <c r="B7001" t="s">
        <v>1336</v>
      </c>
      <c r="C7001">
        <v>2094</v>
      </c>
      <c r="D7001" t="s">
        <v>99</v>
      </c>
      <c r="E7001" t="s">
        <v>640</v>
      </c>
      <c r="F7001" t="s">
        <v>629</v>
      </c>
      <c r="G7001" t="s">
        <v>207</v>
      </c>
    </row>
    <row r="7002" spans="1:7" x14ac:dyDescent="0.3">
      <c r="A7002" t="s">
        <v>35</v>
      </c>
      <c r="B7002" t="s">
        <v>1338</v>
      </c>
      <c r="C7002">
        <v>246</v>
      </c>
      <c r="D7002" t="s">
        <v>99</v>
      </c>
      <c r="E7002" t="s">
        <v>930</v>
      </c>
      <c r="F7002" t="s">
        <v>1474</v>
      </c>
      <c r="G7002" t="s">
        <v>99</v>
      </c>
    </row>
    <row r="7003" spans="1:7" x14ac:dyDescent="0.3">
      <c r="A7003" t="s">
        <v>35</v>
      </c>
      <c r="B7003" t="s">
        <v>1339</v>
      </c>
      <c r="C7003">
        <v>805</v>
      </c>
      <c r="D7003" t="s">
        <v>115</v>
      </c>
      <c r="E7003" t="s">
        <v>279</v>
      </c>
      <c r="F7003" t="s">
        <v>1068</v>
      </c>
      <c r="G7003" t="s">
        <v>198</v>
      </c>
    </row>
    <row r="7004" spans="1:7" x14ac:dyDescent="0.3">
      <c r="A7004" t="s">
        <v>37</v>
      </c>
      <c r="B7004" t="s">
        <v>1336</v>
      </c>
      <c r="C7004">
        <v>2494</v>
      </c>
      <c r="D7004" t="s">
        <v>99</v>
      </c>
      <c r="E7004" t="s">
        <v>924</v>
      </c>
      <c r="F7004" t="s">
        <v>2118</v>
      </c>
      <c r="G7004" t="s">
        <v>104</v>
      </c>
    </row>
    <row r="7005" spans="1:7" x14ac:dyDescent="0.3">
      <c r="A7005" t="s">
        <v>37</v>
      </c>
      <c r="B7005" t="s">
        <v>1338</v>
      </c>
      <c r="C7005">
        <v>433</v>
      </c>
      <c r="D7005" t="s">
        <v>99</v>
      </c>
      <c r="E7005" t="s">
        <v>990</v>
      </c>
      <c r="F7005" t="s">
        <v>991</v>
      </c>
      <c r="G7005" t="s">
        <v>99</v>
      </c>
    </row>
    <row r="7006" spans="1:7" x14ac:dyDescent="0.3">
      <c r="A7006" t="s">
        <v>37</v>
      </c>
      <c r="B7006" t="s">
        <v>1339</v>
      </c>
      <c r="C7006">
        <v>928</v>
      </c>
      <c r="D7006" t="s">
        <v>99</v>
      </c>
      <c r="E7006" t="s">
        <v>967</v>
      </c>
      <c r="F7006" t="s">
        <v>1103</v>
      </c>
      <c r="G7006" t="s">
        <v>99</v>
      </c>
    </row>
    <row r="7007" spans="1:7" x14ac:dyDescent="0.3">
      <c r="A7007" t="s">
        <v>36</v>
      </c>
      <c r="B7007" t="s">
        <v>1336</v>
      </c>
      <c r="C7007">
        <v>1515</v>
      </c>
      <c r="D7007" t="s">
        <v>99</v>
      </c>
      <c r="E7007" t="s">
        <v>279</v>
      </c>
      <c r="F7007" t="s">
        <v>1185</v>
      </c>
      <c r="G7007" t="s">
        <v>104</v>
      </c>
    </row>
    <row r="7008" spans="1:7" x14ac:dyDescent="0.3">
      <c r="A7008" t="s">
        <v>36</v>
      </c>
      <c r="B7008" t="s">
        <v>1338</v>
      </c>
      <c r="C7008">
        <v>235</v>
      </c>
      <c r="D7008" t="s">
        <v>99</v>
      </c>
      <c r="E7008" t="s">
        <v>598</v>
      </c>
      <c r="F7008" t="s">
        <v>1576</v>
      </c>
      <c r="G7008" t="s">
        <v>99</v>
      </c>
    </row>
    <row r="7009" spans="1:7" x14ac:dyDescent="0.3">
      <c r="A7009" t="s">
        <v>36</v>
      </c>
      <c r="B7009" t="s">
        <v>1339</v>
      </c>
      <c r="C7009">
        <v>555</v>
      </c>
      <c r="D7009" t="s">
        <v>99</v>
      </c>
      <c r="E7009" t="s">
        <v>302</v>
      </c>
      <c r="F7009" t="s">
        <v>668</v>
      </c>
      <c r="G7009" t="s">
        <v>99</v>
      </c>
    </row>
    <row r="7010" spans="1:7" x14ac:dyDescent="0.3">
      <c r="A7010" t="s">
        <v>34</v>
      </c>
      <c r="B7010" t="s">
        <v>1336</v>
      </c>
      <c r="C7010">
        <v>1346</v>
      </c>
      <c r="D7010" t="s">
        <v>99</v>
      </c>
      <c r="E7010" t="s">
        <v>1106</v>
      </c>
      <c r="F7010" t="s">
        <v>1113</v>
      </c>
      <c r="G7010" t="s">
        <v>198</v>
      </c>
    </row>
    <row r="7011" spans="1:7" x14ac:dyDescent="0.3">
      <c r="A7011" t="s">
        <v>34</v>
      </c>
      <c r="B7011" t="s">
        <v>1338</v>
      </c>
      <c r="C7011">
        <v>134</v>
      </c>
      <c r="D7011" t="s">
        <v>99</v>
      </c>
      <c r="E7011" t="s">
        <v>818</v>
      </c>
      <c r="F7011" t="s">
        <v>884</v>
      </c>
      <c r="G7011" t="s">
        <v>99</v>
      </c>
    </row>
    <row r="7012" spans="1:7" x14ac:dyDescent="0.3">
      <c r="A7012" t="s">
        <v>34</v>
      </c>
      <c r="B7012" t="s">
        <v>1339</v>
      </c>
      <c r="C7012">
        <v>600</v>
      </c>
      <c r="D7012" t="s">
        <v>132</v>
      </c>
      <c r="E7012" t="s">
        <v>958</v>
      </c>
      <c r="F7012" t="s">
        <v>806</v>
      </c>
      <c r="G7012" t="s">
        <v>115</v>
      </c>
    </row>
    <row r="7013" spans="1:7" x14ac:dyDescent="0.3">
      <c r="A7013" t="s">
        <v>33</v>
      </c>
      <c r="B7013" t="s">
        <v>1336</v>
      </c>
      <c r="C7013">
        <v>1392</v>
      </c>
      <c r="D7013" t="s">
        <v>104</v>
      </c>
      <c r="E7013" t="s">
        <v>839</v>
      </c>
      <c r="F7013" t="s">
        <v>895</v>
      </c>
      <c r="G7013" t="s">
        <v>99</v>
      </c>
    </row>
    <row r="7014" spans="1:7" x14ac:dyDescent="0.3">
      <c r="A7014" t="s">
        <v>33</v>
      </c>
      <c r="B7014" t="s">
        <v>1338</v>
      </c>
      <c r="C7014">
        <v>88</v>
      </c>
      <c r="D7014" t="s">
        <v>99</v>
      </c>
      <c r="E7014" t="s">
        <v>793</v>
      </c>
      <c r="F7014" t="s">
        <v>1383</v>
      </c>
      <c r="G7014" t="s">
        <v>99</v>
      </c>
    </row>
    <row r="7015" spans="1:7" x14ac:dyDescent="0.3">
      <c r="A7015" t="s">
        <v>33</v>
      </c>
      <c r="B7015" t="s">
        <v>1339</v>
      </c>
      <c r="C7015">
        <v>457</v>
      </c>
      <c r="D7015" t="s">
        <v>99</v>
      </c>
      <c r="E7015" t="s">
        <v>941</v>
      </c>
      <c r="F7015" t="s">
        <v>987</v>
      </c>
      <c r="G7015" t="s">
        <v>99</v>
      </c>
    </row>
    <row r="7016" spans="1:7" x14ac:dyDescent="0.3">
      <c r="A7016" t="s">
        <v>49</v>
      </c>
      <c r="B7016" t="s">
        <v>1336</v>
      </c>
      <c r="C7016">
        <v>8841</v>
      </c>
      <c r="D7016" t="s">
        <v>99</v>
      </c>
      <c r="E7016" t="s">
        <v>918</v>
      </c>
      <c r="F7016" t="s">
        <v>1097</v>
      </c>
      <c r="G7016" t="s">
        <v>198</v>
      </c>
    </row>
    <row r="7017" spans="1:7" x14ac:dyDescent="0.3">
      <c r="A7017" t="s">
        <v>49</v>
      </c>
      <c r="B7017" t="s">
        <v>1338</v>
      </c>
      <c r="C7017">
        <v>1136</v>
      </c>
      <c r="D7017" t="s">
        <v>99</v>
      </c>
      <c r="E7017" t="s">
        <v>967</v>
      </c>
      <c r="F7017" t="s">
        <v>1103</v>
      </c>
      <c r="G7017" t="s">
        <v>99</v>
      </c>
    </row>
    <row r="7018" spans="1:7" x14ac:dyDescent="0.3">
      <c r="A7018" t="s">
        <v>49</v>
      </c>
      <c r="B7018" t="s">
        <v>1339</v>
      </c>
      <c r="C7018">
        <v>3345</v>
      </c>
      <c r="D7018" t="s">
        <v>136</v>
      </c>
      <c r="E7018" t="s">
        <v>2132</v>
      </c>
      <c r="F7018" t="s">
        <v>826</v>
      </c>
      <c r="G7018" t="s">
        <v>198</v>
      </c>
    </row>
    <row r="7020" spans="1:7" x14ac:dyDescent="0.3">
      <c r="A7020" t="s">
        <v>2218</v>
      </c>
    </row>
    <row r="7021" spans="1:7" x14ac:dyDescent="0.3">
      <c r="A7021" t="s">
        <v>44</v>
      </c>
      <c r="B7021" t="s">
        <v>257</v>
      </c>
      <c r="C7021" t="s">
        <v>32</v>
      </c>
      <c r="D7021" t="s">
        <v>352</v>
      </c>
      <c r="E7021" t="s">
        <v>66</v>
      </c>
      <c r="F7021" t="s">
        <v>67</v>
      </c>
      <c r="G7021" t="s">
        <v>193</v>
      </c>
    </row>
    <row r="7022" spans="1:7" x14ac:dyDescent="0.3">
      <c r="A7022" t="s">
        <v>35</v>
      </c>
      <c r="B7022" t="s">
        <v>258</v>
      </c>
      <c r="C7022">
        <v>2873</v>
      </c>
      <c r="D7022" t="s">
        <v>198</v>
      </c>
      <c r="E7022" t="s">
        <v>644</v>
      </c>
      <c r="F7022" t="s">
        <v>1494</v>
      </c>
      <c r="G7022" t="s">
        <v>104</v>
      </c>
    </row>
    <row r="7023" spans="1:7" x14ac:dyDescent="0.3">
      <c r="A7023" t="s">
        <v>35</v>
      </c>
      <c r="B7023" t="s">
        <v>260</v>
      </c>
      <c r="C7023">
        <v>272</v>
      </c>
      <c r="D7023" t="s">
        <v>99</v>
      </c>
      <c r="E7023" t="s">
        <v>1077</v>
      </c>
      <c r="F7023" t="s">
        <v>904</v>
      </c>
      <c r="G7023" t="s">
        <v>114</v>
      </c>
    </row>
    <row r="7024" spans="1:7" x14ac:dyDescent="0.3">
      <c r="A7024" t="s">
        <v>37</v>
      </c>
      <c r="B7024" t="s">
        <v>258</v>
      </c>
      <c r="C7024">
        <v>3855</v>
      </c>
      <c r="D7024" t="s">
        <v>99</v>
      </c>
      <c r="E7024" t="s">
        <v>960</v>
      </c>
      <c r="F7024" t="s">
        <v>278</v>
      </c>
      <c r="G7024" t="s">
        <v>104</v>
      </c>
    </row>
    <row r="7025" spans="1:7" x14ac:dyDescent="0.3">
      <c r="A7025" t="s">
        <v>36</v>
      </c>
      <c r="B7025" t="s">
        <v>258</v>
      </c>
      <c r="C7025">
        <v>2100</v>
      </c>
      <c r="D7025" t="s">
        <v>99</v>
      </c>
      <c r="E7025" t="s">
        <v>1127</v>
      </c>
      <c r="F7025" t="s">
        <v>801</v>
      </c>
      <c r="G7025" t="s">
        <v>104</v>
      </c>
    </row>
    <row r="7026" spans="1:7" x14ac:dyDescent="0.3">
      <c r="A7026" t="s">
        <v>36</v>
      </c>
      <c r="B7026" t="s">
        <v>260</v>
      </c>
      <c r="C7026">
        <v>205</v>
      </c>
      <c r="D7026" t="s">
        <v>99</v>
      </c>
      <c r="E7026" t="s">
        <v>827</v>
      </c>
      <c r="F7026" t="s">
        <v>522</v>
      </c>
      <c r="G7026" t="s">
        <v>114</v>
      </c>
    </row>
    <row r="7027" spans="1:7" x14ac:dyDescent="0.3">
      <c r="A7027" t="s">
        <v>34</v>
      </c>
      <c r="B7027" t="s">
        <v>258</v>
      </c>
      <c r="C7027">
        <v>1221</v>
      </c>
      <c r="D7027" t="s">
        <v>99</v>
      </c>
      <c r="E7027" t="s">
        <v>965</v>
      </c>
      <c r="F7027" t="s">
        <v>589</v>
      </c>
      <c r="G7027" t="s">
        <v>99</v>
      </c>
    </row>
    <row r="7028" spans="1:7" x14ac:dyDescent="0.3">
      <c r="A7028" t="s">
        <v>34</v>
      </c>
      <c r="B7028" t="s">
        <v>260</v>
      </c>
      <c r="C7028">
        <v>859</v>
      </c>
      <c r="D7028" t="s">
        <v>136</v>
      </c>
      <c r="E7028" t="s">
        <v>213</v>
      </c>
      <c r="F7028" t="s">
        <v>669</v>
      </c>
      <c r="G7028" t="s">
        <v>141</v>
      </c>
    </row>
    <row r="7029" spans="1:7" x14ac:dyDescent="0.3">
      <c r="A7029" t="s">
        <v>33</v>
      </c>
      <c r="B7029" t="s">
        <v>258</v>
      </c>
      <c r="C7029">
        <v>1937</v>
      </c>
      <c r="D7029" t="s">
        <v>99</v>
      </c>
      <c r="E7029" t="s">
        <v>1498</v>
      </c>
      <c r="F7029" t="s">
        <v>1533</v>
      </c>
      <c r="G7029" t="s">
        <v>99</v>
      </c>
    </row>
    <row r="7030" spans="1:7" x14ac:dyDescent="0.3">
      <c r="A7030" t="s">
        <v>49</v>
      </c>
      <c r="B7030" t="s">
        <v>258</v>
      </c>
      <c r="C7030">
        <v>11986</v>
      </c>
      <c r="D7030" t="s">
        <v>104</v>
      </c>
      <c r="E7030" t="s">
        <v>955</v>
      </c>
      <c r="F7030" t="s">
        <v>1383</v>
      </c>
      <c r="G7030" t="s">
        <v>104</v>
      </c>
    </row>
    <row r="7031" spans="1:7" x14ac:dyDescent="0.3">
      <c r="A7031" t="s">
        <v>49</v>
      </c>
      <c r="B7031" t="s">
        <v>260</v>
      </c>
      <c r="C7031">
        <v>1336</v>
      </c>
      <c r="D7031" t="s">
        <v>207</v>
      </c>
      <c r="E7031" t="s">
        <v>1180</v>
      </c>
      <c r="F7031" t="s">
        <v>698</v>
      </c>
      <c r="G7031" t="s">
        <v>253</v>
      </c>
    </row>
    <row r="7033" spans="1:7" x14ac:dyDescent="0.3">
      <c r="A7033" t="s">
        <v>2219</v>
      </c>
    </row>
    <row r="7034" spans="1:7" x14ac:dyDescent="0.3">
      <c r="A7034" t="s">
        <v>44</v>
      </c>
      <c r="B7034" t="s">
        <v>361</v>
      </c>
      <c r="C7034" t="s">
        <v>32</v>
      </c>
      <c r="D7034" t="s">
        <v>66</v>
      </c>
      <c r="E7034" t="s">
        <v>67</v>
      </c>
      <c r="F7034" t="s">
        <v>352</v>
      </c>
      <c r="G7034" t="s">
        <v>193</v>
      </c>
    </row>
    <row r="7035" spans="1:7" x14ac:dyDescent="0.3">
      <c r="A7035" t="s">
        <v>35</v>
      </c>
      <c r="B7035" t="s">
        <v>339</v>
      </c>
      <c r="C7035">
        <v>890</v>
      </c>
      <c r="D7035" t="s">
        <v>564</v>
      </c>
      <c r="E7035" t="s">
        <v>1113</v>
      </c>
      <c r="F7035" t="s">
        <v>115</v>
      </c>
      <c r="G7035" t="s">
        <v>141</v>
      </c>
    </row>
    <row r="7036" spans="1:7" x14ac:dyDescent="0.3">
      <c r="A7036" t="s">
        <v>35</v>
      </c>
      <c r="B7036" t="s">
        <v>340</v>
      </c>
      <c r="C7036">
        <v>2215</v>
      </c>
      <c r="D7036" t="s">
        <v>559</v>
      </c>
      <c r="E7036" t="s">
        <v>566</v>
      </c>
      <c r="F7036" t="s">
        <v>99</v>
      </c>
      <c r="G7036" t="s">
        <v>104</v>
      </c>
    </row>
    <row r="7037" spans="1:7" x14ac:dyDescent="0.3">
      <c r="A7037" t="s">
        <v>35</v>
      </c>
      <c r="B7037" t="s">
        <v>365</v>
      </c>
      <c r="C7037">
        <v>40</v>
      </c>
      <c r="D7037" t="s">
        <v>1118</v>
      </c>
      <c r="E7037" t="s">
        <v>632</v>
      </c>
      <c r="F7037" t="s">
        <v>151</v>
      </c>
      <c r="G7037" t="s">
        <v>99</v>
      </c>
    </row>
    <row r="7038" spans="1:7" x14ac:dyDescent="0.3">
      <c r="A7038" t="s">
        <v>37</v>
      </c>
      <c r="B7038" t="s">
        <v>339</v>
      </c>
      <c r="C7038">
        <v>1093</v>
      </c>
      <c r="D7038" t="s">
        <v>715</v>
      </c>
      <c r="E7038" t="s">
        <v>1174</v>
      </c>
      <c r="F7038" t="s">
        <v>99</v>
      </c>
      <c r="G7038" t="s">
        <v>104</v>
      </c>
    </row>
    <row r="7039" spans="1:7" x14ac:dyDescent="0.3">
      <c r="A7039" t="s">
        <v>37</v>
      </c>
      <c r="B7039" t="s">
        <v>340</v>
      </c>
      <c r="C7039">
        <v>2721</v>
      </c>
      <c r="D7039" t="s">
        <v>821</v>
      </c>
      <c r="E7039" t="s">
        <v>648</v>
      </c>
      <c r="F7039" t="s">
        <v>99</v>
      </c>
      <c r="G7039" t="s">
        <v>104</v>
      </c>
    </row>
    <row r="7040" spans="1:7" x14ac:dyDescent="0.3">
      <c r="A7040" t="s">
        <v>37</v>
      </c>
      <c r="B7040" t="s">
        <v>365</v>
      </c>
      <c r="C7040">
        <v>41</v>
      </c>
      <c r="D7040" t="s">
        <v>561</v>
      </c>
      <c r="E7040" t="s">
        <v>562</v>
      </c>
      <c r="F7040" t="s">
        <v>99</v>
      </c>
      <c r="G7040" t="s">
        <v>99</v>
      </c>
    </row>
    <row r="7041" spans="1:7" x14ac:dyDescent="0.3">
      <c r="A7041" t="s">
        <v>36</v>
      </c>
      <c r="B7041" t="s">
        <v>339</v>
      </c>
      <c r="C7041">
        <v>770</v>
      </c>
      <c r="D7041" t="s">
        <v>1368</v>
      </c>
      <c r="E7041" t="s">
        <v>1222</v>
      </c>
      <c r="F7041" t="s">
        <v>99</v>
      </c>
      <c r="G7041" t="s">
        <v>99</v>
      </c>
    </row>
    <row r="7042" spans="1:7" x14ac:dyDescent="0.3">
      <c r="A7042" t="s">
        <v>36</v>
      </c>
      <c r="B7042" t="s">
        <v>340</v>
      </c>
      <c r="C7042">
        <v>1472</v>
      </c>
      <c r="D7042" t="s">
        <v>617</v>
      </c>
      <c r="E7042" t="s">
        <v>580</v>
      </c>
      <c r="F7042" t="s">
        <v>99</v>
      </c>
      <c r="G7042" t="s">
        <v>104</v>
      </c>
    </row>
    <row r="7043" spans="1:7" x14ac:dyDescent="0.3">
      <c r="A7043" t="s">
        <v>36</v>
      </c>
      <c r="B7043" t="s">
        <v>365</v>
      </c>
      <c r="C7043">
        <v>63</v>
      </c>
      <c r="D7043" t="s">
        <v>1102</v>
      </c>
      <c r="E7043" t="s">
        <v>304</v>
      </c>
      <c r="F7043" t="s">
        <v>99</v>
      </c>
      <c r="G7043" t="s">
        <v>99</v>
      </c>
    </row>
    <row r="7044" spans="1:7" x14ac:dyDescent="0.3">
      <c r="A7044" t="s">
        <v>34</v>
      </c>
      <c r="B7044" t="s">
        <v>339</v>
      </c>
      <c r="C7044">
        <v>555</v>
      </c>
      <c r="D7044" t="s">
        <v>567</v>
      </c>
      <c r="E7044" t="s">
        <v>619</v>
      </c>
      <c r="F7044" t="s">
        <v>207</v>
      </c>
      <c r="G7044" t="s">
        <v>207</v>
      </c>
    </row>
    <row r="7045" spans="1:7" x14ac:dyDescent="0.3">
      <c r="A7045" t="s">
        <v>34</v>
      </c>
      <c r="B7045" t="s">
        <v>340</v>
      </c>
      <c r="C7045">
        <v>1497</v>
      </c>
      <c r="D7045" t="s">
        <v>1239</v>
      </c>
      <c r="E7045" t="s">
        <v>629</v>
      </c>
      <c r="F7045" t="s">
        <v>198</v>
      </c>
      <c r="G7045" t="s">
        <v>207</v>
      </c>
    </row>
    <row r="7046" spans="1:7" x14ac:dyDescent="0.3">
      <c r="A7046" t="s">
        <v>34</v>
      </c>
      <c r="B7046" t="s">
        <v>365</v>
      </c>
      <c r="C7046">
        <v>28</v>
      </c>
      <c r="D7046" t="s">
        <v>462</v>
      </c>
      <c r="E7046" t="s">
        <v>491</v>
      </c>
      <c r="F7046" t="s">
        <v>99</v>
      </c>
      <c r="G7046" t="s">
        <v>99</v>
      </c>
    </row>
    <row r="7047" spans="1:7" x14ac:dyDescent="0.3">
      <c r="A7047" t="s">
        <v>33</v>
      </c>
      <c r="B7047" t="s">
        <v>339</v>
      </c>
      <c r="C7047">
        <v>503</v>
      </c>
      <c r="D7047" t="s">
        <v>588</v>
      </c>
      <c r="E7047" t="s">
        <v>641</v>
      </c>
      <c r="F7047" t="s">
        <v>99</v>
      </c>
      <c r="G7047" t="s">
        <v>99</v>
      </c>
    </row>
    <row r="7048" spans="1:7" x14ac:dyDescent="0.3">
      <c r="A7048" t="s">
        <v>33</v>
      </c>
      <c r="B7048" t="s">
        <v>340</v>
      </c>
      <c r="C7048">
        <v>1415</v>
      </c>
      <c r="D7048" t="s">
        <v>1231</v>
      </c>
      <c r="E7048" t="s">
        <v>1118</v>
      </c>
      <c r="F7048" t="s">
        <v>104</v>
      </c>
      <c r="G7048" t="s">
        <v>99</v>
      </c>
    </row>
    <row r="7049" spans="1:7" x14ac:dyDescent="0.3">
      <c r="A7049" t="s">
        <v>33</v>
      </c>
      <c r="B7049" t="s">
        <v>365</v>
      </c>
      <c r="C7049">
        <v>19</v>
      </c>
      <c r="D7049" t="s">
        <v>1095</v>
      </c>
      <c r="E7049" t="s">
        <v>823</v>
      </c>
      <c r="F7049" t="s">
        <v>99</v>
      </c>
      <c r="G7049" t="s">
        <v>99</v>
      </c>
    </row>
    <row r="7050" spans="1:7" x14ac:dyDescent="0.3">
      <c r="A7050" t="s">
        <v>49</v>
      </c>
      <c r="B7050" t="s">
        <v>339</v>
      </c>
      <c r="C7050">
        <v>3811</v>
      </c>
      <c r="D7050" t="s">
        <v>1077</v>
      </c>
      <c r="E7050" t="s">
        <v>1002</v>
      </c>
      <c r="F7050" t="s">
        <v>198</v>
      </c>
      <c r="G7050" t="s">
        <v>198</v>
      </c>
    </row>
    <row r="7051" spans="1:7" x14ac:dyDescent="0.3">
      <c r="A7051" t="s">
        <v>49</v>
      </c>
      <c r="B7051" t="s">
        <v>340</v>
      </c>
      <c r="C7051">
        <v>9320</v>
      </c>
      <c r="D7051" t="s">
        <v>1108</v>
      </c>
      <c r="E7051" t="s">
        <v>1108</v>
      </c>
      <c r="F7051" t="s">
        <v>104</v>
      </c>
      <c r="G7051" t="s">
        <v>104</v>
      </c>
    </row>
    <row r="7052" spans="1:7" x14ac:dyDescent="0.3">
      <c r="A7052" t="s">
        <v>49</v>
      </c>
      <c r="B7052" t="s">
        <v>365</v>
      </c>
      <c r="C7052">
        <v>191</v>
      </c>
      <c r="D7052" t="s">
        <v>1184</v>
      </c>
      <c r="E7052" t="s">
        <v>577</v>
      </c>
      <c r="F7052" t="s">
        <v>141</v>
      </c>
      <c r="G7052" t="s">
        <v>99</v>
      </c>
    </row>
    <row r="7054" spans="1:7" x14ac:dyDescent="0.3">
      <c r="A7054" t="s">
        <v>2220</v>
      </c>
    </row>
    <row r="7055" spans="1:7" x14ac:dyDescent="0.3">
      <c r="A7055" t="s">
        <v>44</v>
      </c>
      <c r="B7055" t="s">
        <v>209</v>
      </c>
      <c r="C7055" t="s">
        <v>32</v>
      </c>
      <c r="D7055" t="s">
        <v>66</v>
      </c>
      <c r="E7055" t="s">
        <v>67</v>
      </c>
      <c r="F7055" t="s">
        <v>352</v>
      </c>
      <c r="G7055" t="s">
        <v>193</v>
      </c>
    </row>
    <row r="7056" spans="1:7" x14ac:dyDescent="0.3">
      <c r="A7056" t="s">
        <v>35</v>
      </c>
      <c r="B7056" t="s">
        <v>210</v>
      </c>
      <c r="C7056">
        <v>136</v>
      </c>
      <c r="D7056" t="s">
        <v>1050</v>
      </c>
      <c r="E7056" t="s">
        <v>1105</v>
      </c>
      <c r="F7056" t="s">
        <v>99</v>
      </c>
      <c r="G7056" t="s">
        <v>99</v>
      </c>
    </row>
    <row r="7057" spans="1:7" x14ac:dyDescent="0.3">
      <c r="A7057" t="s">
        <v>35</v>
      </c>
      <c r="B7057" t="s">
        <v>212</v>
      </c>
      <c r="C7057">
        <v>2442</v>
      </c>
      <c r="D7057" t="s">
        <v>839</v>
      </c>
      <c r="E7057" t="s">
        <v>1533</v>
      </c>
      <c r="F7057" t="s">
        <v>207</v>
      </c>
      <c r="G7057" t="s">
        <v>198</v>
      </c>
    </row>
    <row r="7058" spans="1:7" x14ac:dyDescent="0.3">
      <c r="A7058" t="s">
        <v>35</v>
      </c>
      <c r="B7058" t="s">
        <v>216</v>
      </c>
      <c r="C7058">
        <v>567</v>
      </c>
      <c r="D7058" t="s">
        <v>915</v>
      </c>
      <c r="E7058" t="s">
        <v>812</v>
      </c>
      <c r="F7058" t="s">
        <v>99</v>
      </c>
      <c r="G7058" t="s">
        <v>198</v>
      </c>
    </row>
    <row r="7059" spans="1:7" x14ac:dyDescent="0.3">
      <c r="A7059" t="s">
        <v>37</v>
      </c>
      <c r="B7059" t="s">
        <v>210</v>
      </c>
      <c r="C7059">
        <v>138</v>
      </c>
      <c r="D7059" t="s">
        <v>784</v>
      </c>
      <c r="E7059" t="s">
        <v>542</v>
      </c>
      <c r="F7059" t="s">
        <v>99</v>
      </c>
      <c r="G7059" t="s">
        <v>99</v>
      </c>
    </row>
    <row r="7060" spans="1:7" x14ac:dyDescent="0.3">
      <c r="A7060" t="s">
        <v>37</v>
      </c>
      <c r="B7060" t="s">
        <v>212</v>
      </c>
      <c r="C7060">
        <v>3606</v>
      </c>
      <c r="D7060" t="s">
        <v>485</v>
      </c>
      <c r="E7060" t="s">
        <v>350</v>
      </c>
      <c r="F7060" t="s">
        <v>99</v>
      </c>
      <c r="G7060" t="s">
        <v>104</v>
      </c>
    </row>
    <row r="7061" spans="1:7" x14ac:dyDescent="0.3">
      <c r="A7061" t="s">
        <v>37</v>
      </c>
      <c r="B7061" t="s">
        <v>216</v>
      </c>
      <c r="C7061">
        <v>111</v>
      </c>
      <c r="D7061" t="s">
        <v>496</v>
      </c>
      <c r="E7061" t="s">
        <v>495</v>
      </c>
      <c r="F7061" t="s">
        <v>99</v>
      </c>
      <c r="G7061" t="s">
        <v>99</v>
      </c>
    </row>
    <row r="7062" spans="1:7" x14ac:dyDescent="0.3">
      <c r="A7062" t="s">
        <v>36</v>
      </c>
      <c r="B7062" t="s">
        <v>210</v>
      </c>
      <c r="C7062">
        <v>165</v>
      </c>
      <c r="D7062" t="s">
        <v>475</v>
      </c>
      <c r="E7062" t="s">
        <v>738</v>
      </c>
      <c r="F7062" t="s">
        <v>99</v>
      </c>
      <c r="G7062" t="s">
        <v>99</v>
      </c>
    </row>
    <row r="7063" spans="1:7" x14ac:dyDescent="0.3">
      <c r="A7063" t="s">
        <v>36</v>
      </c>
      <c r="B7063" t="s">
        <v>212</v>
      </c>
      <c r="C7063">
        <v>1875</v>
      </c>
      <c r="D7063" t="s">
        <v>579</v>
      </c>
      <c r="E7063" t="s">
        <v>578</v>
      </c>
      <c r="F7063" t="s">
        <v>99</v>
      </c>
      <c r="G7063" t="s">
        <v>99</v>
      </c>
    </row>
    <row r="7064" spans="1:7" x14ac:dyDescent="0.3">
      <c r="A7064" t="s">
        <v>36</v>
      </c>
      <c r="B7064" t="s">
        <v>216</v>
      </c>
      <c r="C7064">
        <v>265</v>
      </c>
      <c r="D7064" t="s">
        <v>520</v>
      </c>
      <c r="E7064" t="s">
        <v>732</v>
      </c>
      <c r="F7064" t="s">
        <v>99</v>
      </c>
      <c r="G7064" t="s">
        <v>115</v>
      </c>
    </row>
    <row r="7065" spans="1:7" x14ac:dyDescent="0.3">
      <c r="A7065" t="s">
        <v>34</v>
      </c>
      <c r="B7065" t="s">
        <v>210</v>
      </c>
      <c r="C7065">
        <v>256</v>
      </c>
      <c r="D7065" t="s">
        <v>514</v>
      </c>
      <c r="E7065" t="s">
        <v>42</v>
      </c>
      <c r="F7065" t="s">
        <v>99</v>
      </c>
      <c r="G7065" t="s">
        <v>141</v>
      </c>
    </row>
    <row r="7066" spans="1:7" x14ac:dyDescent="0.3">
      <c r="A7066" t="s">
        <v>34</v>
      </c>
      <c r="B7066" t="s">
        <v>212</v>
      </c>
      <c r="C7066">
        <v>1582</v>
      </c>
      <c r="D7066" t="s">
        <v>595</v>
      </c>
      <c r="E7066" t="s">
        <v>886</v>
      </c>
      <c r="F7066" t="s">
        <v>198</v>
      </c>
      <c r="G7066" t="s">
        <v>198</v>
      </c>
    </row>
    <row r="7067" spans="1:7" x14ac:dyDescent="0.3">
      <c r="A7067" t="s">
        <v>34</v>
      </c>
      <c r="B7067" t="s">
        <v>216</v>
      </c>
      <c r="C7067">
        <v>242</v>
      </c>
      <c r="D7067" t="s">
        <v>541</v>
      </c>
      <c r="E7067" t="s">
        <v>451</v>
      </c>
      <c r="F7067" t="s">
        <v>253</v>
      </c>
      <c r="G7067" t="s">
        <v>207</v>
      </c>
    </row>
    <row r="7068" spans="1:7" x14ac:dyDescent="0.3">
      <c r="A7068" t="s">
        <v>33</v>
      </c>
      <c r="B7068" t="s">
        <v>210</v>
      </c>
      <c r="C7068">
        <v>68</v>
      </c>
      <c r="D7068" t="s">
        <v>1050</v>
      </c>
      <c r="E7068" t="s">
        <v>1105</v>
      </c>
      <c r="F7068" t="s">
        <v>99</v>
      </c>
      <c r="G7068" t="s">
        <v>99</v>
      </c>
    </row>
    <row r="7069" spans="1:7" x14ac:dyDescent="0.3">
      <c r="A7069" t="s">
        <v>33</v>
      </c>
      <c r="B7069" t="s">
        <v>212</v>
      </c>
      <c r="C7069">
        <v>1800</v>
      </c>
      <c r="D7069" t="s">
        <v>595</v>
      </c>
      <c r="E7069" t="s">
        <v>596</v>
      </c>
      <c r="F7069" t="s">
        <v>104</v>
      </c>
      <c r="G7069" t="s">
        <v>99</v>
      </c>
    </row>
    <row r="7070" spans="1:7" x14ac:dyDescent="0.3">
      <c r="A7070" t="s">
        <v>33</v>
      </c>
      <c r="B7070" t="s">
        <v>216</v>
      </c>
      <c r="C7070">
        <v>69</v>
      </c>
      <c r="D7070" t="s">
        <v>1368</v>
      </c>
      <c r="E7070" t="s">
        <v>1222</v>
      </c>
      <c r="F7070" t="s">
        <v>99</v>
      </c>
      <c r="G7070" t="s">
        <v>99</v>
      </c>
    </row>
    <row r="7071" spans="1:7" x14ac:dyDescent="0.3">
      <c r="A7071" t="s">
        <v>49</v>
      </c>
      <c r="B7071" t="s">
        <v>210</v>
      </c>
      <c r="C7071">
        <v>763</v>
      </c>
      <c r="D7071" t="s">
        <v>874</v>
      </c>
      <c r="E7071" t="s">
        <v>1053</v>
      </c>
      <c r="F7071" t="s">
        <v>99</v>
      </c>
      <c r="G7071" t="s">
        <v>198</v>
      </c>
    </row>
    <row r="7072" spans="1:7" x14ac:dyDescent="0.3">
      <c r="A7072" t="s">
        <v>49</v>
      </c>
      <c r="B7072" t="s">
        <v>212</v>
      </c>
      <c r="C7072">
        <v>11305</v>
      </c>
      <c r="D7072" t="s">
        <v>642</v>
      </c>
      <c r="E7072" t="s">
        <v>567</v>
      </c>
      <c r="F7072" t="s">
        <v>104</v>
      </c>
      <c r="G7072" t="s">
        <v>104</v>
      </c>
    </row>
    <row r="7073" spans="1:9" x14ac:dyDescent="0.3">
      <c r="A7073" t="s">
        <v>49</v>
      </c>
      <c r="B7073" t="s">
        <v>216</v>
      </c>
      <c r="C7073">
        <v>1254</v>
      </c>
      <c r="D7073" t="s">
        <v>1470</v>
      </c>
      <c r="E7073" t="s">
        <v>838</v>
      </c>
      <c r="F7073" t="s">
        <v>104</v>
      </c>
      <c r="G7073" t="s">
        <v>198</v>
      </c>
    </row>
    <row r="7075" spans="1:9" x14ac:dyDescent="0.3">
      <c r="A7075" t="s">
        <v>2221</v>
      </c>
    </row>
    <row r="7076" spans="1:9" x14ac:dyDescent="0.3">
      <c r="A7076" t="s">
        <v>44</v>
      </c>
      <c r="B7076" t="s">
        <v>32</v>
      </c>
      <c r="C7076" t="s">
        <v>2222</v>
      </c>
      <c r="D7076" t="s">
        <v>2223</v>
      </c>
      <c r="E7076" t="s">
        <v>2224</v>
      </c>
      <c r="F7076" t="s">
        <v>1275</v>
      </c>
      <c r="G7076" t="s">
        <v>2225</v>
      </c>
      <c r="H7076" t="s">
        <v>193</v>
      </c>
    </row>
    <row r="7077" spans="1:9" x14ac:dyDescent="0.3">
      <c r="A7077" t="s">
        <v>35</v>
      </c>
      <c r="B7077">
        <v>2057</v>
      </c>
      <c r="C7077" t="s">
        <v>769</v>
      </c>
      <c r="D7077" t="s">
        <v>332</v>
      </c>
      <c r="E7077" t="s">
        <v>814</v>
      </c>
      <c r="F7077" t="s">
        <v>198</v>
      </c>
      <c r="G7077" t="s">
        <v>420</v>
      </c>
      <c r="H7077" t="s">
        <v>104</v>
      </c>
    </row>
    <row r="7078" spans="1:9" x14ac:dyDescent="0.3">
      <c r="A7078" t="s">
        <v>37</v>
      </c>
      <c r="B7078">
        <v>2663</v>
      </c>
      <c r="C7078" t="s">
        <v>252</v>
      </c>
      <c r="D7078" t="s">
        <v>68</v>
      </c>
      <c r="E7078" t="s">
        <v>38</v>
      </c>
      <c r="F7078" t="s">
        <v>99</v>
      </c>
      <c r="G7078" t="s">
        <v>110</v>
      </c>
      <c r="H7078" t="s">
        <v>253</v>
      </c>
    </row>
    <row r="7079" spans="1:9" x14ac:dyDescent="0.3">
      <c r="A7079" t="s">
        <v>36</v>
      </c>
      <c r="B7079">
        <v>1245</v>
      </c>
      <c r="C7079" t="s">
        <v>2101</v>
      </c>
      <c r="D7079" t="s">
        <v>204</v>
      </c>
      <c r="E7079" t="s">
        <v>810</v>
      </c>
      <c r="F7079" t="s">
        <v>319</v>
      </c>
      <c r="G7079" t="s">
        <v>78</v>
      </c>
      <c r="H7079" t="s">
        <v>198</v>
      </c>
    </row>
    <row r="7080" spans="1:9" x14ac:dyDescent="0.3">
      <c r="A7080" t="s">
        <v>34</v>
      </c>
      <c r="B7080">
        <v>1106</v>
      </c>
      <c r="C7080" t="s">
        <v>1364</v>
      </c>
      <c r="D7080" t="s">
        <v>412</v>
      </c>
      <c r="E7080" t="s">
        <v>748</v>
      </c>
      <c r="F7080" t="s">
        <v>99</v>
      </c>
      <c r="G7080" t="s">
        <v>171</v>
      </c>
      <c r="H7080" t="s">
        <v>198</v>
      </c>
    </row>
    <row r="7081" spans="1:9" x14ac:dyDescent="0.3">
      <c r="A7081" t="s">
        <v>33</v>
      </c>
      <c r="B7081">
        <v>1033</v>
      </c>
      <c r="C7081" t="s">
        <v>1325</v>
      </c>
      <c r="D7081" t="s">
        <v>152</v>
      </c>
      <c r="E7081" t="s">
        <v>1206</v>
      </c>
      <c r="F7081" t="s">
        <v>99</v>
      </c>
      <c r="G7081" t="s">
        <v>123</v>
      </c>
      <c r="H7081" t="s">
        <v>99</v>
      </c>
    </row>
    <row r="7082" spans="1:9" x14ac:dyDescent="0.3">
      <c r="A7082" t="s">
        <v>49</v>
      </c>
      <c r="B7082">
        <v>8104</v>
      </c>
      <c r="C7082" t="s">
        <v>1292</v>
      </c>
      <c r="D7082" t="s">
        <v>242</v>
      </c>
      <c r="E7082" t="s">
        <v>370</v>
      </c>
      <c r="F7082" t="s">
        <v>104</v>
      </c>
      <c r="G7082" t="s">
        <v>144</v>
      </c>
      <c r="H7082" t="s">
        <v>207</v>
      </c>
    </row>
    <row r="7084" spans="1:9" x14ac:dyDescent="0.3">
      <c r="A7084" t="s">
        <v>2226</v>
      </c>
    </row>
    <row r="7085" spans="1:9" x14ac:dyDescent="0.3">
      <c r="A7085" t="s">
        <v>44</v>
      </c>
      <c r="B7085" t="s">
        <v>388</v>
      </c>
      <c r="C7085" t="s">
        <v>32</v>
      </c>
      <c r="D7085" t="s">
        <v>2222</v>
      </c>
      <c r="E7085" t="s">
        <v>2223</v>
      </c>
      <c r="F7085" t="s">
        <v>2224</v>
      </c>
      <c r="G7085" t="s">
        <v>1275</v>
      </c>
      <c r="H7085" t="s">
        <v>2225</v>
      </c>
      <c r="I7085" t="s">
        <v>193</v>
      </c>
    </row>
    <row r="7086" spans="1:9" x14ac:dyDescent="0.3">
      <c r="A7086" t="s">
        <v>35</v>
      </c>
      <c r="B7086" t="s">
        <v>389</v>
      </c>
      <c r="C7086">
        <v>1400</v>
      </c>
      <c r="D7086" t="s">
        <v>855</v>
      </c>
      <c r="E7086" t="s">
        <v>120</v>
      </c>
      <c r="F7086" t="s">
        <v>721</v>
      </c>
      <c r="G7086" t="s">
        <v>198</v>
      </c>
      <c r="H7086" t="s">
        <v>353</v>
      </c>
      <c r="I7086" t="s">
        <v>198</v>
      </c>
    </row>
    <row r="7087" spans="1:9" x14ac:dyDescent="0.3">
      <c r="A7087" t="s">
        <v>35</v>
      </c>
      <c r="B7087" t="s">
        <v>390</v>
      </c>
      <c r="C7087">
        <v>581</v>
      </c>
      <c r="D7087" t="s">
        <v>460</v>
      </c>
      <c r="E7087" t="s">
        <v>684</v>
      </c>
      <c r="F7087" t="s">
        <v>201</v>
      </c>
      <c r="G7087" t="s">
        <v>99</v>
      </c>
      <c r="H7087" t="s">
        <v>182</v>
      </c>
      <c r="I7087" t="s">
        <v>104</v>
      </c>
    </row>
    <row r="7088" spans="1:9" x14ac:dyDescent="0.3">
      <c r="A7088" t="s">
        <v>35</v>
      </c>
      <c r="B7088" t="s">
        <v>365</v>
      </c>
      <c r="C7088">
        <v>76</v>
      </c>
      <c r="D7088" t="s">
        <v>504</v>
      </c>
      <c r="E7088" t="s">
        <v>158</v>
      </c>
      <c r="F7088" t="s">
        <v>501</v>
      </c>
      <c r="G7088" t="s">
        <v>100</v>
      </c>
      <c r="H7088" t="s">
        <v>798</v>
      </c>
      <c r="I7088" t="s">
        <v>99</v>
      </c>
    </row>
    <row r="7089" spans="1:9" x14ac:dyDescent="0.3">
      <c r="A7089" t="s">
        <v>37</v>
      </c>
      <c r="B7089" t="s">
        <v>389</v>
      </c>
      <c r="C7089">
        <v>1576</v>
      </c>
      <c r="D7089" t="s">
        <v>185</v>
      </c>
      <c r="E7089" t="s">
        <v>139</v>
      </c>
      <c r="F7089" t="s">
        <v>718</v>
      </c>
      <c r="G7089" t="s">
        <v>99</v>
      </c>
      <c r="H7089" t="s">
        <v>138</v>
      </c>
      <c r="I7089" t="s">
        <v>207</v>
      </c>
    </row>
    <row r="7090" spans="1:9" x14ac:dyDescent="0.3">
      <c r="A7090" t="s">
        <v>37</v>
      </c>
      <c r="B7090" t="s">
        <v>390</v>
      </c>
      <c r="C7090">
        <v>912</v>
      </c>
      <c r="D7090" t="s">
        <v>377</v>
      </c>
      <c r="E7090" t="s">
        <v>277</v>
      </c>
      <c r="F7090" t="s">
        <v>465</v>
      </c>
      <c r="G7090" t="s">
        <v>99</v>
      </c>
      <c r="H7090" t="s">
        <v>124</v>
      </c>
      <c r="I7090" t="s">
        <v>253</v>
      </c>
    </row>
    <row r="7091" spans="1:9" x14ac:dyDescent="0.3">
      <c r="A7091" t="s">
        <v>37</v>
      </c>
      <c r="B7091" t="s">
        <v>365</v>
      </c>
      <c r="C7091">
        <v>175</v>
      </c>
      <c r="D7091" t="s">
        <v>334</v>
      </c>
      <c r="E7091" t="s">
        <v>139</v>
      </c>
      <c r="F7091" t="s">
        <v>267</v>
      </c>
      <c r="G7091" t="s">
        <v>99</v>
      </c>
      <c r="H7091" t="s">
        <v>114</v>
      </c>
      <c r="I7091" t="s">
        <v>316</v>
      </c>
    </row>
    <row r="7092" spans="1:9" x14ac:dyDescent="0.3">
      <c r="A7092" t="s">
        <v>36</v>
      </c>
      <c r="B7092" t="s">
        <v>389</v>
      </c>
      <c r="C7092">
        <v>882</v>
      </c>
      <c r="D7092" t="s">
        <v>1103</v>
      </c>
      <c r="E7092" t="s">
        <v>277</v>
      </c>
      <c r="F7092" t="s">
        <v>1206</v>
      </c>
      <c r="G7092" t="s">
        <v>108</v>
      </c>
      <c r="H7092" t="s">
        <v>679</v>
      </c>
      <c r="I7092" t="s">
        <v>99</v>
      </c>
    </row>
    <row r="7093" spans="1:9" x14ac:dyDescent="0.3">
      <c r="A7093" t="s">
        <v>36</v>
      </c>
      <c r="B7093" t="s">
        <v>390</v>
      </c>
      <c r="C7093">
        <v>316</v>
      </c>
      <c r="D7093" t="s">
        <v>1155</v>
      </c>
      <c r="E7093" t="s">
        <v>254</v>
      </c>
      <c r="F7093" t="s">
        <v>1105</v>
      </c>
      <c r="G7093" t="s">
        <v>154</v>
      </c>
      <c r="H7093" t="s">
        <v>379</v>
      </c>
      <c r="I7093" t="s">
        <v>100</v>
      </c>
    </row>
    <row r="7094" spans="1:9" x14ac:dyDescent="0.3">
      <c r="A7094" t="s">
        <v>36</v>
      </c>
      <c r="B7094" t="s">
        <v>365</v>
      </c>
      <c r="C7094">
        <v>47</v>
      </c>
      <c r="D7094" t="s">
        <v>825</v>
      </c>
      <c r="E7094" t="s">
        <v>318</v>
      </c>
      <c r="F7094" t="s">
        <v>1415</v>
      </c>
      <c r="G7094" t="s">
        <v>99</v>
      </c>
      <c r="H7094" t="s">
        <v>115</v>
      </c>
      <c r="I7094" t="s">
        <v>99</v>
      </c>
    </row>
    <row r="7095" spans="1:9" x14ac:dyDescent="0.3">
      <c r="A7095" t="s">
        <v>34</v>
      </c>
      <c r="B7095" t="s">
        <v>389</v>
      </c>
      <c r="C7095">
        <v>713</v>
      </c>
      <c r="D7095" t="s">
        <v>901</v>
      </c>
      <c r="E7095" t="s">
        <v>328</v>
      </c>
      <c r="F7095" t="s">
        <v>690</v>
      </c>
      <c r="G7095" t="s">
        <v>99</v>
      </c>
      <c r="H7095" t="s">
        <v>72</v>
      </c>
      <c r="I7095" t="s">
        <v>99</v>
      </c>
    </row>
    <row r="7096" spans="1:9" x14ac:dyDescent="0.3">
      <c r="A7096" t="s">
        <v>34</v>
      </c>
      <c r="B7096" t="s">
        <v>390</v>
      </c>
      <c r="C7096">
        <v>342</v>
      </c>
      <c r="D7096" t="s">
        <v>504</v>
      </c>
      <c r="E7096" t="s">
        <v>332</v>
      </c>
      <c r="F7096" t="s">
        <v>444</v>
      </c>
      <c r="G7096" t="s">
        <v>99</v>
      </c>
      <c r="H7096" t="s">
        <v>175</v>
      </c>
      <c r="I7096" t="s">
        <v>115</v>
      </c>
    </row>
    <row r="7097" spans="1:9" x14ac:dyDescent="0.3">
      <c r="A7097" t="s">
        <v>34</v>
      </c>
      <c r="B7097" t="s">
        <v>365</v>
      </c>
      <c r="C7097">
        <v>51</v>
      </c>
      <c r="D7097" t="s">
        <v>1400</v>
      </c>
      <c r="E7097" t="s">
        <v>412</v>
      </c>
      <c r="F7097" t="s">
        <v>718</v>
      </c>
      <c r="G7097" t="s">
        <v>99</v>
      </c>
      <c r="H7097" t="s">
        <v>311</v>
      </c>
      <c r="I7097" t="s">
        <v>99</v>
      </c>
    </row>
    <row r="7098" spans="1:9" x14ac:dyDescent="0.3">
      <c r="A7098" t="s">
        <v>33</v>
      </c>
      <c r="B7098" t="s">
        <v>389</v>
      </c>
      <c r="C7098">
        <v>586</v>
      </c>
      <c r="D7098" t="s">
        <v>1171</v>
      </c>
      <c r="E7098" t="s">
        <v>328</v>
      </c>
      <c r="F7098" t="s">
        <v>456</v>
      </c>
      <c r="G7098" t="s">
        <v>99</v>
      </c>
      <c r="H7098" t="s">
        <v>117</v>
      </c>
      <c r="I7098" t="s">
        <v>99</v>
      </c>
    </row>
    <row r="7099" spans="1:9" x14ac:dyDescent="0.3">
      <c r="A7099" t="s">
        <v>33</v>
      </c>
      <c r="B7099" t="s">
        <v>390</v>
      </c>
      <c r="C7099">
        <v>367</v>
      </c>
      <c r="D7099" t="s">
        <v>504</v>
      </c>
      <c r="E7099" t="s">
        <v>142</v>
      </c>
      <c r="F7099" t="s">
        <v>902</v>
      </c>
      <c r="G7099" t="s">
        <v>99</v>
      </c>
      <c r="H7099" t="s">
        <v>319</v>
      </c>
      <c r="I7099" t="s">
        <v>99</v>
      </c>
    </row>
    <row r="7100" spans="1:9" x14ac:dyDescent="0.3">
      <c r="A7100" t="s">
        <v>33</v>
      </c>
      <c r="B7100" t="s">
        <v>365</v>
      </c>
      <c r="C7100">
        <v>80</v>
      </c>
      <c r="D7100" t="s">
        <v>579</v>
      </c>
      <c r="E7100" t="s">
        <v>118</v>
      </c>
      <c r="F7100" t="s">
        <v>1184</v>
      </c>
      <c r="G7100" t="s">
        <v>99</v>
      </c>
      <c r="H7100" t="s">
        <v>100</v>
      </c>
      <c r="I7100" t="s">
        <v>99</v>
      </c>
    </row>
    <row r="7101" spans="1:9" x14ac:dyDescent="0.3">
      <c r="A7101" t="s">
        <v>49</v>
      </c>
      <c r="B7101" t="s">
        <v>389</v>
      </c>
      <c r="C7101">
        <v>5157</v>
      </c>
      <c r="D7101" t="s">
        <v>443</v>
      </c>
      <c r="E7101" t="s">
        <v>112</v>
      </c>
      <c r="F7101" t="s">
        <v>197</v>
      </c>
      <c r="G7101" t="s">
        <v>104</v>
      </c>
      <c r="H7101" t="s">
        <v>468</v>
      </c>
      <c r="I7101" t="s">
        <v>104</v>
      </c>
    </row>
    <row r="7102" spans="1:9" x14ac:dyDescent="0.3">
      <c r="A7102" t="s">
        <v>49</v>
      </c>
      <c r="B7102" t="s">
        <v>390</v>
      </c>
      <c r="C7102">
        <v>2518</v>
      </c>
      <c r="D7102" t="s">
        <v>1137</v>
      </c>
      <c r="E7102" t="s">
        <v>328</v>
      </c>
      <c r="F7102" t="s">
        <v>501</v>
      </c>
      <c r="G7102" t="s">
        <v>198</v>
      </c>
      <c r="H7102" t="s">
        <v>160</v>
      </c>
      <c r="I7102" t="s">
        <v>136</v>
      </c>
    </row>
    <row r="7103" spans="1:9" x14ac:dyDescent="0.3">
      <c r="A7103" t="s">
        <v>49</v>
      </c>
      <c r="B7103" t="s">
        <v>365</v>
      </c>
      <c r="C7103">
        <v>429</v>
      </c>
      <c r="D7103" t="s">
        <v>1628</v>
      </c>
      <c r="E7103" t="s">
        <v>277</v>
      </c>
      <c r="F7103" t="s">
        <v>1059</v>
      </c>
      <c r="G7103" t="s">
        <v>198</v>
      </c>
      <c r="H7103" t="s">
        <v>68</v>
      </c>
      <c r="I7103" t="s">
        <v>121</v>
      </c>
    </row>
    <row r="7105" spans="1:9" x14ac:dyDescent="0.3">
      <c r="A7105" t="s">
        <v>2227</v>
      </c>
    </row>
    <row r="7106" spans="1:9" x14ac:dyDescent="0.3">
      <c r="A7106" t="s">
        <v>44</v>
      </c>
      <c r="B7106" t="s">
        <v>235</v>
      </c>
      <c r="C7106" t="s">
        <v>32</v>
      </c>
      <c r="D7106" t="s">
        <v>2222</v>
      </c>
      <c r="E7106" t="s">
        <v>2223</v>
      </c>
      <c r="F7106" t="s">
        <v>2224</v>
      </c>
      <c r="G7106" t="s">
        <v>1275</v>
      </c>
      <c r="H7106" t="s">
        <v>2225</v>
      </c>
      <c r="I7106" t="s">
        <v>193</v>
      </c>
    </row>
    <row r="7107" spans="1:9" x14ac:dyDescent="0.3">
      <c r="A7107" t="s">
        <v>35</v>
      </c>
      <c r="B7107" t="s">
        <v>236</v>
      </c>
      <c r="C7107">
        <v>1276</v>
      </c>
      <c r="D7107" t="s">
        <v>232</v>
      </c>
      <c r="E7107" t="s">
        <v>242</v>
      </c>
      <c r="F7107" t="s">
        <v>798</v>
      </c>
      <c r="G7107" t="s">
        <v>198</v>
      </c>
      <c r="H7107" t="s">
        <v>675</v>
      </c>
      <c r="I7107" t="s">
        <v>207</v>
      </c>
    </row>
    <row r="7108" spans="1:9" x14ac:dyDescent="0.3">
      <c r="A7108" t="s">
        <v>35</v>
      </c>
      <c r="B7108" t="s">
        <v>238</v>
      </c>
      <c r="C7108">
        <v>781</v>
      </c>
      <c r="D7108" t="s">
        <v>1023</v>
      </c>
      <c r="E7108" t="s">
        <v>151</v>
      </c>
      <c r="F7108" t="s">
        <v>737</v>
      </c>
      <c r="G7108" t="s">
        <v>207</v>
      </c>
      <c r="H7108" t="s">
        <v>287</v>
      </c>
      <c r="I7108" t="s">
        <v>99</v>
      </c>
    </row>
    <row r="7109" spans="1:9" x14ac:dyDescent="0.3">
      <c r="A7109" t="s">
        <v>37</v>
      </c>
      <c r="B7109" t="s">
        <v>236</v>
      </c>
      <c r="C7109">
        <v>1967</v>
      </c>
      <c r="D7109" t="s">
        <v>376</v>
      </c>
      <c r="E7109" t="s">
        <v>124</v>
      </c>
      <c r="F7109" t="s">
        <v>689</v>
      </c>
      <c r="G7109" t="s">
        <v>99</v>
      </c>
      <c r="H7109" t="s">
        <v>268</v>
      </c>
      <c r="I7109" t="s">
        <v>141</v>
      </c>
    </row>
    <row r="7110" spans="1:9" x14ac:dyDescent="0.3">
      <c r="A7110" t="s">
        <v>37</v>
      </c>
      <c r="B7110" t="s">
        <v>238</v>
      </c>
      <c r="C7110">
        <v>696</v>
      </c>
      <c r="D7110" t="s">
        <v>266</v>
      </c>
      <c r="E7110" t="s">
        <v>128</v>
      </c>
      <c r="F7110" t="s">
        <v>133</v>
      </c>
      <c r="G7110" t="s">
        <v>99</v>
      </c>
      <c r="H7110" t="s">
        <v>461</v>
      </c>
      <c r="I7110" t="s">
        <v>108</v>
      </c>
    </row>
    <row r="7111" spans="1:9" x14ac:dyDescent="0.3">
      <c r="A7111" t="s">
        <v>36</v>
      </c>
      <c r="B7111" t="s">
        <v>236</v>
      </c>
      <c r="C7111">
        <v>989</v>
      </c>
      <c r="D7111" t="s">
        <v>2120</v>
      </c>
      <c r="E7111" t="s">
        <v>150</v>
      </c>
      <c r="F7111" t="s">
        <v>553</v>
      </c>
      <c r="G7111" t="s">
        <v>99</v>
      </c>
      <c r="H7111" t="s">
        <v>204</v>
      </c>
      <c r="I7111" t="s">
        <v>99</v>
      </c>
    </row>
    <row r="7112" spans="1:9" x14ac:dyDescent="0.3">
      <c r="A7112" t="s">
        <v>36</v>
      </c>
      <c r="B7112" t="s">
        <v>238</v>
      </c>
      <c r="C7112">
        <v>256</v>
      </c>
      <c r="D7112" t="s">
        <v>770</v>
      </c>
      <c r="E7112" t="s">
        <v>130</v>
      </c>
      <c r="F7112" t="s">
        <v>748</v>
      </c>
      <c r="G7112" t="s">
        <v>118</v>
      </c>
      <c r="H7112" t="s">
        <v>313</v>
      </c>
      <c r="I7112" t="s">
        <v>253</v>
      </c>
    </row>
    <row r="7113" spans="1:9" x14ac:dyDescent="0.3">
      <c r="A7113" t="s">
        <v>34</v>
      </c>
      <c r="B7113" t="s">
        <v>236</v>
      </c>
      <c r="C7113">
        <v>543</v>
      </c>
      <c r="D7113" t="s">
        <v>266</v>
      </c>
      <c r="E7113" t="s">
        <v>679</v>
      </c>
      <c r="F7113" t="s">
        <v>1167</v>
      </c>
      <c r="G7113" t="s">
        <v>99</v>
      </c>
      <c r="H7113" t="s">
        <v>123</v>
      </c>
      <c r="I7113" t="s">
        <v>99</v>
      </c>
    </row>
    <row r="7114" spans="1:9" x14ac:dyDescent="0.3">
      <c r="A7114" t="s">
        <v>34</v>
      </c>
      <c r="B7114" t="s">
        <v>238</v>
      </c>
      <c r="C7114">
        <v>563</v>
      </c>
      <c r="D7114" t="s">
        <v>484</v>
      </c>
      <c r="E7114" t="s">
        <v>138</v>
      </c>
      <c r="F7114" t="s">
        <v>38</v>
      </c>
      <c r="G7114" t="s">
        <v>99</v>
      </c>
      <c r="H7114" t="s">
        <v>167</v>
      </c>
      <c r="I7114" t="s">
        <v>207</v>
      </c>
    </row>
    <row r="7115" spans="1:9" x14ac:dyDescent="0.3">
      <c r="A7115" t="s">
        <v>33</v>
      </c>
      <c r="B7115" t="s">
        <v>236</v>
      </c>
      <c r="C7115">
        <v>805</v>
      </c>
      <c r="D7115" t="s">
        <v>1279</v>
      </c>
      <c r="E7115" t="s">
        <v>184</v>
      </c>
      <c r="F7115" t="s">
        <v>956</v>
      </c>
      <c r="G7115" t="s">
        <v>99</v>
      </c>
      <c r="H7115" t="s">
        <v>121</v>
      </c>
      <c r="I7115" t="s">
        <v>99</v>
      </c>
    </row>
    <row r="7116" spans="1:9" x14ac:dyDescent="0.3">
      <c r="A7116" t="s">
        <v>33</v>
      </c>
      <c r="B7116" t="s">
        <v>238</v>
      </c>
      <c r="C7116">
        <v>228</v>
      </c>
      <c r="D7116" t="s">
        <v>974</v>
      </c>
      <c r="E7116" t="s">
        <v>98</v>
      </c>
      <c r="F7116" t="s">
        <v>508</v>
      </c>
      <c r="G7116" t="s">
        <v>99</v>
      </c>
      <c r="H7116" t="s">
        <v>129</v>
      </c>
      <c r="I7116" t="s">
        <v>99</v>
      </c>
    </row>
    <row r="7117" spans="1:9" x14ac:dyDescent="0.3">
      <c r="A7117" t="s">
        <v>49</v>
      </c>
      <c r="B7117" t="s">
        <v>236</v>
      </c>
      <c r="C7117">
        <v>5580</v>
      </c>
      <c r="D7117" t="s">
        <v>356</v>
      </c>
      <c r="E7117" t="s">
        <v>144</v>
      </c>
      <c r="F7117" t="s">
        <v>735</v>
      </c>
      <c r="G7117" t="s">
        <v>99</v>
      </c>
      <c r="H7117" t="s">
        <v>105</v>
      </c>
      <c r="I7117" t="s">
        <v>207</v>
      </c>
    </row>
    <row r="7118" spans="1:9" x14ac:dyDescent="0.3">
      <c r="A7118" t="s">
        <v>49</v>
      </c>
      <c r="B7118" t="s">
        <v>238</v>
      </c>
      <c r="C7118">
        <v>2524</v>
      </c>
      <c r="D7118" t="s">
        <v>865</v>
      </c>
      <c r="E7118" t="s">
        <v>107</v>
      </c>
      <c r="F7118" t="s">
        <v>672</v>
      </c>
      <c r="G7118" t="s">
        <v>207</v>
      </c>
      <c r="H7118" t="s">
        <v>165</v>
      </c>
      <c r="I7118" t="s">
        <v>136</v>
      </c>
    </row>
    <row r="7120" spans="1:9" x14ac:dyDescent="0.3">
      <c r="A7120" t="s">
        <v>2228</v>
      </c>
    </row>
    <row r="7121" spans="1:9" x14ac:dyDescent="0.3">
      <c r="A7121" t="s">
        <v>44</v>
      </c>
      <c r="B7121" t="s">
        <v>1335</v>
      </c>
      <c r="C7121" t="s">
        <v>32</v>
      </c>
      <c r="D7121" t="s">
        <v>2222</v>
      </c>
      <c r="E7121" t="s">
        <v>2223</v>
      </c>
      <c r="F7121" t="s">
        <v>2224</v>
      </c>
      <c r="G7121" t="s">
        <v>1275</v>
      </c>
      <c r="H7121" t="s">
        <v>2225</v>
      </c>
      <c r="I7121" t="s">
        <v>193</v>
      </c>
    </row>
    <row r="7122" spans="1:9" x14ac:dyDescent="0.3">
      <c r="A7122" t="s">
        <v>35</v>
      </c>
      <c r="B7122" t="s">
        <v>1336</v>
      </c>
      <c r="C7122">
        <v>1377</v>
      </c>
      <c r="D7122" t="s">
        <v>612</v>
      </c>
      <c r="E7122" t="s">
        <v>332</v>
      </c>
      <c r="F7122" t="s">
        <v>677</v>
      </c>
      <c r="G7122" t="s">
        <v>207</v>
      </c>
      <c r="H7122" t="s">
        <v>461</v>
      </c>
      <c r="I7122" t="s">
        <v>198</v>
      </c>
    </row>
    <row r="7123" spans="1:9" x14ac:dyDescent="0.3">
      <c r="A7123" t="s">
        <v>35</v>
      </c>
      <c r="B7123" t="s">
        <v>1338</v>
      </c>
      <c r="C7123">
        <v>182</v>
      </c>
      <c r="D7123" t="s">
        <v>857</v>
      </c>
      <c r="E7123" t="s">
        <v>68</v>
      </c>
      <c r="F7123" t="s">
        <v>175</v>
      </c>
      <c r="G7123" t="s">
        <v>99</v>
      </c>
      <c r="H7123" t="s">
        <v>215</v>
      </c>
      <c r="I7123" t="s">
        <v>99</v>
      </c>
    </row>
    <row r="7124" spans="1:9" x14ac:dyDescent="0.3">
      <c r="A7124" t="s">
        <v>35</v>
      </c>
      <c r="B7124" t="s">
        <v>1339</v>
      </c>
      <c r="C7124">
        <v>498</v>
      </c>
      <c r="D7124" t="s">
        <v>174</v>
      </c>
      <c r="E7124" t="s">
        <v>138</v>
      </c>
      <c r="F7124" t="s">
        <v>482</v>
      </c>
      <c r="G7124" t="s">
        <v>99</v>
      </c>
      <c r="H7124" t="s">
        <v>171</v>
      </c>
      <c r="I7124" t="s">
        <v>99</v>
      </c>
    </row>
    <row r="7125" spans="1:9" x14ac:dyDescent="0.3">
      <c r="A7125" t="s">
        <v>37</v>
      </c>
      <c r="B7125" t="s">
        <v>1336</v>
      </c>
      <c r="C7125">
        <v>1702</v>
      </c>
      <c r="D7125" t="s">
        <v>161</v>
      </c>
      <c r="E7125" t="s">
        <v>68</v>
      </c>
      <c r="F7125" t="s">
        <v>318</v>
      </c>
      <c r="G7125" t="s">
        <v>99</v>
      </c>
      <c r="H7125" t="s">
        <v>147</v>
      </c>
      <c r="I7125" t="s">
        <v>108</v>
      </c>
    </row>
    <row r="7126" spans="1:9" x14ac:dyDescent="0.3">
      <c r="A7126" t="s">
        <v>37</v>
      </c>
      <c r="B7126" t="s">
        <v>1338</v>
      </c>
      <c r="C7126">
        <v>353</v>
      </c>
      <c r="D7126" t="s">
        <v>337</v>
      </c>
      <c r="E7126" t="s">
        <v>663</v>
      </c>
      <c r="F7126" t="s">
        <v>444</v>
      </c>
      <c r="G7126" t="s">
        <v>99</v>
      </c>
      <c r="H7126" t="s">
        <v>319</v>
      </c>
      <c r="I7126" t="s">
        <v>99</v>
      </c>
    </row>
    <row r="7127" spans="1:9" x14ac:dyDescent="0.3">
      <c r="A7127" t="s">
        <v>37</v>
      </c>
      <c r="B7127" t="s">
        <v>1339</v>
      </c>
      <c r="C7127">
        <v>608</v>
      </c>
      <c r="D7127" t="s">
        <v>290</v>
      </c>
      <c r="E7127" t="s">
        <v>332</v>
      </c>
      <c r="F7127" t="s">
        <v>303</v>
      </c>
      <c r="G7127" t="s">
        <v>99</v>
      </c>
      <c r="H7127" t="s">
        <v>113</v>
      </c>
      <c r="I7127" t="s">
        <v>99</v>
      </c>
    </row>
    <row r="7128" spans="1:9" x14ac:dyDescent="0.3">
      <c r="A7128" t="s">
        <v>36</v>
      </c>
      <c r="B7128" t="s">
        <v>1336</v>
      </c>
      <c r="C7128">
        <v>808</v>
      </c>
      <c r="D7128" t="s">
        <v>1125</v>
      </c>
      <c r="E7128" t="s">
        <v>663</v>
      </c>
      <c r="F7128" t="s">
        <v>699</v>
      </c>
      <c r="G7128" t="s">
        <v>104</v>
      </c>
      <c r="H7128" t="s">
        <v>353</v>
      </c>
      <c r="I7128" t="s">
        <v>207</v>
      </c>
    </row>
    <row r="7129" spans="1:9" x14ac:dyDescent="0.3">
      <c r="A7129" t="s">
        <v>36</v>
      </c>
      <c r="B7129" t="s">
        <v>1338</v>
      </c>
      <c r="C7129">
        <v>159</v>
      </c>
      <c r="D7129" t="s">
        <v>278</v>
      </c>
      <c r="E7129" t="s">
        <v>353</v>
      </c>
      <c r="F7129" t="s">
        <v>1115</v>
      </c>
      <c r="G7129" t="s">
        <v>277</v>
      </c>
      <c r="H7129" t="s">
        <v>117</v>
      </c>
      <c r="I7129" t="s">
        <v>99</v>
      </c>
    </row>
    <row r="7130" spans="1:9" x14ac:dyDescent="0.3">
      <c r="A7130" t="s">
        <v>36</v>
      </c>
      <c r="B7130" t="s">
        <v>1339</v>
      </c>
      <c r="C7130">
        <v>278</v>
      </c>
      <c r="D7130" t="s">
        <v>1472</v>
      </c>
      <c r="E7130" t="s">
        <v>292</v>
      </c>
      <c r="F7130" t="s">
        <v>56</v>
      </c>
      <c r="G7130" t="s">
        <v>154</v>
      </c>
      <c r="H7130" t="s">
        <v>165</v>
      </c>
      <c r="I7130" t="s">
        <v>104</v>
      </c>
    </row>
    <row r="7131" spans="1:9" x14ac:dyDescent="0.3">
      <c r="A7131" t="s">
        <v>34</v>
      </c>
      <c r="B7131" t="s">
        <v>1336</v>
      </c>
      <c r="C7131">
        <v>715</v>
      </c>
      <c r="D7131" t="s">
        <v>1079</v>
      </c>
      <c r="E7131" t="s">
        <v>325</v>
      </c>
      <c r="F7131" t="s">
        <v>673</v>
      </c>
      <c r="G7131" t="s">
        <v>99</v>
      </c>
      <c r="H7131" t="s">
        <v>804</v>
      </c>
      <c r="I7131" t="s">
        <v>207</v>
      </c>
    </row>
    <row r="7132" spans="1:9" x14ac:dyDescent="0.3">
      <c r="A7132" t="s">
        <v>34</v>
      </c>
      <c r="B7132" t="s">
        <v>1338</v>
      </c>
      <c r="C7132">
        <v>80</v>
      </c>
      <c r="D7132" t="s">
        <v>1469</v>
      </c>
      <c r="E7132" t="s">
        <v>110</v>
      </c>
      <c r="F7132" t="s">
        <v>897</v>
      </c>
      <c r="G7132" t="s">
        <v>99</v>
      </c>
      <c r="H7132" t="s">
        <v>109</v>
      </c>
      <c r="I7132" t="s">
        <v>99</v>
      </c>
    </row>
    <row r="7133" spans="1:9" x14ac:dyDescent="0.3">
      <c r="A7133" t="s">
        <v>34</v>
      </c>
      <c r="B7133" t="s">
        <v>1339</v>
      </c>
      <c r="C7133">
        <v>311</v>
      </c>
      <c r="D7133" t="s">
        <v>939</v>
      </c>
      <c r="E7133" t="s">
        <v>157</v>
      </c>
      <c r="F7133" t="s">
        <v>370</v>
      </c>
      <c r="G7133" t="s">
        <v>99</v>
      </c>
      <c r="H7133" t="s">
        <v>355</v>
      </c>
      <c r="I7133" t="s">
        <v>99</v>
      </c>
    </row>
    <row r="7134" spans="1:9" x14ac:dyDescent="0.3">
      <c r="A7134" t="s">
        <v>33</v>
      </c>
      <c r="B7134" t="s">
        <v>1336</v>
      </c>
      <c r="C7134">
        <v>746</v>
      </c>
      <c r="D7134" t="s">
        <v>1469</v>
      </c>
      <c r="E7134" t="s">
        <v>401</v>
      </c>
      <c r="F7134" t="s">
        <v>829</v>
      </c>
      <c r="G7134" t="s">
        <v>99</v>
      </c>
      <c r="H7134" t="s">
        <v>382</v>
      </c>
      <c r="I7134" t="s">
        <v>99</v>
      </c>
    </row>
    <row r="7135" spans="1:9" x14ac:dyDescent="0.3">
      <c r="A7135" t="s">
        <v>33</v>
      </c>
      <c r="B7135" t="s">
        <v>1338</v>
      </c>
      <c r="C7135">
        <v>48</v>
      </c>
      <c r="D7135" t="s">
        <v>371</v>
      </c>
      <c r="E7135" t="s">
        <v>113</v>
      </c>
      <c r="F7135" t="s">
        <v>451</v>
      </c>
      <c r="G7135" t="s">
        <v>99</v>
      </c>
      <c r="H7135" t="s">
        <v>147</v>
      </c>
      <c r="I7135" t="s">
        <v>99</v>
      </c>
    </row>
    <row r="7136" spans="1:9" x14ac:dyDescent="0.3">
      <c r="A7136" t="s">
        <v>33</v>
      </c>
      <c r="B7136" t="s">
        <v>1339</v>
      </c>
      <c r="C7136">
        <v>239</v>
      </c>
      <c r="D7136" t="s">
        <v>196</v>
      </c>
      <c r="E7136" t="s">
        <v>157</v>
      </c>
      <c r="F7136" t="s">
        <v>58</v>
      </c>
      <c r="G7136" t="s">
        <v>99</v>
      </c>
      <c r="H7136" t="s">
        <v>147</v>
      </c>
      <c r="I7136" t="s">
        <v>99</v>
      </c>
    </row>
    <row r="7137" spans="1:9" x14ac:dyDescent="0.3">
      <c r="A7137" t="s">
        <v>49</v>
      </c>
      <c r="B7137" t="s">
        <v>1336</v>
      </c>
      <c r="C7137">
        <v>5348</v>
      </c>
      <c r="D7137" t="s">
        <v>1292</v>
      </c>
      <c r="E7137" t="s">
        <v>158</v>
      </c>
      <c r="F7137" t="s">
        <v>740</v>
      </c>
      <c r="G7137" t="s">
        <v>104</v>
      </c>
      <c r="H7137" t="s">
        <v>124</v>
      </c>
      <c r="I7137" t="s">
        <v>136</v>
      </c>
    </row>
    <row r="7138" spans="1:9" x14ac:dyDescent="0.3">
      <c r="A7138" t="s">
        <v>49</v>
      </c>
      <c r="B7138" t="s">
        <v>1338</v>
      </c>
      <c r="C7138">
        <v>822</v>
      </c>
      <c r="D7138" t="s">
        <v>447</v>
      </c>
      <c r="E7138" t="s">
        <v>143</v>
      </c>
      <c r="F7138" t="s">
        <v>720</v>
      </c>
      <c r="G7138" t="s">
        <v>136</v>
      </c>
      <c r="H7138" t="s">
        <v>117</v>
      </c>
      <c r="I7138" t="s">
        <v>99</v>
      </c>
    </row>
    <row r="7139" spans="1:9" x14ac:dyDescent="0.3">
      <c r="A7139" t="s">
        <v>49</v>
      </c>
      <c r="B7139" t="s">
        <v>1339</v>
      </c>
      <c r="C7139">
        <v>1934</v>
      </c>
      <c r="D7139" t="s">
        <v>1510</v>
      </c>
      <c r="E7139" t="s">
        <v>105</v>
      </c>
      <c r="F7139" t="s">
        <v>442</v>
      </c>
      <c r="G7139" t="s">
        <v>198</v>
      </c>
      <c r="H7139" t="s">
        <v>125</v>
      </c>
      <c r="I7139" t="s">
        <v>99</v>
      </c>
    </row>
    <row r="7141" spans="1:9" x14ac:dyDescent="0.3">
      <c r="A7141" t="s">
        <v>2229</v>
      </c>
    </row>
    <row r="7142" spans="1:9" x14ac:dyDescent="0.3">
      <c r="A7142" t="s">
        <v>44</v>
      </c>
      <c r="B7142" t="s">
        <v>257</v>
      </c>
      <c r="C7142" t="s">
        <v>32</v>
      </c>
      <c r="D7142" t="s">
        <v>2222</v>
      </c>
      <c r="E7142" t="s">
        <v>2223</v>
      </c>
      <c r="F7142" t="s">
        <v>2224</v>
      </c>
      <c r="G7142" t="s">
        <v>1275</v>
      </c>
      <c r="H7142" t="s">
        <v>2225</v>
      </c>
      <c r="I7142" t="s">
        <v>193</v>
      </c>
    </row>
    <row r="7143" spans="1:9" x14ac:dyDescent="0.3">
      <c r="A7143" t="s">
        <v>35</v>
      </c>
      <c r="B7143" t="s">
        <v>258</v>
      </c>
      <c r="C7143">
        <v>1912</v>
      </c>
      <c r="D7143" t="s">
        <v>1007</v>
      </c>
      <c r="E7143" t="s">
        <v>154</v>
      </c>
      <c r="F7143" t="s">
        <v>171</v>
      </c>
      <c r="G7143" t="s">
        <v>198</v>
      </c>
      <c r="H7143" t="s">
        <v>133</v>
      </c>
      <c r="I7143" t="s">
        <v>198</v>
      </c>
    </row>
    <row r="7144" spans="1:9" x14ac:dyDescent="0.3">
      <c r="A7144" t="s">
        <v>35</v>
      </c>
      <c r="B7144" t="s">
        <v>260</v>
      </c>
      <c r="C7144">
        <v>145</v>
      </c>
      <c r="D7144" t="s">
        <v>1082</v>
      </c>
      <c r="E7144" t="s">
        <v>147</v>
      </c>
      <c r="F7144" t="s">
        <v>801</v>
      </c>
      <c r="G7144" t="s">
        <v>99</v>
      </c>
      <c r="H7144" t="s">
        <v>316</v>
      </c>
      <c r="I7144" t="s">
        <v>99</v>
      </c>
    </row>
    <row r="7145" spans="1:9" x14ac:dyDescent="0.3">
      <c r="A7145" t="s">
        <v>37</v>
      </c>
      <c r="B7145" t="s">
        <v>258</v>
      </c>
      <c r="C7145">
        <v>2663</v>
      </c>
      <c r="D7145" t="s">
        <v>252</v>
      </c>
      <c r="E7145" t="s">
        <v>68</v>
      </c>
      <c r="F7145" t="s">
        <v>38</v>
      </c>
      <c r="G7145" t="s">
        <v>99</v>
      </c>
      <c r="H7145" t="s">
        <v>110</v>
      </c>
      <c r="I7145" t="s">
        <v>253</v>
      </c>
    </row>
    <row r="7146" spans="1:9" x14ac:dyDescent="0.3">
      <c r="A7146" t="s">
        <v>36</v>
      </c>
      <c r="B7146" t="s">
        <v>258</v>
      </c>
      <c r="C7146">
        <v>1123</v>
      </c>
      <c r="D7146" t="s">
        <v>949</v>
      </c>
      <c r="E7146" t="s">
        <v>325</v>
      </c>
      <c r="F7146" t="s">
        <v>810</v>
      </c>
      <c r="G7146" t="s">
        <v>126</v>
      </c>
      <c r="H7146" t="s">
        <v>679</v>
      </c>
      <c r="I7146" t="s">
        <v>198</v>
      </c>
    </row>
    <row r="7147" spans="1:9" x14ac:dyDescent="0.3">
      <c r="A7147" t="s">
        <v>36</v>
      </c>
      <c r="B7147" t="s">
        <v>260</v>
      </c>
      <c r="C7147">
        <v>122</v>
      </c>
      <c r="D7147" t="s">
        <v>602</v>
      </c>
      <c r="E7147" t="s">
        <v>287</v>
      </c>
      <c r="F7147" t="s">
        <v>828</v>
      </c>
      <c r="G7147" t="s">
        <v>99</v>
      </c>
      <c r="H7147" t="s">
        <v>715</v>
      </c>
      <c r="I7147" t="s">
        <v>132</v>
      </c>
    </row>
    <row r="7148" spans="1:9" x14ac:dyDescent="0.3">
      <c r="A7148" t="s">
        <v>34</v>
      </c>
      <c r="B7148" t="s">
        <v>258</v>
      </c>
      <c r="C7148">
        <v>809</v>
      </c>
      <c r="D7148" t="s">
        <v>172</v>
      </c>
      <c r="E7148" t="s">
        <v>124</v>
      </c>
      <c r="F7148" t="s">
        <v>325</v>
      </c>
      <c r="G7148" t="s">
        <v>99</v>
      </c>
      <c r="H7148" t="s">
        <v>251</v>
      </c>
      <c r="I7148" t="s">
        <v>99</v>
      </c>
    </row>
    <row r="7149" spans="1:9" x14ac:dyDescent="0.3">
      <c r="A7149" t="s">
        <v>34</v>
      </c>
      <c r="B7149" t="s">
        <v>260</v>
      </c>
      <c r="C7149">
        <v>297</v>
      </c>
      <c r="D7149" t="s">
        <v>1350</v>
      </c>
      <c r="E7149" t="s">
        <v>112</v>
      </c>
      <c r="F7149" t="s">
        <v>902</v>
      </c>
      <c r="G7149" t="s">
        <v>99</v>
      </c>
      <c r="H7149" t="s">
        <v>313</v>
      </c>
      <c r="I7149" t="s">
        <v>136</v>
      </c>
    </row>
    <row r="7150" spans="1:9" x14ac:dyDescent="0.3">
      <c r="A7150" t="s">
        <v>33</v>
      </c>
      <c r="B7150" t="s">
        <v>258</v>
      </c>
      <c r="C7150">
        <v>1033</v>
      </c>
      <c r="D7150" t="s">
        <v>1325</v>
      </c>
      <c r="E7150" t="s">
        <v>152</v>
      </c>
      <c r="F7150" t="s">
        <v>1206</v>
      </c>
      <c r="G7150" t="s">
        <v>99</v>
      </c>
      <c r="H7150" t="s">
        <v>123</v>
      </c>
      <c r="I7150" t="s">
        <v>99</v>
      </c>
    </row>
    <row r="7151" spans="1:9" x14ac:dyDescent="0.3">
      <c r="A7151" t="s">
        <v>49</v>
      </c>
      <c r="B7151" t="s">
        <v>258</v>
      </c>
      <c r="C7151">
        <v>7540</v>
      </c>
      <c r="D7151" t="s">
        <v>266</v>
      </c>
      <c r="E7151" t="s">
        <v>412</v>
      </c>
      <c r="F7151" t="s">
        <v>689</v>
      </c>
      <c r="G7151" t="s">
        <v>198</v>
      </c>
      <c r="H7151" t="s">
        <v>328</v>
      </c>
      <c r="I7151" t="s">
        <v>207</v>
      </c>
    </row>
    <row r="7152" spans="1:9" x14ac:dyDescent="0.3">
      <c r="A7152" t="s">
        <v>49</v>
      </c>
      <c r="B7152" t="s">
        <v>260</v>
      </c>
      <c r="C7152">
        <v>564</v>
      </c>
      <c r="D7152" t="s">
        <v>649</v>
      </c>
      <c r="E7152" t="s">
        <v>130</v>
      </c>
      <c r="F7152" t="s">
        <v>647</v>
      </c>
      <c r="G7152" t="s">
        <v>99</v>
      </c>
      <c r="H7152" t="s">
        <v>72</v>
      </c>
      <c r="I7152" t="s">
        <v>207</v>
      </c>
    </row>
    <row r="7154" spans="1:9" x14ac:dyDescent="0.3">
      <c r="A7154" t="s">
        <v>2230</v>
      </c>
    </row>
    <row r="7155" spans="1:9" x14ac:dyDescent="0.3">
      <c r="A7155" t="s">
        <v>44</v>
      </c>
      <c r="B7155" t="s">
        <v>2231</v>
      </c>
      <c r="C7155" t="s">
        <v>32</v>
      </c>
      <c r="D7155" t="s">
        <v>2222</v>
      </c>
      <c r="E7155" t="s">
        <v>2223</v>
      </c>
      <c r="F7155" t="s">
        <v>2224</v>
      </c>
      <c r="G7155" t="s">
        <v>1275</v>
      </c>
      <c r="H7155" t="s">
        <v>2225</v>
      </c>
      <c r="I7155" t="s">
        <v>193</v>
      </c>
    </row>
    <row r="7156" spans="1:9" x14ac:dyDescent="0.3">
      <c r="A7156" t="s">
        <v>35</v>
      </c>
      <c r="B7156" t="s">
        <v>2232</v>
      </c>
      <c r="C7156">
        <v>32</v>
      </c>
      <c r="D7156" t="s">
        <v>397</v>
      </c>
      <c r="E7156" t="s">
        <v>121</v>
      </c>
      <c r="F7156" t="s">
        <v>145</v>
      </c>
      <c r="G7156" t="s">
        <v>99</v>
      </c>
      <c r="H7156" t="s">
        <v>318</v>
      </c>
      <c r="I7156" t="s">
        <v>99</v>
      </c>
    </row>
    <row r="7157" spans="1:9" s="5" customFormat="1" x14ac:dyDescent="0.3">
      <c r="A7157" s="5" t="s">
        <v>35</v>
      </c>
      <c r="B7157" s="5" t="s">
        <v>2233</v>
      </c>
      <c r="C7157" s="5">
        <v>16</v>
      </c>
      <c r="D7157" s="5" t="s">
        <v>162</v>
      </c>
      <c r="E7157" s="5" t="s">
        <v>664</v>
      </c>
      <c r="F7157" s="5" t="s">
        <v>175</v>
      </c>
      <c r="G7157" s="5" t="s">
        <v>99</v>
      </c>
      <c r="H7157" s="5" t="s">
        <v>143</v>
      </c>
      <c r="I7157" s="5" t="s">
        <v>99</v>
      </c>
    </row>
    <row r="7158" spans="1:9" x14ac:dyDescent="0.3">
      <c r="A7158" t="s">
        <v>35</v>
      </c>
      <c r="B7158" t="s">
        <v>2234</v>
      </c>
      <c r="C7158">
        <v>482</v>
      </c>
      <c r="D7158" t="s">
        <v>431</v>
      </c>
      <c r="E7158" t="s">
        <v>103</v>
      </c>
      <c r="F7158" t="s">
        <v>171</v>
      </c>
      <c r="G7158" t="s">
        <v>198</v>
      </c>
      <c r="H7158" t="s">
        <v>416</v>
      </c>
      <c r="I7158" t="s">
        <v>136</v>
      </c>
    </row>
    <row r="7159" spans="1:9" x14ac:dyDescent="0.3">
      <c r="A7159" t="s">
        <v>35</v>
      </c>
      <c r="B7159" t="s">
        <v>2235</v>
      </c>
      <c r="C7159">
        <v>188</v>
      </c>
      <c r="D7159" t="s">
        <v>547</v>
      </c>
      <c r="E7159" t="s">
        <v>143</v>
      </c>
      <c r="F7159" t="s">
        <v>368</v>
      </c>
      <c r="G7159" t="s">
        <v>99</v>
      </c>
      <c r="H7159" t="s">
        <v>244</v>
      </c>
      <c r="I7159" t="s">
        <v>136</v>
      </c>
    </row>
    <row r="7160" spans="1:9" x14ac:dyDescent="0.3">
      <c r="A7160" t="s">
        <v>35</v>
      </c>
      <c r="B7160" t="s">
        <v>2236</v>
      </c>
      <c r="C7160">
        <v>435</v>
      </c>
      <c r="D7160" t="s">
        <v>448</v>
      </c>
      <c r="E7160" t="s">
        <v>155</v>
      </c>
      <c r="F7160" t="s">
        <v>678</v>
      </c>
      <c r="G7160" t="s">
        <v>253</v>
      </c>
      <c r="H7160" t="s">
        <v>154</v>
      </c>
      <c r="I7160" t="s">
        <v>99</v>
      </c>
    </row>
    <row r="7161" spans="1:9" x14ac:dyDescent="0.3">
      <c r="A7161" t="s">
        <v>35</v>
      </c>
      <c r="B7161" t="s">
        <v>2237</v>
      </c>
      <c r="C7161">
        <v>203</v>
      </c>
      <c r="D7161" t="s">
        <v>858</v>
      </c>
      <c r="E7161" t="s">
        <v>143</v>
      </c>
      <c r="F7161" t="s">
        <v>264</v>
      </c>
      <c r="G7161" t="s">
        <v>99</v>
      </c>
      <c r="H7161" t="s">
        <v>144</v>
      </c>
      <c r="I7161" t="s">
        <v>99</v>
      </c>
    </row>
    <row r="7162" spans="1:9" x14ac:dyDescent="0.3">
      <c r="A7162" t="s">
        <v>35</v>
      </c>
      <c r="B7162" t="s">
        <v>2238</v>
      </c>
      <c r="C7162">
        <v>449</v>
      </c>
      <c r="D7162" t="s">
        <v>1282</v>
      </c>
      <c r="E7162" t="s">
        <v>103</v>
      </c>
      <c r="F7162" t="s">
        <v>222</v>
      </c>
      <c r="G7162" t="s">
        <v>99</v>
      </c>
      <c r="H7162" t="s">
        <v>122</v>
      </c>
      <c r="I7162" t="s">
        <v>99</v>
      </c>
    </row>
    <row r="7163" spans="1:9" x14ac:dyDescent="0.3">
      <c r="A7163" t="s">
        <v>35</v>
      </c>
      <c r="B7163" t="s">
        <v>2239</v>
      </c>
      <c r="C7163">
        <v>173</v>
      </c>
      <c r="D7163" t="s">
        <v>543</v>
      </c>
      <c r="E7163" t="s">
        <v>123</v>
      </c>
      <c r="F7163" t="s">
        <v>687</v>
      </c>
      <c r="G7163" t="s">
        <v>99</v>
      </c>
      <c r="H7163" t="s">
        <v>78</v>
      </c>
      <c r="I7163" t="s">
        <v>99</v>
      </c>
    </row>
    <row r="7164" spans="1:9" x14ac:dyDescent="0.3">
      <c r="A7164" t="s">
        <v>35</v>
      </c>
      <c r="B7164" t="s">
        <v>365</v>
      </c>
      <c r="C7164">
        <v>79</v>
      </c>
      <c r="D7164" t="s">
        <v>245</v>
      </c>
      <c r="E7164" t="s">
        <v>145</v>
      </c>
      <c r="F7164" t="s">
        <v>689</v>
      </c>
      <c r="G7164" t="s">
        <v>114</v>
      </c>
      <c r="H7164" t="s">
        <v>76</v>
      </c>
      <c r="I7164" t="s">
        <v>99</v>
      </c>
    </row>
    <row r="7165" spans="1:9" x14ac:dyDescent="0.3">
      <c r="A7165" t="s">
        <v>37</v>
      </c>
      <c r="B7165" t="s">
        <v>2232</v>
      </c>
      <c r="C7165">
        <v>52</v>
      </c>
      <c r="D7165" t="s">
        <v>939</v>
      </c>
      <c r="E7165" t="s">
        <v>663</v>
      </c>
      <c r="F7165" t="s">
        <v>165</v>
      </c>
      <c r="G7165" t="s">
        <v>99</v>
      </c>
      <c r="H7165" t="s">
        <v>694</v>
      </c>
      <c r="I7165" t="s">
        <v>332</v>
      </c>
    </row>
    <row r="7166" spans="1:9" s="5" customFormat="1" x14ac:dyDescent="0.3">
      <c r="A7166" s="5" t="s">
        <v>37</v>
      </c>
      <c r="B7166" s="5" t="s">
        <v>2233</v>
      </c>
      <c r="C7166" s="5">
        <v>23</v>
      </c>
      <c r="D7166" s="5" t="s">
        <v>857</v>
      </c>
      <c r="E7166" s="5" t="s">
        <v>99</v>
      </c>
      <c r="F7166" s="5" t="s">
        <v>171</v>
      </c>
      <c r="G7166" s="5" t="s">
        <v>99</v>
      </c>
      <c r="H7166" s="5" t="s">
        <v>128</v>
      </c>
      <c r="I7166" s="5" t="s">
        <v>99</v>
      </c>
    </row>
    <row r="7167" spans="1:9" x14ac:dyDescent="0.3">
      <c r="A7167" t="s">
        <v>37</v>
      </c>
      <c r="B7167" t="s">
        <v>2234</v>
      </c>
      <c r="C7167">
        <v>507</v>
      </c>
      <c r="D7167" t="s">
        <v>771</v>
      </c>
      <c r="E7167" t="s">
        <v>143</v>
      </c>
      <c r="F7167" t="s">
        <v>685</v>
      </c>
      <c r="G7167" t="s">
        <v>99</v>
      </c>
      <c r="H7167" t="s">
        <v>154</v>
      </c>
      <c r="I7167" t="s">
        <v>198</v>
      </c>
    </row>
    <row r="7168" spans="1:9" x14ac:dyDescent="0.3">
      <c r="A7168" t="s">
        <v>37</v>
      </c>
      <c r="B7168" t="s">
        <v>2235</v>
      </c>
      <c r="C7168">
        <v>298</v>
      </c>
      <c r="D7168" t="s">
        <v>359</v>
      </c>
      <c r="E7168" t="s">
        <v>98</v>
      </c>
      <c r="F7168" t="s">
        <v>416</v>
      </c>
      <c r="G7168" t="s">
        <v>99</v>
      </c>
      <c r="H7168" t="s">
        <v>663</v>
      </c>
      <c r="I7168" t="s">
        <v>215</v>
      </c>
    </row>
    <row r="7169" spans="1:9" x14ac:dyDescent="0.3">
      <c r="A7169" t="s">
        <v>37</v>
      </c>
      <c r="B7169" t="s">
        <v>2236</v>
      </c>
      <c r="C7169">
        <v>479</v>
      </c>
      <c r="D7169" t="s">
        <v>358</v>
      </c>
      <c r="E7169" t="s">
        <v>468</v>
      </c>
      <c r="F7169" t="s">
        <v>743</v>
      </c>
      <c r="G7169" t="s">
        <v>99</v>
      </c>
      <c r="H7169" t="s">
        <v>100</v>
      </c>
      <c r="I7169" t="s">
        <v>136</v>
      </c>
    </row>
    <row r="7170" spans="1:9" x14ac:dyDescent="0.3">
      <c r="A7170" t="s">
        <v>37</v>
      </c>
      <c r="B7170" t="s">
        <v>2237</v>
      </c>
      <c r="C7170">
        <v>330</v>
      </c>
      <c r="D7170" t="s">
        <v>403</v>
      </c>
      <c r="E7170" t="s">
        <v>684</v>
      </c>
      <c r="F7170" t="s">
        <v>739</v>
      </c>
      <c r="G7170" t="s">
        <v>99</v>
      </c>
      <c r="H7170" t="s">
        <v>118</v>
      </c>
      <c r="I7170" t="s">
        <v>207</v>
      </c>
    </row>
    <row r="7171" spans="1:9" x14ac:dyDescent="0.3">
      <c r="A7171" t="s">
        <v>37</v>
      </c>
      <c r="B7171" t="s">
        <v>2238</v>
      </c>
      <c r="C7171">
        <v>521</v>
      </c>
      <c r="D7171" t="s">
        <v>252</v>
      </c>
      <c r="E7171" t="s">
        <v>151</v>
      </c>
      <c r="F7171" t="s">
        <v>676</v>
      </c>
      <c r="G7171" t="s">
        <v>99</v>
      </c>
      <c r="H7171" t="s">
        <v>118</v>
      </c>
      <c r="I7171" t="s">
        <v>99</v>
      </c>
    </row>
    <row r="7172" spans="1:9" x14ac:dyDescent="0.3">
      <c r="A7172" t="s">
        <v>37</v>
      </c>
      <c r="B7172" t="s">
        <v>2239</v>
      </c>
      <c r="C7172">
        <v>260</v>
      </c>
      <c r="D7172" t="s">
        <v>409</v>
      </c>
      <c r="E7172" t="s">
        <v>68</v>
      </c>
      <c r="F7172" t="s">
        <v>701</v>
      </c>
      <c r="G7172" t="s">
        <v>99</v>
      </c>
      <c r="H7172" t="s">
        <v>135</v>
      </c>
      <c r="I7172" t="s">
        <v>99</v>
      </c>
    </row>
    <row r="7173" spans="1:9" x14ac:dyDescent="0.3">
      <c r="A7173" t="s">
        <v>37</v>
      </c>
      <c r="B7173" t="s">
        <v>365</v>
      </c>
      <c r="C7173">
        <v>193</v>
      </c>
      <c r="D7173" t="s">
        <v>334</v>
      </c>
      <c r="E7173" t="s">
        <v>112</v>
      </c>
      <c r="F7173" t="s">
        <v>218</v>
      </c>
      <c r="G7173" t="s">
        <v>99</v>
      </c>
      <c r="H7173" t="s">
        <v>319</v>
      </c>
      <c r="I7173" t="s">
        <v>117</v>
      </c>
    </row>
    <row r="7174" spans="1:9" s="5" customFormat="1" x14ac:dyDescent="0.3">
      <c r="A7174" s="5" t="s">
        <v>36</v>
      </c>
      <c r="B7174" s="5" t="s">
        <v>2232</v>
      </c>
      <c r="C7174" s="5">
        <v>22</v>
      </c>
      <c r="D7174" s="5" t="s">
        <v>403</v>
      </c>
      <c r="E7174" s="5" t="s">
        <v>663</v>
      </c>
      <c r="F7174" s="5" t="s">
        <v>675</v>
      </c>
      <c r="G7174" s="5" t="s">
        <v>99</v>
      </c>
      <c r="H7174" s="5" t="s">
        <v>111</v>
      </c>
      <c r="I7174" s="5" t="s">
        <v>99</v>
      </c>
    </row>
    <row r="7175" spans="1:9" s="5" customFormat="1" x14ac:dyDescent="0.3">
      <c r="A7175" s="5" t="s">
        <v>36</v>
      </c>
      <c r="B7175" s="5" t="s">
        <v>2233</v>
      </c>
      <c r="C7175" s="5">
        <v>6</v>
      </c>
      <c r="D7175" s="5" t="s">
        <v>600</v>
      </c>
      <c r="E7175" s="5" t="s">
        <v>301</v>
      </c>
      <c r="F7175" s="5" t="s">
        <v>839</v>
      </c>
      <c r="G7175" s="5" t="s">
        <v>99</v>
      </c>
      <c r="H7175" s="5" t="s">
        <v>798</v>
      </c>
      <c r="I7175" s="5" t="s">
        <v>99</v>
      </c>
    </row>
    <row r="7176" spans="1:9" x14ac:dyDescent="0.3">
      <c r="A7176" t="s">
        <v>36</v>
      </c>
      <c r="B7176" t="s">
        <v>2234</v>
      </c>
      <c r="C7176">
        <v>346</v>
      </c>
      <c r="D7176" t="s">
        <v>915</v>
      </c>
      <c r="E7176" t="s">
        <v>712</v>
      </c>
      <c r="F7176" t="s">
        <v>665</v>
      </c>
      <c r="G7176" t="s">
        <v>99</v>
      </c>
      <c r="H7176" t="s">
        <v>262</v>
      </c>
      <c r="I7176" t="s">
        <v>99</v>
      </c>
    </row>
    <row r="7177" spans="1:9" x14ac:dyDescent="0.3">
      <c r="A7177" t="s">
        <v>36</v>
      </c>
      <c r="B7177" t="s">
        <v>2235</v>
      </c>
      <c r="C7177">
        <v>105</v>
      </c>
      <c r="D7177" t="s">
        <v>514</v>
      </c>
      <c r="E7177" t="s">
        <v>291</v>
      </c>
      <c r="F7177" t="s">
        <v>691</v>
      </c>
      <c r="G7177" t="s">
        <v>405</v>
      </c>
      <c r="H7177" t="s">
        <v>206</v>
      </c>
      <c r="I7177" t="s">
        <v>104</v>
      </c>
    </row>
    <row r="7178" spans="1:9" x14ac:dyDescent="0.3">
      <c r="A7178" t="s">
        <v>36</v>
      </c>
      <c r="B7178" t="s">
        <v>2236</v>
      </c>
      <c r="C7178">
        <v>325</v>
      </c>
      <c r="D7178" t="s">
        <v>522</v>
      </c>
      <c r="E7178" t="s">
        <v>353</v>
      </c>
      <c r="F7178" t="s">
        <v>613</v>
      </c>
      <c r="G7178" t="s">
        <v>99</v>
      </c>
      <c r="H7178" t="s">
        <v>160</v>
      </c>
      <c r="I7178" t="s">
        <v>99</v>
      </c>
    </row>
    <row r="7179" spans="1:9" x14ac:dyDescent="0.3">
      <c r="A7179" t="s">
        <v>36</v>
      </c>
      <c r="B7179" t="s">
        <v>2237</v>
      </c>
      <c r="C7179">
        <v>106</v>
      </c>
      <c r="D7179" t="s">
        <v>994</v>
      </c>
      <c r="E7179" t="s">
        <v>110</v>
      </c>
      <c r="F7179" t="s">
        <v>805</v>
      </c>
      <c r="G7179" t="s">
        <v>99</v>
      </c>
      <c r="H7179" t="s">
        <v>244</v>
      </c>
      <c r="I7179" t="s">
        <v>316</v>
      </c>
    </row>
    <row r="7180" spans="1:9" x14ac:dyDescent="0.3">
      <c r="A7180" t="s">
        <v>36</v>
      </c>
      <c r="B7180" t="s">
        <v>2238</v>
      </c>
      <c r="C7180">
        <v>186</v>
      </c>
      <c r="D7180" t="s">
        <v>297</v>
      </c>
      <c r="E7180" t="s">
        <v>132</v>
      </c>
      <c r="F7180" t="s">
        <v>1222</v>
      </c>
      <c r="G7180" t="s">
        <v>99</v>
      </c>
      <c r="H7180" t="s">
        <v>118</v>
      </c>
      <c r="I7180" t="s">
        <v>99</v>
      </c>
    </row>
    <row r="7181" spans="1:9" x14ac:dyDescent="0.3">
      <c r="A7181" t="s">
        <v>36</v>
      </c>
      <c r="B7181" t="s">
        <v>2239</v>
      </c>
      <c r="C7181">
        <v>99</v>
      </c>
      <c r="D7181" t="s">
        <v>2120</v>
      </c>
      <c r="E7181" t="s">
        <v>316</v>
      </c>
      <c r="F7181" t="s">
        <v>595</v>
      </c>
      <c r="G7181" t="s">
        <v>99</v>
      </c>
      <c r="H7181" t="s">
        <v>115</v>
      </c>
      <c r="I7181" t="s">
        <v>99</v>
      </c>
    </row>
    <row r="7182" spans="1:9" x14ac:dyDescent="0.3">
      <c r="A7182" t="s">
        <v>36</v>
      </c>
      <c r="B7182" t="s">
        <v>365</v>
      </c>
      <c r="C7182">
        <v>50</v>
      </c>
      <c r="D7182" t="s">
        <v>1006</v>
      </c>
      <c r="E7182" t="s">
        <v>218</v>
      </c>
      <c r="F7182" t="s">
        <v>283</v>
      </c>
      <c r="G7182" t="s">
        <v>680</v>
      </c>
      <c r="H7182" t="s">
        <v>253</v>
      </c>
      <c r="I7182" t="s">
        <v>99</v>
      </c>
    </row>
    <row r="7183" spans="1:9" s="5" customFormat="1" x14ac:dyDescent="0.3">
      <c r="A7183" s="5" t="s">
        <v>34</v>
      </c>
      <c r="B7183" s="5" t="s">
        <v>2232</v>
      </c>
      <c r="C7183" s="5">
        <v>9</v>
      </c>
      <c r="D7183" s="5" t="s">
        <v>331</v>
      </c>
      <c r="E7183" s="5" t="s">
        <v>99</v>
      </c>
      <c r="F7183" s="5" t="s">
        <v>99</v>
      </c>
      <c r="G7183" s="5" t="s">
        <v>99</v>
      </c>
      <c r="H7183" s="5" t="s">
        <v>112</v>
      </c>
      <c r="I7183" s="5" t="s">
        <v>99</v>
      </c>
    </row>
    <row r="7184" spans="1:9" s="5" customFormat="1" x14ac:dyDescent="0.3">
      <c r="A7184" s="5" t="s">
        <v>34</v>
      </c>
      <c r="B7184" s="5" t="s">
        <v>2233</v>
      </c>
      <c r="C7184" s="5">
        <v>2</v>
      </c>
      <c r="D7184" s="5" t="s">
        <v>960</v>
      </c>
      <c r="E7184" s="5" t="s">
        <v>99</v>
      </c>
      <c r="F7184" s="5" t="s">
        <v>99</v>
      </c>
      <c r="G7184" s="5" t="s">
        <v>99</v>
      </c>
      <c r="H7184" s="5" t="s">
        <v>1065</v>
      </c>
      <c r="I7184" s="5" t="s">
        <v>99</v>
      </c>
    </row>
    <row r="7185" spans="1:9" x14ac:dyDescent="0.3">
      <c r="A7185" t="s">
        <v>34</v>
      </c>
      <c r="B7185" t="s">
        <v>2234</v>
      </c>
      <c r="C7185">
        <v>254</v>
      </c>
      <c r="D7185" t="s">
        <v>974</v>
      </c>
      <c r="E7185" t="s">
        <v>152</v>
      </c>
      <c r="F7185" t="s">
        <v>802</v>
      </c>
      <c r="G7185" t="s">
        <v>99</v>
      </c>
      <c r="H7185" t="s">
        <v>72</v>
      </c>
      <c r="I7185" t="s">
        <v>99</v>
      </c>
    </row>
    <row r="7186" spans="1:9" x14ac:dyDescent="0.3">
      <c r="A7186" t="s">
        <v>34</v>
      </c>
      <c r="B7186" t="s">
        <v>2235</v>
      </c>
      <c r="C7186">
        <v>101</v>
      </c>
      <c r="D7186" t="s">
        <v>1050</v>
      </c>
      <c r="E7186" t="s">
        <v>316</v>
      </c>
      <c r="F7186" t="s">
        <v>222</v>
      </c>
      <c r="G7186" t="s">
        <v>99</v>
      </c>
      <c r="H7186" t="s">
        <v>372</v>
      </c>
      <c r="I7186" t="s">
        <v>127</v>
      </c>
    </row>
    <row r="7187" spans="1:9" x14ac:dyDescent="0.3">
      <c r="A7187" t="s">
        <v>34</v>
      </c>
      <c r="B7187" t="s">
        <v>2236</v>
      </c>
      <c r="C7187">
        <v>223</v>
      </c>
      <c r="D7187" t="s">
        <v>1480</v>
      </c>
      <c r="E7187" t="s">
        <v>204</v>
      </c>
      <c r="F7187" t="s">
        <v>809</v>
      </c>
      <c r="G7187" t="s">
        <v>99</v>
      </c>
      <c r="H7187" t="s">
        <v>363</v>
      </c>
      <c r="I7187" t="s">
        <v>99</v>
      </c>
    </row>
    <row r="7188" spans="1:9" x14ac:dyDescent="0.3">
      <c r="A7188" t="s">
        <v>34</v>
      </c>
      <c r="B7188" t="s">
        <v>2237</v>
      </c>
      <c r="C7188">
        <v>119</v>
      </c>
      <c r="D7188" t="s">
        <v>300</v>
      </c>
      <c r="E7188" t="s">
        <v>144</v>
      </c>
      <c r="F7188" t="s">
        <v>534</v>
      </c>
      <c r="G7188" t="s">
        <v>99</v>
      </c>
      <c r="H7188" t="s">
        <v>201</v>
      </c>
      <c r="I7188" t="s">
        <v>99</v>
      </c>
    </row>
    <row r="7189" spans="1:9" x14ac:dyDescent="0.3">
      <c r="A7189" t="s">
        <v>34</v>
      </c>
      <c r="B7189" t="s">
        <v>2238</v>
      </c>
      <c r="C7189">
        <v>225</v>
      </c>
      <c r="D7189" t="s">
        <v>1292</v>
      </c>
      <c r="E7189" t="s">
        <v>134</v>
      </c>
      <c r="F7189" t="s">
        <v>677</v>
      </c>
      <c r="G7189" t="s">
        <v>99</v>
      </c>
      <c r="H7189" t="s">
        <v>722</v>
      </c>
      <c r="I7189" t="s">
        <v>99</v>
      </c>
    </row>
    <row r="7190" spans="1:9" x14ac:dyDescent="0.3">
      <c r="A7190" t="s">
        <v>34</v>
      </c>
      <c r="B7190" t="s">
        <v>2239</v>
      </c>
      <c r="C7190">
        <v>120</v>
      </c>
      <c r="D7190" t="s">
        <v>524</v>
      </c>
      <c r="E7190" t="s">
        <v>132</v>
      </c>
      <c r="F7190" t="s">
        <v>296</v>
      </c>
      <c r="G7190" t="s">
        <v>99</v>
      </c>
      <c r="H7190" t="s">
        <v>291</v>
      </c>
      <c r="I7190" t="s">
        <v>99</v>
      </c>
    </row>
    <row r="7191" spans="1:9" x14ac:dyDescent="0.3">
      <c r="A7191" t="s">
        <v>34</v>
      </c>
      <c r="B7191" t="s">
        <v>365</v>
      </c>
      <c r="C7191">
        <v>53</v>
      </c>
      <c r="D7191" t="s">
        <v>1064</v>
      </c>
      <c r="E7191" t="s">
        <v>149</v>
      </c>
      <c r="F7191" t="s">
        <v>186</v>
      </c>
      <c r="G7191" t="s">
        <v>99</v>
      </c>
      <c r="H7191" t="s">
        <v>171</v>
      </c>
      <c r="I7191" t="s">
        <v>99</v>
      </c>
    </row>
    <row r="7192" spans="1:9" s="5" customFormat="1" x14ac:dyDescent="0.3">
      <c r="A7192" s="5" t="s">
        <v>33</v>
      </c>
      <c r="B7192" s="5" t="s">
        <v>2232</v>
      </c>
      <c r="C7192" s="5">
        <v>14</v>
      </c>
      <c r="D7192" s="5" t="s">
        <v>877</v>
      </c>
      <c r="E7192" s="5" t="s">
        <v>722</v>
      </c>
      <c r="F7192" s="5" t="s">
        <v>291</v>
      </c>
      <c r="G7192" s="5" t="s">
        <v>99</v>
      </c>
      <c r="H7192" s="5" t="s">
        <v>99</v>
      </c>
      <c r="I7192" s="5" t="s">
        <v>99</v>
      </c>
    </row>
    <row r="7193" spans="1:9" s="5" customFormat="1" x14ac:dyDescent="0.3">
      <c r="A7193" s="5" t="s">
        <v>33</v>
      </c>
      <c r="B7193" s="5" t="s">
        <v>2233</v>
      </c>
      <c r="C7193" s="5">
        <v>9</v>
      </c>
      <c r="D7193" s="5" t="s">
        <v>1007</v>
      </c>
      <c r="E7193" s="5" t="s">
        <v>99</v>
      </c>
      <c r="F7193" s="5" t="s">
        <v>708</v>
      </c>
      <c r="G7193" s="5" t="s">
        <v>99</v>
      </c>
      <c r="H7193" s="5" t="s">
        <v>99</v>
      </c>
      <c r="I7193" s="5" t="s">
        <v>99</v>
      </c>
    </row>
    <row r="7194" spans="1:9" x14ac:dyDescent="0.3">
      <c r="A7194" t="s">
        <v>33</v>
      </c>
      <c r="B7194" t="s">
        <v>2234</v>
      </c>
      <c r="C7194">
        <v>198</v>
      </c>
      <c r="D7194" t="s">
        <v>441</v>
      </c>
      <c r="E7194" t="s">
        <v>248</v>
      </c>
      <c r="F7194" t="s">
        <v>437</v>
      </c>
      <c r="G7194" t="s">
        <v>99</v>
      </c>
      <c r="H7194" t="s">
        <v>332</v>
      </c>
      <c r="I7194" t="s">
        <v>99</v>
      </c>
    </row>
    <row r="7195" spans="1:9" x14ac:dyDescent="0.3">
      <c r="A7195" t="s">
        <v>33</v>
      </c>
      <c r="B7195" t="s">
        <v>2235</v>
      </c>
      <c r="C7195">
        <v>129</v>
      </c>
      <c r="D7195" t="s">
        <v>343</v>
      </c>
      <c r="E7195" t="s">
        <v>675</v>
      </c>
      <c r="F7195" t="s">
        <v>929</v>
      </c>
      <c r="G7195" t="s">
        <v>99</v>
      </c>
      <c r="H7195" t="s">
        <v>382</v>
      </c>
      <c r="I7195" t="s">
        <v>99</v>
      </c>
    </row>
    <row r="7196" spans="1:9" x14ac:dyDescent="0.3">
      <c r="A7196" t="s">
        <v>33</v>
      </c>
      <c r="B7196" t="s">
        <v>2236</v>
      </c>
      <c r="C7196">
        <v>179</v>
      </c>
      <c r="D7196" t="s">
        <v>1325</v>
      </c>
      <c r="E7196" t="s">
        <v>144</v>
      </c>
      <c r="F7196" t="s">
        <v>1156</v>
      </c>
      <c r="G7196" t="s">
        <v>99</v>
      </c>
      <c r="H7196" t="s">
        <v>121</v>
      </c>
      <c r="I7196" t="s">
        <v>99</v>
      </c>
    </row>
    <row r="7197" spans="1:9" x14ac:dyDescent="0.3">
      <c r="A7197" t="s">
        <v>33</v>
      </c>
      <c r="B7197" t="s">
        <v>2237</v>
      </c>
      <c r="C7197">
        <v>121</v>
      </c>
      <c r="D7197" t="s">
        <v>1407</v>
      </c>
      <c r="E7197" t="s">
        <v>990</v>
      </c>
      <c r="F7197" t="s">
        <v>695</v>
      </c>
      <c r="G7197" t="s">
        <v>99</v>
      </c>
      <c r="H7197" t="s">
        <v>132</v>
      </c>
      <c r="I7197" t="s">
        <v>99</v>
      </c>
    </row>
    <row r="7198" spans="1:9" x14ac:dyDescent="0.3">
      <c r="A7198" t="s">
        <v>33</v>
      </c>
      <c r="B7198" t="s">
        <v>2238</v>
      </c>
      <c r="C7198">
        <v>193</v>
      </c>
      <c r="D7198" t="s">
        <v>520</v>
      </c>
      <c r="E7198" t="s">
        <v>107</v>
      </c>
      <c r="F7198" t="s">
        <v>62</v>
      </c>
      <c r="G7198" t="s">
        <v>99</v>
      </c>
      <c r="H7198" t="s">
        <v>268</v>
      </c>
      <c r="I7198" t="s">
        <v>99</v>
      </c>
    </row>
    <row r="7199" spans="1:9" x14ac:dyDescent="0.3">
      <c r="A7199" t="s">
        <v>33</v>
      </c>
      <c r="B7199" t="s">
        <v>2239</v>
      </c>
      <c r="C7199">
        <v>108</v>
      </c>
      <c r="D7199" t="s">
        <v>59</v>
      </c>
      <c r="E7199" t="s">
        <v>118</v>
      </c>
      <c r="F7199" t="s">
        <v>794</v>
      </c>
      <c r="G7199" t="s">
        <v>99</v>
      </c>
      <c r="H7199" t="s">
        <v>111</v>
      </c>
      <c r="I7199" t="s">
        <v>99</v>
      </c>
    </row>
    <row r="7200" spans="1:9" x14ac:dyDescent="0.3">
      <c r="A7200" t="s">
        <v>33</v>
      </c>
      <c r="B7200" t="s">
        <v>365</v>
      </c>
      <c r="C7200">
        <v>82</v>
      </c>
      <c r="D7200" t="s">
        <v>900</v>
      </c>
      <c r="E7200" t="s">
        <v>134</v>
      </c>
      <c r="F7200" t="s">
        <v>909</v>
      </c>
      <c r="G7200" t="s">
        <v>99</v>
      </c>
      <c r="H7200" t="s">
        <v>100</v>
      </c>
      <c r="I7200" t="s">
        <v>99</v>
      </c>
    </row>
    <row r="7201" spans="1:11" x14ac:dyDescent="0.3">
      <c r="A7201" t="s">
        <v>49</v>
      </c>
      <c r="B7201" t="s">
        <v>2232</v>
      </c>
      <c r="C7201">
        <v>129</v>
      </c>
      <c r="D7201" t="s">
        <v>397</v>
      </c>
      <c r="E7201" t="s">
        <v>412</v>
      </c>
      <c r="F7201" t="s">
        <v>296</v>
      </c>
      <c r="G7201" t="s">
        <v>99</v>
      </c>
      <c r="H7201" t="s">
        <v>289</v>
      </c>
      <c r="I7201" t="s">
        <v>382</v>
      </c>
    </row>
    <row r="7202" spans="1:11" x14ac:dyDescent="0.3">
      <c r="A7202" t="s">
        <v>49</v>
      </c>
      <c r="B7202" t="s">
        <v>2233</v>
      </c>
      <c r="C7202">
        <v>56</v>
      </c>
      <c r="D7202" t="s">
        <v>166</v>
      </c>
      <c r="E7202" t="s">
        <v>103</v>
      </c>
      <c r="F7202" t="s">
        <v>688</v>
      </c>
      <c r="G7202" t="s">
        <v>99</v>
      </c>
      <c r="H7202" t="s">
        <v>130</v>
      </c>
      <c r="I7202" t="s">
        <v>99</v>
      </c>
    </row>
    <row r="7203" spans="1:11" x14ac:dyDescent="0.3">
      <c r="A7203" t="s">
        <v>49</v>
      </c>
      <c r="B7203" t="s">
        <v>2234</v>
      </c>
      <c r="C7203">
        <v>1787</v>
      </c>
      <c r="D7203" t="s">
        <v>784</v>
      </c>
      <c r="E7203" t="s">
        <v>158</v>
      </c>
      <c r="F7203" t="s">
        <v>406</v>
      </c>
      <c r="G7203" t="s">
        <v>99</v>
      </c>
      <c r="H7203" t="s">
        <v>122</v>
      </c>
      <c r="I7203" t="s">
        <v>198</v>
      </c>
    </row>
    <row r="7204" spans="1:11" x14ac:dyDescent="0.3">
      <c r="A7204" t="s">
        <v>49</v>
      </c>
      <c r="B7204" t="s">
        <v>2235</v>
      </c>
      <c r="C7204">
        <v>821</v>
      </c>
      <c r="D7204" t="s">
        <v>524</v>
      </c>
      <c r="E7204" t="s">
        <v>468</v>
      </c>
      <c r="F7204" t="s">
        <v>739</v>
      </c>
      <c r="G7204" t="s">
        <v>136</v>
      </c>
      <c r="H7204" t="s">
        <v>125</v>
      </c>
      <c r="I7204" t="s">
        <v>114</v>
      </c>
    </row>
    <row r="7205" spans="1:11" x14ac:dyDescent="0.3">
      <c r="A7205" t="s">
        <v>49</v>
      </c>
      <c r="B7205" t="s">
        <v>2236</v>
      </c>
      <c r="C7205">
        <v>1641</v>
      </c>
      <c r="D7205" t="s">
        <v>1137</v>
      </c>
      <c r="E7205" t="s">
        <v>98</v>
      </c>
      <c r="F7205" t="s">
        <v>1045</v>
      </c>
      <c r="G7205" t="s">
        <v>198</v>
      </c>
      <c r="H7205" t="s">
        <v>134</v>
      </c>
      <c r="I7205" t="s">
        <v>104</v>
      </c>
    </row>
    <row r="7206" spans="1:11" x14ac:dyDescent="0.3">
      <c r="A7206" t="s">
        <v>49</v>
      </c>
      <c r="B7206" t="s">
        <v>2237</v>
      </c>
      <c r="C7206">
        <v>879</v>
      </c>
      <c r="D7206" t="s">
        <v>407</v>
      </c>
      <c r="E7206" t="s">
        <v>679</v>
      </c>
      <c r="F7206" t="s">
        <v>309</v>
      </c>
      <c r="G7206" t="s">
        <v>99</v>
      </c>
      <c r="H7206" t="s">
        <v>144</v>
      </c>
      <c r="I7206" t="s">
        <v>198</v>
      </c>
    </row>
    <row r="7207" spans="1:11" x14ac:dyDescent="0.3">
      <c r="A7207" t="s">
        <v>49</v>
      </c>
      <c r="B7207" t="s">
        <v>2238</v>
      </c>
      <c r="C7207">
        <v>1574</v>
      </c>
      <c r="D7207" t="s">
        <v>176</v>
      </c>
      <c r="E7207" t="s">
        <v>103</v>
      </c>
      <c r="F7207" t="s">
        <v>740</v>
      </c>
      <c r="G7207" t="s">
        <v>99</v>
      </c>
      <c r="H7207" t="s">
        <v>158</v>
      </c>
      <c r="I7207" t="s">
        <v>99</v>
      </c>
    </row>
    <row r="7208" spans="1:11" x14ac:dyDescent="0.3">
      <c r="A7208" t="s">
        <v>49</v>
      </c>
      <c r="B7208" t="s">
        <v>2239</v>
      </c>
      <c r="C7208">
        <v>760</v>
      </c>
      <c r="D7208" t="s">
        <v>1226</v>
      </c>
      <c r="E7208" t="s">
        <v>155</v>
      </c>
      <c r="F7208" t="s">
        <v>197</v>
      </c>
      <c r="G7208" t="s">
        <v>99</v>
      </c>
      <c r="H7208" t="s">
        <v>254</v>
      </c>
      <c r="I7208" t="s">
        <v>99</v>
      </c>
    </row>
    <row r="7209" spans="1:11" x14ac:dyDescent="0.3">
      <c r="A7209" t="s">
        <v>49</v>
      </c>
      <c r="B7209" t="s">
        <v>365</v>
      </c>
      <c r="C7209">
        <v>457</v>
      </c>
      <c r="D7209" t="s">
        <v>1362</v>
      </c>
      <c r="E7209" t="s">
        <v>684</v>
      </c>
      <c r="F7209" t="s">
        <v>741</v>
      </c>
      <c r="G7209" t="s">
        <v>108</v>
      </c>
      <c r="H7209" t="s">
        <v>149</v>
      </c>
      <c r="I7209" t="s">
        <v>100</v>
      </c>
    </row>
    <row r="7211" spans="1:11" x14ac:dyDescent="0.3">
      <c r="A7211" t="s">
        <v>2240</v>
      </c>
    </row>
    <row r="7212" spans="1:11" x14ac:dyDescent="0.3">
      <c r="A7212" t="s">
        <v>44</v>
      </c>
      <c r="B7212" t="s">
        <v>32</v>
      </c>
      <c r="C7212" t="s">
        <v>2241</v>
      </c>
      <c r="D7212" t="s">
        <v>2242</v>
      </c>
      <c r="E7212" t="s">
        <v>2243</v>
      </c>
      <c r="F7212" t="s">
        <v>2244</v>
      </c>
      <c r="G7212" t="s">
        <v>2245</v>
      </c>
      <c r="H7212" t="s">
        <v>2246</v>
      </c>
      <c r="I7212" t="s">
        <v>1275</v>
      </c>
      <c r="J7212" t="s">
        <v>83</v>
      </c>
      <c r="K7212" t="s">
        <v>193</v>
      </c>
    </row>
    <row r="7213" spans="1:11" x14ac:dyDescent="0.3">
      <c r="A7213" t="s">
        <v>35</v>
      </c>
      <c r="B7213">
        <v>3145</v>
      </c>
      <c r="C7213" t="s">
        <v>226</v>
      </c>
      <c r="D7213" t="s">
        <v>68</v>
      </c>
      <c r="E7213" t="s">
        <v>126</v>
      </c>
      <c r="F7213" t="s">
        <v>104</v>
      </c>
      <c r="G7213" t="s">
        <v>99</v>
      </c>
      <c r="H7213" t="s">
        <v>136</v>
      </c>
      <c r="I7213" t="s">
        <v>115</v>
      </c>
      <c r="J7213" t="s">
        <v>104</v>
      </c>
      <c r="K7213" t="s">
        <v>104</v>
      </c>
    </row>
    <row r="7214" spans="1:11" x14ac:dyDescent="0.3">
      <c r="A7214" t="s">
        <v>37</v>
      </c>
      <c r="B7214">
        <v>3855</v>
      </c>
      <c r="C7214" t="s">
        <v>419</v>
      </c>
      <c r="D7214" t="s">
        <v>145</v>
      </c>
      <c r="E7214" t="s">
        <v>151</v>
      </c>
      <c r="F7214" t="s">
        <v>99</v>
      </c>
      <c r="G7214" t="s">
        <v>99</v>
      </c>
      <c r="H7214" t="s">
        <v>99</v>
      </c>
      <c r="I7214" t="s">
        <v>136</v>
      </c>
      <c r="J7214" t="s">
        <v>104</v>
      </c>
      <c r="K7214" t="s">
        <v>99</v>
      </c>
    </row>
    <row r="7215" spans="1:11" x14ac:dyDescent="0.3">
      <c r="A7215" t="s">
        <v>36</v>
      </c>
      <c r="B7215">
        <v>2304</v>
      </c>
      <c r="C7215" t="s">
        <v>252</v>
      </c>
      <c r="D7215" t="s">
        <v>145</v>
      </c>
      <c r="E7215" t="s">
        <v>101</v>
      </c>
      <c r="F7215" t="s">
        <v>99</v>
      </c>
      <c r="G7215" t="s">
        <v>99</v>
      </c>
      <c r="H7215" t="s">
        <v>115</v>
      </c>
      <c r="I7215" t="s">
        <v>141</v>
      </c>
      <c r="J7215" t="s">
        <v>207</v>
      </c>
      <c r="K7215" t="s">
        <v>104</v>
      </c>
    </row>
    <row r="7216" spans="1:11" x14ac:dyDescent="0.3">
      <c r="A7216" t="s">
        <v>34</v>
      </c>
      <c r="B7216">
        <v>2080</v>
      </c>
      <c r="C7216" t="s">
        <v>409</v>
      </c>
      <c r="D7216" t="s">
        <v>152</v>
      </c>
      <c r="E7216" t="s">
        <v>101</v>
      </c>
      <c r="F7216" t="s">
        <v>104</v>
      </c>
      <c r="G7216" t="s">
        <v>115</v>
      </c>
      <c r="H7216" t="s">
        <v>154</v>
      </c>
      <c r="I7216" t="s">
        <v>108</v>
      </c>
      <c r="J7216" t="s">
        <v>104</v>
      </c>
      <c r="K7216" t="s">
        <v>99</v>
      </c>
    </row>
    <row r="7217" spans="1:12" x14ac:dyDescent="0.3">
      <c r="A7217" t="s">
        <v>33</v>
      </c>
      <c r="B7217">
        <v>1937</v>
      </c>
      <c r="C7217" t="s">
        <v>162</v>
      </c>
      <c r="D7217" t="s">
        <v>684</v>
      </c>
      <c r="E7217" t="s">
        <v>115</v>
      </c>
      <c r="F7217" t="s">
        <v>207</v>
      </c>
      <c r="G7217" t="s">
        <v>99</v>
      </c>
      <c r="H7217" t="s">
        <v>198</v>
      </c>
      <c r="I7217" t="s">
        <v>136</v>
      </c>
      <c r="J7217" t="s">
        <v>99</v>
      </c>
      <c r="K7217" t="s">
        <v>99</v>
      </c>
    </row>
    <row r="7218" spans="1:12" x14ac:dyDescent="0.3">
      <c r="A7218" t="s">
        <v>49</v>
      </c>
      <c r="B7218">
        <v>13321</v>
      </c>
      <c r="C7218" t="s">
        <v>354</v>
      </c>
      <c r="D7218" t="s">
        <v>325</v>
      </c>
      <c r="E7218" t="s">
        <v>126</v>
      </c>
      <c r="F7218" t="s">
        <v>104</v>
      </c>
      <c r="G7218" t="s">
        <v>104</v>
      </c>
      <c r="H7218" t="s">
        <v>108</v>
      </c>
      <c r="I7218" t="s">
        <v>253</v>
      </c>
      <c r="J7218" t="s">
        <v>104</v>
      </c>
      <c r="K7218" t="s">
        <v>99</v>
      </c>
    </row>
    <row r="7220" spans="1:12" x14ac:dyDescent="0.3">
      <c r="A7220" t="s">
        <v>2247</v>
      </c>
    </row>
    <row r="7221" spans="1:12" x14ac:dyDescent="0.3">
      <c r="A7221" t="s">
        <v>44</v>
      </c>
      <c r="B7221" t="s">
        <v>361</v>
      </c>
      <c r="C7221" t="s">
        <v>32</v>
      </c>
      <c r="D7221" t="s">
        <v>2241</v>
      </c>
      <c r="E7221" t="s">
        <v>2242</v>
      </c>
      <c r="F7221" t="s">
        <v>2243</v>
      </c>
      <c r="G7221" t="s">
        <v>2244</v>
      </c>
      <c r="H7221" t="s">
        <v>2245</v>
      </c>
      <c r="I7221" t="s">
        <v>2246</v>
      </c>
      <c r="J7221" t="s">
        <v>1275</v>
      </c>
      <c r="K7221" t="s">
        <v>83</v>
      </c>
      <c r="L7221" t="s">
        <v>193</v>
      </c>
    </row>
    <row r="7222" spans="1:12" x14ac:dyDescent="0.3">
      <c r="A7222" t="s">
        <v>35</v>
      </c>
      <c r="B7222" t="s">
        <v>339</v>
      </c>
      <c r="C7222">
        <v>890</v>
      </c>
      <c r="D7222" t="s">
        <v>180</v>
      </c>
      <c r="E7222" t="s">
        <v>401</v>
      </c>
      <c r="F7222" t="s">
        <v>120</v>
      </c>
      <c r="G7222" t="s">
        <v>104</v>
      </c>
      <c r="H7222" t="s">
        <v>99</v>
      </c>
      <c r="I7222" t="s">
        <v>115</v>
      </c>
      <c r="J7222" t="s">
        <v>114</v>
      </c>
      <c r="K7222" t="s">
        <v>104</v>
      </c>
      <c r="L7222" t="s">
        <v>198</v>
      </c>
    </row>
    <row r="7223" spans="1:12" x14ac:dyDescent="0.3">
      <c r="A7223" t="s">
        <v>35</v>
      </c>
      <c r="B7223" t="s">
        <v>340</v>
      </c>
      <c r="C7223">
        <v>2215</v>
      </c>
      <c r="D7223" t="s">
        <v>1438</v>
      </c>
      <c r="E7223" t="s">
        <v>154</v>
      </c>
      <c r="F7223" t="s">
        <v>114</v>
      </c>
      <c r="G7223" t="s">
        <v>104</v>
      </c>
      <c r="H7223" t="s">
        <v>99</v>
      </c>
      <c r="I7223" t="s">
        <v>207</v>
      </c>
      <c r="J7223" t="s">
        <v>141</v>
      </c>
      <c r="K7223" t="s">
        <v>99</v>
      </c>
      <c r="L7223" t="s">
        <v>99</v>
      </c>
    </row>
    <row r="7224" spans="1:12" x14ac:dyDescent="0.3">
      <c r="A7224" t="s">
        <v>35</v>
      </c>
      <c r="B7224" t="s">
        <v>365</v>
      </c>
      <c r="C7224">
        <v>40</v>
      </c>
      <c r="D7224" t="s">
        <v>211</v>
      </c>
      <c r="E7224" t="s">
        <v>99</v>
      </c>
      <c r="F7224" t="s">
        <v>99</v>
      </c>
      <c r="G7224" t="s">
        <v>99</v>
      </c>
      <c r="H7224" t="s">
        <v>99</v>
      </c>
      <c r="I7224" t="s">
        <v>99</v>
      </c>
      <c r="J7224" t="s">
        <v>99</v>
      </c>
      <c r="K7224" t="s">
        <v>99</v>
      </c>
      <c r="L7224" t="s">
        <v>99</v>
      </c>
    </row>
    <row r="7225" spans="1:12" x14ac:dyDescent="0.3">
      <c r="A7225" t="s">
        <v>37</v>
      </c>
      <c r="B7225" t="s">
        <v>339</v>
      </c>
      <c r="C7225">
        <v>1093</v>
      </c>
      <c r="D7225" t="s">
        <v>314</v>
      </c>
      <c r="E7225" t="s">
        <v>287</v>
      </c>
      <c r="F7225" t="s">
        <v>105</v>
      </c>
      <c r="G7225" t="s">
        <v>104</v>
      </c>
      <c r="H7225" t="s">
        <v>99</v>
      </c>
      <c r="I7225" t="s">
        <v>99</v>
      </c>
      <c r="J7225" t="s">
        <v>114</v>
      </c>
      <c r="K7225" t="s">
        <v>207</v>
      </c>
      <c r="L7225" t="s">
        <v>99</v>
      </c>
    </row>
    <row r="7226" spans="1:12" x14ac:dyDescent="0.3">
      <c r="A7226" t="s">
        <v>37</v>
      </c>
      <c r="B7226" t="s">
        <v>340</v>
      </c>
      <c r="C7226">
        <v>2721</v>
      </c>
      <c r="D7226" t="s">
        <v>467</v>
      </c>
      <c r="E7226" t="s">
        <v>139</v>
      </c>
      <c r="F7226" t="s">
        <v>382</v>
      </c>
      <c r="G7226" t="s">
        <v>99</v>
      </c>
      <c r="H7226" t="s">
        <v>99</v>
      </c>
      <c r="I7226" t="s">
        <v>104</v>
      </c>
      <c r="J7226" t="s">
        <v>198</v>
      </c>
      <c r="K7226" t="s">
        <v>99</v>
      </c>
      <c r="L7226" t="s">
        <v>104</v>
      </c>
    </row>
    <row r="7227" spans="1:12" x14ac:dyDescent="0.3">
      <c r="A7227" t="s">
        <v>37</v>
      </c>
      <c r="B7227" t="s">
        <v>365</v>
      </c>
      <c r="C7227">
        <v>41</v>
      </c>
      <c r="D7227" t="s">
        <v>433</v>
      </c>
      <c r="E7227" t="s">
        <v>99</v>
      </c>
      <c r="F7227" t="s">
        <v>99</v>
      </c>
      <c r="G7227" t="s">
        <v>99</v>
      </c>
      <c r="H7227" t="s">
        <v>99</v>
      </c>
      <c r="I7227" t="s">
        <v>99</v>
      </c>
      <c r="J7227" t="s">
        <v>99</v>
      </c>
      <c r="K7227" t="s">
        <v>434</v>
      </c>
      <c r="L7227" t="s">
        <v>99</v>
      </c>
    </row>
    <row r="7228" spans="1:12" x14ac:dyDescent="0.3">
      <c r="A7228" t="s">
        <v>36</v>
      </c>
      <c r="B7228" t="s">
        <v>339</v>
      </c>
      <c r="C7228">
        <v>770</v>
      </c>
      <c r="D7228" t="s">
        <v>762</v>
      </c>
      <c r="E7228" t="s">
        <v>133</v>
      </c>
      <c r="F7228" t="s">
        <v>292</v>
      </c>
      <c r="G7228" t="s">
        <v>99</v>
      </c>
      <c r="H7228" t="s">
        <v>99</v>
      </c>
      <c r="I7228" t="s">
        <v>207</v>
      </c>
      <c r="J7228" t="s">
        <v>101</v>
      </c>
      <c r="K7228" t="s">
        <v>114</v>
      </c>
      <c r="L7228" t="s">
        <v>198</v>
      </c>
    </row>
    <row r="7229" spans="1:12" x14ac:dyDescent="0.3">
      <c r="A7229" t="s">
        <v>36</v>
      </c>
      <c r="B7229" t="s">
        <v>340</v>
      </c>
      <c r="C7229">
        <v>1471</v>
      </c>
      <c r="D7229" t="s">
        <v>162</v>
      </c>
      <c r="E7229" t="s">
        <v>242</v>
      </c>
      <c r="F7229" t="s">
        <v>108</v>
      </c>
      <c r="G7229" t="s">
        <v>99</v>
      </c>
      <c r="H7229" t="s">
        <v>99</v>
      </c>
      <c r="I7229" t="s">
        <v>132</v>
      </c>
      <c r="J7229" t="s">
        <v>104</v>
      </c>
      <c r="K7229" t="s">
        <v>99</v>
      </c>
      <c r="L7229" t="s">
        <v>99</v>
      </c>
    </row>
    <row r="7230" spans="1:12" x14ac:dyDescent="0.3">
      <c r="A7230" t="s">
        <v>36</v>
      </c>
      <c r="B7230" t="s">
        <v>365</v>
      </c>
      <c r="C7230">
        <v>63</v>
      </c>
      <c r="D7230" t="s">
        <v>786</v>
      </c>
      <c r="E7230" t="s">
        <v>382</v>
      </c>
      <c r="F7230" t="s">
        <v>99</v>
      </c>
      <c r="G7230" t="s">
        <v>99</v>
      </c>
      <c r="H7230" t="s">
        <v>99</v>
      </c>
      <c r="I7230" t="s">
        <v>105</v>
      </c>
      <c r="J7230" t="s">
        <v>99</v>
      </c>
      <c r="K7230" t="s">
        <v>99</v>
      </c>
      <c r="L7230" t="s">
        <v>99</v>
      </c>
    </row>
    <row r="7231" spans="1:12" x14ac:dyDescent="0.3">
      <c r="A7231" t="s">
        <v>34</v>
      </c>
      <c r="B7231" t="s">
        <v>339</v>
      </c>
      <c r="C7231">
        <v>555</v>
      </c>
      <c r="D7231" t="s">
        <v>396</v>
      </c>
      <c r="E7231" t="s">
        <v>311</v>
      </c>
      <c r="F7231" t="s">
        <v>111</v>
      </c>
      <c r="G7231" t="s">
        <v>99</v>
      </c>
      <c r="H7231" t="s">
        <v>253</v>
      </c>
      <c r="I7231" t="s">
        <v>242</v>
      </c>
      <c r="J7231" t="s">
        <v>382</v>
      </c>
      <c r="K7231" t="s">
        <v>99</v>
      </c>
      <c r="L7231" t="s">
        <v>99</v>
      </c>
    </row>
    <row r="7232" spans="1:12" x14ac:dyDescent="0.3">
      <c r="A7232" t="s">
        <v>34</v>
      </c>
      <c r="B7232" t="s">
        <v>340</v>
      </c>
      <c r="C7232">
        <v>1497</v>
      </c>
      <c r="D7232" t="s">
        <v>203</v>
      </c>
      <c r="E7232" t="s">
        <v>242</v>
      </c>
      <c r="F7232" t="s">
        <v>108</v>
      </c>
      <c r="G7232" t="s">
        <v>104</v>
      </c>
      <c r="H7232" t="s">
        <v>132</v>
      </c>
      <c r="I7232" t="s">
        <v>107</v>
      </c>
      <c r="J7232" t="s">
        <v>141</v>
      </c>
      <c r="K7232" t="s">
        <v>104</v>
      </c>
      <c r="L7232" t="s">
        <v>99</v>
      </c>
    </row>
    <row r="7233" spans="1:12" x14ac:dyDescent="0.3">
      <c r="A7233" t="s">
        <v>34</v>
      </c>
      <c r="B7233" t="s">
        <v>365</v>
      </c>
      <c r="C7233">
        <v>28</v>
      </c>
      <c r="D7233" t="s">
        <v>403</v>
      </c>
      <c r="E7233" t="s">
        <v>207</v>
      </c>
      <c r="F7233" t="s">
        <v>319</v>
      </c>
      <c r="G7233" t="s">
        <v>319</v>
      </c>
      <c r="H7233" t="s">
        <v>99</v>
      </c>
      <c r="I7233" t="s">
        <v>99</v>
      </c>
      <c r="J7233" t="s">
        <v>99</v>
      </c>
      <c r="K7233" t="s">
        <v>468</v>
      </c>
      <c r="L7233" t="s">
        <v>99</v>
      </c>
    </row>
    <row r="7234" spans="1:12" x14ac:dyDescent="0.3">
      <c r="A7234" t="s">
        <v>33</v>
      </c>
      <c r="B7234" t="s">
        <v>339</v>
      </c>
      <c r="C7234">
        <v>503</v>
      </c>
      <c r="D7234" t="s">
        <v>1007</v>
      </c>
      <c r="E7234" t="s">
        <v>287</v>
      </c>
      <c r="F7234" t="s">
        <v>121</v>
      </c>
      <c r="G7234" t="s">
        <v>198</v>
      </c>
      <c r="H7234" t="s">
        <v>99</v>
      </c>
      <c r="I7234" t="s">
        <v>115</v>
      </c>
      <c r="J7234" t="s">
        <v>100</v>
      </c>
      <c r="K7234" t="s">
        <v>99</v>
      </c>
      <c r="L7234" t="s">
        <v>99</v>
      </c>
    </row>
    <row r="7235" spans="1:12" x14ac:dyDescent="0.3">
      <c r="A7235" t="s">
        <v>33</v>
      </c>
      <c r="B7235" t="s">
        <v>340</v>
      </c>
      <c r="C7235">
        <v>1415</v>
      </c>
      <c r="D7235" t="s">
        <v>333</v>
      </c>
      <c r="E7235" t="s">
        <v>157</v>
      </c>
      <c r="F7235" t="s">
        <v>141</v>
      </c>
      <c r="G7235" t="s">
        <v>136</v>
      </c>
      <c r="H7235" t="s">
        <v>99</v>
      </c>
      <c r="I7235" t="s">
        <v>99</v>
      </c>
      <c r="J7235" t="s">
        <v>104</v>
      </c>
      <c r="K7235" t="s">
        <v>99</v>
      </c>
      <c r="L7235" t="s">
        <v>99</v>
      </c>
    </row>
    <row r="7236" spans="1:12" x14ac:dyDescent="0.3">
      <c r="A7236" t="s">
        <v>33</v>
      </c>
      <c r="B7236" t="s">
        <v>365</v>
      </c>
      <c r="C7236">
        <v>19</v>
      </c>
      <c r="D7236" t="s">
        <v>966</v>
      </c>
      <c r="E7236" t="s">
        <v>315</v>
      </c>
      <c r="F7236" t="s">
        <v>328</v>
      </c>
      <c r="G7236" t="s">
        <v>99</v>
      </c>
      <c r="H7236" t="s">
        <v>99</v>
      </c>
      <c r="I7236" t="s">
        <v>99</v>
      </c>
      <c r="J7236" t="s">
        <v>99</v>
      </c>
      <c r="K7236" t="s">
        <v>99</v>
      </c>
      <c r="L7236" t="s">
        <v>99</v>
      </c>
    </row>
    <row r="7237" spans="1:12" x14ac:dyDescent="0.3">
      <c r="A7237" t="s">
        <v>49</v>
      </c>
      <c r="B7237" t="s">
        <v>339</v>
      </c>
      <c r="C7237">
        <v>3811</v>
      </c>
      <c r="D7237" t="s">
        <v>356</v>
      </c>
      <c r="E7237" t="s">
        <v>470</v>
      </c>
      <c r="F7237" t="s">
        <v>103</v>
      </c>
      <c r="G7237" t="s">
        <v>104</v>
      </c>
      <c r="H7237" t="s">
        <v>104</v>
      </c>
      <c r="I7237" t="s">
        <v>319</v>
      </c>
      <c r="J7237" t="s">
        <v>121</v>
      </c>
      <c r="K7237" t="s">
        <v>198</v>
      </c>
      <c r="L7237" t="s">
        <v>104</v>
      </c>
    </row>
    <row r="7238" spans="1:12" x14ac:dyDescent="0.3">
      <c r="A7238" t="s">
        <v>49</v>
      </c>
      <c r="B7238" t="s">
        <v>340</v>
      </c>
      <c r="C7238">
        <v>9319</v>
      </c>
      <c r="D7238" t="s">
        <v>358</v>
      </c>
      <c r="E7238" t="s">
        <v>130</v>
      </c>
      <c r="F7238" t="s">
        <v>100</v>
      </c>
      <c r="G7238" t="s">
        <v>104</v>
      </c>
      <c r="H7238" t="s">
        <v>104</v>
      </c>
      <c r="I7238" t="s">
        <v>115</v>
      </c>
      <c r="J7238" t="s">
        <v>207</v>
      </c>
      <c r="K7238" t="s">
        <v>99</v>
      </c>
      <c r="L7238" t="s">
        <v>99</v>
      </c>
    </row>
    <row r="7239" spans="1:12" x14ac:dyDescent="0.3">
      <c r="A7239" t="s">
        <v>49</v>
      </c>
      <c r="B7239" t="s">
        <v>365</v>
      </c>
      <c r="C7239">
        <v>191</v>
      </c>
      <c r="D7239" t="s">
        <v>778</v>
      </c>
      <c r="E7239" t="s">
        <v>215</v>
      </c>
      <c r="F7239" t="s">
        <v>114</v>
      </c>
      <c r="G7239" t="s">
        <v>207</v>
      </c>
      <c r="H7239" t="s">
        <v>99</v>
      </c>
      <c r="I7239" t="s">
        <v>141</v>
      </c>
      <c r="J7239" t="s">
        <v>99</v>
      </c>
      <c r="K7239" t="s">
        <v>111</v>
      </c>
      <c r="L7239" t="s">
        <v>99</v>
      </c>
    </row>
    <row r="7241" spans="1:12" x14ac:dyDescent="0.3">
      <c r="A7241" t="s">
        <v>2248</v>
      </c>
    </row>
    <row r="7242" spans="1:12" x14ac:dyDescent="0.3">
      <c r="A7242" t="s">
        <v>44</v>
      </c>
      <c r="B7242" t="s">
        <v>235</v>
      </c>
      <c r="C7242" t="s">
        <v>32</v>
      </c>
      <c r="D7242" t="s">
        <v>2241</v>
      </c>
      <c r="E7242" t="s">
        <v>2242</v>
      </c>
      <c r="F7242" t="s">
        <v>2243</v>
      </c>
      <c r="G7242" t="s">
        <v>2244</v>
      </c>
      <c r="H7242" t="s">
        <v>2245</v>
      </c>
      <c r="I7242" t="s">
        <v>2246</v>
      </c>
      <c r="J7242" t="s">
        <v>1275</v>
      </c>
      <c r="K7242" t="s">
        <v>83</v>
      </c>
      <c r="L7242" t="s">
        <v>193</v>
      </c>
    </row>
    <row r="7243" spans="1:12" x14ac:dyDescent="0.3">
      <c r="A7243" t="s">
        <v>35</v>
      </c>
      <c r="B7243" t="s">
        <v>236</v>
      </c>
      <c r="C7243">
        <v>1610</v>
      </c>
      <c r="D7243" t="s">
        <v>399</v>
      </c>
      <c r="E7243" t="s">
        <v>41</v>
      </c>
      <c r="F7243" t="s">
        <v>253</v>
      </c>
      <c r="G7243" t="s">
        <v>136</v>
      </c>
      <c r="H7243" t="s">
        <v>99</v>
      </c>
      <c r="I7243" t="s">
        <v>198</v>
      </c>
      <c r="J7243" t="s">
        <v>207</v>
      </c>
      <c r="K7243" t="s">
        <v>104</v>
      </c>
      <c r="L7243" t="s">
        <v>99</v>
      </c>
    </row>
    <row r="7244" spans="1:12" x14ac:dyDescent="0.3">
      <c r="A7244" t="s">
        <v>35</v>
      </c>
      <c r="B7244" t="s">
        <v>238</v>
      </c>
      <c r="C7244">
        <v>1535</v>
      </c>
      <c r="D7244" t="s">
        <v>415</v>
      </c>
      <c r="E7244" t="s">
        <v>157</v>
      </c>
      <c r="F7244" t="s">
        <v>123</v>
      </c>
      <c r="G7244" t="s">
        <v>99</v>
      </c>
      <c r="H7244" t="s">
        <v>99</v>
      </c>
      <c r="I7244" t="s">
        <v>141</v>
      </c>
      <c r="J7244" t="s">
        <v>132</v>
      </c>
      <c r="K7244" t="s">
        <v>99</v>
      </c>
      <c r="L7244" t="s">
        <v>104</v>
      </c>
    </row>
    <row r="7245" spans="1:12" x14ac:dyDescent="0.3">
      <c r="A7245" t="s">
        <v>37</v>
      </c>
      <c r="B7245" t="s">
        <v>236</v>
      </c>
      <c r="C7245">
        <v>2211</v>
      </c>
      <c r="D7245" t="s">
        <v>448</v>
      </c>
      <c r="E7245" t="s">
        <v>220</v>
      </c>
      <c r="F7245" t="s">
        <v>147</v>
      </c>
      <c r="G7245" t="s">
        <v>104</v>
      </c>
      <c r="H7245" t="s">
        <v>99</v>
      </c>
      <c r="I7245" t="s">
        <v>99</v>
      </c>
      <c r="J7245" t="s">
        <v>141</v>
      </c>
      <c r="K7245" t="s">
        <v>198</v>
      </c>
      <c r="L7245" t="s">
        <v>99</v>
      </c>
    </row>
    <row r="7246" spans="1:12" x14ac:dyDescent="0.3">
      <c r="A7246" t="s">
        <v>37</v>
      </c>
      <c r="B7246" t="s">
        <v>238</v>
      </c>
      <c r="C7246">
        <v>1644</v>
      </c>
      <c r="D7246" t="s">
        <v>998</v>
      </c>
      <c r="E7246" t="s">
        <v>123</v>
      </c>
      <c r="F7246" t="s">
        <v>132</v>
      </c>
      <c r="G7246" t="s">
        <v>99</v>
      </c>
      <c r="H7246" t="s">
        <v>99</v>
      </c>
      <c r="I7246" t="s">
        <v>99</v>
      </c>
      <c r="J7246" t="s">
        <v>207</v>
      </c>
      <c r="K7246" t="s">
        <v>99</v>
      </c>
      <c r="L7246" t="s">
        <v>99</v>
      </c>
    </row>
    <row r="7247" spans="1:12" x14ac:dyDescent="0.3">
      <c r="A7247" t="s">
        <v>36</v>
      </c>
      <c r="B7247" t="s">
        <v>236</v>
      </c>
      <c r="C7247">
        <v>1565</v>
      </c>
      <c r="D7247" t="s">
        <v>447</v>
      </c>
      <c r="E7247" t="s">
        <v>287</v>
      </c>
      <c r="F7247" t="s">
        <v>151</v>
      </c>
      <c r="G7247" t="s">
        <v>99</v>
      </c>
      <c r="H7247" t="s">
        <v>104</v>
      </c>
      <c r="I7247" t="s">
        <v>253</v>
      </c>
      <c r="J7247" t="s">
        <v>198</v>
      </c>
      <c r="K7247" t="s">
        <v>99</v>
      </c>
      <c r="L7247" t="s">
        <v>198</v>
      </c>
    </row>
    <row r="7248" spans="1:12" x14ac:dyDescent="0.3">
      <c r="A7248" t="s">
        <v>36</v>
      </c>
      <c r="B7248" t="s">
        <v>238</v>
      </c>
      <c r="C7248">
        <v>739</v>
      </c>
      <c r="D7248" t="s">
        <v>335</v>
      </c>
      <c r="E7248" t="s">
        <v>157</v>
      </c>
      <c r="F7248" t="s">
        <v>132</v>
      </c>
      <c r="G7248" t="s">
        <v>99</v>
      </c>
      <c r="H7248" t="s">
        <v>99</v>
      </c>
      <c r="I7248" t="s">
        <v>132</v>
      </c>
      <c r="J7248" t="s">
        <v>115</v>
      </c>
      <c r="K7248" t="s">
        <v>253</v>
      </c>
      <c r="L7248" t="s">
        <v>99</v>
      </c>
    </row>
    <row r="7249" spans="1:12" x14ac:dyDescent="0.3">
      <c r="A7249" t="s">
        <v>34</v>
      </c>
      <c r="B7249" t="s">
        <v>236</v>
      </c>
      <c r="C7249">
        <v>717</v>
      </c>
      <c r="D7249" t="s">
        <v>1640</v>
      </c>
      <c r="E7249" t="s">
        <v>677</v>
      </c>
      <c r="F7249" t="s">
        <v>103</v>
      </c>
      <c r="G7249" t="s">
        <v>99</v>
      </c>
      <c r="H7249" t="s">
        <v>215</v>
      </c>
      <c r="I7249" t="s">
        <v>118</v>
      </c>
      <c r="J7249" t="s">
        <v>319</v>
      </c>
      <c r="K7249" t="s">
        <v>99</v>
      </c>
      <c r="L7249" t="s">
        <v>99</v>
      </c>
    </row>
    <row r="7250" spans="1:12" x14ac:dyDescent="0.3">
      <c r="A7250" t="s">
        <v>34</v>
      </c>
      <c r="B7250" t="s">
        <v>238</v>
      </c>
      <c r="C7250">
        <v>1363</v>
      </c>
      <c r="D7250" t="s">
        <v>73</v>
      </c>
      <c r="E7250" t="s">
        <v>434</v>
      </c>
      <c r="F7250" t="s">
        <v>132</v>
      </c>
      <c r="G7250" t="s">
        <v>104</v>
      </c>
      <c r="H7250" t="s">
        <v>207</v>
      </c>
      <c r="I7250" t="s">
        <v>332</v>
      </c>
      <c r="J7250" t="s">
        <v>115</v>
      </c>
      <c r="K7250" t="s">
        <v>198</v>
      </c>
      <c r="L7250" t="s">
        <v>99</v>
      </c>
    </row>
    <row r="7251" spans="1:12" x14ac:dyDescent="0.3">
      <c r="A7251" t="s">
        <v>33</v>
      </c>
      <c r="B7251" t="s">
        <v>236</v>
      </c>
      <c r="C7251">
        <v>1116</v>
      </c>
      <c r="D7251" t="s">
        <v>403</v>
      </c>
      <c r="E7251" t="s">
        <v>248</v>
      </c>
      <c r="F7251" t="s">
        <v>114</v>
      </c>
      <c r="G7251" t="s">
        <v>141</v>
      </c>
      <c r="H7251" t="s">
        <v>99</v>
      </c>
      <c r="I7251" t="s">
        <v>99</v>
      </c>
      <c r="J7251" t="s">
        <v>141</v>
      </c>
      <c r="K7251" t="s">
        <v>99</v>
      </c>
      <c r="L7251" t="s">
        <v>99</v>
      </c>
    </row>
    <row r="7252" spans="1:12" x14ac:dyDescent="0.3">
      <c r="A7252" t="s">
        <v>33</v>
      </c>
      <c r="B7252" t="s">
        <v>238</v>
      </c>
      <c r="C7252">
        <v>821</v>
      </c>
      <c r="D7252" t="s">
        <v>265</v>
      </c>
      <c r="E7252" t="s">
        <v>316</v>
      </c>
      <c r="F7252" t="s">
        <v>141</v>
      </c>
      <c r="G7252" t="s">
        <v>104</v>
      </c>
      <c r="H7252" t="s">
        <v>99</v>
      </c>
      <c r="I7252" t="s">
        <v>136</v>
      </c>
      <c r="J7252" t="s">
        <v>207</v>
      </c>
      <c r="K7252" t="s">
        <v>99</v>
      </c>
      <c r="L7252" t="s">
        <v>99</v>
      </c>
    </row>
    <row r="7253" spans="1:12" x14ac:dyDescent="0.3">
      <c r="A7253" t="s">
        <v>49</v>
      </c>
      <c r="B7253" t="s">
        <v>236</v>
      </c>
      <c r="C7253">
        <v>7219</v>
      </c>
      <c r="D7253" t="s">
        <v>417</v>
      </c>
      <c r="E7253" t="s">
        <v>804</v>
      </c>
      <c r="F7253" t="s">
        <v>123</v>
      </c>
      <c r="G7253" t="s">
        <v>198</v>
      </c>
      <c r="H7253" t="s">
        <v>198</v>
      </c>
      <c r="I7253" t="s">
        <v>253</v>
      </c>
      <c r="J7253" t="s">
        <v>253</v>
      </c>
      <c r="K7253" t="s">
        <v>104</v>
      </c>
      <c r="L7253" t="s">
        <v>99</v>
      </c>
    </row>
    <row r="7254" spans="1:12" x14ac:dyDescent="0.3">
      <c r="A7254" t="s">
        <v>49</v>
      </c>
      <c r="B7254" t="s">
        <v>238</v>
      </c>
      <c r="C7254">
        <v>6102</v>
      </c>
      <c r="D7254" t="s">
        <v>758</v>
      </c>
      <c r="E7254" t="s">
        <v>107</v>
      </c>
      <c r="F7254" t="s">
        <v>121</v>
      </c>
      <c r="G7254" t="s">
        <v>99</v>
      </c>
      <c r="H7254" t="s">
        <v>104</v>
      </c>
      <c r="I7254" t="s">
        <v>100</v>
      </c>
      <c r="J7254" t="s">
        <v>253</v>
      </c>
      <c r="K7254" t="s">
        <v>104</v>
      </c>
      <c r="L7254" t="s">
        <v>99</v>
      </c>
    </row>
    <row r="7256" spans="1:12" x14ac:dyDescent="0.3">
      <c r="A7256" t="s">
        <v>2249</v>
      </c>
    </row>
    <row r="7257" spans="1:12" x14ac:dyDescent="0.3">
      <c r="A7257" t="s">
        <v>44</v>
      </c>
      <c r="B7257" t="s">
        <v>388</v>
      </c>
      <c r="C7257" t="s">
        <v>32</v>
      </c>
      <c r="D7257" t="s">
        <v>2241</v>
      </c>
      <c r="E7257" t="s">
        <v>2242</v>
      </c>
      <c r="F7257" t="s">
        <v>2243</v>
      </c>
      <c r="G7257" t="s">
        <v>2244</v>
      </c>
      <c r="H7257" t="s">
        <v>2245</v>
      </c>
      <c r="I7257" t="s">
        <v>2246</v>
      </c>
      <c r="J7257" t="s">
        <v>1275</v>
      </c>
      <c r="K7257" t="s">
        <v>83</v>
      </c>
      <c r="L7257" t="s">
        <v>193</v>
      </c>
    </row>
    <row r="7258" spans="1:12" x14ac:dyDescent="0.3">
      <c r="A7258" t="s">
        <v>35</v>
      </c>
      <c r="B7258" t="s">
        <v>389</v>
      </c>
      <c r="C7258">
        <v>2141</v>
      </c>
      <c r="D7258" t="s">
        <v>71</v>
      </c>
      <c r="E7258" t="s">
        <v>124</v>
      </c>
      <c r="F7258" t="s">
        <v>319</v>
      </c>
      <c r="G7258" t="s">
        <v>104</v>
      </c>
      <c r="H7258" t="s">
        <v>99</v>
      </c>
      <c r="I7258" t="s">
        <v>141</v>
      </c>
      <c r="J7258" t="s">
        <v>253</v>
      </c>
      <c r="K7258" t="s">
        <v>104</v>
      </c>
      <c r="L7258" t="s">
        <v>104</v>
      </c>
    </row>
    <row r="7259" spans="1:12" x14ac:dyDescent="0.3">
      <c r="A7259" t="s">
        <v>35</v>
      </c>
      <c r="B7259" t="s">
        <v>390</v>
      </c>
      <c r="C7259">
        <v>875</v>
      </c>
      <c r="D7259" t="s">
        <v>415</v>
      </c>
      <c r="E7259" t="s">
        <v>107</v>
      </c>
      <c r="F7259" t="s">
        <v>151</v>
      </c>
      <c r="G7259" t="s">
        <v>198</v>
      </c>
      <c r="H7259" t="s">
        <v>99</v>
      </c>
      <c r="I7259" t="s">
        <v>104</v>
      </c>
      <c r="J7259" t="s">
        <v>114</v>
      </c>
      <c r="K7259" t="s">
        <v>99</v>
      </c>
      <c r="L7259" t="s">
        <v>104</v>
      </c>
    </row>
    <row r="7260" spans="1:12" x14ac:dyDescent="0.3">
      <c r="A7260" t="s">
        <v>35</v>
      </c>
      <c r="B7260" t="s">
        <v>365</v>
      </c>
      <c r="C7260">
        <v>129</v>
      </c>
      <c r="D7260" t="s">
        <v>768</v>
      </c>
      <c r="E7260" t="s">
        <v>155</v>
      </c>
      <c r="F7260" t="s">
        <v>115</v>
      </c>
      <c r="G7260" t="s">
        <v>99</v>
      </c>
      <c r="H7260" t="s">
        <v>99</v>
      </c>
      <c r="I7260" t="s">
        <v>101</v>
      </c>
      <c r="J7260" t="s">
        <v>99</v>
      </c>
      <c r="K7260" t="s">
        <v>99</v>
      </c>
      <c r="L7260" t="s">
        <v>99</v>
      </c>
    </row>
    <row r="7261" spans="1:12" x14ac:dyDescent="0.3">
      <c r="A7261" t="s">
        <v>37</v>
      </c>
      <c r="B7261" t="s">
        <v>389</v>
      </c>
      <c r="C7261">
        <v>2305</v>
      </c>
      <c r="D7261" t="s">
        <v>403</v>
      </c>
      <c r="E7261" t="s">
        <v>135</v>
      </c>
      <c r="F7261" t="s">
        <v>268</v>
      </c>
      <c r="G7261" t="s">
        <v>104</v>
      </c>
      <c r="H7261" t="s">
        <v>99</v>
      </c>
      <c r="I7261" t="s">
        <v>99</v>
      </c>
      <c r="J7261" t="s">
        <v>141</v>
      </c>
      <c r="K7261" t="s">
        <v>99</v>
      </c>
      <c r="L7261" t="s">
        <v>104</v>
      </c>
    </row>
    <row r="7262" spans="1:12" x14ac:dyDescent="0.3">
      <c r="A7262" t="s">
        <v>37</v>
      </c>
      <c r="B7262" t="s">
        <v>390</v>
      </c>
      <c r="C7262">
        <v>1309</v>
      </c>
      <c r="D7262" t="s">
        <v>978</v>
      </c>
      <c r="E7262" t="s">
        <v>328</v>
      </c>
      <c r="F7262" t="s">
        <v>382</v>
      </c>
      <c r="G7262" t="s">
        <v>99</v>
      </c>
      <c r="H7262" t="s">
        <v>99</v>
      </c>
      <c r="I7262" t="s">
        <v>104</v>
      </c>
      <c r="J7262" t="s">
        <v>207</v>
      </c>
      <c r="K7262" t="s">
        <v>104</v>
      </c>
      <c r="L7262" t="s">
        <v>99</v>
      </c>
    </row>
    <row r="7263" spans="1:12" x14ac:dyDescent="0.3">
      <c r="A7263" t="s">
        <v>37</v>
      </c>
      <c r="B7263" t="s">
        <v>365</v>
      </c>
      <c r="C7263">
        <v>241</v>
      </c>
      <c r="D7263" t="s">
        <v>226</v>
      </c>
      <c r="E7263" t="s">
        <v>124</v>
      </c>
      <c r="F7263" t="s">
        <v>382</v>
      </c>
      <c r="G7263" t="s">
        <v>99</v>
      </c>
      <c r="H7263" t="s">
        <v>99</v>
      </c>
      <c r="I7263" t="s">
        <v>99</v>
      </c>
      <c r="J7263" t="s">
        <v>99</v>
      </c>
      <c r="K7263" t="s">
        <v>101</v>
      </c>
      <c r="L7263" t="s">
        <v>99</v>
      </c>
    </row>
    <row r="7264" spans="1:12" x14ac:dyDescent="0.3">
      <c r="A7264" t="s">
        <v>36</v>
      </c>
      <c r="B7264" t="s">
        <v>389</v>
      </c>
      <c r="C7264">
        <v>1577</v>
      </c>
      <c r="D7264" t="s">
        <v>203</v>
      </c>
      <c r="E7264" t="s">
        <v>664</v>
      </c>
      <c r="F7264" t="s">
        <v>126</v>
      </c>
      <c r="G7264" t="s">
        <v>99</v>
      </c>
      <c r="H7264" t="s">
        <v>99</v>
      </c>
      <c r="I7264" t="s">
        <v>132</v>
      </c>
      <c r="J7264" t="s">
        <v>99</v>
      </c>
      <c r="K7264" t="s">
        <v>99</v>
      </c>
      <c r="L7264" t="s">
        <v>104</v>
      </c>
    </row>
    <row r="7265" spans="1:12" x14ac:dyDescent="0.3">
      <c r="A7265" t="s">
        <v>36</v>
      </c>
      <c r="B7265" t="s">
        <v>390</v>
      </c>
      <c r="C7265">
        <v>627</v>
      </c>
      <c r="D7265" t="s">
        <v>771</v>
      </c>
      <c r="E7265" t="s">
        <v>118</v>
      </c>
      <c r="F7265" t="s">
        <v>108</v>
      </c>
      <c r="G7265" t="s">
        <v>99</v>
      </c>
      <c r="H7265" t="s">
        <v>99</v>
      </c>
      <c r="I7265" t="s">
        <v>253</v>
      </c>
      <c r="J7265" t="s">
        <v>215</v>
      </c>
      <c r="K7265" t="s">
        <v>207</v>
      </c>
      <c r="L7265" t="s">
        <v>99</v>
      </c>
    </row>
    <row r="7266" spans="1:12" x14ac:dyDescent="0.3">
      <c r="A7266" t="s">
        <v>36</v>
      </c>
      <c r="B7266" t="s">
        <v>365</v>
      </c>
      <c r="C7266">
        <v>100</v>
      </c>
      <c r="D7266" t="s">
        <v>966</v>
      </c>
      <c r="E7266" t="s">
        <v>150</v>
      </c>
      <c r="F7266" t="s">
        <v>99</v>
      </c>
      <c r="G7266" t="s">
        <v>99</v>
      </c>
      <c r="H7266" t="s">
        <v>99</v>
      </c>
      <c r="I7266" t="s">
        <v>141</v>
      </c>
      <c r="J7266" t="s">
        <v>99</v>
      </c>
      <c r="K7266" t="s">
        <v>110</v>
      </c>
      <c r="L7266" t="s">
        <v>99</v>
      </c>
    </row>
    <row r="7267" spans="1:12" x14ac:dyDescent="0.3">
      <c r="A7267" t="s">
        <v>34</v>
      </c>
      <c r="B7267" t="s">
        <v>389</v>
      </c>
      <c r="C7267">
        <v>1385</v>
      </c>
      <c r="D7267" t="s">
        <v>290</v>
      </c>
      <c r="E7267" t="s">
        <v>41</v>
      </c>
      <c r="F7267" t="s">
        <v>114</v>
      </c>
      <c r="G7267" t="s">
        <v>99</v>
      </c>
      <c r="H7267" t="s">
        <v>132</v>
      </c>
      <c r="I7267" t="s">
        <v>434</v>
      </c>
      <c r="J7267" t="s">
        <v>115</v>
      </c>
      <c r="K7267" t="s">
        <v>104</v>
      </c>
      <c r="L7267" t="s">
        <v>99</v>
      </c>
    </row>
    <row r="7268" spans="1:12" x14ac:dyDescent="0.3">
      <c r="A7268" t="s">
        <v>34</v>
      </c>
      <c r="B7268" t="s">
        <v>390</v>
      </c>
      <c r="C7268">
        <v>615</v>
      </c>
      <c r="D7268" t="s">
        <v>354</v>
      </c>
      <c r="E7268" t="s">
        <v>128</v>
      </c>
      <c r="F7268" t="s">
        <v>268</v>
      </c>
      <c r="G7268" t="s">
        <v>198</v>
      </c>
      <c r="H7268" t="s">
        <v>115</v>
      </c>
      <c r="I7268" t="s">
        <v>120</v>
      </c>
      <c r="J7268" t="s">
        <v>319</v>
      </c>
      <c r="K7268" t="s">
        <v>198</v>
      </c>
      <c r="L7268" t="s">
        <v>99</v>
      </c>
    </row>
    <row r="7269" spans="1:12" x14ac:dyDescent="0.3">
      <c r="A7269" t="s">
        <v>34</v>
      </c>
      <c r="B7269" t="s">
        <v>365</v>
      </c>
      <c r="C7269">
        <v>80</v>
      </c>
      <c r="D7269" t="s">
        <v>768</v>
      </c>
      <c r="E7269" t="s">
        <v>110</v>
      </c>
      <c r="F7269" t="s">
        <v>99</v>
      </c>
      <c r="G7269" t="s">
        <v>99</v>
      </c>
      <c r="H7269" t="s">
        <v>99</v>
      </c>
      <c r="I7269" t="s">
        <v>99</v>
      </c>
      <c r="J7269" t="s">
        <v>99</v>
      </c>
      <c r="K7269" t="s">
        <v>99</v>
      </c>
      <c r="L7269" t="s">
        <v>99</v>
      </c>
    </row>
    <row r="7270" spans="1:12" x14ac:dyDescent="0.3">
      <c r="A7270" t="s">
        <v>33</v>
      </c>
      <c r="B7270" t="s">
        <v>389</v>
      </c>
      <c r="C7270">
        <v>1090</v>
      </c>
      <c r="D7270" t="s">
        <v>226</v>
      </c>
      <c r="E7270" t="s">
        <v>145</v>
      </c>
      <c r="F7270" t="s">
        <v>132</v>
      </c>
      <c r="G7270" t="s">
        <v>198</v>
      </c>
      <c r="H7270" t="s">
        <v>99</v>
      </c>
      <c r="I7270" t="s">
        <v>104</v>
      </c>
      <c r="J7270" t="s">
        <v>104</v>
      </c>
      <c r="K7270" t="s">
        <v>99</v>
      </c>
      <c r="L7270" t="s">
        <v>99</v>
      </c>
    </row>
    <row r="7271" spans="1:12" x14ac:dyDescent="0.3">
      <c r="A7271" t="s">
        <v>33</v>
      </c>
      <c r="B7271" t="s">
        <v>390</v>
      </c>
      <c r="C7271">
        <v>708</v>
      </c>
      <c r="D7271" t="s">
        <v>1438</v>
      </c>
      <c r="E7271" t="s">
        <v>118</v>
      </c>
      <c r="F7271" t="s">
        <v>141</v>
      </c>
      <c r="G7271" t="s">
        <v>136</v>
      </c>
      <c r="H7271" t="s">
        <v>99</v>
      </c>
      <c r="I7271" t="s">
        <v>207</v>
      </c>
      <c r="J7271" t="s">
        <v>108</v>
      </c>
      <c r="K7271" t="s">
        <v>99</v>
      </c>
      <c r="L7271" t="s">
        <v>99</v>
      </c>
    </row>
    <row r="7272" spans="1:12" x14ac:dyDescent="0.3">
      <c r="A7272" t="s">
        <v>33</v>
      </c>
      <c r="B7272" t="s">
        <v>365</v>
      </c>
      <c r="C7272">
        <v>139</v>
      </c>
      <c r="D7272" t="s">
        <v>237</v>
      </c>
      <c r="E7272" t="s">
        <v>130</v>
      </c>
      <c r="F7272" t="s">
        <v>126</v>
      </c>
      <c r="G7272" t="s">
        <v>253</v>
      </c>
      <c r="H7272" t="s">
        <v>99</v>
      </c>
      <c r="I7272" t="s">
        <v>99</v>
      </c>
      <c r="J7272" t="s">
        <v>99</v>
      </c>
      <c r="K7272" t="s">
        <v>99</v>
      </c>
      <c r="L7272" t="s">
        <v>99</v>
      </c>
    </row>
    <row r="7273" spans="1:12" x14ac:dyDescent="0.3">
      <c r="A7273" t="s">
        <v>49</v>
      </c>
      <c r="B7273" t="s">
        <v>389</v>
      </c>
      <c r="C7273">
        <v>8498</v>
      </c>
      <c r="D7273" t="s">
        <v>378</v>
      </c>
      <c r="E7273" t="s">
        <v>109</v>
      </c>
      <c r="F7273" t="s">
        <v>126</v>
      </c>
      <c r="G7273" t="s">
        <v>104</v>
      </c>
      <c r="H7273" t="s">
        <v>198</v>
      </c>
      <c r="I7273" t="s">
        <v>100</v>
      </c>
      <c r="J7273" t="s">
        <v>141</v>
      </c>
      <c r="K7273" t="s">
        <v>104</v>
      </c>
      <c r="L7273" t="s">
        <v>104</v>
      </c>
    </row>
    <row r="7274" spans="1:12" x14ac:dyDescent="0.3">
      <c r="A7274" t="s">
        <v>49</v>
      </c>
      <c r="B7274" t="s">
        <v>390</v>
      </c>
      <c r="C7274">
        <v>4134</v>
      </c>
      <c r="D7274" t="s">
        <v>391</v>
      </c>
      <c r="E7274" t="s">
        <v>129</v>
      </c>
      <c r="F7274" t="s">
        <v>126</v>
      </c>
      <c r="G7274" t="s">
        <v>198</v>
      </c>
      <c r="H7274" t="s">
        <v>104</v>
      </c>
      <c r="I7274" t="s">
        <v>115</v>
      </c>
      <c r="J7274" t="s">
        <v>108</v>
      </c>
      <c r="K7274" t="s">
        <v>104</v>
      </c>
      <c r="L7274" t="s">
        <v>99</v>
      </c>
    </row>
    <row r="7275" spans="1:12" x14ac:dyDescent="0.3">
      <c r="A7275" t="s">
        <v>49</v>
      </c>
      <c r="B7275" t="s">
        <v>365</v>
      </c>
      <c r="C7275">
        <v>689</v>
      </c>
      <c r="D7275" t="s">
        <v>327</v>
      </c>
      <c r="E7275" t="s">
        <v>149</v>
      </c>
      <c r="F7275" t="s">
        <v>114</v>
      </c>
      <c r="G7275" t="s">
        <v>104</v>
      </c>
      <c r="H7275" t="s">
        <v>99</v>
      </c>
      <c r="I7275" t="s">
        <v>207</v>
      </c>
      <c r="J7275" t="s">
        <v>99</v>
      </c>
      <c r="K7275" t="s">
        <v>108</v>
      </c>
      <c r="L7275" t="s">
        <v>99</v>
      </c>
    </row>
    <row r="7277" spans="1:12" x14ac:dyDescent="0.3">
      <c r="A7277" t="s">
        <v>2250</v>
      </c>
    </row>
    <row r="7278" spans="1:12" x14ac:dyDescent="0.3">
      <c r="A7278" t="s">
        <v>44</v>
      </c>
      <c r="B7278" t="s">
        <v>1241</v>
      </c>
      <c r="C7278" t="s">
        <v>32</v>
      </c>
      <c r="D7278" t="s">
        <v>2241</v>
      </c>
      <c r="E7278" t="s">
        <v>2242</v>
      </c>
      <c r="F7278" t="s">
        <v>2243</v>
      </c>
      <c r="G7278" t="s">
        <v>2244</v>
      </c>
      <c r="H7278" t="s">
        <v>2245</v>
      </c>
      <c r="I7278" t="s">
        <v>2246</v>
      </c>
      <c r="J7278" t="s">
        <v>1275</v>
      </c>
      <c r="K7278" t="s">
        <v>83</v>
      </c>
      <c r="L7278" t="s">
        <v>193</v>
      </c>
    </row>
    <row r="7279" spans="1:12" x14ac:dyDescent="0.3">
      <c r="A7279" t="s">
        <v>35</v>
      </c>
      <c r="B7279" t="s">
        <v>1242</v>
      </c>
      <c r="C7279">
        <v>3079</v>
      </c>
      <c r="D7279" t="s">
        <v>241</v>
      </c>
      <c r="E7279" t="s">
        <v>149</v>
      </c>
      <c r="F7279" t="s">
        <v>101</v>
      </c>
      <c r="G7279" t="s">
        <v>104</v>
      </c>
      <c r="H7279" t="s">
        <v>99</v>
      </c>
      <c r="I7279" t="s">
        <v>136</v>
      </c>
      <c r="J7279" t="s">
        <v>115</v>
      </c>
      <c r="K7279" t="s">
        <v>104</v>
      </c>
      <c r="L7279" t="s">
        <v>104</v>
      </c>
    </row>
    <row r="7280" spans="1:12" x14ac:dyDescent="0.3">
      <c r="A7280" t="s">
        <v>35</v>
      </c>
      <c r="B7280" t="s">
        <v>1243</v>
      </c>
      <c r="C7280">
        <v>41</v>
      </c>
      <c r="D7280" t="s">
        <v>1137</v>
      </c>
      <c r="E7280" t="s">
        <v>688</v>
      </c>
      <c r="F7280" t="s">
        <v>111</v>
      </c>
      <c r="G7280" t="s">
        <v>123</v>
      </c>
      <c r="H7280" t="s">
        <v>99</v>
      </c>
      <c r="I7280" t="s">
        <v>99</v>
      </c>
      <c r="J7280" t="s">
        <v>141</v>
      </c>
      <c r="K7280" t="s">
        <v>99</v>
      </c>
      <c r="L7280" t="s">
        <v>99</v>
      </c>
    </row>
    <row r="7281" spans="1:12" s="5" customFormat="1" x14ac:dyDescent="0.3">
      <c r="A7281" s="5" t="s">
        <v>35</v>
      </c>
      <c r="B7281" s="5" t="s">
        <v>1244</v>
      </c>
      <c r="C7281" s="5">
        <v>22</v>
      </c>
      <c r="D7281" s="5" t="s">
        <v>997</v>
      </c>
      <c r="E7281" s="5" t="s">
        <v>679</v>
      </c>
      <c r="F7281" s="5" t="s">
        <v>529</v>
      </c>
      <c r="G7281" s="5" t="s">
        <v>99</v>
      </c>
      <c r="H7281" s="5" t="s">
        <v>99</v>
      </c>
      <c r="I7281" s="5" t="s">
        <v>99</v>
      </c>
      <c r="J7281" s="5" t="s">
        <v>99</v>
      </c>
      <c r="K7281" s="5" t="s">
        <v>99</v>
      </c>
      <c r="L7281" s="5" t="s">
        <v>99</v>
      </c>
    </row>
    <row r="7282" spans="1:12" x14ac:dyDescent="0.3">
      <c r="A7282" t="s">
        <v>35</v>
      </c>
      <c r="B7282" t="s">
        <v>365</v>
      </c>
      <c r="C7282">
        <v>3</v>
      </c>
      <c r="D7282" t="s">
        <v>211</v>
      </c>
      <c r="E7282" t="s">
        <v>99</v>
      </c>
      <c r="F7282" t="s">
        <v>99</v>
      </c>
      <c r="G7282" t="s">
        <v>99</v>
      </c>
      <c r="H7282" t="s">
        <v>99</v>
      </c>
      <c r="I7282" t="s">
        <v>99</v>
      </c>
      <c r="J7282" t="s">
        <v>99</v>
      </c>
      <c r="K7282" t="s">
        <v>99</v>
      </c>
      <c r="L7282" t="s">
        <v>99</v>
      </c>
    </row>
    <row r="7283" spans="1:12" x14ac:dyDescent="0.3">
      <c r="A7283" t="s">
        <v>37</v>
      </c>
      <c r="B7283" t="s">
        <v>1242</v>
      </c>
      <c r="C7283">
        <v>3739</v>
      </c>
      <c r="D7283" t="s">
        <v>329</v>
      </c>
      <c r="E7283" t="s">
        <v>468</v>
      </c>
      <c r="F7283" t="s">
        <v>127</v>
      </c>
      <c r="G7283" t="s">
        <v>99</v>
      </c>
      <c r="H7283" t="s">
        <v>99</v>
      </c>
      <c r="I7283" t="s">
        <v>99</v>
      </c>
      <c r="J7283" t="s">
        <v>136</v>
      </c>
      <c r="K7283" t="s">
        <v>104</v>
      </c>
      <c r="L7283" t="s">
        <v>99</v>
      </c>
    </row>
    <row r="7284" spans="1:12" x14ac:dyDescent="0.3">
      <c r="A7284" t="s">
        <v>37</v>
      </c>
      <c r="B7284" t="s">
        <v>1243</v>
      </c>
      <c r="C7284">
        <v>95</v>
      </c>
      <c r="D7284" t="s">
        <v>915</v>
      </c>
      <c r="E7284" t="s">
        <v>1414</v>
      </c>
      <c r="F7284" t="s">
        <v>296</v>
      </c>
      <c r="G7284" t="s">
        <v>99</v>
      </c>
      <c r="H7284" t="s">
        <v>99</v>
      </c>
      <c r="I7284" t="s">
        <v>99</v>
      </c>
      <c r="J7284" t="s">
        <v>132</v>
      </c>
      <c r="K7284" t="s">
        <v>99</v>
      </c>
      <c r="L7284" t="s">
        <v>99</v>
      </c>
    </row>
    <row r="7285" spans="1:12" s="5" customFormat="1" x14ac:dyDescent="0.3">
      <c r="A7285" s="5" t="s">
        <v>37</v>
      </c>
      <c r="B7285" s="5" t="s">
        <v>1244</v>
      </c>
      <c r="C7285" s="5">
        <v>18</v>
      </c>
      <c r="D7285" s="5" t="s">
        <v>392</v>
      </c>
      <c r="E7285" s="5" t="s">
        <v>369</v>
      </c>
      <c r="F7285" s="5" t="s">
        <v>99</v>
      </c>
      <c r="G7285" s="5" t="s">
        <v>99</v>
      </c>
      <c r="H7285" s="5" t="s">
        <v>99</v>
      </c>
      <c r="I7285" s="5" t="s">
        <v>99</v>
      </c>
      <c r="J7285" s="5" t="s">
        <v>99</v>
      </c>
      <c r="K7285" s="5" t="s">
        <v>99</v>
      </c>
      <c r="L7285" s="5" t="s">
        <v>99</v>
      </c>
    </row>
    <row r="7286" spans="1:12" x14ac:dyDescent="0.3">
      <c r="A7286" t="s">
        <v>37</v>
      </c>
      <c r="B7286" t="s">
        <v>365</v>
      </c>
      <c r="C7286">
        <v>3</v>
      </c>
      <c r="D7286" t="s">
        <v>211</v>
      </c>
      <c r="E7286" t="s">
        <v>99</v>
      </c>
      <c r="F7286" t="s">
        <v>99</v>
      </c>
      <c r="G7286" t="s">
        <v>99</v>
      </c>
      <c r="H7286" t="s">
        <v>99</v>
      </c>
      <c r="I7286" t="s">
        <v>99</v>
      </c>
      <c r="J7286" t="s">
        <v>99</v>
      </c>
      <c r="K7286" t="s">
        <v>99</v>
      </c>
      <c r="L7286" t="s">
        <v>99</v>
      </c>
    </row>
    <row r="7287" spans="1:12" x14ac:dyDescent="0.3">
      <c r="A7287" t="s">
        <v>36</v>
      </c>
      <c r="B7287" t="s">
        <v>1242</v>
      </c>
      <c r="C7287">
        <v>2167</v>
      </c>
      <c r="D7287" t="s">
        <v>354</v>
      </c>
      <c r="E7287" t="s">
        <v>143</v>
      </c>
      <c r="F7287" t="s">
        <v>100</v>
      </c>
      <c r="G7287" t="s">
        <v>99</v>
      </c>
      <c r="H7287" t="s">
        <v>99</v>
      </c>
      <c r="I7287" t="s">
        <v>115</v>
      </c>
      <c r="J7287" t="s">
        <v>141</v>
      </c>
      <c r="K7287" t="s">
        <v>207</v>
      </c>
      <c r="L7287" t="s">
        <v>104</v>
      </c>
    </row>
    <row r="7288" spans="1:12" x14ac:dyDescent="0.3">
      <c r="A7288" t="s">
        <v>36</v>
      </c>
      <c r="B7288" t="s">
        <v>1243</v>
      </c>
      <c r="C7288">
        <v>47</v>
      </c>
      <c r="D7288" t="s">
        <v>450</v>
      </c>
      <c r="E7288" t="s">
        <v>255</v>
      </c>
      <c r="F7288" t="s">
        <v>110</v>
      </c>
      <c r="G7288" t="s">
        <v>99</v>
      </c>
      <c r="H7288" t="s">
        <v>99</v>
      </c>
      <c r="I7288" t="s">
        <v>99</v>
      </c>
      <c r="J7288" t="s">
        <v>99</v>
      </c>
      <c r="K7288" t="s">
        <v>99</v>
      </c>
      <c r="L7288" t="s">
        <v>99</v>
      </c>
    </row>
    <row r="7289" spans="1:12" x14ac:dyDescent="0.3">
      <c r="A7289" t="s">
        <v>36</v>
      </c>
      <c r="B7289" t="s">
        <v>1244</v>
      </c>
      <c r="C7289">
        <v>88</v>
      </c>
      <c r="D7289" t="s">
        <v>966</v>
      </c>
      <c r="E7289" t="s">
        <v>671</v>
      </c>
      <c r="F7289" t="s">
        <v>242</v>
      </c>
      <c r="G7289" t="s">
        <v>99</v>
      </c>
      <c r="H7289" t="s">
        <v>104</v>
      </c>
      <c r="I7289" t="s">
        <v>99</v>
      </c>
      <c r="J7289" t="s">
        <v>99</v>
      </c>
      <c r="K7289" t="s">
        <v>99</v>
      </c>
      <c r="L7289" t="s">
        <v>99</v>
      </c>
    </row>
    <row r="7290" spans="1:12" x14ac:dyDescent="0.3">
      <c r="A7290" t="s">
        <v>36</v>
      </c>
      <c r="B7290" t="s">
        <v>365</v>
      </c>
      <c r="C7290">
        <v>2</v>
      </c>
      <c r="D7290" t="s">
        <v>286</v>
      </c>
      <c r="E7290" t="s">
        <v>688</v>
      </c>
      <c r="F7290" t="s">
        <v>99</v>
      </c>
      <c r="G7290" t="s">
        <v>99</v>
      </c>
      <c r="H7290" t="s">
        <v>99</v>
      </c>
      <c r="I7290" t="s">
        <v>99</v>
      </c>
      <c r="J7290" t="s">
        <v>99</v>
      </c>
      <c r="K7290" t="s">
        <v>99</v>
      </c>
      <c r="L7290" t="s">
        <v>99</v>
      </c>
    </row>
    <row r="7291" spans="1:12" x14ac:dyDescent="0.3">
      <c r="A7291" t="s">
        <v>34</v>
      </c>
      <c r="B7291" t="s">
        <v>1242</v>
      </c>
      <c r="C7291">
        <v>2042</v>
      </c>
      <c r="D7291" t="s">
        <v>966</v>
      </c>
      <c r="E7291" t="s">
        <v>150</v>
      </c>
      <c r="F7291" t="s">
        <v>121</v>
      </c>
      <c r="G7291" t="s">
        <v>104</v>
      </c>
      <c r="H7291" t="s">
        <v>115</v>
      </c>
      <c r="I7291" t="s">
        <v>332</v>
      </c>
      <c r="J7291" t="s">
        <v>108</v>
      </c>
      <c r="K7291" t="s">
        <v>104</v>
      </c>
      <c r="L7291" t="s">
        <v>99</v>
      </c>
    </row>
    <row r="7292" spans="1:12" s="5" customFormat="1" x14ac:dyDescent="0.3">
      <c r="A7292" s="5" t="s">
        <v>34</v>
      </c>
      <c r="B7292" s="5" t="s">
        <v>1243</v>
      </c>
      <c r="C7292" s="5">
        <v>14</v>
      </c>
      <c r="D7292" s="5" t="s">
        <v>939</v>
      </c>
      <c r="E7292" s="5" t="s">
        <v>68</v>
      </c>
      <c r="F7292" s="5" t="s">
        <v>811</v>
      </c>
      <c r="G7292" s="5" t="s">
        <v>120</v>
      </c>
      <c r="H7292" s="5" t="s">
        <v>99</v>
      </c>
      <c r="I7292" s="5" t="s">
        <v>99</v>
      </c>
      <c r="J7292" s="5" t="s">
        <v>99</v>
      </c>
      <c r="K7292" s="5" t="s">
        <v>99</v>
      </c>
      <c r="L7292" s="5" t="s">
        <v>99</v>
      </c>
    </row>
    <row r="7293" spans="1:12" s="5" customFormat="1" x14ac:dyDescent="0.3">
      <c r="A7293" s="5" t="s">
        <v>34</v>
      </c>
      <c r="B7293" s="5" t="s">
        <v>1244</v>
      </c>
      <c r="C7293" s="5">
        <v>23</v>
      </c>
      <c r="D7293" s="5" t="s">
        <v>1276</v>
      </c>
      <c r="E7293" s="5" t="s">
        <v>382</v>
      </c>
      <c r="F7293" s="5" t="s">
        <v>99</v>
      </c>
      <c r="G7293" s="5" t="s">
        <v>99</v>
      </c>
      <c r="H7293" s="5" t="s">
        <v>99</v>
      </c>
      <c r="I7293" s="5" t="s">
        <v>72</v>
      </c>
      <c r="J7293" s="5" t="s">
        <v>99</v>
      </c>
      <c r="K7293" s="5" t="s">
        <v>99</v>
      </c>
      <c r="L7293" s="5" t="s">
        <v>99</v>
      </c>
    </row>
    <row r="7294" spans="1:12" x14ac:dyDescent="0.3">
      <c r="A7294" t="s">
        <v>34</v>
      </c>
      <c r="B7294" t="s">
        <v>365</v>
      </c>
      <c r="C7294">
        <v>1</v>
      </c>
      <c r="D7294" t="s">
        <v>211</v>
      </c>
      <c r="E7294" t="s">
        <v>99</v>
      </c>
      <c r="F7294" t="s">
        <v>99</v>
      </c>
      <c r="G7294" t="s">
        <v>99</v>
      </c>
      <c r="H7294" t="s">
        <v>99</v>
      </c>
      <c r="I7294" t="s">
        <v>99</v>
      </c>
      <c r="J7294" t="s">
        <v>99</v>
      </c>
      <c r="K7294" t="s">
        <v>99</v>
      </c>
      <c r="L7294" t="s">
        <v>99</v>
      </c>
    </row>
    <row r="7295" spans="1:12" x14ac:dyDescent="0.3">
      <c r="A7295" t="s">
        <v>33</v>
      </c>
      <c r="B7295" t="s">
        <v>1242</v>
      </c>
      <c r="C7295">
        <v>1898</v>
      </c>
      <c r="D7295" t="s">
        <v>467</v>
      </c>
      <c r="E7295" t="s">
        <v>149</v>
      </c>
      <c r="F7295" t="s">
        <v>115</v>
      </c>
      <c r="G7295" t="s">
        <v>207</v>
      </c>
      <c r="H7295" t="s">
        <v>99</v>
      </c>
      <c r="I7295" t="s">
        <v>198</v>
      </c>
      <c r="J7295" t="s">
        <v>136</v>
      </c>
      <c r="K7295" t="s">
        <v>99</v>
      </c>
      <c r="L7295" t="s">
        <v>99</v>
      </c>
    </row>
    <row r="7296" spans="1:12" s="5" customFormat="1" x14ac:dyDescent="0.3">
      <c r="A7296" s="5" t="s">
        <v>33</v>
      </c>
      <c r="B7296" s="5" t="s">
        <v>1243</v>
      </c>
      <c r="C7296" s="5">
        <v>30</v>
      </c>
      <c r="D7296" s="5" t="s">
        <v>627</v>
      </c>
      <c r="E7296" s="5" t="s">
        <v>626</v>
      </c>
      <c r="F7296" s="5" t="s">
        <v>120</v>
      </c>
      <c r="G7296" s="5" t="s">
        <v>99</v>
      </c>
      <c r="H7296" s="5" t="s">
        <v>99</v>
      </c>
      <c r="I7296" s="5" t="s">
        <v>99</v>
      </c>
      <c r="J7296" s="5" t="s">
        <v>99</v>
      </c>
      <c r="K7296" s="5" t="s">
        <v>99</v>
      </c>
      <c r="L7296" s="5" t="s">
        <v>99</v>
      </c>
    </row>
    <row r="7297" spans="1:12" s="5" customFormat="1" x14ac:dyDescent="0.3">
      <c r="A7297" s="5" t="s">
        <v>33</v>
      </c>
      <c r="B7297" s="5" t="s">
        <v>1244</v>
      </c>
      <c r="C7297" s="5">
        <v>7</v>
      </c>
      <c r="D7297" s="5" t="s">
        <v>583</v>
      </c>
      <c r="E7297" s="5" t="s">
        <v>148</v>
      </c>
      <c r="F7297" s="5" t="s">
        <v>99</v>
      </c>
      <c r="G7297" s="5" t="s">
        <v>99</v>
      </c>
      <c r="H7297" s="5" t="s">
        <v>99</v>
      </c>
      <c r="I7297" s="5" t="s">
        <v>99</v>
      </c>
      <c r="J7297" s="5" t="s">
        <v>201</v>
      </c>
      <c r="K7297" s="5" t="s">
        <v>99</v>
      </c>
      <c r="L7297" s="5" t="s">
        <v>99</v>
      </c>
    </row>
    <row r="7298" spans="1:12" x14ac:dyDescent="0.3">
      <c r="A7298" t="s">
        <v>33</v>
      </c>
      <c r="B7298" t="s">
        <v>365</v>
      </c>
      <c r="C7298">
        <v>2</v>
      </c>
      <c r="D7298" t="s">
        <v>594</v>
      </c>
      <c r="E7298" t="s">
        <v>955</v>
      </c>
      <c r="F7298" t="s">
        <v>99</v>
      </c>
      <c r="G7298" t="s">
        <v>99</v>
      </c>
      <c r="H7298" t="s">
        <v>99</v>
      </c>
      <c r="I7298" t="s">
        <v>99</v>
      </c>
      <c r="J7298" t="s">
        <v>99</v>
      </c>
      <c r="K7298" t="s">
        <v>99</v>
      </c>
      <c r="L7298" t="s">
        <v>99</v>
      </c>
    </row>
    <row r="7299" spans="1:12" x14ac:dyDescent="0.3">
      <c r="A7299" t="s">
        <v>49</v>
      </c>
      <c r="B7299" t="s">
        <v>1242</v>
      </c>
      <c r="C7299">
        <v>12925</v>
      </c>
      <c r="D7299" t="s">
        <v>71</v>
      </c>
      <c r="E7299" t="s">
        <v>124</v>
      </c>
      <c r="F7299" t="s">
        <v>101</v>
      </c>
      <c r="G7299" t="s">
        <v>104</v>
      </c>
      <c r="H7299" t="s">
        <v>104</v>
      </c>
      <c r="I7299" t="s">
        <v>108</v>
      </c>
      <c r="J7299" t="s">
        <v>253</v>
      </c>
      <c r="K7299" t="s">
        <v>104</v>
      </c>
      <c r="L7299" t="s">
        <v>99</v>
      </c>
    </row>
    <row r="7300" spans="1:12" x14ac:dyDescent="0.3">
      <c r="A7300" t="s">
        <v>49</v>
      </c>
      <c r="B7300" t="s">
        <v>1243</v>
      </c>
      <c r="C7300">
        <v>227</v>
      </c>
      <c r="D7300" t="s">
        <v>541</v>
      </c>
      <c r="E7300" t="s">
        <v>864</v>
      </c>
      <c r="F7300" t="s">
        <v>664</v>
      </c>
      <c r="G7300" t="s">
        <v>253</v>
      </c>
      <c r="H7300" t="s">
        <v>99</v>
      </c>
      <c r="I7300" t="s">
        <v>99</v>
      </c>
      <c r="J7300" t="s">
        <v>141</v>
      </c>
      <c r="K7300" t="s">
        <v>99</v>
      </c>
      <c r="L7300" t="s">
        <v>99</v>
      </c>
    </row>
    <row r="7301" spans="1:12" x14ac:dyDescent="0.3">
      <c r="A7301" t="s">
        <v>49</v>
      </c>
      <c r="B7301" t="s">
        <v>1244</v>
      </c>
      <c r="C7301">
        <v>158</v>
      </c>
      <c r="D7301" t="s">
        <v>439</v>
      </c>
      <c r="E7301" t="s">
        <v>679</v>
      </c>
      <c r="F7301" t="s">
        <v>74</v>
      </c>
      <c r="G7301" t="s">
        <v>99</v>
      </c>
      <c r="H7301" t="s">
        <v>99</v>
      </c>
      <c r="I7301" t="s">
        <v>107</v>
      </c>
      <c r="J7301" t="s">
        <v>132</v>
      </c>
      <c r="K7301" t="s">
        <v>99</v>
      </c>
      <c r="L7301" t="s">
        <v>99</v>
      </c>
    </row>
    <row r="7302" spans="1:12" x14ac:dyDescent="0.3">
      <c r="A7302" t="s">
        <v>49</v>
      </c>
      <c r="B7302" t="s">
        <v>365</v>
      </c>
      <c r="C7302">
        <v>11</v>
      </c>
      <c r="D7302" t="s">
        <v>889</v>
      </c>
      <c r="E7302" t="s">
        <v>262</v>
      </c>
      <c r="F7302" t="s">
        <v>99</v>
      </c>
      <c r="G7302" t="s">
        <v>99</v>
      </c>
      <c r="H7302" t="s">
        <v>99</v>
      </c>
      <c r="I7302" t="s">
        <v>99</v>
      </c>
      <c r="J7302" t="s">
        <v>99</v>
      </c>
      <c r="K7302" t="s">
        <v>99</v>
      </c>
      <c r="L7302" t="s">
        <v>99</v>
      </c>
    </row>
    <row r="7304" spans="1:12" x14ac:dyDescent="0.3">
      <c r="A7304" t="s">
        <v>2251</v>
      </c>
    </row>
    <row r="7305" spans="1:12" x14ac:dyDescent="0.3">
      <c r="A7305" t="s">
        <v>44</v>
      </c>
      <c r="B7305" t="s">
        <v>2252</v>
      </c>
      <c r="C7305" t="s">
        <v>32</v>
      </c>
      <c r="D7305" t="s">
        <v>2241</v>
      </c>
      <c r="E7305" t="s">
        <v>2242</v>
      </c>
      <c r="F7305" t="s">
        <v>2243</v>
      </c>
      <c r="G7305" t="s">
        <v>2244</v>
      </c>
      <c r="H7305" t="s">
        <v>2245</v>
      </c>
      <c r="I7305" t="s">
        <v>2246</v>
      </c>
      <c r="J7305" t="s">
        <v>1275</v>
      </c>
      <c r="K7305" t="s">
        <v>83</v>
      </c>
      <c r="L7305" t="s">
        <v>193</v>
      </c>
    </row>
    <row r="7306" spans="1:12" x14ac:dyDescent="0.3">
      <c r="A7306" t="s">
        <v>35</v>
      </c>
      <c r="B7306" t="s">
        <v>2253</v>
      </c>
      <c r="C7306">
        <v>1566</v>
      </c>
      <c r="D7306" t="s">
        <v>889</v>
      </c>
      <c r="E7306" t="s">
        <v>420</v>
      </c>
      <c r="F7306" t="s">
        <v>100</v>
      </c>
      <c r="G7306" t="s">
        <v>104</v>
      </c>
      <c r="H7306" t="s">
        <v>99</v>
      </c>
      <c r="I7306" t="s">
        <v>141</v>
      </c>
      <c r="J7306" t="s">
        <v>100</v>
      </c>
      <c r="K7306" t="s">
        <v>104</v>
      </c>
      <c r="L7306" t="s">
        <v>99</v>
      </c>
    </row>
    <row r="7307" spans="1:12" x14ac:dyDescent="0.3">
      <c r="A7307" t="s">
        <v>35</v>
      </c>
      <c r="B7307" t="s">
        <v>2254</v>
      </c>
      <c r="C7307">
        <v>1562</v>
      </c>
      <c r="D7307" t="s">
        <v>69</v>
      </c>
      <c r="E7307" t="s">
        <v>111</v>
      </c>
      <c r="F7307" t="s">
        <v>123</v>
      </c>
      <c r="G7307" t="s">
        <v>104</v>
      </c>
      <c r="H7307" t="s">
        <v>99</v>
      </c>
      <c r="I7307" t="s">
        <v>207</v>
      </c>
      <c r="J7307" t="s">
        <v>136</v>
      </c>
      <c r="K7307" t="s">
        <v>104</v>
      </c>
      <c r="L7307" t="s">
        <v>104</v>
      </c>
    </row>
    <row r="7308" spans="1:12" x14ac:dyDescent="0.3">
      <c r="A7308" t="s">
        <v>35</v>
      </c>
      <c r="B7308" t="s">
        <v>365</v>
      </c>
      <c r="C7308">
        <v>17</v>
      </c>
      <c r="D7308" t="s">
        <v>211</v>
      </c>
      <c r="E7308" t="s">
        <v>99</v>
      </c>
      <c r="F7308" t="s">
        <v>99</v>
      </c>
      <c r="G7308" t="s">
        <v>99</v>
      </c>
      <c r="H7308" t="s">
        <v>99</v>
      </c>
      <c r="I7308" t="s">
        <v>99</v>
      </c>
      <c r="J7308" t="s">
        <v>99</v>
      </c>
      <c r="K7308" t="s">
        <v>99</v>
      </c>
      <c r="L7308" t="s">
        <v>99</v>
      </c>
    </row>
    <row r="7309" spans="1:12" x14ac:dyDescent="0.3">
      <c r="A7309" t="s">
        <v>37</v>
      </c>
      <c r="B7309" t="s">
        <v>2253</v>
      </c>
      <c r="C7309">
        <v>2017</v>
      </c>
      <c r="D7309" t="s">
        <v>889</v>
      </c>
      <c r="E7309" t="s">
        <v>305</v>
      </c>
      <c r="F7309" t="s">
        <v>316</v>
      </c>
      <c r="G7309" t="s">
        <v>99</v>
      </c>
      <c r="H7309" t="s">
        <v>99</v>
      </c>
      <c r="I7309" t="s">
        <v>99</v>
      </c>
      <c r="J7309" t="s">
        <v>253</v>
      </c>
      <c r="K7309" t="s">
        <v>104</v>
      </c>
      <c r="L7309" t="s">
        <v>104</v>
      </c>
    </row>
    <row r="7310" spans="1:12" x14ac:dyDescent="0.3">
      <c r="A7310" t="s">
        <v>37</v>
      </c>
      <c r="B7310" t="s">
        <v>2254</v>
      </c>
      <c r="C7310">
        <v>1832</v>
      </c>
      <c r="D7310" t="s">
        <v>335</v>
      </c>
      <c r="E7310" t="s">
        <v>129</v>
      </c>
      <c r="F7310" t="s">
        <v>319</v>
      </c>
      <c r="G7310" t="s">
        <v>99</v>
      </c>
      <c r="H7310" t="s">
        <v>99</v>
      </c>
      <c r="I7310" t="s">
        <v>99</v>
      </c>
      <c r="J7310" t="s">
        <v>198</v>
      </c>
      <c r="K7310" t="s">
        <v>198</v>
      </c>
      <c r="L7310" t="s">
        <v>99</v>
      </c>
    </row>
    <row r="7311" spans="1:12" x14ac:dyDescent="0.3">
      <c r="A7311" t="s">
        <v>37</v>
      </c>
      <c r="B7311" t="s">
        <v>365</v>
      </c>
      <c r="C7311">
        <v>6</v>
      </c>
      <c r="D7311" t="s">
        <v>211</v>
      </c>
      <c r="E7311" t="s">
        <v>99</v>
      </c>
      <c r="F7311" t="s">
        <v>99</v>
      </c>
      <c r="G7311" t="s">
        <v>99</v>
      </c>
      <c r="H7311" t="s">
        <v>99</v>
      </c>
      <c r="I7311" t="s">
        <v>99</v>
      </c>
      <c r="J7311" t="s">
        <v>99</v>
      </c>
      <c r="K7311" t="s">
        <v>99</v>
      </c>
      <c r="L7311" t="s">
        <v>99</v>
      </c>
    </row>
    <row r="7312" spans="1:12" x14ac:dyDescent="0.3">
      <c r="A7312" t="s">
        <v>36</v>
      </c>
      <c r="B7312" t="s">
        <v>2253</v>
      </c>
      <c r="C7312">
        <v>1086</v>
      </c>
      <c r="D7312" t="s">
        <v>1276</v>
      </c>
      <c r="E7312" t="s">
        <v>401</v>
      </c>
      <c r="F7312" t="s">
        <v>123</v>
      </c>
      <c r="G7312" t="s">
        <v>99</v>
      </c>
      <c r="H7312" t="s">
        <v>99</v>
      </c>
      <c r="I7312" t="s">
        <v>207</v>
      </c>
      <c r="J7312" t="s">
        <v>108</v>
      </c>
      <c r="K7312" t="s">
        <v>253</v>
      </c>
      <c r="L7312" t="s">
        <v>198</v>
      </c>
    </row>
    <row r="7313" spans="1:12" x14ac:dyDescent="0.3">
      <c r="A7313" t="s">
        <v>36</v>
      </c>
      <c r="B7313" t="s">
        <v>2254</v>
      </c>
      <c r="C7313">
        <v>1204</v>
      </c>
      <c r="D7313" t="s">
        <v>771</v>
      </c>
      <c r="E7313" t="s">
        <v>412</v>
      </c>
      <c r="F7313" t="s">
        <v>132</v>
      </c>
      <c r="G7313" t="s">
        <v>104</v>
      </c>
      <c r="H7313" t="s">
        <v>99</v>
      </c>
      <c r="I7313" t="s">
        <v>100</v>
      </c>
      <c r="J7313" t="s">
        <v>104</v>
      </c>
      <c r="K7313" t="s">
        <v>104</v>
      </c>
      <c r="L7313" t="s">
        <v>99</v>
      </c>
    </row>
    <row r="7314" spans="1:12" x14ac:dyDescent="0.3">
      <c r="A7314" t="s">
        <v>36</v>
      </c>
      <c r="B7314" t="s">
        <v>365</v>
      </c>
      <c r="C7314">
        <v>14</v>
      </c>
      <c r="D7314" t="s">
        <v>383</v>
      </c>
      <c r="E7314" t="s">
        <v>215</v>
      </c>
      <c r="F7314" t="s">
        <v>99</v>
      </c>
      <c r="G7314" t="s">
        <v>99</v>
      </c>
      <c r="H7314" t="s">
        <v>99</v>
      </c>
      <c r="I7314" t="s">
        <v>99</v>
      </c>
      <c r="J7314" t="s">
        <v>99</v>
      </c>
      <c r="K7314" t="s">
        <v>99</v>
      </c>
      <c r="L7314" t="s">
        <v>99</v>
      </c>
    </row>
    <row r="7315" spans="1:12" x14ac:dyDescent="0.3">
      <c r="A7315" t="s">
        <v>34</v>
      </c>
      <c r="B7315" t="s">
        <v>2253</v>
      </c>
      <c r="C7315">
        <v>1049</v>
      </c>
      <c r="D7315" t="s">
        <v>875</v>
      </c>
      <c r="E7315" t="s">
        <v>296</v>
      </c>
      <c r="F7315" t="s">
        <v>123</v>
      </c>
      <c r="G7315" t="s">
        <v>99</v>
      </c>
      <c r="H7315" t="s">
        <v>253</v>
      </c>
      <c r="I7315" t="s">
        <v>147</v>
      </c>
      <c r="J7315" t="s">
        <v>101</v>
      </c>
      <c r="K7315" t="s">
        <v>99</v>
      </c>
      <c r="L7315" t="s">
        <v>99</v>
      </c>
    </row>
    <row r="7316" spans="1:12" x14ac:dyDescent="0.3">
      <c r="A7316" t="s">
        <v>34</v>
      </c>
      <c r="B7316" t="s">
        <v>2254</v>
      </c>
      <c r="C7316">
        <v>1019</v>
      </c>
      <c r="D7316" t="s">
        <v>1276</v>
      </c>
      <c r="E7316" t="s">
        <v>158</v>
      </c>
      <c r="F7316" t="s">
        <v>108</v>
      </c>
      <c r="G7316" t="s">
        <v>104</v>
      </c>
      <c r="H7316" t="s">
        <v>108</v>
      </c>
      <c r="I7316" t="s">
        <v>712</v>
      </c>
      <c r="J7316" t="s">
        <v>141</v>
      </c>
      <c r="K7316" t="s">
        <v>207</v>
      </c>
      <c r="L7316" t="s">
        <v>99</v>
      </c>
    </row>
    <row r="7317" spans="1:12" x14ac:dyDescent="0.3">
      <c r="A7317" t="s">
        <v>34</v>
      </c>
      <c r="B7317" t="s">
        <v>365</v>
      </c>
      <c r="C7317">
        <v>12</v>
      </c>
      <c r="D7317" t="s">
        <v>851</v>
      </c>
      <c r="E7317" t="s">
        <v>99</v>
      </c>
      <c r="F7317" t="s">
        <v>99</v>
      </c>
      <c r="G7317" t="s">
        <v>103</v>
      </c>
      <c r="H7317" t="s">
        <v>99</v>
      </c>
      <c r="I7317" t="s">
        <v>99</v>
      </c>
      <c r="J7317" t="s">
        <v>99</v>
      </c>
      <c r="K7317" t="s">
        <v>99</v>
      </c>
      <c r="L7317" t="s">
        <v>99</v>
      </c>
    </row>
    <row r="7318" spans="1:12" x14ac:dyDescent="0.3">
      <c r="A7318" t="s">
        <v>33</v>
      </c>
      <c r="B7318" t="s">
        <v>2253</v>
      </c>
      <c r="C7318">
        <v>914</v>
      </c>
      <c r="D7318" t="s">
        <v>422</v>
      </c>
      <c r="E7318" t="s">
        <v>420</v>
      </c>
      <c r="F7318" t="s">
        <v>114</v>
      </c>
      <c r="G7318" t="s">
        <v>136</v>
      </c>
      <c r="H7318" t="s">
        <v>99</v>
      </c>
      <c r="I7318" t="s">
        <v>104</v>
      </c>
      <c r="J7318" t="s">
        <v>108</v>
      </c>
      <c r="K7318" t="s">
        <v>99</v>
      </c>
      <c r="L7318" t="s">
        <v>99</v>
      </c>
    </row>
    <row r="7319" spans="1:12" x14ac:dyDescent="0.3">
      <c r="A7319" t="s">
        <v>33</v>
      </c>
      <c r="B7319" t="s">
        <v>2254</v>
      </c>
      <c r="C7319">
        <v>1022</v>
      </c>
      <c r="D7319" t="s">
        <v>398</v>
      </c>
      <c r="E7319" t="s">
        <v>117</v>
      </c>
      <c r="F7319" t="s">
        <v>141</v>
      </c>
      <c r="G7319" t="s">
        <v>198</v>
      </c>
      <c r="H7319" t="s">
        <v>99</v>
      </c>
      <c r="I7319" t="s">
        <v>198</v>
      </c>
      <c r="J7319" t="s">
        <v>99</v>
      </c>
      <c r="K7319" t="s">
        <v>99</v>
      </c>
      <c r="L7319" t="s">
        <v>99</v>
      </c>
    </row>
    <row r="7320" spans="1:12" x14ac:dyDescent="0.3">
      <c r="A7320" t="s">
        <v>33</v>
      </c>
      <c r="B7320" t="s">
        <v>365</v>
      </c>
      <c r="C7320">
        <v>1</v>
      </c>
      <c r="D7320" t="s">
        <v>211</v>
      </c>
      <c r="E7320" t="s">
        <v>99</v>
      </c>
      <c r="F7320" t="s">
        <v>99</v>
      </c>
      <c r="G7320" t="s">
        <v>99</v>
      </c>
      <c r="H7320" t="s">
        <v>99</v>
      </c>
      <c r="I7320" t="s">
        <v>99</v>
      </c>
      <c r="J7320" t="s">
        <v>99</v>
      </c>
      <c r="K7320" t="s">
        <v>99</v>
      </c>
      <c r="L7320" t="s">
        <v>99</v>
      </c>
    </row>
    <row r="7321" spans="1:12" x14ac:dyDescent="0.3">
      <c r="A7321" t="s">
        <v>49</v>
      </c>
      <c r="B7321" t="s">
        <v>2253</v>
      </c>
      <c r="C7321">
        <v>6632</v>
      </c>
      <c r="D7321" t="s">
        <v>366</v>
      </c>
      <c r="E7321" t="s">
        <v>420</v>
      </c>
      <c r="F7321" t="s">
        <v>127</v>
      </c>
      <c r="G7321" t="s">
        <v>104</v>
      </c>
      <c r="H7321" t="s">
        <v>104</v>
      </c>
      <c r="I7321" t="s">
        <v>115</v>
      </c>
      <c r="J7321" t="s">
        <v>108</v>
      </c>
      <c r="K7321" t="s">
        <v>104</v>
      </c>
      <c r="L7321" t="s">
        <v>99</v>
      </c>
    </row>
    <row r="7322" spans="1:12" x14ac:dyDescent="0.3">
      <c r="A7322" t="s">
        <v>49</v>
      </c>
      <c r="B7322" t="s">
        <v>2254</v>
      </c>
      <c r="C7322">
        <v>6639</v>
      </c>
      <c r="D7322" t="s">
        <v>327</v>
      </c>
      <c r="E7322" t="s">
        <v>332</v>
      </c>
      <c r="F7322" t="s">
        <v>121</v>
      </c>
      <c r="G7322" t="s">
        <v>104</v>
      </c>
      <c r="H7322" t="s">
        <v>198</v>
      </c>
      <c r="I7322" t="s">
        <v>114</v>
      </c>
      <c r="J7322" t="s">
        <v>207</v>
      </c>
      <c r="K7322" t="s">
        <v>104</v>
      </c>
      <c r="L7322" t="s">
        <v>99</v>
      </c>
    </row>
    <row r="7323" spans="1:12" x14ac:dyDescent="0.3">
      <c r="A7323" t="s">
        <v>49</v>
      </c>
      <c r="B7323" t="s">
        <v>365</v>
      </c>
      <c r="C7323">
        <v>50</v>
      </c>
      <c r="D7323" t="s">
        <v>982</v>
      </c>
      <c r="E7323" t="s">
        <v>198</v>
      </c>
      <c r="F7323" t="s">
        <v>99</v>
      </c>
      <c r="G7323" t="s">
        <v>108</v>
      </c>
      <c r="H7323" t="s">
        <v>99</v>
      </c>
      <c r="I7323" t="s">
        <v>99</v>
      </c>
      <c r="J7323" t="s">
        <v>99</v>
      </c>
      <c r="K7323" t="s">
        <v>99</v>
      </c>
      <c r="L7323" t="s">
        <v>99</v>
      </c>
    </row>
    <row r="7325" spans="1:12" x14ac:dyDescent="0.3">
      <c r="A7325" t="s">
        <v>2255</v>
      </c>
    </row>
    <row r="7326" spans="1:12" x14ac:dyDescent="0.3">
      <c r="A7326" t="s">
        <v>44</v>
      </c>
      <c r="B7326" t="s">
        <v>361</v>
      </c>
      <c r="C7326" t="s">
        <v>32</v>
      </c>
      <c r="D7326" t="s">
        <v>2241</v>
      </c>
      <c r="E7326" t="s">
        <v>2242</v>
      </c>
      <c r="F7326" t="s">
        <v>2243</v>
      </c>
      <c r="G7326" t="s">
        <v>2244</v>
      </c>
      <c r="H7326" t="s">
        <v>2245</v>
      </c>
      <c r="I7326" t="s">
        <v>2246</v>
      </c>
      <c r="J7326" t="s">
        <v>1275</v>
      </c>
      <c r="K7326" t="s">
        <v>83</v>
      </c>
      <c r="L7326" t="s">
        <v>193</v>
      </c>
    </row>
    <row r="7327" spans="1:12" x14ac:dyDescent="0.3">
      <c r="A7327" t="s">
        <v>35</v>
      </c>
      <c r="B7327" t="s">
        <v>339</v>
      </c>
      <c r="C7327">
        <v>890</v>
      </c>
      <c r="D7327" t="s">
        <v>180</v>
      </c>
      <c r="E7327" t="s">
        <v>401</v>
      </c>
      <c r="F7327" t="s">
        <v>120</v>
      </c>
      <c r="G7327" t="s">
        <v>104</v>
      </c>
      <c r="H7327" t="s">
        <v>99</v>
      </c>
      <c r="I7327" t="s">
        <v>115</v>
      </c>
      <c r="J7327" t="s">
        <v>114</v>
      </c>
      <c r="K7327" t="s">
        <v>104</v>
      </c>
      <c r="L7327" t="s">
        <v>198</v>
      </c>
    </row>
    <row r="7328" spans="1:12" x14ac:dyDescent="0.3">
      <c r="A7328" t="s">
        <v>35</v>
      </c>
      <c r="B7328" t="s">
        <v>340</v>
      </c>
      <c r="C7328">
        <v>2215</v>
      </c>
      <c r="D7328" t="s">
        <v>1438</v>
      </c>
      <c r="E7328" t="s">
        <v>154</v>
      </c>
      <c r="F7328" t="s">
        <v>114</v>
      </c>
      <c r="G7328" t="s">
        <v>104</v>
      </c>
      <c r="H7328" t="s">
        <v>99</v>
      </c>
      <c r="I7328" t="s">
        <v>207</v>
      </c>
      <c r="J7328" t="s">
        <v>141</v>
      </c>
      <c r="K7328" t="s">
        <v>99</v>
      </c>
      <c r="L7328" t="s">
        <v>99</v>
      </c>
    </row>
    <row r="7329" spans="1:12" x14ac:dyDescent="0.3">
      <c r="A7329" t="s">
        <v>35</v>
      </c>
      <c r="B7329" t="s">
        <v>365</v>
      </c>
      <c r="C7329">
        <v>40</v>
      </c>
      <c r="D7329" t="s">
        <v>211</v>
      </c>
      <c r="E7329" t="s">
        <v>99</v>
      </c>
      <c r="F7329" t="s">
        <v>99</v>
      </c>
      <c r="G7329" t="s">
        <v>99</v>
      </c>
      <c r="H7329" t="s">
        <v>99</v>
      </c>
      <c r="I7329" t="s">
        <v>99</v>
      </c>
      <c r="J7329" t="s">
        <v>99</v>
      </c>
      <c r="K7329" t="s">
        <v>99</v>
      </c>
      <c r="L7329" t="s">
        <v>99</v>
      </c>
    </row>
    <row r="7330" spans="1:12" x14ac:dyDescent="0.3">
      <c r="A7330" t="s">
        <v>37</v>
      </c>
      <c r="B7330" t="s">
        <v>339</v>
      </c>
      <c r="C7330">
        <v>1093</v>
      </c>
      <c r="D7330" t="s">
        <v>314</v>
      </c>
      <c r="E7330" t="s">
        <v>287</v>
      </c>
      <c r="F7330" t="s">
        <v>105</v>
      </c>
      <c r="G7330" t="s">
        <v>104</v>
      </c>
      <c r="H7330" t="s">
        <v>99</v>
      </c>
      <c r="I7330" t="s">
        <v>99</v>
      </c>
      <c r="J7330" t="s">
        <v>114</v>
      </c>
      <c r="K7330" t="s">
        <v>207</v>
      </c>
      <c r="L7330" t="s">
        <v>99</v>
      </c>
    </row>
    <row r="7331" spans="1:12" x14ac:dyDescent="0.3">
      <c r="A7331" t="s">
        <v>37</v>
      </c>
      <c r="B7331" t="s">
        <v>340</v>
      </c>
      <c r="C7331">
        <v>2721</v>
      </c>
      <c r="D7331" t="s">
        <v>467</v>
      </c>
      <c r="E7331" t="s">
        <v>139</v>
      </c>
      <c r="F7331" t="s">
        <v>382</v>
      </c>
      <c r="G7331" t="s">
        <v>99</v>
      </c>
      <c r="H7331" t="s">
        <v>99</v>
      </c>
      <c r="I7331" t="s">
        <v>104</v>
      </c>
      <c r="J7331" t="s">
        <v>198</v>
      </c>
      <c r="K7331" t="s">
        <v>99</v>
      </c>
      <c r="L7331" t="s">
        <v>104</v>
      </c>
    </row>
    <row r="7332" spans="1:12" x14ac:dyDescent="0.3">
      <c r="A7332" t="s">
        <v>37</v>
      </c>
      <c r="B7332" t="s">
        <v>365</v>
      </c>
      <c r="C7332">
        <v>41</v>
      </c>
      <c r="D7332" t="s">
        <v>433</v>
      </c>
      <c r="E7332" t="s">
        <v>99</v>
      </c>
      <c r="F7332" t="s">
        <v>99</v>
      </c>
      <c r="G7332" t="s">
        <v>99</v>
      </c>
      <c r="H7332" t="s">
        <v>99</v>
      </c>
      <c r="I7332" t="s">
        <v>99</v>
      </c>
      <c r="J7332" t="s">
        <v>99</v>
      </c>
      <c r="K7332" t="s">
        <v>434</v>
      </c>
      <c r="L7332" t="s">
        <v>99</v>
      </c>
    </row>
    <row r="7333" spans="1:12" x14ac:dyDescent="0.3">
      <c r="A7333" t="s">
        <v>36</v>
      </c>
      <c r="B7333" t="s">
        <v>339</v>
      </c>
      <c r="C7333">
        <v>770</v>
      </c>
      <c r="D7333" t="s">
        <v>762</v>
      </c>
      <c r="E7333" t="s">
        <v>133</v>
      </c>
      <c r="F7333" t="s">
        <v>292</v>
      </c>
      <c r="G7333" t="s">
        <v>99</v>
      </c>
      <c r="H7333" t="s">
        <v>99</v>
      </c>
      <c r="I7333" t="s">
        <v>207</v>
      </c>
      <c r="J7333" t="s">
        <v>101</v>
      </c>
      <c r="K7333" t="s">
        <v>114</v>
      </c>
      <c r="L7333" t="s">
        <v>198</v>
      </c>
    </row>
    <row r="7334" spans="1:12" x14ac:dyDescent="0.3">
      <c r="A7334" t="s">
        <v>36</v>
      </c>
      <c r="B7334" t="s">
        <v>340</v>
      </c>
      <c r="C7334">
        <v>1471</v>
      </c>
      <c r="D7334" t="s">
        <v>162</v>
      </c>
      <c r="E7334" t="s">
        <v>242</v>
      </c>
      <c r="F7334" t="s">
        <v>108</v>
      </c>
      <c r="G7334" t="s">
        <v>99</v>
      </c>
      <c r="H7334" t="s">
        <v>99</v>
      </c>
      <c r="I7334" t="s">
        <v>132</v>
      </c>
      <c r="J7334" t="s">
        <v>104</v>
      </c>
      <c r="K7334" t="s">
        <v>99</v>
      </c>
      <c r="L7334" t="s">
        <v>99</v>
      </c>
    </row>
    <row r="7335" spans="1:12" x14ac:dyDescent="0.3">
      <c r="A7335" t="s">
        <v>36</v>
      </c>
      <c r="B7335" t="s">
        <v>365</v>
      </c>
      <c r="C7335">
        <v>63</v>
      </c>
      <c r="D7335" t="s">
        <v>786</v>
      </c>
      <c r="E7335" t="s">
        <v>382</v>
      </c>
      <c r="F7335" t="s">
        <v>99</v>
      </c>
      <c r="G7335" t="s">
        <v>99</v>
      </c>
      <c r="H7335" t="s">
        <v>99</v>
      </c>
      <c r="I7335" t="s">
        <v>105</v>
      </c>
      <c r="J7335" t="s">
        <v>99</v>
      </c>
      <c r="K7335" t="s">
        <v>99</v>
      </c>
      <c r="L7335" t="s">
        <v>99</v>
      </c>
    </row>
    <row r="7336" spans="1:12" x14ac:dyDescent="0.3">
      <c r="A7336" t="s">
        <v>34</v>
      </c>
      <c r="B7336" t="s">
        <v>339</v>
      </c>
      <c r="C7336">
        <v>555</v>
      </c>
      <c r="D7336" t="s">
        <v>396</v>
      </c>
      <c r="E7336" t="s">
        <v>311</v>
      </c>
      <c r="F7336" t="s">
        <v>111</v>
      </c>
      <c r="G7336" t="s">
        <v>99</v>
      </c>
      <c r="H7336" t="s">
        <v>253</v>
      </c>
      <c r="I7336" t="s">
        <v>242</v>
      </c>
      <c r="J7336" t="s">
        <v>382</v>
      </c>
      <c r="K7336" t="s">
        <v>99</v>
      </c>
      <c r="L7336" t="s">
        <v>99</v>
      </c>
    </row>
    <row r="7337" spans="1:12" x14ac:dyDescent="0.3">
      <c r="A7337" t="s">
        <v>34</v>
      </c>
      <c r="B7337" t="s">
        <v>340</v>
      </c>
      <c r="C7337">
        <v>1497</v>
      </c>
      <c r="D7337" t="s">
        <v>203</v>
      </c>
      <c r="E7337" t="s">
        <v>242</v>
      </c>
      <c r="F7337" t="s">
        <v>108</v>
      </c>
      <c r="G7337" t="s">
        <v>104</v>
      </c>
      <c r="H7337" t="s">
        <v>132</v>
      </c>
      <c r="I7337" t="s">
        <v>107</v>
      </c>
      <c r="J7337" t="s">
        <v>141</v>
      </c>
      <c r="K7337" t="s">
        <v>104</v>
      </c>
      <c r="L7337" t="s">
        <v>99</v>
      </c>
    </row>
    <row r="7338" spans="1:12" x14ac:dyDescent="0.3">
      <c r="A7338" t="s">
        <v>34</v>
      </c>
      <c r="B7338" t="s">
        <v>365</v>
      </c>
      <c r="C7338">
        <v>28</v>
      </c>
      <c r="D7338" t="s">
        <v>403</v>
      </c>
      <c r="E7338" t="s">
        <v>207</v>
      </c>
      <c r="F7338" t="s">
        <v>319</v>
      </c>
      <c r="G7338" t="s">
        <v>319</v>
      </c>
      <c r="H7338" t="s">
        <v>99</v>
      </c>
      <c r="I7338" t="s">
        <v>99</v>
      </c>
      <c r="J7338" t="s">
        <v>99</v>
      </c>
      <c r="K7338" t="s">
        <v>468</v>
      </c>
      <c r="L7338" t="s">
        <v>99</v>
      </c>
    </row>
    <row r="7339" spans="1:12" x14ac:dyDescent="0.3">
      <c r="A7339" t="s">
        <v>33</v>
      </c>
      <c r="B7339" t="s">
        <v>339</v>
      </c>
      <c r="C7339">
        <v>503</v>
      </c>
      <c r="D7339" t="s">
        <v>1007</v>
      </c>
      <c r="E7339" t="s">
        <v>287</v>
      </c>
      <c r="F7339" t="s">
        <v>121</v>
      </c>
      <c r="G7339" t="s">
        <v>198</v>
      </c>
      <c r="H7339" t="s">
        <v>99</v>
      </c>
      <c r="I7339" t="s">
        <v>115</v>
      </c>
      <c r="J7339" t="s">
        <v>100</v>
      </c>
      <c r="K7339" t="s">
        <v>99</v>
      </c>
      <c r="L7339" t="s">
        <v>99</v>
      </c>
    </row>
    <row r="7340" spans="1:12" x14ac:dyDescent="0.3">
      <c r="A7340" t="s">
        <v>33</v>
      </c>
      <c r="B7340" t="s">
        <v>340</v>
      </c>
      <c r="C7340">
        <v>1415</v>
      </c>
      <c r="D7340" t="s">
        <v>333</v>
      </c>
      <c r="E7340" t="s">
        <v>157</v>
      </c>
      <c r="F7340" t="s">
        <v>141</v>
      </c>
      <c r="G7340" t="s">
        <v>136</v>
      </c>
      <c r="H7340" t="s">
        <v>99</v>
      </c>
      <c r="I7340" t="s">
        <v>99</v>
      </c>
      <c r="J7340" t="s">
        <v>104</v>
      </c>
      <c r="K7340" t="s">
        <v>99</v>
      </c>
      <c r="L7340" t="s">
        <v>99</v>
      </c>
    </row>
    <row r="7341" spans="1:12" x14ac:dyDescent="0.3">
      <c r="A7341" t="s">
        <v>33</v>
      </c>
      <c r="B7341" t="s">
        <v>365</v>
      </c>
      <c r="C7341">
        <v>19</v>
      </c>
      <c r="D7341" t="s">
        <v>966</v>
      </c>
      <c r="E7341" t="s">
        <v>315</v>
      </c>
      <c r="F7341" t="s">
        <v>328</v>
      </c>
      <c r="G7341" t="s">
        <v>99</v>
      </c>
      <c r="H7341" t="s">
        <v>99</v>
      </c>
      <c r="I7341" t="s">
        <v>99</v>
      </c>
      <c r="J7341" t="s">
        <v>99</v>
      </c>
      <c r="K7341" t="s">
        <v>99</v>
      </c>
      <c r="L7341" t="s">
        <v>99</v>
      </c>
    </row>
    <row r="7342" spans="1:12" x14ac:dyDescent="0.3">
      <c r="A7342" t="s">
        <v>49</v>
      </c>
      <c r="B7342" t="s">
        <v>339</v>
      </c>
      <c r="C7342">
        <v>3811</v>
      </c>
      <c r="D7342" t="s">
        <v>356</v>
      </c>
      <c r="E7342" t="s">
        <v>470</v>
      </c>
      <c r="F7342" t="s">
        <v>103</v>
      </c>
      <c r="G7342" t="s">
        <v>104</v>
      </c>
      <c r="H7342" t="s">
        <v>104</v>
      </c>
      <c r="I7342" t="s">
        <v>319</v>
      </c>
      <c r="J7342" t="s">
        <v>121</v>
      </c>
      <c r="K7342" t="s">
        <v>198</v>
      </c>
      <c r="L7342" t="s">
        <v>104</v>
      </c>
    </row>
    <row r="7343" spans="1:12" x14ac:dyDescent="0.3">
      <c r="A7343" t="s">
        <v>49</v>
      </c>
      <c r="B7343" t="s">
        <v>340</v>
      </c>
      <c r="C7343">
        <v>9319</v>
      </c>
      <c r="D7343" t="s">
        <v>358</v>
      </c>
      <c r="E7343" t="s">
        <v>130</v>
      </c>
      <c r="F7343" t="s">
        <v>100</v>
      </c>
      <c r="G7343" t="s">
        <v>104</v>
      </c>
      <c r="H7343" t="s">
        <v>104</v>
      </c>
      <c r="I7343" t="s">
        <v>115</v>
      </c>
      <c r="J7343" t="s">
        <v>207</v>
      </c>
      <c r="K7343" t="s">
        <v>99</v>
      </c>
      <c r="L7343" t="s">
        <v>99</v>
      </c>
    </row>
    <row r="7344" spans="1:12" x14ac:dyDescent="0.3">
      <c r="A7344" t="s">
        <v>49</v>
      </c>
      <c r="B7344" t="s">
        <v>365</v>
      </c>
      <c r="C7344">
        <v>191</v>
      </c>
      <c r="D7344" t="s">
        <v>778</v>
      </c>
      <c r="E7344" t="s">
        <v>215</v>
      </c>
      <c r="F7344" t="s">
        <v>114</v>
      </c>
      <c r="G7344" t="s">
        <v>207</v>
      </c>
      <c r="H7344" t="s">
        <v>99</v>
      </c>
      <c r="I7344" t="s">
        <v>141</v>
      </c>
      <c r="J7344" t="s">
        <v>99</v>
      </c>
      <c r="K7344" t="s">
        <v>111</v>
      </c>
      <c r="L7344" t="s">
        <v>99</v>
      </c>
    </row>
    <row r="7346" spans="1:12" x14ac:dyDescent="0.3">
      <c r="A7346" t="s">
        <v>2256</v>
      </c>
    </row>
    <row r="7347" spans="1:12" x14ac:dyDescent="0.3">
      <c r="A7347" t="s">
        <v>44</v>
      </c>
      <c r="B7347" t="s">
        <v>257</v>
      </c>
      <c r="C7347" t="s">
        <v>32</v>
      </c>
      <c r="D7347" t="s">
        <v>2241</v>
      </c>
      <c r="E7347" t="s">
        <v>2242</v>
      </c>
      <c r="F7347" t="s">
        <v>2243</v>
      </c>
      <c r="G7347" t="s">
        <v>2244</v>
      </c>
      <c r="H7347" t="s">
        <v>2245</v>
      </c>
      <c r="I7347" t="s">
        <v>2246</v>
      </c>
      <c r="J7347" t="s">
        <v>1275</v>
      </c>
      <c r="K7347" t="s">
        <v>83</v>
      </c>
      <c r="L7347" t="s">
        <v>193</v>
      </c>
    </row>
    <row r="7348" spans="1:12" x14ac:dyDescent="0.3">
      <c r="A7348" t="s">
        <v>35</v>
      </c>
      <c r="B7348" t="s">
        <v>258</v>
      </c>
      <c r="C7348">
        <v>2873</v>
      </c>
      <c r="D7348" t="s">
        <v>978</v>
      </c>
      <c r="E7348" t="s">
        <v>68</v>
      </c>
      <c r="F7348" t="s">
        <v>382</v>
      </c>
      <c r="G7348" t="s">
        <v>104</v>
      </c>
      <c r="H7348" t="s">
        <v>99</v>
      </c>
      <c r="I7348" t="s">
        <v>104</v>
      </c>
      <c r="J7348" t="s">
        <v>115</v>
      </c>
      <c r="K7348" t="s">
        <v>99</v>
      </c>
      <c r="L7348" t="s">
        <v>104</v>
      </c>
    </row>
    <row r="7349" spans="1:12" x14ac:dyDescent="0.3">
      <c r="A7349" t="s">
        <v>35</v>
      </c>
      <c r="B7349" t="s">
        <v>260</v>
      </c>
      <c r="C7349">
        <v>272</v>
      </c>
      <c r="D7349" t="s">
        <v>252</v>
      </c>
      <c r="E7349" t="s">
        <v>277</v>
      </c>
      <c r="F7349" t="s">
        <v>319</v>
      </c>
      <c r="G7349" t="s">
        <v>99</v>
      </c>
      <c r="H7349" t="s">
        <v>99</v>
      </c>
      <c r="I7349" t="s">
        <v>107</v>
      </c>
      <c r="J7349" t="s">
        <v>132</v>
      </c>
      <c r="K7349" t="s">
        <v>207</v>
      </c>
      <c r="L7349" t="s">
        <v>99</v>
      </c>
    </row>
    <row r="7350" spans="1:12" x14ac:dyDescent="0.3">
      <c r="A7350" t="s">
        <v>37</v>
      </c>
      <c r="B7350" t="s">
        <v>258</v>
      </c>
      <c r="C7350">
        <v>3855</v>
      </c>
      <c r="D7350" t="s">
        <v>419</v>
      </c>
      <c r="E7350" t="s">
        <v>145</v>
      </c>
      <c r="F7350" t="s">
        <v>151</v>
      </c>
      <c r="G7350" t="s">
        <v>99</v>
      </c>
      <c r="H7350" t="s">
        <v>99</v>
      </c>
      <c r="I7350" t="s">
        <v>99</v>
      </c>
      <c r="J7350" t="s">
        <v>136</v>
      </c>
      <c r="K7350" t="s">
        <v>104</v>
      </c>
      <c r="L7350" t="s">
        <v>99</v>
      </c>
    </row>
    <row r="7351" spans="1:12" x14ac:dyDescent="0.3">
      <c r="A7351" t="s">
        <v>36</v>
      </c>
      <c r="B7351" t="s">
        <v>258</v>
      </c>
      <c r="C7351">
        <v>2099</v>
      </c>
      <c r="D7351" t="s">
        <v>252</v>
      </c>
      <c r="E7351" t="s">
        <v>145</v>
      </c>
      <c r="F7351" t="s">
        <v>101</v>
      </c>
      <c r="G7351" t="s">
        <v>99</v>
      </c>
      <c r="H7351" t="s">
        <v>99</v>
      </c>
      <c r="I7351" t="s">
        <v>115</v>
      </c>
      <c r="J7351" t="s">
        <v>141</v>
      </c>
      <c r="K7351" t="s">
        <v>207</v>
      </c>
      <c r="L7351" t="s">
        <v>104</v>
      </c>
    </row>
    <row r="7352" spans="1:12" x14ac:dyDescent="0.3">
      <c r="A7352" t="s">
        <v>36</v>
      </c>
      <c r="B7352" t="s">
        <v>260</v>
      </c>
      <c r="C7352">
        <v>205</v>
      </c>
      <c r="D7352" t="s">
        <v>784</v>
      </c>
      <c r="E7352" t="s">
        <v>122</v>
      </c>
      <c r="F7352" t="s">
        <v>114</v>
      </c>
      <c r="G7352" t="s">
        <v>141</v>
      </c>
      <c r="H7352" t="s">
        <v>147</v>
      </c>
      <c r="I7352" t="s">
        <v>98</v>
      </c>
      <c r="J7352" t="s">
        <v>114</v>
      </c>
      <c r="K7352" t="s">
        <v>99</v>
      </c>
      <c r="L7352" t="s">
        <v>99</v>
      </c>
    </row>
    <row r="7353" spans="1:12" x14ac:dyDescent="0.3">
      <c r="A7353" t="s">
        <v>34</v>
      </c>
      <c r="B7353" t="s">
        <v>258</v>
      </c>
      <c r="C7353">
        <v>1221</v>
      </c>
      <c r="D7353" t="s">
        <v>331</v>
      </c>
      <c r="E7353" t="s">
        <v>129</v>
      </c>
      <c r="F7353" t="s">
        <v>207</v>
      </c>
      <c r="G7353" t="s">
        <v>99</v>
      </c>
      <c r="H7353" t="s">
        <v>99</v>
      </c>
      <c r="I7353" t="s">
        <v>99</v>
      </c>
      <c r="J7353" t="s">
        <v>141</v>
      </c>
      <c r="K7353" t="s">
        <v>99</v>
      </c>
      <c r="L7353" t="s">
        <v>99</v>
      </c>
    </row>
    <row r="7354" spans="1:12" x14ac:dyDescent="0.3">
      <c r="A7354" t="s">
        <v>34</v>
      </c>
      <c r="B7354" t="s">
        <v>260</v>
      </c>
      <c r="C7354">
        <v>859</v>
      </c>
      <c r="D7354" t="s">
        <v>174</v>
      </c>
      <c r="E7354" t="s">
        <v>72</v>
      </c>
      <c r="F7354" t="s">
        <v>151</v>
      </c>
      <c r="G7354" t="s">
        <v>104</v>
      </c>
      <c r="H7354" t="s">
        <v>121</v>
      </c>
      <c r="I7354" t="s">
        <v>325</v>
      </c>
      <c r="J7354" t="s">
        <v>100</v>
      </c>
      <c r="K7354" t="s">
        <v>198</v>
      </c>
      <c r="L7354" t="s">
        <v>99</v>
      </c>
    </row>
    <row r="7355" spans="1:12" x14ac:dyDescent="0.3">
      <c r="A7355" t="s">
        <v>33</v>
      </c>
      <c r="B7355" t="s">
        <v>258</v>
      </c>
      <c r="C7355">
        <v>1937</v>
      </c>
      <c r="D7355" t="s">
        <v>162</v>
      </c>
      <c r="E7355" t="s">
        <v>684</v>
      </c>
      <c r="F7355" t="s">
        <v>115</v>
      </c>
      <c r="G7355" t="s">
        <v>207</v>
      </c>
      <c r="H7355" t="s">
        <v>99</v>
      </c>
      <c r="I7355" t="s">
        <v>198</v>
      </c>
      <c r="J7355" t="s">
        <v>136</v>
      </c>
      <c r="K7355" t="s">
        <v>99</v>
      </c>
      <c r="L7355" t="s">
        <v>99</v>
      </c>
    </row>
    <row r="7356" spans="1:12" x14ac:dyDescent="0.3">
      <c r="A7356" t="s">
        <v>49</v>
      </c>
      <c r="B7356" t="s">
        <v>258</v>
      </c>
      <c r="C7356">
        <v>11985</v>
      </c>
      <c r="D7356" t="s">
        <v>226</v>
      </c>
      <c r="E7356" t="s">
        <v>98</v>
      </c>
      <c r="F7356" t="s">
        <v>319</v>
      </c>
      <c r="G7356" t="s">
        <v>104</v>
      </c>
      <c r="H7356" t="s">
        <v>99</v>
      </c>
      <c r="I7356" t="s">
        <v>104</v>
      </c>
      <c r="J7356" t="s">
        <v>141</v>
      </c>
      <c r="K7356" t="s">
        <v>104</v>
      </c>
      <c r="L7356" t="s">
        <v>99</v>
      </c>
    </row>
    <row r="7357" spans="1:12" x14ac:dyDescent="0.3">
      <c r="A7357" t="s">
        <v>49</v>
      </c>
      <c r="B7357" t="s">
        <v>260</v>
      </c>
      <c r="C7357">
        <v>1336</v>
      </c>
      <c r="D7357" t="s">
        <v>855</v>
      </c>
      <c r="E7357" t="s">
        <v>353</v>
      </c>
      <c r="F7357" t="s">
        <v>123</v>
      </c>
      <c r="G7357" t="s">
        <v>104</v>
      </c>
      <c r="H7357" t="s">
        <v>108</v>
      </c>
      <c r="I7357" t="s">
        <v>684</v>
      </c>
      <c r="J7357" t="s">
        <v>100</v>
      </c>
      <c r="K7357" t="s">
        <v>198</v>
      </c>
      <c r="L7357" t="s">
        <v>99</v>
      </c>
    </row>
    <row r="7359" spans="1:12" x14ac:dyDescent="0.3">
      <c r="A7359" t="s">
        <v>2257</v>
      </c>
    </row>
    <row r="7360" spans="1:12" x14ac:dyDescent="0.3">
      <c r="A7360" t="s">
        <v>44</v>
      </c>
      <c r="B7360" t="s">
        <v>32</v>
      </c>
      <c r="C7360" t="s">
        <v>2258</v>
      </c>
      <c r="D7360" t="s">
        <v>193</v>
      </c>
      <c r="E7360" t="s">
        <v>67</v>
      </c>
    </row>
    <row r="7361" spans="1:5" x14ac:dyDescent="0.3">
      <c r="A7361" t="s">
        <v>35</v>
      </c>
      <c r="B7361">
        <v>3145</v>
      </c>
      <c r="C7361" t="s">
        <v>772</v>
      </c>
      <c r="D7361" t="s">
        <v>114</v>
      </c>
      <c r="E7361" t="s">
        <v>197</v>
      </c>
    </row>
    <row r="7362" spans="1:5" x14ac:dyDescent="0.3">
      <c r="A7362" t="s">
        <v>37</v>
      </c>
      <c r="B7362">
        <v>3855</v>
      </c>
      <c r="C7362" t="s">
        <v>217</v>
      </c>
      <c r="D7362" t="s">
        <v>215</v>
      </c>
      <c r="E7362" t="s">
        <v>163</v>
      </c>
    </row>
    <row r="7363" spans="1:5" x14ac:dyDescent="0.3">
      <c r="A7363" t="s">
        <v>36</v>
      </c>
      <c r="B7363">
        <v>2305</v>
      </c>
      <c r="C7363" t="s">
        <v>1233</v>
      </c>
      <c r="D7363" t="s">
        <v>132</v>
      </c>
      <c r="E7363" t="s">
        <v>828</v>
      </c>
    </row>
    <row r="7364" spans="1:5" x14ac:dyDescent="0.3">
      <c r="A7364" t="s">
        <v>34</v>
      </c>
      <c r="B7364">
        <v>2080</v>
      </c>
      <c r="C7364" t="s">
        <v>1056</v>
      </c>
      <c r="D7364" t="s">
        <v>127</v>
      </c>
      <c r="E7364" t="s">
        <v>1045</v>
      </c>
    </row>
    <row r="7365" spans="1:5" x14ac:dyDescent="0.3">
      <c r="A7365" t="s">
        <v>33</v>
      </c>
      <c r="B7365">
        <v>1937</v>
      </c>
      <c r="C7365" t="s">
        <v>219</v>
      </c>
      <c r="D7365" t="s">
        <v>141</v>
      </c>
      <c r="E7365" t="s">
        <v>311</v>
      </c>
    </row>
    <row r="7366" spans="1:5" x14ac:dyDescent="0.3">
      <c r="A7366" t="s">
        <v>49</v>
      </c>
      <c r="B7366">
        <v>13322</v>
      </c>
      <c r="C7366" t="s">
        <v>492</v>
      </c>
      <c r="D7366" t="s">
        <v>121</v>
      </c>
      <c r="E7366" t="s">
        <v>188</v>
      </c>
    </row>
    <row r="7380" spans="1:6" x14ac:dyDescent="0.3">
      <c r="A7380" t="s">
        <v>2259</v>
      </c>
    </row>
    <row r="7381" spans="1:6" x14ac:dyDescent="0.3">
      <c r="A7381" t="s">
        <v>44</v>
      </c>
      <c r="B7381" t="s">
        <v>1590</v>
      </c>
      <c r="C7381" t="s">
        <v>32</v>
      </c>
      <c r="D7381" t="s">
        <v>2258</v>
      </c>
      <c r="E7381" t="s">
        <v>193</v>
      </c>
      <c r="F7381" t="s">
        <v>67</v>
      </c>
    </row>
    <row r="7382" spans="1:6" x14ac:dyDescent="0.3">
      <c r="A7382" t="s">
        <v>35</v>
      </c>
      <c r="B7382" t="s">
        <v>1591</v>
      </c>
      <c r="C7382">
        <v>1459</v>
      </c>
      <c r="D7382" t="s">
        <v>1103</v>
      </c>
      <c r="E7382" t="s">
        <v>114</v>
      </c>
      <c r="F7382" t="s">
        <v>924</v>
      </c>
    </row>
    <row r="7383" spans="1:6" x14ac:dyDescent="0.3">
      <c r="A7383" t="s">
        <v>35</v>
      </c>
      <c r="B7383" t="s">
        <v>1592</v>
      </c>
      <c r="C7383">
        <v>1647</v>
      </c>
      <c r="D7383" t="s">
        <v>377</v>
      </c>
      <c r="E7383" t="s">
        <v>132</v>
      </c>
      <c r="F7383" t="s">
        <v>461</v>
      </c>
    </row>
    <row r="7384" spans="1:6" x14ac:dyDescent="0.3">
      <c r="A7384" t="s">
        <v>35</v>
      </c>
      <c r="B7384" t="s">
        <v>365</v>
      </c>
      <c r="C7384">
        <v>39</v>
      </c>
      <c r="D7384" t="s">
        <v>773</v>
      </c>
      <c r="E7384" t="s">
        <v>714</v>
      </c>
      <c r="F7384" t="s">
        <v>694</v>
      </c>
    </row>
    <row r="7385" spans="1:6" x14ac:dyDescent="0.3">
      <c r="A7385" t="s">
        <v>37</v>
      </c>
      <c r="B7385" t="s">
        <v>1591</v>
      </c>
      <c r="C7385">
        <v>1701</v>
      </c>
      <c r="D7385" t="s">
        <v>865</v>
      </c>
      <c r="E7385" t="s">
        <v>316</v>
      </c>
      <c r="F7385" t="s">
        <v>410</v>
      </c>
    </row>
    <row r="7386" spans="1:6" x14ac:dyDescent="0.3">
      <c r="A7386" t="s">
        <v>37</v>
      </c>
      <c r="B7386" t="s">
        <v>1592</v>
      </c>
      <c r="C7386">
        <v>2091</v>
      </c>
      <c r="D7386" t="s">
        <v>327</v>
      </c>
      <c r="E7386" t="s">
        <v>114</v>
      </c>
      <c r="F7386" t="s">
        <v>68</v>
      </c>
    </row>
    <row r="7387" spans="1:6" x14ac:dyDescent="0.3">
      <c r="A7387" t="s">
        <v>37</v>
      </c>
      <c r="B7387" t="s">
        <v>365</v>
      </c>
      <c r="C7387">
        <v>63</v>
      </c>
      <c r="D7387" t="s">
        <v>392</v>
      </c>
      <c r="E7387" t="s">
        <v>382</v>
      </c>
      <c r="F7387" t="s">
        <v>420</v>
      </c>
    </row>
    <row r="7388" spans="1:6" x14ac:dyDescent="0.3">
      <c r="A7388" t="s">
        <v>36</v>
      </c>
      <c r="B7388" t="s">
        <v>1591</v>
      </c>
      <c r="C7388">
        <v>1526</v>
      </c>
      <c r="D7388" t="s">
        <v>863</v>
      </c>
      <c r="E7388" t="s">
        <v>114</v>
      </c>
      <c r="F7388" t="s">
        <v>1415</v>
      </c>
    </row>
    <row r="7389" spans="1:6" x14ac:dyDescent="0.3">
      <c r="A7389" t="s">
        <v>36</v>
      </c>
      <c r="B7389" t="s">
        <v>1592</v>
      </c>
      <c r="C7389">
        <v>756</v>
      </c>
      <c r="D7389" t="s">
        <v>502</v>
      </c>
      <c r="E7389" t="s">
        <v>207</v>
      </c>
      <c r="F7389" t="s">
        <v>303</v>
      </c>
    </row>
    <row r="7390" spans="1:6" x14ac:dyDescent="0.3">
      <c r="A7390" t="s">
        <v>36</v>
      </c>
      <c r="B7390" t="s">
        <v>365</v>
      </c>
      <c r="C7390">
        <v>23</v>
      </c>
      <c r="D7390" t="s">
        <v>245</v>
      </c>
      <c r="E7390" t="s">
        <v>746</v>
      </c>
      <c r="F7390" t="s">
        <v>416</v>
      </c>
    </row>
    <row r="7391" spans="1:6" x14ac:dyDescent="0.3">
      <c r="A7391" t="s">
        <v>34</v>
      </c>
      <c r="B7391" t="s">
        <v>1591</v>
      </c>
      <c r="C7391">
        <v>970</v>
      </c>
      <c r="D7391" t="s">
        <v>282</v>
      </c>
      <c r="E7391" t="s">
        <v>127</v>
      </c>
      <c r="F7391" t="s">
        <v>837</v>
      </c>
    </row>
    <row r="7392" spans="1:6" x14ac:dyDescent="0.3">
      <c r="A7392" t="s">
        <v>34</v>
      </c>
      <c r="B7392" t="s">
        <v>1592</v>
      </c>
      <c r="C7392">
        <v>1045</v>
      </c>
      <c r="D7392" t="s">
        <v>855</v>
      </c>
      <c r="E7392" t="s">
        <v>114</v>
      </c>
      <c r="F7392" t="s">
        <v>721</v>
      </c>
    </row>
    <row r="7393" spans="1:6" x14ac:dyDescent="0.3">
      <c r="A7393" t="s">
        <v>34</v>
      </c>
      <c r="B7393" t="s">
        <v>365</v>
      </c>
      <c r="C7393">
        <v>65</v>
      </c>
      <c r="D7393" t="s">
        <v>773</v>
      </c>
      <c r="E7393" t="s">
        <v>685</v>
      </c>
      <c r="F7393" t="s">
        <v>368</v>
      </c>
    </row>
    <row r="7394" spans="1:6" x14ac:dyDescent="0.3">
      <c r="A7394" t="s">
        <v>33</v>
      </c>
      <c r="B7394" t="s">
        <v>1591</v>
      </c>
      <c r="C7394">
        <v>588</v>
      </c>
      <c r="D7394" t="s">
        <v>1056</v>
      </c>
      <c r="E7394" t="s">
        <v>141</v>
      </c>
      <c r="F7394" t="s">
        <v>1167</v>
      </c>
    </row>
    <row r="7395" spans="1:6" x14ac:dyDescent="0.3">
      <c r="A7395" t="s">
        <v>33</v>
      </c>
      <c r="B7395" t="s">
        <v>1592</v>
      </c>
      <c r="C7395">
        <v>1333</v>
      </c>
      <c r="D7395" t="s">
        <v>782</v>
      </c>
      <c r="E7395" t="s">
        <v>136</v>
      </c>
      <c r="F7395" t="s">
        <v>154</v>
      </c>
    </row>
    <row r="7396" spans="1:6" x14ac:dyDescent="0.3">
      <c r="A7396" t="s">
        <v>33</v>
      </c>
      <c r="B7396" t="s">
        <v>365</v>
      </c>
      <c r="C7396">
        <v>16</v>
      </c>
      <c r="D7396" t="s">
        <v>196</v>
      </c>
      <c r="E7396" t="s">
        <v>150</v>
      </c>
      <c r="F7396" t="s">
        <v>798</v>
      </c>
    </row>
    <row r="7397" spans="1:6" x14ac:dyDescent="0.3">
      <c r="A7397" t="s">
        <v>49</v>
      </c>
      <c r="B7397" t="s">
        <v>1591</v>
      </c>
      <c r="C7397">
        <v>6244</v>
      </c>
      <c r="D7397" t="s">
        <v>278</v>
      </c>
      <c r="E7397" t="s">
        <v>126</v>
      </c>
      <c r="F7397" t="s">
        <v>916</v>
      </c>
    </row>
    <row r="7398" spans="1:6" x14ac:dyDescent="0.3">
      <c r="A7398" t="s">
        <v>49</v>
      </c>
      <c r="B7398" t="s">
        <v>1592</v>
      </c>
      <c r="C7398">
        <v>6872</v>
      </c>
      <c r="D7398" t="s">
        <v>403</v>
      </c>
      <c r="E7398" t="s">
        <v>132</v>
      </c>
      <c r="F7398" t="s">
        <v>401</v>
      </c>
    </row>
    <row r="7399" spans="1:6" x14ac:dyDescent="0.3">
      <c r="A7399" t="s">
        <v>49</v>
      </c>
      <c r="B7399" t="s">
        <v>365</v>
      </c>
      <c r="C7399">
        <v>206</v>
      </c>
      <c r="D7399" t="s">
        <v>1619</v>
      </c>
      <c r="E7399" t="s">
        <v>804</v>
      </c>
      <c r="F7399" t="s">
        <v>708</v>
      </c>
    </row>
    <row r="7401" spans="1:6" x14ac:dyDescent="0.3">
      <c r="A7401" t="s">
        <v>2260</v>
      </c>
    </row>
    <row r="7402" spans="1:6" x14ac:dyDescent="0.3">
      <c r="A7402" t="s">
        <v>44</v>
      </c>
      <c r="B7402" t="s">
        <v>2231</v>
      </c>
      <c r="C7402" t="s">
        <v>32</v>
      </c>
      <c r="D7402" t="s">
        <v>2258</v>
      </c>
      <c r="E7402" t="s">
        <v>67</v>
      </c>
      <c r="F7402" t="s">
        <v>193</v>
      </c>
    </row>
    <row r="7403" spans="1:6" x14ac:dyDescent="0.3">
      <c r="A7403" t="s">
        <v>35</v>
      </c>
      <c r="B7403" t="s">
        <v>2232</v>
      </c>
      <c r="C7403">
        <v>75</v>
      </c>
      <c r="D7403" t="s">
        <v>464</v>
      </c>
      <c r="E7403" t="s">
        <v>465</v>
      </c>
      <c r="F7403" t="s">
        <v>121</v>
      </c>
    </row>
    <row r="7404" spans="1:6" x14ac:dyDescent="0.3">
      <c r="A7404" t="s">
        <v>35</v>
      </c>
      <c r="B7404" t="s">
        <v>2233</v>
      </c>
      <c r="C7404">
        <v>32</v>
      </c>
      <c r="D7404" t="s">
        <v>324</v>
      </c>
      <c r="E7404" t="s">
        <v>679</v>
      </c>
      <c r="F7404" t="s">
        <v>99</v>
      </c>
    </row>
    <row r="7405" spans="1:6" x14ac:dyDescent="0.3">
      <c r="A7405" t="s">
        <v>35</v>
      </c>
      <c r="B7405" t="s">
        <v>2234</v>
      </c>
      <c r="C7405">
        <v>828</v>
      </c>
      <c r="D7405" t="s">
        <v>1457</v>
      </c>
      <c r="E7405" t="s">
        <v>842</v>
      </c>
      <c r="F7405" t="s">
        <v>101</v>
      </c>
    </row>
    <row r="7406" spans="1:6" x14ac:dyDescent="0.3">
      <c r="A7406" t="s">
        <v>35</v>
      </c>
      <c r="B7406" t="s">
        <v>2235</v>
      </c>
      <c r="C7406">
        <v>349</v>
      </c>
      <c r="D7406" t="s">
        <v>259</v>
      </c>
      <c r="E7406" t="s">
        <v>508</v>
      </c>
      <c r="F7406" t="s">
        <v>100</v>
      </c>
    </row>
    <row r="7407" spans="1:6" x14ac:dyDescent="0.3">
      <c r="A7407" t="s">
        <v>35</v>
      </c>
      <c r="B7407" t="s">
        <v>2236</v>
      </c>
      <c r="C7407">
        <v>610</v>
      </c>
      <c r="D7407" t="s">
        <v>859</v>
      </c>
      <c r="E7407" t="s">
        <v>802</v>
      </c>
      <c r="F7407" t="s">
        <v>207</v>
      </c>
    </row>
    <row r="7408" spans="1:6" x14ac:dyDescent="0.3">
      <c r="A7408" t="s">
        <v>35</v>
      </c>
      <c r="B7408" t="s">
        <v>2237</v>
      </c>
      <c r="C7408">
        <v>266</v>
      </c>
      <c r="D7408" t="s">
        <v>1170</v>
      </c>
      <c r="E7408" t="s">
        <v>702</v>
      </c>
      <c r="F7408" t="s">
        <v>136</v>
      </c>
    </row>
    <row r="7409" spans="1:6" x14ac:dyDescent="0.3">
      <c r="A7409" t="s">
        <v>35</v>
      </c>
      <c r="B7409" t="s">
        <v>2238</v>
      </c>
      <c r="C7409">
        <v>621</v>
      </c>
      <c r="D7409" t="s">
        <v>870</v>
      </c>
      <c r="E7409" t="s">
        <v>393</v>
      </c>
      <c r="F7409" t="s">
        <v>215</v>
      </c>
    </row>
    <row r="7410" spans="1:6" x14ac:dyDescent="0.3">
      <c r="A7410" t="s">
        <v>35</v>
      </c>
      <c r="B7410" t="s">
        <v>2239</v>
      </c>
      <c r="C7410">
        <v>227</v>
      </c>
      <c r="D7410" t="s">
        <v>448</v>
      </c>
      <c r="E7410" t="s">
        <v>171</v>
      </c>
      <c r="F7410" t="s">
        <v>101</v>
      </c>
    </row>
    <row r="7411" spans="1:6" x14ac:dyDescent="0.3">
      <c r="A7411" t="s">
        <v>35</v>
      </c>
      <c r="B7411" t="s">
        <v>365</v>
      </c>
      <c r="C7411">
        <v>137</v>
      </c>
      <c r="D7411" t="s">
        <v>961</v>
      </c>
      <c r="E7411" t="s">
        <v>296</v>
      </c>
      <c r="F7411" t="s">
        <v>115</v>
      </c>
    </row>
    <row r="7412" spans="1:6" x14ac:dyDescent="0.3">
      <c r="A7412" t="s">
        <v>37</v>
      </c>
      <c r="B7412" t="s">
        <v>2232</v>
      </c>
      <c r="C7412">
        <v>125</v>
      </c>
      <c r="D7412" t="s">
        <v>326</v>
      </c>
      <c r="E7412" t="s">
        <v>204</v>
      </c>
      <c r="F7412" t="s">
        <v>108</v>
      </c>
    </row>
    <row r="7413" spans="1:6" x14ac:dyDescent="0.3">
      <c r="A7413" t="s">
        <v>37</v>
      </c>
      <c r="B7413" t="s">
        <v>2233</v>
      </c>
      <c r="C7413">
        <v>75</v>
      </c>
      <c r="D7413" t="s">
        <v>376</v>
      </c>
      <c r="E7413" t="s">
        <v>144</v>
      </c>
      <c r="F7413" t="s">
        <v>99</v>
      </c>
    </row>
    <row r="7414" spans="1:6" x14ac:dyDescent="0.3">
      <c r="A7414" t="s">
        <v>37</v>
      </c>
      <c r="B7414" t="s">
        <v>2234</v>
      </c>
      <c r="C7414">
        <v>835</v>
      </c>
      <c r="D7414" t="s">
        <v>858</v>
      </c>
      <c r="E7414" t="s">
        <v>206</v>
      </c>
      <c r="F7414" t="s">
        <v>100</v>
      </c>
    </row>
    <row r="7415" spans="1:6" x14ac:dyDescent="0.3">
      <c r="A7415" t="s">
        <v>37</v>
      </c>
      <c r="B7415" t="s">
        <v>2235</v>
      </c>
      <c r="C7415">
        <v>472</v>
      </c>
      <c r="D7415" t="s">
        <v>854</v>
      </c>
      <c r="E7415" t="s">
        <v>311</v>
      </c>
      <c r="F7415" t="s">
        <v>121</v>
      </c>
    </row>
    <row r="7416" spans="1:6" x14ac:dyDescent="0.3">
      <c r="A7416" t="s">
        <v>37</v>
      </c>
      <c r="B7416" t="s">
        <v>2236</v>
      </c>
      <c r="C7416">
        <v>615</v>
      </c>
      <c r="D7416" t="s">
        <v>612</v>
      </c>
      <c r="E7416" t="s">
        <v>814</v>
      </c>
      <c r="F7416" t="s">
        <v>382</v>
      </c>
    </row>
    <row r="7417" spans="1:6" x14ac:dyDescent="0.3">
      <c r="A7417" t="s">
        <v>37</v>
      </c>
      <c r="B7417" t="s">
        <v>2237</v>
      </c>
      <c r="C7417">
        <v>421</v>
      </c>
      <c r="D7417" t="s">
        <v>356</v>
      </c>
      <c r="E7417" t="s">
        <v>721</v>
      </c>
      <c r="F7417" t="s">
        <v>115</v>
      </c>
    </row>
    <row r="7418" spans="1:6" x14ac:dyDescent="0.3">
      <c r="A7418" t="s">
        <v>37</v>
      </c>
      <c r="B7418" t="s">
        <v>2238</v>
      </c>
      <c r="C7418">
        <v>711</v>
      </c>
      <c r="D7418" t="s">
        <v>392</v>
      </c>
      <c r="E7418" t="s">
        <v>461</v>
      </c>
      <c r="F7418" t="s">
        <v>319</v>
      </c>
    </row>
    <row r="7419" spans="1:6" x14ac:dyDescent="0.3">
      <c r="A7419" t="s">
        <v>37</v>
      </c>
      <c r="B7419" t="s">
        <v>2239</v>
      </c>
      <c r="C7419">
        <v>339</v>
      </c>
      <c r="D7419" t="s">
        <v>377</v>
      </c>
      <c r="E7419" t="s">
        <v>363</v>
      </c>
      <c r="F7419" t="s">
        <v>319</v>
      </c>
    </row>
    <row r="7420" spans="1:6" x14ac:dyDescent="0.3">
      <c r="A7420" t="s">
        <v>37</v>
      </c>
      <c r="B7420" t="s">
        <v>365</v>
      </c>
      <c r="C7420">
        <v>262</v>
      </c>
      <c r="D7420" t="s">
        <v>509</v>
      </c>
      <c r="E7420" t="s">
        <v>267</v>
      </c>
      <c r="F7420" t="s">
        <v>679</v>
      </c>
    </row>
    <row r="7421" spans="1:6" x14ac:dyDescent="0.3">
      <c r="A7421" t="s">
        <v>36</v>
      </c>
      <c r="B7421" t="s">
        <v>2232</v>
      </c>
      <c r="C7421">
        <v>61</v>
      </c>
      <c r="D7421" t="s">
        <v>1054</v>
      </c>
      <c r="E7421" t="s">
        <v>811</v>
      </c>
      <c r="F7421" t="s">
        <v>401</v>
      </c>
    </row>
    <row r="7422" spans="1:6" s="5" customFormat="1" x14ac:dyDescent="0.3">
      <c r="A7422" s="5" t="s">
        <v>36</v>
      </c>
      <c r="B7422" s="5" t="s">
        <v>2233</v>
      </c>
      <c r="C7422" s="5">
        <v>24</v>
      </c>
      <c r="D7422" s="5" t="s">
        <v>458</v>
      </c>
      <c r="E7422" s="5" t="s">
        <v>459</v>
      </c>
      <c r="F7422" s="5" t="s">
        <v>99</v>
      </c>
    </row>
    <row r="7423" spans="1:6" x14ac:dyDescent="0.3">
      <c r="A7423" t="s">
        <v>36</v>
      </c>
      <c r="B7423" t="s">
        <v>2234</v>
      </c>
      <c r="C7423">
        <v>669</v>
      </c>
      <c r="D7423" t="s">
        <v>983</v>
      </c>
      <c r="E7423" t="s">
        <v>913</v>
      </c>
      <c r="F7423" t="s">
        <v>198</v>
      </c>
    </row>
    <row r="7424" spans="1:6" x14ac:dyDescent="0.3">
      <c r="A7424" t="s">
        <v>36</v>
      </c>
      <c r="B7424" t="s">
        <v>2235</v>
      </c>
      <c r="C7424">
        <v>242</v>
      </c>
      <c r="D7424" t="s">
        <v>1497</v>
      </c>
      <c r="E7424" t="s">
        <v>936</v>
      </c>
      <c r="F7424" t="s">
        <v>198</v>
      </c>
    </row>
    <row r="7425" spans="1:6" x14ac:dyDescent="0.3">
      <c r="A7425" t="s">
        <v>36</v>
      </c>
      <c r="B7425" t="s">
        <v>2236</v>
      </c>
      <c r="C7425">
        <v>498</v>
      </c>
      <c r="D7425" t="s">
        <v>428</v>
      </c>
      <c r="E7425" t="s">
        <v>732</v>
      </c>
      <c r="F7425" t="s">
        <v>151</v>
      </c>
    </row>
    <row r="7426" spans="1:6" x14ac:dyDescent="0.3">
      <c r="A7426" t="s">
        <v>36</v>
      </c>
      <c r="B7426" t="s">
        <v>2237</v>
      </c>
      <c r="C7426">
        <v>193</v>
      </c>
      <c r="D7426" t="s">
        <v>475</v>
      </c>
      <c r="E7426" t="s">
        <v>523</v>
      </c>
      <c r="F7426" t="s">
        <v>207</v>
      </c>
    </row>
    <row r="7427" spans="1:6" x14ac:dyDescent="0.3">
      <c r="A7427" t="s">
        <v>36</v>
      </c>
      <c r="B7427" t="s">
        <v>2238</v>
      </c>
      <c r="C7427">
        <v>344</v>
      </c>
      <c r="D7427" t="s">
        <v>1228</v>
      </c>
      <c r="E7427" t="s">
        <v>696</v>
      </c>
      <c r="F7427" t="s">
        <v>136</v>
      </c>
    </row>
    <row r="7428" spans="1:6" x14ac:dyDescent="0.3">
      <c r="A7428" t="s">
        <v>36</v>
      </c>
      <c r="B7428" t="s">
        <v>2239</v>
      </c>
      <c r="C7428">
        <v>168</v>
      </c>
      <c r="D7428" t="s">
        <v>232</v>
      </c>
      <c r="E7428" t="s">
        <v>233</v>
      </c>
      <c r="F7428" t="s">
        <v>99</v>
      </c>
    </row>
    <row r="7429" spans="1:6" x14ac:dyDescent="0.3">
      <c r="A7429" t="s">
        <v>36</v>
      </c>
      <c r="B7429" t="s">
        <v>365</v>
      </c>
      <c r="C7429">
        <v>106</v>
      </c>
      <c r="D7429" t="s">
        <v>1233</v>
      </c>
      <c r="E7429" t="s">
        <v>699</v>
      </c>
      <c r="F7429" t="s">
        <v>99</v>
      </c>
    </row>
    <row r="7430" spans="1:6" x14ac:dyDescent="0.3">
      <c r="A7430" t="s">
        <v>34</v>
      </c>
      <c r="B7430" t="s">
        <v>2232</v>
      </c>
      <c r="C7430">
        <v>34</v>
      </c>
      <c r="D7430" t="s">
        <v>172</v>
      </c>
      <c r="E7430" t="s">
        <v>171</v>
      </c>
      <c r="F7430" t="s">
        <v>99</v>
      </c>
    </row>
    <row r="7431" spans="1:6" s="5" customFormat="1" x14ac:dyDescent="0.3">
      <c r="A7431" s="5" t="s">
        <v>34</v>
      </c>
      <c r="B7431" s="5" t="s">
        <v>2233</v>
      </c>
      <c r="C7431" s="5">
        <v>16</v>
      </c>
      <c r="D7431" s="5" t="s">
        <v>784</v>
      </c>
      <c r="E7431" s="5" t="s">
        <v>704</v>
      </c>
      <c r="F7431" s="5" t="s">
        <v>126</v>
      </c>
    </row>
    <row r="7432" spans="1:6" x14ac:dyDescent="0.3">
      <c r="A7432" t="s">
        <v>34</v>
      </c>
      <c r="B7432" t="s">
        <v>2234</v>
      </c>
      <c r="C7432">
        <v>548</v>
      </c>
      <c r="D7432" t="s">
        <v>490</v>
      </c>
      <c r="E7432" t="s">
        <v>545</v>
      </c>
      <c r="F7432" t="s">
        <v>107</v>
      </c>
    </row>
    <row r="7433" spans="1:6" x14ac:dyDescent="0.3">
      <c r="A7433" t="s">
        <v>34</v>
      </c>
      <c r="B7433" t="s">
        <v>2235</v>
      </c>
      <c r="C7433">
        <v>232</v>
      </c>
      <c r="D7433" t="s">
        <v>1052</v>
      </c>
      <c r="E7433" t="s">
        <v>698</v>
      </c>
      <c r="F7433" t="s">
        <v>132</v>
      </c>
    </row>
    <row r="7434" spans="1:6" x14ac:dyDescent="0.3">
      <c r="A7434" t="s">
        <v>34</v>
      </c>
      <c r="B7434" t="s">
        <v>2236</v>
      </c>
      <c r="C7434">
        <v>422</v>
      </c>
      <c r="D7434" t="s">
        <v>526</v>
      </c>
      <c r="E7434" t="s">
        <v>429</v>
      </c>
      <c r="F7434" t="s">
        <v>114</v>
      </c>
    </row>
    <row r="7435" spans="1:6" x14ac:dyDescent="0.3">
      <c r="A7435" t="s">
        <v>34</v>
      </c>
      <c r="B7435" t="s">
        <v>2237</v>
      </c>
      <c r="C7435">
        <v>190</v>
      </c>
      <c r="D7435" t="s">
        <v>1510</v>
      </c>
      <c r="E7435" t="s">
        <v>357</v>
      </c>
      <c r="F7435" t="s">
        <v>215</v>
      </c>
    </row>
    <row r="7436" spans="1:6" x14ac:dyDescent="0.3">
      <c r="A7436" t="s">
        <v>34</v>
      </c>
      <c r="B7436" t="s">
        <v>2238</v>
      </c>
      <c r="C7436">
        <v>376</v>
      </c>
      <c r="D7436" t="s">
        <v>205</v>
      </c>
      <c r="E7436" t="s">
        <v>721</v>
      </c>
      <c r="F7436" t="s">
        <v>253</v>
      </c>
    </row>
    <row r="7437" spans="1:6" x14ac:dyDescent="0.3">
      <c r="A7437" t="s">
        <v>34</v>
      </c>
      <c r="B7437" t="s">
        <v>2239</v>
      </c>
      <c r="C7437">
        <v>177</v>
      </c>
      <c r="D7437" t="s">
        <v>430</v>
      </c>
      <c r="E7437" t="s">
        <v>113</v>
      </c>
      <c r="F7437" t="s">
        <v>124</v>
      </c>
    </row>
    <row r="7438" spans="1:6" x14ac:dyDescent="0.3">
      <c r="A7438" t="s">
        <v>34</v>
      </c>
      <c r="B7438" t="s">
        <v>365</v>
      </c>
      <c r="C7438">
        <v>85</v>
      </c>
      <c r="D7438" t="s">
        <v>1292</v>
      </c>
      <c r="E7438" t="s">
        <v>718</v>
      </c>
      <c r="F7438" t="s">
        <v>99</v>
      </c>
    </row>
    <row r="7439" spans="1:6" x14ac:dyDescent="0.3">
      <c r="A7439" t="s">
        <v>33</v>
      </c>
      <c r="B7439" t="s">
        <v>2232</v>
      </c>
      <c r="C7439">
        <v>52</v>
      </c>
      <c r="D7439" t="s">
        <v>161</v>
      </c>
      <c r="E7439" t="s">
        <v>160</v>
      </c>
      <c r="F7439" t="s">
        <v>99</v>
      </c>
    </row>
    <row r="7440" spans="1:6" x14ac:dyDescent="0.3">
      <c r="A7440" t="s">
        <v>33</v>
      </c>
      <c r="B7440" t="s">
        <v>2233</v>
      </c>
      <c r="C7440">
        <v>39</v>
      </c>
      <c r="D7440" t="s">
        <v>505</v>
      </c>
      <c r="E7440" t="s">
        <v>98</v>
      </c>
      <c r="F7440" t="s">
        <v>99</v>
      </c>
    </row>
    <row r="7441" spans="1:6" x14ac:dyDescent="0.3">
      <c r="A7441" t="s">
        <v>33</v>
      </c>
      <c r="B7441" t="s">
        <v>2234</v>
      </c>
      <c r="C7441">
        <v>415</v>
      </c>
      <c r="D7441" t="s">
        <v>394</v>
      </c>
      <c r="E7441" t="s">
        <v>694</v>
      </c>
      <c r="F7441" t="s">
        <v>108</v>
      </c>
    </row>
    <row r="7442" spans="1:6" x14ac:dyDescent="0.3">
      <c r="A7442" t="s">
        <v>33</v>
      </c>
      <c r="B7442" t="s">
        <v>2235</v>
      </c>
      <c r="C7442">
        <v>291</v>
      </c>
      <c r="D7442" t="s">
        <v>1007</v>
      </c>
      <c r="E7442" t="s">
        <v>449</v>
      </c>
      <c r="F7442" t="s">
        <v>132</v>
      </c>
    </row>
    <row r="7443" spans="1:6" x14ac:dyDescent="0.3">
      <c r="A7443" t="s">
        <v>33</v>
      </c>
      <c r="B7443" t="s">
        <v>2236</v>
      </c>
      <c r="C7443">
        <v>292</v>
      </c>
      <c r="D7443" t="s">
        <v>312</v>
      </c>
      <c r="E7443" t="s">
        <v>710</v>
      </c>
      <c r="F7443" t="s">
        <v>198</v>
      </c>
    </row>
    <row r="7444" spans="1:6" x14ac:dyDescent="0.3">
      <c r="A7444" t="s">
        <v>33</v>
      </c>
      <c r="B7444" t="s">
        <v>2237</v>
      </c>
      <c r="C7444">
        <v>197</v>
      </c>
      <c r="D7444" t="s">
        <v>889</v>
      </c>
      <c r="E7444" t="s">
        <v>220</v>
      </c>
      <c r="F7444" t="s">
        <v>115</v>
      </c>
    </row>
    <row r="7445" spans="1:6" x14ac:dyDescent="0.3">
      <c r="A7445" t="s">
        <v>33</v>
      </c>
      <c r="B7445" t="s">
        <v>2238</v>
      </c>
      <c r="C7445">
        <v>327</v>
      </c>
      <c r="D7445" t="s">
        <v>252</v>
      </c>
      <c r="E7445" t="s">
        <v>70</v>
      </c>
      <c r="F7445" t="s">
        <v>136</v>
      </c>
    </row>
    <row r="7446" spans="1:6" x14ac:dyDescent="0.3">
      <c r="A7446" t="s">
        <v>33</v>
      </c>
      <c r="B7446" t="s">
        <v>2239</v>
      </c>
      <c r="C7446">
        <v>181</v>
      </c>
      <c r="D7446" t="s">
        <v>359</v>
      </c>
      <c r="E7446" t="s">
        <v>671</v>
      </c>
      <c r="F7446" t="s">
        <v>99</v>
      </c>
    </row>
    <row r="7447" spans="1:6" x14ac:dyDescent="0.3">
      <c r="A7447" t="s">
        <v>33</v>
      </c>
      <c r="B7447" t="s">
        <v>365</v>
      </c>
      <c r="C7447">
        <v>143</v>
      </c>
      <c r="D7447" t="s">
        <v>889</v>
      </c>
      <c r="E7447" t="s">
        <v>262</v>
      </c>
      <c r="F7447" t="s">
        <v>99</v>
      </c>
    </row>
    <row r="7448" spans="1:6" x14ac:dyDescent="0.3">
      <c r="A7448" t="s">
        <v>49</v>
      </c>
      <c r="B7448" t="s">
        <v>2232</v>
      </c>
      <c r="C7448">
        <v>347</v>
      </c>
      <c r="D7448" t="s">
        <v>854</v>
      </c>
      <c r="E7448" t="s">
        <v>287</v>
      </c>
      <c r="F7448" t="s">
        <v>126</v>
      </c>
    </row>
    <row r="7449" spans="1:6" x14ac:dyDescent="0.3">
      <c r="A7449" t="s">
        <v>49</v>
      </c>
      <c r="B7449" t="s">
        <v>2233</v>
      </c>
      <c r="C7449">
        <v>186</v>
      </c>
      <c r="D7449" t="s">
        <v>250</v>
      </c>
      <c r="E7449" t="s">
        <v>405</v>
      </c>
      <c r="F7449" t="s">
        <v>198</v>
      </c>
    </row>
    <row r="7450" spans="1:6" x14ac:dyDescent="0.3">
      <c r="A7450" t="s">
        <v>49</v>
      </c>
      <c r="B7450" t="s">
        <v>2234</v>
      </c>
      <c r="C7450">
        <v>3295</v>
      </c>
      <c r="D7450" t="s">
        <v>767</v>
      </c>
      <c r="E7450" t="s">
        <v>1059</v>
      </c>
      <c r="F7450" t="s">
        <v>319</v>
      </c>
    </row>
    <row r="7451" spans="1:6" x14ac:dyDescent="0.3">
      <c r="A7451" t="s">
        <v>49</v>
      </c>
      <c r="B7451" t="s">
        <v>2235</v>
      </c>
      <c r="C7451">
        <v>1586</v>
      </c>
      <c r="D7451" t="s">
        <v>1064</v>
      </c>
      <c r="E7451" t="s">
        <v>437</v>
      </c>
      <c r="F7451" t="s">
        <v>108</v>
      </c>
    </row>
    <row r="7452" spans="1:6" x14ac:dyDescent="0.3">
      <c r="A7452" t="s">
        <v>49</v>
      </c>
      <c r="B7452" t="s">
        <v>2236</v>
      </c>
      <c r="C7452">
        <v>2437</v>
      </c>
      <c r="D7452" t="s">
        <v>859</v>
      </c>
      <c r="E7452" t="s">
        <v>727</v>
      </c>
      <c r="F7452" t="s">
        <v>114</v>
      </c>
    </row>
    <row r="7453" spans="1:6" x14ac:dyDescent="0.3">
      <c r="A7453" t="s">
        <v>49</v>
      </c>
      <c r="B7453" t="s">
        <v>2237</v>
      </c>
      <c r="C7453">
        <v>1267</v>
      </c>
      <c r="D7453" t="s">
        <v>543</v>
      </c>
      <c r="E7453" t="s">
        <v>393</v>
      </c>
      <c r="F7453" t="s">
        <v>132</v>
      </c>
    </row>
    <row r="7454" spans="1:6" x14ac:dyDescent="0.3">
      <c r="A7454" t="s">
        <v>49</v>
      </c>
      <c r="B7454" t="s">
        <v>2238</v>
      </c>
      <c r="C7454">
        <v>2379</v>
      </c>
      <c r="D7454" t="s">
        <v>356</v>
      </c>
      <c r="E7454" t="s">
        <v>222</v>
      </c>
      <c r="F7454" t="s">
        <v>100</v>
      </c>
    </row>
    <row r="7455" spans="1:6" x14ac:dyDescent="0.3">
      <c r="A7455" t="s">
        <v>49</v>
      </c>
      <c r="B7455" t="s">
        <v>2239</v>
      </c>
      <c r="C7455">
        <v>1092</v>
      </c>
      <c r="D7455" t="s">
        <v>366</v>
      </c>
      <c r="E7455" t="s">
        <v>182</v>
      </c>
      <c r="F7455" t="s">
        <v>382</v>
      </c>
    </row>
    <row r="7456" spans="1:6" x14ac:dyDescent="0.3">
      <c r="A7456" t="s">
        <v>49</v>
      </c>
      <c r="B7456" t="s">
        <v>365</v>
      </c>
      <c r="C7456">
        <v>733</v>
      </c>
      <c r="D7456" t="s">
        <v>230</v>
      </c>
      <c r="E7456" t="s">
        <v>465</v>
      </c>
      <c r="F7456" t="s">
        <v>120</v>
      </c>
    </row>
    <row r="7458" spans="1:6" x14ac:dyDescent="0.3">
      <c r="A7458" t="s">
        <v>2261</v>
      </c>
    </row>
    <row r="7459" spans="1:6" x14ac:dyDescent="0.3">
      <c r="A7459" t="s">
        <v>44</v>
      </c>
      <c r="B7459" t="s">
        <v>361</v>
      </c>
      <c r="C7459" t="s">
        <v>32</v>
      </c>
      <c r="D7459" t="s">
        <v>2258</v>
      </c>
      <c r="E7459" t="s">
        <v>193</v>
      </c>
      <c r="F7459" t="s">
        <v>67</v>
      </c>
    </row>
    <row r="7460" spans="1:6" x14ac:dyDescent="0.3">
      <c r="A7460" t="s">
        <v>35</v>
      </c>
      <c r="B7460" t="s">
        <v>339</v>
      </c>
      <c r="C7460">
        <v>890</v>
      </c>
      <c r="D7460" t="s">
        <v>1370</v>
      </c>
      <c r="E7460" t="s">
        <v>382</v>
      </c>
      <c r="F7460" t="s">
        <v>732</v>
      </c>
    </row>
    <row r="7461" spans="1:6" x14ac:dyDescent="0.3">
      <c r="A7461" t="s">
        <v>35</v>
      </c>
      <c r="B7461" t="s">
        <v>340</v>
      </c>
      <c r="C7461">
        <v>2215</v>
      </c>
      <c r="D7461" t="s">
        <v>1640</v>
      </c>
      <c r="E7461" t="s">
        <v>132</v>
      </c>
      <c r="F7461" t="s">
        <v>700</v>
      </c>
    </row>
    <row r="7462" spans="1:6" x14ac:dyDescent="0.3">
      <c r="A7462" t="s">
        <v>35</v>
      </c>
      <c r="B7462" t="s">
        <v>365</v>
      </c>
      <c r="C7462">
        <v>40</v>
      </c>
      <c r="D7462" t="s">
        <v>909</v>
      </c>
      <c r="E7462" t="s">
        <v>132</v>
      </c>
      <c r="F7462" t="s">
        <v>1178</v>
      </c>
    </row>
    <row r="7463" spans="1:6" x14ac:dyDescent="0.3">
      <c r="A7463" t="s">
        <v>37</v>
      </c>
      <c r="B7463" t="s">
        <v>339</v>
      </c>
      <c r="C7463">
        <v>1093</v>
      </c>
      <c r="D7463" t="s">
        <v>450</v>
      </c>
      <c r="E7463" t="s">
        <v>319</v>
      </c>
      <c r="F7463" t="s">
        <v>244</v>
      </c>
    </row>
    <row r="7464" spans="1:6" x14ac:dyDescent="0.3">
      <c r="A7464" t="s">
        <v>37</v>
      </c>
      <c r="B7464" t="s">
        <v>340</v>
      </c>
      <c r="C7464">
        <v>2721</v>
      </c>
      <c r="D7464" t="s">
        <v>380</v>
      </c>
      <c r="E7464" t="s">
        <v>127</v>
      </c>
      <c r="F7464" t="s">
        <v>369</v>
      </c>
    </row>
    <row r="7465" spans="1:6" x14ac:dyDescent="0.3">
      <c r="A7465" t="s">
        <v>37</v>
      </c>
      <c r="B7465" t="s">
        <v>365</v>
      </c>
      <c r="C7465">
        <v>41</v>
      </c>
      <c r="D7465" t="s">
        <v>875</v>
      </c>
      <c r="E7465" t="s">
        <v>99</v>
      </c>
      <c r="F7465" t="s">
        <v>677</v>
      </c>
    </row>
    <row r="7466" spans="1:6" x14ac:dyDescent="0.3">
      <c r="A7466" t="s">
        <v>36</v>
      </c>
      <c r="B7466" t="s">
        <v>339</v>
      </c>
      <c r="C7466">
        <v>770</v>
      </c>
      <c r="D7466" t="s">
        <v>223</v>
      </c>
      <c r="E7466" t="s">
        <v>136</v>
      </c>
      <c r="F7466" t="s">
        <v>525</v>
      </c>
    </row>
    <row r="7467" spans="1:6" x14ac:dyDescent="0.3">
      <c r="A7467" t="s">
        <v>36</v>
      </c>
      <c r="B7467" t="s">
        <v>340</v>
      </c>
      <c r="C7467">
        <v>1472</v>
      </c>
      <c r="D7467" t="s">
        <v>593</v>
      </c>
      <c r="E7467" t="s">
        <v>100</v>
      </c>
      <c r="F7467" t="s">
        <v>809</v>
      </c>
    </row>
    <row r="7468" spans="1:6" x14ac:dyDescent="0.3">
      <c r="A7468" t="s">
        <v>36</v>
      </c>
      <c r="B7468" t="s">
        <v>365</v>
      </c>
      <c r="C7468">
        <v>63</v>
      </c>
      <c r="D7468" t="s">
        <v>1292</v>
      </c>
      <c r="E7468" t="s">
        <v>99</v>
      </c>
      <c r="F7468" t="s">
        <v>718</v>
      </c>
    </row>
    <row r="7469" spans="1:6" x14ac:dyDescent="0.3">
      <c r="A7469" t="s">
        <v>34</v>
      </c>
      <c r="B7469" t="s">
        <v>339</v>
      </c>
      <c r="C7469">
        <v>555</v>
      </c>
      <c r="D7469" t="s">
        <v>2118</v>
      </c>
      <c r="E7469" t="s">
        <v>132</v>
      </c>
      <c r="F7469" t="s">
        <v>903</v>
      </c>
    </row>
    <row r="7470" spans="1:6" x14ac:dyDescent="0.3">
      <c r="A7470" t="s">
        <v>34</v>
      </c>
      <c r="B7470" t="s">
        <v>340</v>
      </c>
      <c r="C7470">
        <v>1497</v>
      </c>
      <c r="D7470" t="s">
        <v>568</v>
      </c>
      <c r="E7470" t="s">
        <v>111</v>
      </c>
      <c r="F7470" t="s">
        <v>437</v>
      </c>
    </row>
    <row r="7471" spans="1:6" x14ac:dyDescent="0.3">
      <c r="A7471" t="s">
        <v>34</v>
      </c>
      <c r="B7471" t="s">
        <v>365</v>
      </c>
      <c r="C7471">
        <v>28</v>
      </c>
      <c r="D7471" t="s">
        <v>1125</v>
      </c>
      <c r="E7471" t="s">
        <v>138</v>
      </c>
      <c r="F7471" t="s">
        <v>349</v>
      </c>
    </row>
    <row r="7472" spans="1:6" x14ac:dyDescent="0.3">
      <c r="A7472" t="s">
        <v>33</v>
      </c>
      <c r="B7472" t="s">
        <v>339</v>
      </c>
      <c r="C7472">
        <v>503</v>
      </c>
      <c r="D7472" t="s">
        <v>187</v>
      </c>
      <c r="E7472" t="s">
        <v>207</v>
      </c>
      <c r="F7472" t="s">
        <v>482</v>
      </c>
    </row>
    <row r="7473" spans="1:6" x14ac:dyDescent="0.3">
      <c r="A7473" t="s">
        <v>33</v>
      </c>
      <c r="B7473" t="s">
        <v>340</v>
      </c>
      <c r="C7473">
        <v>1415</v>
      </c>
      <c r="D7473" t="s">
        <v>250</v>
      </c>
      <c r="E7473" t="s">
        <v>253</v>
      </c>
      <c r="F7473" t="s">
        <v>142</v>
      </c>
    </row>
    <row r="7474" spans="1:6" x14ac:dyDescent="0.3">
      <c r="A7474" t="s">
        <v>33</v>
      </c>
      <c r="B7474" t="s">
        <v>365</v>
      </c>
      <c r="C7474">
        <v>19</v>
      </c>
      <c r="D7474" t="s">
        <v>211</v>
      </c>
      <c r="E7474" t="s">
        <v>99</v>
      </c>
      <c r="F7474" t="s">
        <v>99</v>
      </c>
    </row>
    <row r="7475" spans="1:6" x14ac:dyDescent="0.3">
      <c r="A7475" t="s">
        <v>49</v>
      </c>
      <c r="B7475" t="s">
        <v>339</v>
      </c>
      <c r="C7475">
        <v>3811</v>
      </c>
      <c r="D7475" t="s">
        <v>518</v>
      </c>
      <c r="E7475" t="s">
        <v>100</v>
      </c>
      <c r="F7475" t="s">
        <v>1059</v>
      </c>
    </row>
    <row r="7476" spans="1:6" x14ac:dyDescent="0.3">
      <c r="A7476" t="s">
        <v>49</v>
      </c>
      <c r="B7476" t="s">
        <v>340</v>
      </c>
      <c r="C7476">
        <v>9320</v>
      </c>
      <c r="D7476" t="s">
        <v>785</v>
      </c>
      <c r="E7476" t="s">
        <v>101</v>
      </c>
      <c r="F7476" t="s">
        <v>38</v>
      </c>
    </row>
    <row r="7477" spans="1:6" x14ac:dyDescent="0.3">
      <c r="A7477" t="s">
        <v>49</v>
      </c>
      <c r="B7477" t="s">
        <v>365</v>
      </c>
      <c r="C7477">
        <v>191</v>
      </c>
      <c r="D7477" t="s">
        <v>985</v>
      </c>
      <c r="E7477" t="s">
        <v>108</v>
      </c>
      <c r="F7477" t="s">
        <v>106</v>
      </c>
    </row>
    <row r="7479" spans="1:6" x14ac:dyDescent="0.3">
      <c r="A7479" t="s">
        <v>2262</v>
      </c>
    </row>
    <row r="7480" spans="1:6" x14ac:dyDescent="0.3">
      <c r="A7480" t="s">
        <v>44</v>
      </c>
      <c r="B7480" t="s">
        <v>235</v>
      </c>
      <c r="C7480" t="s">
        <v>32</v>
      </c>
      <c r="D7480" t="s">
        <v>2258</v>
      </c>
      <c r="E7480" t="s">
        <v>193</v>
      </c>
      <c r="F7480" t="s">
        <v>67</v>
      </c>
    </row>
    <row r="7481" spans="1:6" x14ac:dyDescent="0.3">
      <c r="A7481" t="s">
        <v>35</v>
      </c>
      <c r="B7481" t="s">
        <v>236</v>
      </c>
      <c r="C7481">
        <v>1610</v>
      </c>
      <c r="D7481" t="s">
        <v>450</v>
      </c>
      <c r="E7481" t="s">
        <v>253</v>
      </c>
      <c r="F7481" t="s">
        <v>465</v>
      </c>
    </row>
    <row r="7482" spans="1:6" x14ac:dyDescent="0.3">
      <c r="A7482" t="s">
        <v>35</v>
      </c>
      <c r="B7482" t="s">
        <v>238</v>
      </c>
      <c r="C7482">
        <v>1535</v>
      </c>
      <c r="D7482" t="s">
        <v>1333</v>
      </c>
      <c r="E7482" t="s">
        <v>121</v>
      </c>
      <c r="F7482" t="s">
        <v>686</v>
      </c>
    </row>
    <row r="7483" spans="1:6" x14ac:dyDescent="0.3">
      <c r="A7483" t="s">
        <v>37</v>
      </c>
      <c r="B7483" t="s">
        <v>236</v>
      </c>
      <c r="C7483">
        <v>2211</v>
      </c>
      <c r="D7483" t="s">
        <v>430</v>
      </c>
      <c r="E7483" t="s">
        <v>292</v>
      </c>
      <c r="F7483" t="s">
        <v>449</v>
      </c>
    </row>
    <row r="7484" spans="1:6" x14ac:dyDescent="0.3">
      <c r="A7484" t="s">
        <v>37</v>
      </c>
      <c r="B7484" t="s">
        <v>238</v>
      </c>
      <c r="C7484">
        <v>1644</v>
      </c>
      <c r="D7484" t="s">
        <v>409</v>
      </c>
      <c r="E7484" t="s">
        <v>114</v>
      </c>
      <c r="F7484" t="s">
        <v>171</v>
      </c>
    </row>
    <row r="7485" spans="1:6" x14ac:dyDescent="0.3">
      <c r="A7485" t="s">
        <v>36</v>
      </c>
      <c r="B7485" t="s">
        <v>236</v>
      </c>
      <c r="C7485">
        <v>1566</v>
      </c>
      <c r="D7485" t="s">
        <v>526</v>
      </c>
      <c r="E7485" t="s">
        <v>132</v>
      </c>
      <c r="F7485" t="s">
        <v>626</v>
      </c>
    </row>
    <row r="7486" spans="1:6" x14ac:dyDescent="0.3">
      <c r="A7486" t="s">
        <v>36</v>
      </c>
      <c r="B7486" t="s">
        <v>238</v>
      </c>
      <c r="C7486">
        <v>739</v>
      </c>
      <c r="D7486" t="s">
        <v>1082</v>
      </c>
      <c r="E7486" t="s">
        <v>108</v>
      </c>
      <c r="F7486" t="s">
        <v>838</v>
      </c>
    </row>
    <row r="7487" spans="1:6" x14ac:dyDescent="0.3">
      <c r="A7487" t="s">
        <v>34</v>
      </c>
      <c r="B7487" t="s">
        <v>236</v>
      </c>
      <c r="C7487">
        <v>717</v>
      </c>
      <c r="D7487" t="s">
        <v>275</v>
      </c>
      <c r="E7487" t="s">
        <v>108</v>
      </c>
      <c r="F7487" t="s">
        <v>828</v>
      </c>
    </row>
    <row r="7488" spans="1:6" x14ac:dyDescent="0.3">
      <c r="A7488" t="s">
        <v>34</v>
      </c>
      <c r="B7488" t="s">
        <v>238</v>
      </c>
      <c r="C7488">
        <v>1363</v>
      </c>
      <c r="D7488" t="s">
        <v>1054</v>
      </c>
      <c r="E7488" t="s">
        <v>292</v>
      </c>
      <c r="F7488" t="s">
        <v>307</v>
      </c>
    </row>
    <row r="7489" spans="1:6" x14ac:dyDescent="0.3">
      <c r="A7489" t="s">
        <v>33</v>
      </c>
      <c r="B7489" t="s">
        <v>236</v>
      </c>
      <c r="C7489">
        <v>1116</v>
      </c>
      <c r="D7489" t="s">
        <v>1282</v>
      </c>
      <c r="E7489" t="s">
        <v>198</v>
      </c>
      <c r="F7489" t="s">
        <v>716</v>
      </c>
    </row>
    <row r="7490" spans="1:6" x14ac:dyDescent="0.3">
      <c r="A7490" t="s">
        <v>33</v>
      </c>
      <c r="B7490" t="s">
        <v>238</v>
      </c>
      <c r="C7490">
        <v>821</v>
      </c>
      <c r="D7490" t="s">
        <v>854</v>
      </c>
      <c r="E7490" t="s">
        <v>132</v>
      </c>
      <c r="F7490" t="s">
        <v>408</v>
      </c>
    </row>
    <row r="7491" spans="1:6" x14ac:dyDescent="0.3">
      <c r="A7491" t="s">
        <v>49</v>
      </c>
      <c r="B7491" t="s">
        <v>236</v>
      </c>
      <c r="C7491">
        <v>7220</v>
      </c>
      <c r="D7491" t="s">
        <v>1137</v>
      </c>
      <c r="E7491" t="s">
        <v>121</v>
      </c>
      <c r="F7491" t="s">
        <v>444</v>
      </c>
    </row>
    <row r="7492" spans="1:6" x14ac:dyDescent="0.3">
      <c r="A7492" t="s">
        <v>49</v>
      </c>
      <c r="B7492" t="s">
        <v>238</v>
      </c>
      <c r="C7492">
        <v>6102</v>
      </c>
      <c r="D7492" t="s">
        <v>1475</v>
      </c>
      <c r="E7492" t="s">
        <v>101</v>
      </c>
      <c r="F7492" t="s">
        <v>740</v>
      </c>
    </row>
    <row r="7494" spans="1:6" x14ac:dyDescent="0.3">
      <c r="A7494" t="s">
        <v>2263</v>
      </c>
    </row>
    <row r="7495" spans="1:6" x14ac:dyDescent="0.3">
      <c r="A7495" t="s">
        <v>44</v>
      </c>
      <c r="B7495" t="s">
        <v>879</v>
      </c>
      <c r="C7495" t="s">
        <v>32</v>
      </c>
      <c r="D7495" t="s">
        <v>2258</v>
      </c>
      <c r="E7495" t="s">
        <v>193</v>
      </c>
      <c r="F7495" t="s">
        <v>67</v>
      </c>
    </row>
    <row r="7496" spans="1:6" x14ac:dyDescent="0.3">
      <c r="A7496" t="s">
        <v>35</v>
      </c>
      <c r="B7496" t="s">
        <v>880</v>
      </c>
      <c r="C7496">
        <v>596</v>
      </c>
      <c r="D7496" t="s">
        <v>1226</v>
      </c>
      <c r="E7496" t="s">
        <v>141</v>
      </c>
      <c r="F7496" t="s">
        <v>678</v>
      </c>
    </row>
    <row r="7497" spans="1:6" x14ac:dyDescent="0.3">
      <c r="A7497" t="s">
        <v>35</v>
      </c>
      <c r="B7497" t="s">
        <v>881</v>
      </c>
      <c r="C7497">
        <v>1162</v>
      </c>
      <c r="D7497" t="s">
        <v>411</v>
      </c>
      <c r="E7497" t="s">
        <v>382</v>
      </c>
      <c r="F7497" t="s">
        <v>990</v>
      </c>
    </row>
    <row r="7498" spans="1:6" x14ac:dyDescent="0.3">
      <c r="A7498" t="s">
        <v>35</v>
      </c>
      <c r="B7498" t="s">
        <v>882</v>
      </c>
      <c r="C7498">
        <v>1387</v>
      </c>
      <c r="D7498" t="s">
        <v>1405</v>
      </c>
      <c r="E7498" t="s">
        <v>108</v>
      </c>
      <c r="F7498" t="s">
        <v>702</v>
      </c>
    </row>
    <row r="7499" spans="1:6" x14ac:dyDescent="0.3">
      <c r="A7499" t="s">
        <v>37</v>
      </c>
      <c r="B7499" t="s">
        <v>880</v>
      </c>
      <c r="C7499">
        <v>671</v>
      </c>
      <c r="D7499" t="s">
        <v>250</v>
      </c>
      <c r="E7499" t="s">
        <v>114</v>
      </c>
      <c r="F7499" t="s">
        <v>125</v>
      </c>
    </row>
    <row r="7500" spans="1:6" x14ac:dyDescent="0.3">
      <c r="A7500" t="s">
        <v>37</v>
      </c>
      <c r="B7500" t="s">
        <v>881</v>
      </c>
      <c r="C7500">
        <v>1371</v>
      </c>
      <c r="D7500" t="s">
        <v>769</v>
      </c>
      <c r="E7500" t="s">
        <v>382</v>
      </c>
      <c r="F7500" t="s">
        <v>355</v>
      </c>
    </row>
    <row r="7501" spans="1:6" x14ac:dyDescent="0.3">
      <c r="A7501" t="s">
        <v>37</v>
      </c>
      <c r="B7501" t="s">
        <v>882</v>
      </c>
      <c r="C7501">
        <v>1813</v>
      </c>
      <c r="D7501" t="s">
        <v>854</v>
      </c>
      <c r="E7501" t="s">
        <v>151</v>
      </c>
      <c r="F7501" t="s">
        <v>379</v>
      </c>
    </row>
    <row r="7502" spans="1:6" x14ac:dyDescent="0.3">
      <c r="A7502" t="s">
        <v>36</v>
      </c>
      <c r="B7502" t="s">
        <v>880</v>
      </c>
      <c r="C7502">
        <v>382</v>
      </c>
      <c r="D7502" t="s">
        <v>1257</v>
      </c>
      <c r="E7502" t="s">
        <v>198</v>
      </c>
      <c r="F7502" t="s">
        <v>897</v>
      </c>
    </row>
    <row r="7503" spans="1:6" x14ac:dyDescent="0.3">
      <c r="A7503" t="s">
        <v>36</v>
      </c>
      <c r="B7503" t="s">
        <v>881</v>
      </c>
      <c r="C7503">
        <v>866</v>
      </c>
      <c r="D7503" t="s">
        <v>57</v>
      </c>
      <c r="E7503" t="s">
        <v>115</v>
      </c>
      <c r="F7503" t="s">
        <v>1105</v>
      </c>
    </row>
    <row r="7504" spans="1:6" x14ac:dyDescent="0.3">
      <c r="A7504" t="s">
        <v>36</v>
      </c>
      <c r="B7504" t="s">
        <v>882</v>
      </c>
      <c r="C7504">
        <v>1057</v>
      </c>
      <c r="D7504" t="s">
        <v>445</v>
      </c>
      <c r="E7504" t="s">
        <v>121</v>
      </c>
      <c r="F7504" t="s">
        <v>456</v>
      </c>
    </row>
    <row r="7505" spans="1:6" x14ac:dyDescent="0.3">
      <c r="A7505" t="s">
        <v>34</v>
      </c>
      <c r="B7505" t="s">
        <v>880</v>
      </c>
      <c r="C7505">
        <v>351</v>
      </c>
      <c r="D7505" t="s">
        <v>371</v>
      </c>
      <c r="E7505" t="s">
        <v>382</v>
      </c>
      <c r="F7505" t="s">
        <v>478</v>
      </c>
    </row>
    <row r="7506" spans="1:6" x14ac:dyDescent="0.3">
      <c r="A7506" t="s">
        <v>34</v>
      </c>
      <c r="B7506" t="s">
        <v>881</v>
      </c>
      <c r="C7506">
        <v>861</v>
      </c>
      <c r="D7506" t="s">
        <v>1054</v>
      </c>
      <c r="E7506" t="s">
        <v>215</v>
      </c>
      <c r="F7506" t="s">
        <v>894</v>
      </c>
    </row>
    <row r="7507" spans="1:6" x14ac:dyDescent="0.3">
      <c r="A7507" t="s">
        <v>34</v>
      </c>
      <c r="B7507" t="s">
        <v>882</v>
      </c>
      <c r="C7507">
        <v>868</v>
      </c>
      <c r="D7507" t="s">
        <v>445</v>
      </c>
      <c r="E7507" t="s">
        <v>123</v>
      </c>
      <c r="F7507" t="s">
        <v>525</v>
      </c>
    </row>
    <row r="7508" spans="1:6" x14ac:dyDescent="0.3">
      <c r="A7508" t="s">
        <v>33</v>
      </c>
      <c r="B7508" t="s">
        <v>880</v>
      </c>
      <c r="C7508">
        <v>426</v>
      </c>
      <c r="D7508" t="s">
        <v>364</v>
      </c>
      <c r="E7508" t="s">
        <v>108</v>
      </c>
      <c r="F7508" t="s">
        <v>122</v>
      </c>
    </row>
    <row r="7509" spans="1:6" x14ac:dyDescent="0.3">
      <c r="A7509" t="s">
        <v>33</v>
      </c>
      <c r="B7509" t="s">
        <v>881</v>
      </c>
      <c r="C7509">
        <v>682</v>
      </c>
      <c r="D7509" t="s">
        <v>366</v>
      </c>
      <c r="E7509" t="s">
        <v>141</v>
      </c>
      <c r="F7509" t="s">
        <v>262</v>
      </c>
    </row>
    <row r="7510" spans="1:6" x14ac:dyDescent="0.3">
      <c r="A7510" t="s">
        <v>33</v>
      </c>
      <c r="B7510" t="s">
        <v>882</v>
      </c>
      <c r="C7510">
        <v>829</v>
      </c>
      <c r="D7510" t="s">
        <v>430</v>
      </c>
      <c r="E7510" t="s">
        <v>207</v>
      </c>
      <c r="F7510" t="s">
        <v>267</v>
      </c>
    </row>
    <row r="7511" spans="1:6" x14ac:dyDescent="0.3">
      <c r="A7511" t="s">
        <v>49</v>
      </c>
      <c r="B7511" t="s">
        <v>880</v>
      </c>
      <c r="C7511">
        <v>2426</v>
      </c>
      <c r="D7511" t="s">
        <v>443</v>
      </c>
      <c r="E7511" t="s">
        <v>108</v>
      </c>
      <c r="F7511" t="s">
        <v>372</v>
      </c>
    </row>
    <row r="7512" spans="1:6" x14ac:dyDescent="0.3">
      <c r="A7512" t="s">
        <v>49</v>
      </c>
      <c r="B7512" t="s">
        <v>881</v>
      </c>
      <c r="C7512">
        <v>4942</v>
      </c>
      <c r="D7512" t="s">
        <v>1510</v>
      </c>
      <c r="E7512" t="s">
        <v>101</v>
      </c>
      <c r="F7512" t="s">
        <v>373</v>
      </c>
    </row>
    <row r="7513" spans="1:6" x14ac:dyDescent="0.3">
      <c r="A7513" t="s">
        <v>49</v>
      </c>
      <c r="B7513" t="s">
        <v>882</v>
      </c>
      <c r="C7513">
        <v>5954</v>
      </c>
      <c r="D7513" t="s">
        <v>912</v>
      </c>
      <c r="E7513" t="s">
        <v>101</v>
      </c>
      <c r="F7513" t="s">
        <v>370</v>
      </c>
    </row>
    <row r="7515" spans="1:6" x14ac:dyDescent="0.3">
      <c r="A7515" t="s">
        <v>2264</v>
      </c>
    </row>
    <row r="7516" spans="1:6" x14ac:dyDescent="0.3">
      <c r="A7516" t="s">
        <v>44</v>
      </c>
      <c r="B7516" t="s">
        <v>1241</v>
      </c>
      <c r="C7516" t="s">
        <v>32</v>
      </c>
      <c r="D7516" t="s">
        <v>2258</v>
      </c>
      <c r="E7516" t="s">
        <v>193</v>
      </c>
      <c r="F7516" t="s">
        <v>67</v>
      </c>
    </row>
    <row r="7517" spans="1:6" x14ac:dyDescent="0.3">
      <c r="A7517" t="s">
        <v>35</v>
      </c>
      <c r="B7517" t="s">
        <v>1242</v>
      </c>
      <c r="C7517">
        <v>3079</v>
      </c>
      <c r="D7517" t="s">
        <v>1453</v>
      </c>
      <c r="E7517" t="s">
        <v>100</v>
      </c>
      <c r="F7517" t="s">
        <v>298</v>
      </c>
    </row>
    <row r="7518" spans="1:6" x14ac:dyDescent="0.3">
      <c r="A7518" t="s">
        <v>35</v>
      </c>
      <c r="B7518" t="s">
        <v>1243</v>
      </c>
      <c r="C7518">
        <v>41</v>
      </c>
      <c r="D7518" t="s">
        <v>885</v>
      </c>
      <c r="E7518" t="s">
        <v>99</v>
      </c>
      <c r="F7518" t="s">
        <v>726</v>
      </c>
    </row>
    <row r="7519" spans="1:6" s="5" customFormat="1" x14ac:dyDescent="0.3">
      <c r="A7519" s="5" t="s">
        <v>35</v>
      </c>
      <c r="B7519" s="5" t="s">
        <v>1244</v>
      </c>
      <c r="C7519" s="5">
        <v>22</v>
      </c>
      <c r="D7519" s="5" t="s">
        <v>937</v>
      </c>
      <c r="E7519" s="5" t="s">
        <v>99</v>
      </c>
      <c r="F7519" s="5" t="s">
        <v>1097</v>
      </c>
    </row>
    <row r="7520" spans="1:6" x14ac:dyDescent="0.3">
      <c r="A7520" t="s">
        <v>35</v>
      </c>
      <c r="B7520" t="s">
        <v>365</v>
      </c>
      <c r="C7520">
        <v>3</v>
      </c>
      <c r="D7520" t="s">
        <v>211</v>
      </c>
      <c r="E7520" t="s">
        <v>99</v>
      </c>
      <c r="F7520" t="s">
        <v>99</v>
      </c>
    </row>
    <row r="7521" spans="1:6" x14ac:dyDescent="0.3">
      <c r="A7521" t="s">
        <v>37</v>
      </c>
      <c r="B7521" t="s">
        <v>1242</v>
      </c>
      <c r="C7521">
        <v>3739</v>
      </c>
      <c r="D7521" t="s">
        <v>762</v>
      </c>
      <c r="E7521" t="s">
        <v>382</v>
      </c>
      <c r="F7521" t="s">
        <v>287</v>
      </c>
    </row>
    <row r="7522" spans="1:6" x14ac:dyDescent="0.3">
      <c r="A7522" t="s">
        <v>37</v>
      </c>
      <c r="B7522" t="s">
        <v>1243</v>
      </c>
      <c r="C7522">
        <v>95</v>
      </c>
      <c r="D7522" t="s">
        <v>1020</v>
      </c>
      <c r="E7522" t="s">
        <v>120</v>
      </c>
      <c r="F7522" t="s">
        <v>743</v>
      </c>
    </row>
    <row r="7523" spans="1:6" s="5" customFormat="1" x14ac:dyDescent="0.3">
      <c r="A7523" s="5" t="s">
        <v>37</v>
      </c>
      <c r="B7523" s="5" t="s">
        <v>1244</v>
      </c>
      <c r="C7523" s="5">
        <v>18</v>
      </c>
      <c r="D7523" s="5" t="s">
        <v>1066</v>
      </c>
      <c r="E7523" s="5" t="s">
        <v>99</v>
      </c>
      <c r="F7523" s="5" t="s">
        <v>1067</v>
      </c>
    </row>
    <row r="7524" spans="1:6" x14ac:dyDescent="0.3">
      <c r="A7524" t="s">
        <v>37</v>
      </c>
      <c r="B7524" t="s">
        <v>365</v>
      </c>
      <c r="C7524">
        <v>3</v>
      </c>
      <c r="D7524" t="s">
        <v>211</v>
      </c>
      <c r="E7524" t="s">
        <v>99</v>
      </c>
      <c r="F7524" t="s">
        <v>99</v>
      </c>
    </row>
    <row r="7525" spans="1:6" x14ac:dyDescent="0.3">
      <c r="A7525" t="s">
        <v>36</v>
      </c>
      <c r="B7525" t="s">
        <v>1242</v>
      </c>
      <c r="C7525">
        <v>2168</v>
      </c>
      <c r="D7525" t="s">
        <v>1363</v>
      </c>
      <c r="E7525" t="s">
        <v>108</v>
      </c>
      <c r="F7525" t="s">
        <v>224</v>
      </c>
    </row>
    <row r="7526" spans="1:6" x14ac:dyDescent="0.3">
      <c r="A7526" t="s">
        <v>36</v>
      </c>
      <c r="B7526" t="s">
        <v>1243</v>
      </c>
      <c r="C7526">
        <v>47</v>
      </c>
      <c r="D7526" t="s">
        <v>374</v>
      </c>
      <c r="E7526" t="s">
        <v>99</v>
      </c>
      <c r="F7526" t="s">
        <v>373</v>
      </c>
    </row>
    <row r="7527" spans="1:6" x14ac:dyDescent="0.3">
      <c r="A7527" t="s">
        <v>36</v>
      </c>
      <c r="B7527" t="s">
        <v>1244</v>
      </c>
      <c r="C7527">
        <v>88</v>
      </c>
      <c r="D7527" t="s">
        <v>63</v>
      </c>
      <c r="E7527" t="s">
        <v>99</v>
      </c>
      <c r="F7527" t="s">
        <v>64</v>
      </c>
    </row>
    <row r="7528" spans="1:6" x14ac:dyDescent="0.3">
      <c r="A7528" t="s">
        <v>36</v>
      </c>
      <c r="B7528" t="s">
        <v>365</v>
      </c>
      <c r="C7528">
        <v>2</v>
      </c>
      <c r="D7528" t="s">
        <v>211</v>
      </c>
      <c r="E7528" t="s">
        <v>99</v>
      </c>
      <c r="F7528" t="s">
        <v>99</v>
      </c>
    </row>
    <row r="7529" spans="1:6" x14ac:dyDescent="0.3">
      <c r="A7529" t="s">
        <v>34</v>
      </c>
      <c r="B7529" t="s">
        <v>1242</v>
      </c>
      <c r="C7529">
        <v>2042</v>
      </c>
      <c r="D7529" t="s">
        <v>348</v>
      </c>
      <c r="E7529" t="s">
        <v>215</v>
      </c>
      <c r="F7529" t="s">
        <v>451</v>
      </c>
    </row>
    <row r="7530" spans="1:6" s="5" customFormat="1" x14ac:dyDescent="0.3">
      <c r="A7530" s="5" t="s">
        <v>34</v>
      </c>
      <c r="B7530" s="5" t="s">
        <v>1243</v>
      </c>
      <c r="C7530" s="5">
        <v>14</v>
      </c>
      <c r="D7530" s="5" t="s">
        <v>953</v>
      </c>
      <c r="E7530" s="5" t="s">
        <v>434</v>
      </c>
      <c r="F7530" s="5" t="s">
        <v>1115</v>
      </c>
    </row>
    <row r="7531" spans="1:6" s="5" customFormat="1" x14ac:dyDescent="0.3">
      <c r="A7531" s="5" t="s">
        <v>34</v>
      </c>
      <c r="B7531" s="5" t="s">
        <v>1244</v>
      </c>
      <c r="C7531" s="5">
        <v>23</v>
      </c>
      <c r="D7531" s="5" t="s">
        <v>1192</v>
      </c>
      <c r="E7531" s="5" t="s">
        <v>712</v>
      </c>
      <c r="F7531" s="5" t="s">
        <v>224</v>
      </c>
    </row>
    <row r="7532" spans="1:6" x14ac:dyDescent="0.3">
      <c r="A7532" t="s">
        <v>34</v>
      </c>
      <c r="B7532" t="s">
        <v>365</v>
      </c>
      <c r="C7532">
        <v>1</v>
      </c>
      <c r="D7532" t="s">
        <v>211</v>
      </c>
      <c r="E7532" t="s">
        <v>99</v>
      </c>
      <c r="F7532" t="s">
        <v>99</v>
      </c>
    </row>
    <row r="7533" spans="1:6" x14ac:dyDescent="0.3">
      <c r="A7533" t="s">
        <v>33</v>
      </c>
      <c r="B7533" t="s">
        <v>1242</v>
      </c>
      <c r="C7533">
        <v>1898</v>
      </c>
      <c r="D7533" t="s">
        <v>219</v>
      </c>
      <c r="E7533" t="s">
        <v>141</v>
      </c>
      <c r="F7533" t="s">
        <v>311</v>
      </c>
    </row>
    <row r="7534" spans="1:6" s="5" customFormat="1" x14ac:dyDescent="0.3">
      <c r="A7534" s="5" t="s">
        <v>33</v>
      </c>
      <c r="B7534" s="5" t="s">
        <v>1243</v>
      </c>
      <c r="C7534" s="5">
        <v>30</v>
      </c>
      <c r="D7534" s="5" t="s">
        <v>75</v>
      </c>
      <c r="E7534" s="5" t="s">
        <v>99</v>
      </c>
      <c r="F7534" s="5" t="s">
        <v>74</v>
      </c>
    </row>
    <row r="7535" spans="1:6" s="5" customFormat="1" x14ac:dyDescent="0.3">
      <c r="A7535" s="5" t="s">
        <v>33</v>
      </c>
      <c r="B7535" s="5" t="s">
        <v>1244</v>
      </c>
      <c r="C7535" s="5">
        <v>7</v>
      </c>
      <c r="D7535" s="5" t="s">
        <v>217</v>
      </c>
      <c r="E7535" s="5" t="s">
        <v>99</v>
      </c>
      <c r="F7535" s="5" t="s">
        <v>218</v>
      </c>
    </row>
    <row r="7536" spans="1:6" x14ac:dyDescent="0.3">
      <c r="A7536" t="s">
        <v>33</v>
      </c>
      <c r="B7536" t="s">
        <v>365</v>
      </c>
      <c r="C7536">
        <v>2</v>
      </c>
      <c r="D7536" t="s">
        <v>594</v>
      </c>
      <c r="E7536" t="s">
        <v>99</v>
      </c>
      <c r="F7536" t="s">
        <v>955</v>
      </c>
    </row>
    <row r="7537" spans="1:7" x14ac:dyDescent="0.3">
      <c r="A7537" t="s">
        <v>49</v>
      </c>
      <c r="B7537" t="s">
        <v>1242</v>
      </c>
      <c r="C7537">
        <v>12926</v>
      </c>
      <c r="D7537" t="s">
        <v>1277</v>
      </c>
      <c r="E7537" t="s">
        <v>121</v>
      </c>
      <c r="F7537" t="s">
        <v>689</v>
      </c>
    </row>
    <row r="7538" spans="1:7" x14ac:dyDescent="0.3">
      <c r="A7538" t="s">
        <v>49</v>
      </c>
      <c r="B7538" t="s">
        <v>1243</v>
      </c>
      <c r="C7538">
        <v>227</v>
      </c>
      <c r="D7538" t="s">
        <v>426</v>
      </c>
      <c r="E7538" t="s">
        <v>127</v>
      </c>
      <c r="F7538" t="s">
        <v>188</v>
      </c>
    </row>
    <row r="7539" spans="1:7" x14ac:dyDescent="0.3">
      <c r="A7539" t="s">
        <v>49</v>
      </c>
      <c r="B7539" t="s">
        <v>1244</v>
      </c>
      <c r="C7539">
        <v>158</v>
      </c>
      <c r="D7539" t="s">
        <v>928</v>
      </c>
      <c r="E7539" t="s">
        <v>126</v>
      </c>
      <c r="F7539" t="s">
        <v>650</v>
      </c>
    </row>
    <row r="7540" spans="1:7" x14ac:dyDescent="0.3">
      <c r="A7540" t="s">
        <v>49</v>
      </c>
      <c r="B7540" t="s">
        <v>365</v>
      </c>
      <c r="C7540">
        <v>11</v>
      </c>
      <c r="D7540" t="s">
        <v>422</v>
      </c>
      <c r="E7540" t="s">
        <v>99</v>
      </c>
      <c r="F7540" t="s">
        <v>405</v>
      </c>
    </row>
    <row r="7542" spans="1:7" x14ac:dyDescent="0.3">
      <c r="A7542" t="s">
        <v>2265</v>
      </c>
    </row>
    <row r="7543" spans="1:7" x14ac:dyDescent="0.3">
      <c r="A7543" t="s">
        <v>44</v>
      </c>
      <c r="B7543" t="s">
        <v>32</v>
      </c>
      <c r="C7543" t="s">
        <v>352</v>
      </c>
      <c r="D7543" t="s">
        <v>66</v>
      </c>
      <c r="E7543" t="s">
        <v>193</v>
      </c>
      <c r="F7543" t="s">
        <v>67</v>
      </c>
    </row>
    <row r="7544" spans="1:7" x14ac:dyDescent="0.3">
      <c r="A7544" t="s">
        <v>35</v>
      </c>
      <c r="B7544">
        <v>7725</v>
      </c>
      <c r="C7544" t="s">
        <v>207</v>
      </c>
      <c r="D7544" t="s">
        <v>639</v>
      </c>
      <c r="E7544" t="s">
        <v>141</v>
      </c>
      <c r="F7544" t="s">
        <v>604</v>
      </c>
    </row>
    <row r="7545" spans="1:7" x14ac:dyDescent="0.3">
      <c r="A7545" t="s">
        <v>37</v>
      </c>
      <c r="B7545">
        <v>10059</v>
      </c>
      <c r="C7545" t="s">
        <v>207</v>
      </c>
      <c r="D7545" t="s">
        <v>490</v>
      </c>
      <c r="E7545" t="s">
        <v>99</v>
      </c>
      <c r="F7545" t="s">
        <v>647</v>
      </c>
    </row>
    <row r="7546" spans="1:7" x14ac:dyDescent="0.3">
      <c r="A7546" t="s">
        <v>36</v>
      </c>
      <c r="B7546">
        <v>6007</v>
      </c>
      <c r="C7546" t="s">
        <v>104</v>
      </c>
      <c r="D7546" t="s">
        <v>1119</v>
      </c>
      <c r="E7546" t="s">
        <v>99</v>
      </c>
      <c r="F7546" t="s">
        <v>666</v>
      </c>
    </row>
    <row r="7547" spans="1:7" x14ac:dyDescent="0.3">
      <c r="A7547" t="s">
        <v>34</v>
      </c>
      <c r="B7547">
        <v>4916</v>
      </c>
      <c r="C7547" t="s">
        <v>207</v>
      </c>
      <c r="D7547" t="s">
        <v>928</v>
      </c>
      <c r="E7547" t="s">
        <v>207</v>
      </c>
      <c r="F7547" t="s">
        <v>600</v>
      </c>
    </row>
    <row r="7548" spans="1:7" x14ac:dyDescent="0.3">
      <c r="A7548" t="s">
        <v>33</v>
      </c>
      <c r="B7548">
        <v>4576</v>
      </c>
      <c r="C7548" t="s">
        <v>104</v>
      </c>
      <c r="D7548" t="s">
        <v>1650</v>
      </c>
      <c r="E7548" t="s">
        <v>198</v>
      </c>
      <c r="F7548" t="s">
        <v>459</v>
      </c>
    </row>
    <row r="7549" spans="1:7" x14ac:dyDescent="0.3">
      <c r="A7549" t="s">
        <v>49</v>
      </c>
      <c r="B7549">
        <v>33283</v>
      </c>
      <c r="C7549" t="s">
        <v>198</v>
      </c>
      <c r="D7549" t="s">
        <v>1224</v>
      </c>
      <c r="E7549" t="s">
        <v>198</v>
      </c>
      <c r="F7549" t="s">
        <v>932</v>
      </c>
    </row>
    <row r="7551" spans="1:7" x14ac:dyDescent="0.3">
      <c r="A7551" t="s">
        <v>2266</v>
      </c>
    </row>
    <row r="7552" spans="1:7" x14ac:dyDescent="0.3">
      <c r="A7552" t="s">
        <v>44</v>
      </c>
      <c r="B7552" t="s">
        <v>2267</v>
      </c>
      <c r="C7552" t="s">
        <v>32</v>
      </c>
      <c r="D7552" t="s">
        <v>66</v>
      </c>
      <c r="E7552" t="s">
        <v>193</v>
      </c>
      <c r="F7552" t="s">
        <v>67</v>
      </c>
      <c r="G7552" t="s">
        <v>352</v>
      </c>
    </row>
    <row r="7553" spans="1:7" x14ac:dyDescent="0.3">
      <c r="A7553" t="s">
        <v>35</v>
      </c>
      <c r="B7553" t="s">
        <v>973</v>
      </c>
      <c r="C7553">
        <v>274</v>
      </c>
      <c r="D7553" t="s">
        <v>1350</v>
      </c>
      <c r="E7553" t="s">
        <v>141</v>
      </c>
      <c r="F7553" t="s">
        <v>669</v>
      </c>
      <c r="G7553" t="s">
        <v>99</v>
      </c>
    </row>
    <row r="7554" spans="1:7" x14ac:dyDescent="0.3">
      <c r="A7554" t="s">
        <v>35</v>
      </c>
      <c r="B7554" t="s">
        <v>2268</v>
      </c>
      <c r="C7554">
        <v>282</v>
      </c>
      <c r="D7554" t="s">
        <v>603</v>
      </c>
      <c r="E7554" t="s">
        <v>99</v>
      </c>
      <c r="F7554" t="s">
        <v>602</v>
      </c>
      <c r="G7554" t="s">
        <v>207</v>
      </c>
    </row>
    <row r="7555" spans="1:7" x14ac:dyDescent="0.3">
      <c r="A7555" t="s">
        <v>35</v>
      </c>
      <c r="B7555" t="s">
        <v>2269</v>
      </c>
      <c r="C7555">
        <v>199</v>
      </c>
      <c r="D7555" t="s">
        <v>1110</v>
      </c>
      <c r="E7555" t="s">
        <v>99</v>
      </c>
      <c r="F7555" t="s">
        <v>1224</v>
      </c>
      <c r="G7555" t="s">
        <v>99</v>
      </c>
    </row>
    <row r="7556" spans="1:7" x14ac:dyDescent="0.3">
      <c r="A7556" t="s">
        <v>35</v>
      </c>
      <c r="B7556" t="s">
        <v>2270</v>
      </c>
      <c r="C7556">
        <v>265</v>
      </c>
      <c r="D7556" t="s">
        <v>1056</v>
      </c>
      <c r="E7556" t="s">
        <v>253</v>
      </c>
      <c r="F7556" t="s">
        <v>803</v>
      </c>
      <c r="G7556" t="s">
        <v>99</v>
      </c>
    </row>
    <row r="7557" spans="1:7" x14ac:dyDescent="0.3">
      <c r="A7557" t="s">
        <v>35</v>
      </c>
      <c r="B7557" t="s">
        <v>2271</v>
      </c>
      <c r="C7557">
        <v>1405</v>
      </c>
      <c r="D7557" t="s">
        <v>994</v>
      </c>
      <c r="E7557" t="s">
        <v>132</v>
      </c>
      <c r="F7557" t="s">
        <v>695</v>
      </c>
      <c r="G7557" t="s">
        <v>253</v>
      </c>
    </row>
    <row r="7558" spans="1:7" x14ac:dyDescent="0.3">
      <c r="A7558" t="s">
        <v>35</v>
      </c>
      <c r="B7558" t="s">
        <v>2272</v>
      </c>
      <c r="C7558">
        <v>962</v>
      </c>
      <c r="D7558" t="s">
        <v>839</v>
      </c>
      <c r="E7558" t="s">
        <v>99</v>
      </c>
      <c r="F7558" t="s">
        <v>598</v>
      </c>
      <c r="G7558" t="s">
        <v>207</v>
      </c>
    </row>
    <row r="7559" spans="1:7" x14ac:dyDescent="0.3">
      <c r="A7559" t="s">
        <v>35</v>
      </c>
      <c r="B7559" t="s">
        <v>2273</v>
      </c>
      <c r="C7559">
        <v>941</v>
      </c>
      <c r="D7559" t="s">
        <v>698</v>
      </c>
      <c r="E7559" t="s">
        <v>198</v>
      </c>
      <c r="F7559" t="s">
        <v>1237</v>
      </c>
      <c r="G7559" t="s">
        <v>104</v>
      </c>
    </row>
    <row r="7560" spans="1:7" x14ac:dyDescent="0.3">
      <c r="A7560" t="s">
        <v>35</v>
      </c>
      <c r="B7560" t="s">
        <v>976</v>
      </c>
      <c r="C7560">
        <v>290</v>
      </c>
      <c r="D7560" t="s">
        <v>915</v>
      </c>
      <c r="E7560" t="s">
        <v>99</v>
      </c>
      <c r="F7560" t="s">
        <v>224</v>
      </c>
      <c r="G7560" t="s">
        <v>207</v>
      </c>
    </row>
    <row r="7561" spans="1:7" x14ac:dyDescent="0.3">
      <c r="A7561" t="s">
        <v>35</v>
      </c>
      <c r="B7561" t="s">
        <v>2274</v>
      </c>
      <c r="C7561">
        <v>249</v>
      </c>
      <c r="D7561" t="s">
        <v>625</v>
      </c>
      <c r="E7561" t="s">
        <v>316</v>
      </c>
      <c r="F7561" t="s">
        <v>553</v>
      </c>
      <c r="G7561" t="s">
        <v>136</v>
      </c>
    </row>
    <row r="7562" spans="1:7" x14ac:dyDescent="0.3">
      <c r="A7562" t="s">
        <v>35</v>
      </c>
      <c r="B7562" t="s">
        <v>2275</v>
      </c>
      <c r="C7562">
        <v>201</v>
      </c>
      <c r="D7562" t="s">
        <v>551</v>
      </c>
      <c r="E7562" t="s">
        <v>198</v>
      </c>
      <c r="F7562" t="s">
        <v>1704</v>
      </c>
      <c r="G7562" t="s">
        <v>99</v>
      </c>
    </row>
    <row r="7563" spans="1:7" x14ac:dyDescent="0.3">
      <c r="A7563" t="s">
        <v>35</v>
      </c>
      <c r="B7563" t="s">
        <v>2276</v>
      </c>
      <c r="C7563">
        <v>213</v>
      </c>
      <c r="D7563" t="s">
        <v>239</v>
      </c>
      <c r="E7563" t="s">
        <v>99</v>
      </c>
      <c r="F7563" t="s">
        <v>1045</v>
      </c>
      <c r="G7563" t="s">
        <v>253</v>
      </c>
    </row>
    <row r="7564" spans="1:7" x14ac:dyDescent="0.3">
      <c r="A7564" t="s">
        <v>35</v>
      </c>
      <c r="B7564" t="s">
        <v>2277</v>
      </c>
      <c r="C7564">
        <v>1193</v>
      </c>
      <c r="D7564" t="s">
        <v>627</v>
      </c>
      <c r="E7564" t="s">
        <v>141</v>
      </c>
      <c r="F7564" t="s">
        <v>920</v>
      </c>
      <c r="G7564" t="s">
        <v>198</v>
      </c>
    </row>
    <row r="7565" spans="1:7" x14ac:dyDescent="0.3">
      <c r="A7565" t="s">
        <v>35</v>
      </c>
      <c r="B7565" t="s">
        <v>2278</v>
      </c>
      <c r="C7565">
        <v>678</v>
      </c>
      <c r="D7565" t="s">
        <v>1182</v>
      </c>
      <c r="E7565" t="s">
        <v>99</v>
      </c>
      <c r="F7565" t="s">
        <v>1112</v>
      </c>
      <c r="G7565" t="s">
        <v>198</v>
      </c>
    </row>
    <row r="7566" spans="1:7" x14ac:dyDescent="0.3">
      <c r="A7566" t="s">
        <v>35</v>
      </c>
      <c r="B7566" t="s">
        <v>2279</v>
      </c>
      <c r="C7566">
        <v>536</v>
      </c>
      <c r="D7566" t="s">
        <v>1533</v>
      </c>
      <c r="E7566" t="s">
        <v>136</v>
      </c>
      <c r="F7566" t="s">
        <v>1178</v>
      </c>
      <c r="G7566" t="s">
        <v>99</v>
      </c>
    </row>
    <row r="7567" spans="1:7" x14ac:dyDescent="0.3">
      <c r="A7567" t="s">
        <v>35</v>
      </c>
      <c r="B7567" t="s">
        <v>365</v>
      </c>
      <c r="C7567">
        <v>37</v>
      </c>
      <c r="D7567" t="s">
        <v>941</v>
      </c>
      <c r="E7567" t="s">
        <v>534</v>
      </c>
      <c r="F7567" t="s">
        <v>246</v>
      </c>
      <c r="G7567" t="s">
        <v>99</v>
      </c>
    </row>
    <row r="7568" spans="1:7" x14ac:dyDescent="0.3">
      <c r="A7568" t="s">
        <v>37</v>
      </c>
      <c r="B7568" t="s">
        <v>973</v>
      </c>
      <c r="C7568">
        <v>363</v>
      </c>
      <c r="D7568" t="s">
        <v>1457</v>
      </c>
      <c r="E7568" t="s">
        <v>198</v>
      </c>
      <c r="F7568" t="s">
        <v>868</v>
      </c>
      <c r="G7568" t="s">
        <v>99</v>
      </c>
    </row>
    <row r="7569" spans="1:7" x14ac:dyDescent="0.3">
      <c r="A7569" t="s">
        <v>37</v>
      </c>
      <c r="B7569" t="s">
        <v>2268</v>
      </c>
      <c r="C7569">
        <v>382</v>
      </c>
      <c r="D7569" t="s">
        <v>2101</v>
      </c>
      <c r="E7569" t="s">
        <v>99</v>
      </c>
      <c r="F7569" t="s">
        <v>902</v>
      </c>
      <c r="G7569" t="s">
        <v>99</v>
      </c>
    </row>
    <row r="7570" spans="1:7" x14ac:dyDescent="0.3">
      <c r="A7570" t="s">
        <v>37</v>
      </c>
      <c r="B7570" t="s">
        <v>2269</v>
      </c>
      <c r="C7570">
        <v>286</v>
      </c>
      <c r="D7570" t="s">
        <v>936</v>
      </c>
      <c r="E7570" t="s">
        <v>99</v>
      </c>
      <c r="F7570" t="s">
        <v>1165</v>
      </c>
      <c r="G7570" t="s">
        <v>99</v>
      </c>
    </row>
    <row r="7571" spans="1:7" x14ac:dyDescent="0.3">
      <c r="A7571" t="s">
        <v>37</v>
      </c>
      <c r="B7571" t="s">
        <v>2270</v>
      </c>
      <c r="C7571">
        <v>433</v>
      </c>
      <c r="D7571" t="s">
        <v>1362</v>
      </c>
      <c r="E7571" t="s">
        <v>99</v>
      </c>
      <c r="F7571" t="s">
        <v>298</v>
      </c>
      <c r="G7571" t="s">
        <v>198</v>
      </c>
    </row>
    <row r="7572" spans="1:7" x14ac:dyDescent="0.3">
      <c r="A7572" t="s">
        <v>37</v>
      </c>
      <c r="B7572" t="s">
        <v>2271</v>
      </c>
      <c r="C7572">
        <v>1721</v>
      </c>
      <c r="D7572" t="s">
        <v>1469</v>
      </c>
      <c r="E7572" t="s">
        <v>99</v>
      </c>
      <c r="F7572" t="s">
        <v>1105</v>
      </c>
      <c r="G7572" t="s">
        <v>141</v>
      </c>
    </row>
    <row r="7573" spans="1:7" x14ac:dyDescent="0.3">
      <c r="A7573" t="s">
        <v>37</v>
      </c>
      <c r="B7573" t="s">
        <v>2272</v>
      </c>
      <c r="C7573">
        <v>1151</v>
      </c>
      <c r="D7573" t="s">
        <v>618</v>
      </c>
      <c r="E7573" t="s">
        <v>99</v>
      </c>
      <c r="F7573" t="s">
        <v>613</v>
      </c>
      <c r="G7573" t="s">
        <v>141</v>
      </c>
    </row>
    <row r="7574" spans="1:7" x14ac:dyDescent="0.3">
      <c r="A7574" t="s">
        <v>37</v>
      </c>
      <c r="B7574" t="s">
        <v>2273</v>
      </c>
      <c r="C7574">
        <v>1191</v>
      </c>
      <c r="D7574" t="s">
        <v>1326</v>
      </c>
      <c r="E7574" t="s">
        <v>99</v>
      </c>
      <c r="F7574" t="s">
        <v>1386</v>
      </c>
      <c r="G7574" t="s">
        <v>104</v>
      </c>
    </row>
    <row r="7575" spans="1:7" x14ac:dyDescent="0.3">
      <c r="A7575" t="s">
        <v>37</v>
      </c>
      <c r="B7575" t="s">
        <v>976</v>
      </c>
      <c r="C7575">
        <v>358</v>
      </c>
      <c r="D7575" t="s">
        <v>608</v>
      </c>
      <c r="E7575" t="s">
        <v>99</v>
      </c>
      <c r="F7575" t="s">
        <v>1045</v>
      </c>
      <c r="G7575" t="s">
        <v>108</v>
      </c>
    </row>
    <row r="7576" spans="1:7" x14ac:dyDescent="0.3">
      <c r="A7576" t="s">
        <v>37</v>
      </c>
      <c r="B7576" t="s">
        <v>2274</v>
      </c>
      <c r="C7576">
        <v>348</v>
      </c>
      <c r="D7576" t="s">
        <v>915</v>
      </c>
      <c r="E7576" t="s">
        <v>99</v>
      </c>
      <c r="F7576" t="s">
        <v>916</v>
      </c>
      <c r="G7576" t="s">
        <v>99</v>
      </c>
    </row>
    <row r="7577" spans="1:7" x14ac:dyDescent="0.3">
      <c r="A7577" t="s">
        <v>37</v>
      </c>
      <c r="B7577" t="s">
        <v>2275</v>
      </c>
      <c r="C7577">
        <v>289</v>
      </c>
      <c r="D7577" t="s">
        <v>965</v>
      </c>
      <c r="E7577" t="s">
        <v>99</v>
      </c>
      <c r="F7577" t="s">
        <v>589</v>
      </c>
      <c r="G7577" t="s">
        <v>99</v>
      </c>
    </row>
    <row r="7578" spans="1:7" x14ac:dyDescent="0.3">
      <c r="A7578" t="s">
        <v>37</v>
      </c>
      <c r="B7578" t="s">
        <v>2276</v>
      </c>
      <c r="C7578">
        <v>338</v>
      </c>
      <c r="D7578" t="s">
        <v>356</v>
      </c>
      <c r="E7578" t="s">
        <v>99</v>
      </c>
      <c r="F7578" t="s">
        <v>355</v>
      </c>
      <c r="G7578" t="s">
        <v>198</v>
      </c>
    </row>
    <row r="7579" spans="1:7" x14ac:dyDescent="0.3">
      <c r="A7579" t="s">
        <v>37</v>
      </c>
      <c r="B7579" t="s">
        <v>2277</v>
      </c>
      <c r="C7579">
        <v>1510</v>
      </c>
      <c r="D7579" t="s">
        <v>518</v>
      </c>
      <c r="E7579" t="s">
        <v>104</v>
      </c>
      <c r="F7579" t="s">
        <v>894</v>
      </c>
      <c r="G7579" t="s">
        <v>136</v>
      </c>
    </row>
    <row r="7580" spans="1:7" x14ac:dyDescent="0.3">
      <c r="A7580" t="s">
        <v>37</v>
      </c>
      <c r="B7580" t="s">
        <v>2278</v>
      </c>
      <c r="C7580">
        <v>945</v>
      </c>
      <c r="D7580" t="s">
        <v>1100</v>
      </c>
      <c r="E7580" t="s">
        <v>198</v>
      </c>
      <c r="F7580" t="s">
        <v>1148</v>
      </c>
      <c r="G7580" t="s">
        <v>104</v>
      </c>
    </row>
    <row r="7581" spans="1:7" x14ac:dyDescent="0.3">
      <c r="A7581" t="s">
        <v>37</v>
      </c>
      <c r="B7581" t="s">
        <v>2279</v>
      </c>
      <c r="C7581">
        <v>731</v>
      </c>
      <c r="D7581" t="s">
        <v>228</v>
      </c>
      <c r="E7581" t="s">
        <v>104</v>
      </c>
      <c r="F7581" t="s">
        <v>936</v>
      </c>
      <c r="G7581" t="s">
        <v>99</v>
      </c>
    </row>
    <row r="7582" spans="1:7" x14ac:dyDescent="0.3">
      <c r="A7582" t="s">
        <v>37</v>
      </c>
      <c r="B7582" t="s">
        <v>365</v>
      </c>
      <c r="C7582">
        <v>13</v>
      </c>
      <c r="D7582" t="s">
        <v>375</v>
      </c>
      <c r="E7582" t="s">
        <v>99</v>
      </c>
      <c r="F7582" t="s">
        <v>242</v>
      </c>
      <c r="G7582" t="s">
        <v>99</v>
      </c>
    </row>
    <row r="7583" spans="1:7" x14ac:dyDescent="0.3">
      <c r="A7583" t="s">
        <v>36</v>
      </c>
      <c r="B7583" t="s">
        <v>973</v>
      </c>
      <c r="C7583">
        <v>260</v>
      </c>
      <c r="D7583" t="s">
        <v>873</v>
      </c>
      <c r="E7583" t="s">
        <v>99</v>
      </c>
      <c r="F7583" t="s">
        <v>716</v>
      </c>
      <c r="G7583" t="s">
        <v>99</v>
      </c>
    </row>
    <row r="7584" spans="1:7" x14ac:dyDescent="0.3">
      <c r="A7584" t="s">
        <v>36</v>
      </c>
      <c r="B7584" t="s">
        <v>2268</v>
      </c>
      <c r="C7584">
        <v>251</v>
      </c>
      <c r="D7584" t="s">
        <v>261</v>
      </c>
      <c r="E7584" t="s">
        <v>99</v>
      </c>
      <c r="F7584" t="s">
        <v>683</v>
      </c>
      <c r="G7584" t="s">
        <v>99</v>
      </c>
    </row>
    <row r="7585" spans="1:7" x14ac:dyDescent="0.3">
      <c r="A7585" t="s">
        <v>36</v>
      </c>
      <c r="B7585" t="s">
        <v>2269</v>
      </c>
      <c r="C7585">
        <v>184</v>
      </c>
      <c r="D7585" t="s">
        <v>1153</v>
      </c>
      <c r="E7585" t="s">
        <v>99</v>
      </c>
      <c r="F7585" t="s">
        <v>934</v>
      </c>
      <c r="G7585" t="s">
        <v>99</v>
      </c>
    </row>
    <row r="7586" spans="1:7" x14ac:dyDescent="0.3">
      <c r="A7586" t="s">
        <v>36</v>
      </c>
      <c r="B7586" t="s">
        <v>2270</v>
      </c>
      <c r="C7586">
        <v>217</v>
      </c>
      <c r="D7586" t="s">
        <v>518</v>
      </c>
      <c r="E7586" t="s">
        <v>99</v>
      </c>
      <c r="F7586" t="s">
        <v>529</v>
      </c>
      <c r="G7586" t="s">
        <v>207</v>
      </c>
    </row>
    <row r="7587" spans="1:7" x14ac:dyDescent="0.3">
      <c r="A7587" t="s">
        <v>36</v>
      </c>
      <c r="B7587" t="s">
        <v>2271</v>
      </c>
      <c r="C7587">
        <v>1115</v>
      </c>
      <c r="D7587" t="s">
        <v>526</v>
      </c>
      <c r="E7587" t="s">
        <v>99</v>
      </c>
      <c r="F7587" t="s">
        <v>485</v>
      </c>
      <c r="G7587" t="s">
        <v>136</v>
      </c>
    </row>
    <row r="7588" spans="1:7" x14ac:dyDescent="0.3">
      <c r="A7588" t="s">
        <v>36</v>
      </c>
      <c r="B7588" t="s">
        <v>2272</v>
      </c>
      <c r="C7588">
        <v>741</v>
      </c>
      <c r="D7588" t="s">
        <v>616</v>
      </c>
      <c r="E7588" t="s">
        <v>99</v>
      </c>
      <c r="F7588" t="s">
        <v>1149</v>
      </c>
      <c r="G7588" t="s">
        <v>207</v>
      </c>
    </row>
    <row r="7589" spans="1:7" x14ac:dyDescent="0.3">
      <c r="A7589" t="s">
        <v>36</v>
      </c>
      <c r="B7589" t="s">
        <v>2273</v>
      </c>
      <c r="C7589">
        <v>614</v>
      </c>
      <c r="D7589" t="s">
        <v>1570</v>
      </c>
      <c r="E7589" t="s">
        <v>99</v>
      </c>
      <c r="F7589" t="s">
        <v>1002</v>
      </c>
      <c r="G7589" t="s">
        <v>207</v>
      </c>
    </row>
    <row r="7590" spans="1:7" x14ac:dyDescent="0.3">
      <c r="A7590" t="s">
        <v>36</v>
      </c>
      <c r="B7590" t="s">
        <v>976</v>
      </c>
      <c r="C7590">
        <v>244</v>
      </c>
      <c r="D7590" t="s">
        <v>1080</v>
      </c>
      <c r="E7590" t="s">
        <v>99</v>
      </c>
      <c r="F7590" t="s">
        <v>732</v>
      </c>
      <c r="G7590" t="s">
        <v>99</v>
      </c>
    </row>
    <row r="7591" spans="1:7" x14ac:dyDescent="0.3">
      <c r="A7591" t="s">
        <v>36</v>
      </c>
      <c r="B7591" t="s">
        <v>2274</v>
      </c>
      <c r="C7591">
        <v>240</v>
      </c>
      <c r="D7591" t="s">
        <v>985</v>
      </c>
      <c r="E7591" t="s">
        <v>99</v>
      </c>
      <c r="F7591" t="s">
        <v>724</v>
      </c>
      <c r="G7591" t="s">
        <v>99</v>
      </c>
    </row>
    <row r="7592" spans="1:7" x14ac:dyDescent="0.3">
      <c r="A7592" t="s">
        <v>36</v>
      </c>
      <c r="B7592" t="s">
        <v>2275</v>
      </c>
      <c r="C7592">
        <v>179</v>
      </c>
      <c r="D7592" t="s">
        <v>926</v>
      </c>
      <c r="E7592" t="s">
        <v>99</v>
      </c>
      <c r="F7592" t="s">
        <v>1185</v>
      </c>
      <c r="G7592" t="s">
        <v>99</v>
      </c>
    </row>
    <row r="7593" spans="1:7" x14ac:dyDescent="0.3">
      <c r="A7593" t="s">
        <v>36</v>
      </c>
      <c r="B7593" t="s">
        <v>2276</v>
      </c>
      <c r="C7593">
        <v>171</v>
      </c>
      <c r="D7593" t="s">
        <v>462</v>
      </c>
      <c r="E7593" t="s">
        <v>99</v>
      </c>
      <c r="F7593" t="s">
        <v>463</v>
      </c>
      <c r="G7593" t="s">
        <v>104</v>
      </c>
    </row>
    <row r="7594" spans="1:7" x14ac:dyDescent="0.3">
      <c r="A7594" t="s">
        <v>36</v>
      </c>
      <c r="B7594" t="s">
        <v>2277</v>
      </c>
      <c r="C7594">
        <v>834</v>
      </c>
      <c r="D7594" t="s">
        <v>259</v>
      </c>
      <c r="E7594" t="s">
        <v>99</v>
      </c>
      <c r="F7594" t="s">
        <v>749</v>
      </c>
      <c r="G7594" t="s">
        <v>99</v>
      </c>
    </row>
    <row r="7595" spans="1:7" x14ac:dyDescent="0.3">
      <c r="A7595" t="s">
        <v>36</v>
      </c>
      <c r="B7595" t="s">
        <v>2278</v>
      </c>
      <c r="C7595">
        <v>534</v>
      </c>
      <c r="D7595" t="s">
        <v>1650</v>
      </c>
      <c r="E7595" t="s">
        <v>136</v>
      </c>
      <c r="F7595" t="s">
        <v>459</v>
      </c>
      <c r="G7595" t="s">
        <v>99</v>
      </c>
    </row>
    <row r="7596" spans="1:7" x14ac:dyDescent="0.3">
      <c r="A7596" t="s">
        <v>36</v>
      </c>
      <c r="B7596" t="s">
        <v>2279</v>
      </c>
      <c r="C7596">
        <v>397</v>
      </c>
      <c r="D7596" t="s">
        <v>2132</v>
      </c>
      <c r="E7596" t="s">
        <v>99</v>
      </c>
      <c r="F7596" t="s">
        <v>1149</v>
      </c>
      <c r="G7596" t="s">
        <v>99</v>
      </c>
    </row>
    <row r="7597" spans="1:7" x14ac:dyDescent="0.3">
      <c r="A7597" t="s">
        <v>36</v>
      </c>
      <c r="B7597" t="s">
        <v>365</v>
      </c>
      <c r="C7597">
        <v>26</v>
      </c>
      <c r="D7597" t="s">
        <v>725</v>
      </c>
      <c r="E7597" t="s">
        <v>147</v>
      </c>
      <c r="F7597" t="s">
        <v>550</v>
      </c>
      <c r="G7597" t="s">
        <v>126</v>
      </c>
    </row>
    <row r="7598" spans="1:7" x14ac:dyDescent="0.3">
      <c r="A7598" t="s">
        <v>34</v>
      </c>
      <c r="B7598" t="s">
        <v>973</v>
      </c>
      <c r="C7598">
        <v>210</v>
      </c>
      <c r="D7598" t="s">
        <v>1060</v>
      </c>
      <c r="E7598" t="s">
        <v>99</v>
      </c>
      <c r="F7598" t="s">
        <v>534</v>
      </c>
      <c r="G7598" t="s">
        <v>99</v>
      </c>
    </row>
    <row r="7599" spans="1:7" x14ac:dyDescent="0.3">
      <c r="A7599" t="s">
        <v>34</v>
      </c>
      <c r="B7599" t="s">
        <v>2268</v>
      </c>
      <c r="C7599">
        <v>164</v>
      </c>
      <c r="D7599" t="s">
        <v>1100</v>
      </c>
      <c r="E7599" t="s">
        <v>198</v>
      </c>
      <c r="F7599" t="s">
        <v>1148</v>
      </c>
      <c r="G7599" t="s">
        <v>99</v>
      </c>
    </row>
    <row r="7600" spans="1:7" x14ac:dyDescent="0.3">
      <c r="A7600" t="s">
        <v>34</v>
      </c>
      <c r="B7600" t="s">
        <v>2269</v>
      </c>
      <c r="C7600">
        <v>121</v>
      </c>
      <c r="D7600" t="s">
        <v>1111</v>
      </c>
      <c r="E7600" t="s">
        <v>99</v>
      </c>
      <c r="F7600" t="s">
        <v>913</v>
      </c>
      <c r="G7600" t="s">
        <v>99</v>
      </c>
    </row>
    <row r="7601" spans="1:7" x14ac:dyDescent="0.3">
      <c r="A7601" t="s">
        <v>34</v>
      </c>
      <c r="B7601" t="s">
        <v>2270</v>
      </c>
      <c r="C7601">
        <v>137</v>
      </c>
      <c r="D7601" t="s">
        <v>53</v>
      </c>
      <c r="E7601" t="s">
        <v>99</v>
      </c>
      <c r="F7601" t="s">
        <v>54</v>
      </c>
      <c r="G7601" t="s">
        <v>99</v>
      </c>
    </row>
    <row r="7602" spans="1:7" x14ac:dyDescent="0.3">
      <c r="A7602" t="s">
        <v>34</v>
      </c>
      <c r="B7602" t="s">
        <v>2271</v>
      </c>
      <c r="C7602">
        <v>893</v>
      </c>
      <c r="D7602" t="s">
        <v>1474</v>
      </c>
      <c r="E7602" t="s">
        <v>136</v>
      </c>
      <c r="F7602" t="s">
        <v>1148</v>
      </c>
      <c r="G7602" t="s">
        <v>207</v>
      </c>
    </row>
    <row r="7603" spans="1:7" x14ac:dyDescent="0.3">
      <c r="A7603" t="s">
        <v>34</v>
      </c>
      <c r="B7603" t="s">
        <v>2272</v>
      </c>
      <c r="C7603">
        <v>646</v>
      </c>
      <c r="D7603" t="s">
        <v>1006</v>
      </c>
      <c r="E7603" t="s">
        <v>132</v>
      </c>
      <c r="F7603" t="s">
        <v>613</v>
      </c>
      <c r="G7603" t="s">
        <v>136</v>
      </c>
    </row>
    <row r="7604" spans="1:7" x14ac:dyDescent="0.3">
      <c r="A7604" t="s">
        <v>34</v>
      </c>
      <c r="B7604" t="s">
        <v>2273</v>
      </c>
      <c r="C7604">
        <v>629</v>
      </c>
      <c r="D7604" t="s">
        <v>896</v>
      </c>
      <c r="E7604" t="s">
        <v>198</v>
      </c>
      <c r="F7604" t="s">
        <v>837</v>
      </c>
      <c r="G7604" t="s">
        <v>99</v>
      </c>
    </row>
    <row r="7605" spans="1:7" x14ac:dyDescent="0.3">
      <c r="A7605" t="s">
        <v>34</v>
      </c>
      <c r="B7605" t="s">
        <v>976</v>
      </c>
      <c r="C7605">
        <v>194</v>
      </c>
      <c r="D7605" t="s">
        <v>939</v>
      </c>
      <c r="E7605" t="s">
        <v>99</v>
      </c>
      <c r="F7605" t="s">
        <v>959</v>
      </c>
      <c r="G7605" t="s">
        <v>99</v>
      </c>
    </row>
    <row r="7606" spans="1:7" x14ac:dyDescent="0.3">
      <c r="A7606" t="s">
        <v>34</v>
      </c>
      <c r="B7606" t="s">
        <v>2274</v>
      </c>
      <c r="C7606">
        <v>164</v>
      </c>
      <c r="D7606" t="s">
        <v>617</v>
      </c>
      <c r="E7606" t="s">
        <v>99</v>
      </c>
      <c r="F7606" t="s">
        <v>713</v>
      </c>
      <c r="G7606" t="s">
        <v>126</v>
      </c>
    </row>
    <row r="7607" spans="1:7" x14ac:dyDescent="0.3">
      <c r="A7607" t="s">
        <v>34</v>
      </c>
      <c r="B7607" t="s">
        <v>2275</v>
      </c>
      <c r="C7607">
        <v>108</v>
      </c>
      <c r="D7607" t="s">
        <v>1256</v>
      </c>
      <c r="E7607" t="s">
        <v>99</v>
      </c>
      <c r="F7607" t="s">
        <v>1058</v>
      </c>
      <c r="G7607" t="s">
        <v>99</v>
      </c>
    </row>
    <row r="7608" spans="1:7" x14ac:dyDescent="0.3">
      <c r="A7608" t="s">
        <v>34</v>
      </c>
      <c r="B7608" t="s">
        <v>2276</v>
      </c>
      <c r="C7608">
        <v>118</v>
      </c>
      <c r="D7608" t="s">
        <v>1333</v>
      </c>
      <c r="E7608" t="s">
        <v>99</v>
      </c>
      <c r="F7608" t="s">
        <v>1008</v>
      </c>
      <c r="G7608" t="s">
        <v>215</v>
      </c>
    </row>
    <row r="7609" spans="1:7" x14ac:dyDescent="0.3">
      <c r="A7609" t="s">
        <v>34</v>
      </c>
      <c r="B7609" t="s">
        <v>2277</v>
      </c>
      <c r="C7609">
        <v>667</v>
      </c>
      <c r="D7609" t="s">
        <v>1001</v>
      </c>
      <c r="E7609" t="s">
        <v>136</v>
      </c>
      <c r="F7609" t="s">
        <v>666</v>
      </c>
      <c r="G7609" t="s">
        <v>136</v>
      </c>
    </row>
    <row r="7610" spans="1:7" x14ac:dyDescent="0.3">
      <c r="A7610" t="s">
        <v>34</v>
      </c>
      <c r="B7610" t="s">
        <v>2278</v>
      </c>
      <c r="C7610">
        <v>454</v>
      </c>
      <c r="D7610" t="s">
        <v>279</v>
      </c>
      <c r="E7610" t="s">
        <v>99</v>
      </c>
      <c r="F7610" t="s">
        <v>2115</v>
      </c>
      <c r="G7610" t="s">
        <v>115</v>
      </c>
    </row>
    <row r="7611" spans="1:7" x14ac:dyDescent="0.3">
      <c r="A7611" t="s">
        <v>34</v>
      </c>
      <c r="B7611" t="s">
        <v>2279</v>
      </c>
      <c r="C7611">
        <v>378</v>
      </c>
      <c r="D7611" t="s">
        <v>900</v>
      </c>
      <c r="E7611" t="s">
        <v>207</v>
      </c>
      <c r="F7611" t="s">
        <v>862</v>
      </c>
      <c r="G7611" t="s">
        <v>99</v>
      </c>
    </row>
    <row r="7612" spans="1:7" x14ac:dyDescent="0.3">
      <c r="A7612" t="s">
        <v>34</v>
      </c>
      <c r="B7612" t="s">
        <v>365</v>
      </c>
      <c r="C7612">
        <v>33</v>
      </c>
      <c r="D7612" t="s">
        <v>494</v>
      </c>
      <c r="E7612" t="s">
        <v>99</v>
      </c>
      <c r="F7612" t="s">
        <v>116</v>
      </c>
      <c r="G7612" t="s">
        <v>99</v>
      </c>
    </row>
    <row r="7613" spans="1:7" x14ac:dyDescent="0.3">
      <c r="A7613" t="s">
        <v>33</v>
      </c>
      <c r="B7613" t="s">
        <v>973</v>
      </c>
      <c r="C7613">
        <v>168</v>
      </c>
      <c r="D7613" t="s">
        <v>1027</v>
      </c>
      <c r="E7613" t="s">
        <v>382</v>
      </c>
      <c r="F7613" t="s">
        <v>106</v>
      </c>
      <c r="G7613" t="s">
        <v>99</v>
      </c>
    </row>
    <row r="7614" spans="1:7" x14ac:dyDescent="0.3">
      <c r="A7614" t="s">
        <v>33</v>
      </c>
      <c r="B7614" t="s">
        <v>2268</v>
      </c>
      <c r="C7614">
        <v>143</v>
      </c>
      <c r="D7614" t="s">
        <v>644</v>
      </c>
      <c r="E7614" t="s">
        <v>99</v>
      </c>
      <c r="F7614" t="s">
        <v>856</v>
      </c>
      <c r="G7614" t="s">
        <v>99</v>
      </c>
    </row>
    <row r="7615" spans="1:7" x14ac:dyDescent="0.3">
      <c r="A7615" t="s">
        <v>33</v>
      </c>
      <c r="B7615" t="s">
        <v>2269</v>
      </c>
      <c r="C7615">
        <v>104</v>
      </c>
      <c r="D7615" t="s">
        <v>102</v>
      </c>
      <c r="E7615" t="s">
        <v>99</v>
      </c>
      <c r="F7615" t="s">
        <v>2120</v>
      </c>
      <c r="G7615" t="s">
        <v>99</v>
      </c>
    </row>
    <row r="7616" spans="1:7" x14ac:dyDescent="0.3">
      <c r="A7616" t="s">
        <v>33</v>
      </c>
      <c r="B7616" t="s">
        <v>2270</v>
      </c>
      <c r="C7616">
        <v>168</v>
      </c>
      <c r="D7616" t="s">
        <v>586</v>
      </c>
      <c r="E7616" t="s">
        <v>99</v>
      </c>
      <c r="F7616" t="s">
        <v>148</v>
      </c>
      <c r="G7616" t="s">
        <v>99</v>
      </c>
    </row>
    <row r="7617" spans="1:7" x14ac:dyDescent="0.3">
      <c r="A7617" t="s">
        <v>33</v>
      </c>
      <c r="B7617" t="s">
        <v>2271</v>
      </c>
      <c r="C7617">
        <v>860</v>
      </c>
      <c r="D7617" t="s">
        <v>546</v>
      </c>
      <c r="E7617" t="s">
        <v>104</v>
      </c>
      <c r="F7617" t="s">
        <v>667</v>
      </c>
      <c r="G7617" t="s">
        <v>104</v>
      </c>
    </row>
    <row r="7618" spans="1:7" x14ac:dyDescent="0.3">
      <c r="A7618" t="s">
        <v>33</v>
      </c>
      <c r="B7618" t="s">
        <v>2272</v>
      </c>
      <c r="C7618">
        <v>556</v>
      </c>
      <c r="D7618" t="s">
        <v>904</v>
      </c>
      <c r="E7618" t="s">
        <v>198</v>
      </c>
      <c r="F7618" t="s">
        <v>957</v>
      </c>
      <c r="G7618" t="s">
        <v>207</v>
      </c>
    </row>
    <row r="7619" spans="1:7" x14ac:dyDescent="0.3">
      <c r="A7619" t="s">
        <v>33</v>
      </c>
      <c r="B7619" t="s">
        <v>2273</v>
      </c>
      <c r="C7619">
        <v>547</v>
      </c>
      <c r="D7619" t="s">
        <v>609</v>
      </c>
      <c r="E7619" t="s">
        <v>99</v>
      </c>
      <c r="F7619" t="s">
        <v>563</v>
      </c>
      <c r="G7619" t="s">
        <v>99</v>
      </c>
    </row>
    <row r="7620" spans="1:7" x14ac:dyDescent="0.3">
      <c r="A7620" t="s">
        <v>33</v>
      </c>
      <c r="B7620" t="s">
        <v>976</v>
      </c>
      <c r="C7620">
        <v>147</v>
      </c>
      <c r="D7620" t="s">
        <v>917</v>
      </c>
      <c r="E7620" t="s">
        <v>99</v>
      </c>
      <c r="F7620" t="s">
        <v>1154</v>
      </c>
      <c r="G7620" t="s">
        <v>99</v>
      </c>
    </row>
    <row r="7621" spans="1:7" x14ac:dyDescent="0.3">
      <c r="A7621" t="s">
        <v>33</v>
      </c>
      <c r="B7621" t="s">
        <v>2274</v>
      </c>
      <c r="C7621">
        <v>146</v>
      </c>
      <c r="D7621" t="s">
        <v>2101</v>
      </c>
      <c r="E7621" t="s">
        <v>132</v>
      </c>
      <c r="F7621" t="s">
        <v>695</v>
      </c>
      <c r="G7621" t="s">
        <v>99</v>
      </c>
    </row>
    <row r="7622" spans="1:7" x14ac:dyDescent="0.3">
      <c r="A7622" t="s">
        <v>33</v>
      </c>
      <c r="B7622" t="s">
        <v>2275</v>
      </c>
      <c r="C7622">
        <v>110</v>
      </c>
      <c r="D7622" t="s">
        <v>817</v>
      </c>
      <c r="E7622" t="s">
        <v>99</v>
      </c>
      <c r="F7622" t="s">
        <v>951</v>
      </c>
      <c r="G7622" t="s">
        <v>99</v>
      </c>
    </row>
    <row r="7623" spans="1:7" x14ac:dyDescent="0.3">
      <c r="A7623" t="s">
        <v>33</v>
      </c>
      <c r="B7623" t="s">
        <v>2276</v>
      </c>
      <c r="C7623">
        <v>134</v>
      </c>
      <c r="D7623" t="s">
        <v>500</v>
      </c>
      <c r="E7623" t="s">
        <v>99</v>
      </c>
      <c r="F7623" t="s">
        <v>197</v>
      </c>
      <c r="G7623" t="s">
        <v>319</v>
      </c>
    </row>
    <row r="7624" spans="1:7" x14ac:dyDescent="0.3">
      <c r="A7624" t="s">
        <v>33</v>
      </c>
      <c r="B7624" t="s">
        <v>2277</v>
      </c>
      <c r="C7624">
        <v>712</v>
      </c>
      <c r="D7624" t="s">
        <v>869</v>
      </c>
      <c r="E7624" t="s">
        <v>198</v>
      </c>
      <c r="F7624" t="s">
        <v>860</v>
      </c>
      <c r="G7624" t="s">
        <v>104</v>
      </c>
    </row>
    <row r="7625" spans="1:7" x14ac:dyDescent="0.3">
      <c r="A7625" t="s">
        <v>33</v>
      </c>
      <c r="B7625" t="s">
        <v>2278</v>
      </c>
      <c r="C7625">
        <v>423</v>
      </c>
      <c r="D7625" t="s">
        <v>1650</v>
      </c>
      <c r="E7625" t="s">
        <v>99</v>
      </c>
      <c r="F7625" t="s">
        <v>822</v>
      </c>
      <c r="G7625" t="s">
        <v>198</v>
      </c>
    </row>
    <row r="7626" spans="1:7" x14ac:dyDescent="0.3">
      <c r="A7626" t="s">
        <v>33</v>
      </c>
      <c r="B7626" t="s">
        <v>2279</v>
      </c>
      <c r="C7626">
        <v>355</v>
      </c>
      <c r="D7626" t="s">
        <v>616</v>
      </c>
      <c r="E7626" t="s">
        <v>99</v>
      </c>
      <c r="F7626" t="s">
        <v>938</v>
      </c>
      <c r="G7626" t="s">
        <v>99</v>
      </c>
    </row>
    <row r="7627" spans="1:7" x14ac:dyDescent="0.3">
      <c r="A7627" t="s">
        <v>33</v>
      </c>
      <c r="B7627" t="s">
        <v>365</v>
      </c>
      <c r="C7627">
        <v>3</v>
      </c>
      <c r="D7627" t="s">
        <v>949</v>
      </c>
      <c r="E7627" t="s">
        <v>99</v>
      </c>
      <c r="F7627" t="s">
        <v>929</v>
      </c>
      <c r="G7627" t="s">
        <v>99</v>
      </c>
    </row>
    <row r="7628" spans="1:7" x14ac:dyDescent="0.3">
      <c r="A7628" t="s">
        <v>49</v>
      </c>
      <c r="B7628" t="s">
        <v>973</v>
      </c>
      <c r="C7628">
        <v>1275</v>
      </c>
      <c r="D7628" t="s">
        <v>985</v>
      </c>
      <c r="E7628" t="s">
        <v>136</v>
      </c>
      <c r="F7628" t="s">
        <v>868</v>
      </c>
      <c r="G7628" t="s">
        <v>99</v>
      </c>
    </row>
    <row r="7629" spans="1:7" x14ac:dyDescent="0.3">
      <c r="A7629" t="s">
        <v>49</v>
      </c>
      <c r="B7629" t="s">
        <v>2268</v>
      </c>
      <c r="C7629">
        <v>1222</v>
      </c>
      <c r="D7629" t="s">
        <v>819</v>
      </c>
      <c r="E7629" t="s">
        <v>99</v>
      </c>
      <c r="F7629" t="s">
        <v>1415</v>
      </c>
      <c r="G7629" t="s">
        <v>104</v>
      </c>
    </row>
    <row r="7630" spans="1:7" x14ac:dyDescent="0.3">
      <c r="A7630" t="s">
        <v>49</v>
      </c>
      <c r="B7630" t="s">
        <v>2269</v>
      </c>
      <c r="C7630">
        <v>894</v>
      </c>
      <c r="D7630" t="s">
        <v>957</v>
      </c>
      <c r="E7630" t="s">
        <v>99</v>
      </c>
      <c r="F7630" t="s">
        <v>1002</v>
      </c>
      <c r="G7630" t="s">
        <v>99</v>
      </c>
    </row>
    <row r="7631" spans="1:7" x14ac:dyDescent="0.3">
      <c r="A7631" t="s">
        <v>49</v>
      </c>
      <c r="B7631" t="s">
        <v>2270</v>
      </c>
      <c r="C7631">
        <v>1220</v>
      </c>
      <c r="D7631" t="s">
        <v>767</v>
      </c>
      <c r="E7631" t="s">
        <v>198</v>
      </c>
      <c r="F7631" t="s">
        <v>246</v>
      </c>
      <c r="G7631" t="s">
        <v>104</v>
      </c>
    </row>
    <row r="7632" spans="1:7" x14ac:dyDescent="0.3">
      <c r="A7632" t="s">
        <v>49</v>
      </c>
      <c r="B7632" t="s">
        <v>2271</v>
      </c>
      <c r="C7632">
        <v>5994</v>
      </c>
      <c r="D7632" t="s">
        <v>1327</v>
      </c>
      <c r="E7632" t="s">
        <v>207</v>
      </c>
      <c r="F7632" t="s">
        <v>545</v>
      </c>
      <c r="G7632" t="s">
        <v>136</v>
      </c>
    </row>
    <row r="7633" spans="1:7" x14ac:dyDescent="0.3">
      <c r="A7633" t="s">
        <v>49</v>
      </c>
      <c r="B7633" t="s">
        <v>2272</v>
      </c>
      <c r="C7633">
        <v>4056</v>
      </c>
      <c r="D7633" t="s">
        <v>1049</v>
      </c>
      <c r="E7633" t="s">
        <v>198</v>
      </c>
      <c r="F7633" t="s">
        <v>227</v>
      </c>
      <c r="G7633" t="s">
        <v>207</v>
      </c>
    </row>
    <row r="7634" spans="1:7" x14ac:dyDescent="0.3">
      <c r="A7634" t="s">
        <v>49</v>
      </c>
      <c r="B7634" t="s">
        <v>2273</v>
      </c>
      <c r="C7634">
        <v>3922</v>
      </c>
      <c r="D7634" t="s">
        <v>793</v>
      </c>
      <c r="E7634" t="s">
        <v>104</v>
      </c>
      <c r="F7634" t="s">
        <v>904</v>
      </c>
      <c r="G7634" t="s">
        <v>104</v>
      </c>
    </row>
    <row r="7635" spans="1:7" x14ac:dyDescent="0.3">
      <c r="A7635" t="s">
        <v>49</v>
      </c>
      <c r="B7635" t="s">
        <v>976</v>
      </c>
      <c r="C7635">
        <v>1233</v>
      </c>
      <c r="D7635" t="s">
        <v>428</v>
      </c>
      <c r="E7635" t="s">
        <v>99</v>
      </c>
      <c r="F7635" t="s">
        <v>832</v>
      </c>
      <c r="G7635" t="s">
        <v>136</v>
      </c>
    </row>
    <row r="7636" spans="1:7" x14ac:dyDescent="0.3">
      <c r="A7636" t="s">
        <v>49</v>
      </c>
      <c r="B7636" t="s">
        <v>2274</v>
      </c>
      <c r="C7636">
        <v>1147</v>
      </c>
      <c r="D7636" t="s">
        <v>994</v>
      </c>
      <c r="E7636" t="s">
        <v>132</v>
      </c>
      <c r="F7636" t="s">
        <v>729</v>
      </c>
      <c r="G7636" t="s">
        <v>136</v>
      </c>
    </row>
    <row r="7637" spans="1:7" x14ac:dyDescent="0.3">
      <c r="A7637" t="s">
        <v>49</v>
      </c>
      <c r="B7637" t="s">
        <v>2275</v>
      </c>
      <c r="C7637">
        <v>887</v>
      </c>
      <c r="D7637" t="s">
        <v>591</v>
      </c>
      <c r="E7637" t="s">
        <v>104</v>
      </c>
      <c r="F7637" t="s">
        <v>1061</v>
      </c>
      <c r="G7637" t="s">
        <v>99</v>
      </c>
    </row>
    <row r="7638" spans="1:7" x14ac:dyDescent="0.3">
      <c r="A7638" t="s">
        <v>49</v>
      </c>
      <c r="B7638" t="s">
        <v>2276</v>
      </c>
      <c r="C7638">
        <v>974</v>
      </c>
      <c r="D7638" t="s">
        <v>968</v>
      </c>
      <c r="E7638" t="s">
        <v>99</v>
      </c>
      <c r="F7638" t="s">
        <v>410</v>
      </c>
      <c r="G7638" t="s">
        <v>132</v>
      </c>
    </row>
    <row r="7639" spans="1:7" x14ac:dyDescent="0.3">
      <c r="A7639" t="s">
        <v>49</v>
      </c>
      <c r="B7639" t="s">
        <v>2277</v>
      </c>
      <c r="C7639">
        <v>4916</v>
      </c>
      <c r="D7639" t="s">
        <v>1056</v>
      </c>
      <c r="E7639" t="s">
        <v>207</v>
      </c>
      <c r="F7639" t="s">
        <v>1167</v>
      </c>
      <c r="G7639" t="s">
        <v>207</v>
      </c>
    </row>
    <row r="7640" spans="1:7" x14ac:dyDescent="0.3">
      <c r="A7640" t="s">
        <v>49</v>
      </c>
      <c r="B7640" t="s">
        <v>2278</v>
      </c>
      <c r="C7640">
        <v>3034</v>
      </c>
      <c r="D7640" t="s">
        <v>562</v>
      </c>
      <c r="E7640" t="s">
        <v>104</v>
      </c>
      <c r="F7640" t="s">
        <v>645</v>
      </c>
      <c r="G7640" t="s">
        <v>198</v>
      </c>
    </row>
    <row r="7641" spans="1:7" x14ac:dyDescent="0.3">
      <c r="A7641" t="s">
        <v>49</v>
      </c>
      <c r="B7641" t="s">
        <v>2279</v>
      </c>
      <c r="C7641">
        <v>2397</v>
      </c>
      <c r="D7641" t="s">
        <v>1497</v>
      </c>
      <c r="E7641" t="s">
        <v>198</v>
      </c>
      <c r="F7641" t="s">
        <v>936</v>
      </c>
      <c r="G7641" t="s">
        <v>99</v>
      </c>
    </row>
    <row r="7642" spans="1:7" x14ac:dyDescent="0.3">
      <c r="A7642" t="s">
        <v>49</v>
      </c>
      <c r="B7642" t="s">
        <v>365</v>
      </c>
      <c r="C7642">
        <v>112</v>
      </c>
      <c r="D7642" t="s">
        <v>825</v>
      </c>
      <c r="E7642" t="s">
        <v>461</v>
      </c>
      <c r="F7642" t="s">
        <v>347</v>
      </c>
      <c r="G7642" t="s">
        <v>104</v>
      </c>
    </row>
    <row r="7644" spans="1:7" x14ac:dyDescent="0.3">
      <c r="A7644" t="s">
        <v>2280</v>
      </c>
    </row>
    <row r="7645" spans="1:7" x14ac:dyDescent="0.3">
      <c r="A7645" t="s">
        <v>44</v>
      </c>
      <c r="B7645" t="s">
        <v>2281</v>
      </c>
      <c r="C7645" t="s">
        <v>32</v>
      </c>
      <c r="D7645" t="s">
        <v>66</v>
      </c>
      <c r="E7645" t="s">
        <v>67</v>
      </c>
      <c r="F7645" t="s">
        <v>352</v>
      </c>
      <c r="G7645" t="s">
        <v>193</v>
      </c>
    </row>
    <row r="7646" spans="1:7" x14ac:dyDescent="0.3">
      <c r="A7646" t="s">
        <v>35</v>
      </c>
      <c r="B7646" t="s">
        <v>2282</v>
      </c>
      <c r="C7646">
        <v>1067</v>
      </c>
      <c r="D7646" t="s">
        <v>810</v>
      </c>
      <c r="E7646" t="s">
        <v>1327</v>
      </c>
      <c r="F7646" t="s">
        <v>198</v>
      </c>
      <c r="G7646" t="s">
        <v>198</v>
      </c>
    </row>
    <row r="7647" spans="1:7" x14ac:dyDescent="0.3">
      <c r="A7647" t="s">
        <v>35</v>
      </c>
      <c r="B7647" t="s">
        <v>2283</v>
      </c>
      <c r="C7647">
        <v>6243</v>
      </c>
      <c r="D7647" t="s">
        <v>601</v>
      </c>
      <c r="E7647" t="s">
        <v>146</v>
      </c>
      <c r="F7647" t="s">
        <v>207</v>
      </c>
      <c r="G7647" t="s">
        <v>136</v>
      </c>
    </row>
    <row r="7648" spans="1:7" x14ac:dyDescent="0.3">
      <c r="A7648" t="s">
        <v>35</v>
      </c>
      <c r="B7648" t="s">
        <v>365</v>
      </c>
      <c r="C7648">
        <v>415</v>
      </c>
      <c r="D7648" t="s">
        <v>642</v>
      </c>
      <c r="E7648" t="s">
        <v>1061</v>
      </c>
      <c r="F7648" t="s">
        <v>99</v>
      </c>
      <c r="G7648" t="s">
        <v>105</v>
      </c>
    </row>
    <row r="7649" spans="1:7" x14ac:dyDescent="0.3">
      <c r="A7649" t="s">
        <v>37</v>
      </c>
      <c r="B7649" t="s">
        <v>2282</v>
      </c>
      <c r="C7649">
        <v>1323</v>
      </c>
      <c r="D7649" t="s">
        <v>913</v>
      </c>
      <c r="E7649" t="s">
        <v>1237</v>
      </c>
      <c r="F7649" t="s">
        <v>207</v>
      </c>
      <c r="G7649" t="s">
        <v>198</v>
      </c>
    </row>
    <row r="7650" spans="1:7" x14ac:dyDescent="0.3">
      <c r="A7650" t="s">
        <v>37</v>
      </c>
      <c r="B7650" t="s">
        <v>2283</v>
      </c>
      <c r="C7650">
        <v>8203</v>
      </c>
      <c r="D7650" t="s">
        <v>1162</v>
      </c>
      <c r="E7650" t="s">
        <v>349</v>
      </c>
      <c r="F7650" t="s">
        <v>207</v>
      </c>
      <c r="G7650" t="s">
        <v>99</v>
      </c>
    </row>
    <row r="7651" spans="1:7" x14ac:dyDescent="0.3">
      <c r="A7651" t="s">
        <v>37</v>
      </c>
      <c r="B7651" t="s">
        <v>365</v>
      </c>
      <c r="C7651">
        <v>533</v>
      </c>
      <c r="D7651" t="s">
        <v>1149</v>
      </c>
      <c r="E7651" t="s">
        <v>2132</v>
      </c>
      <c r="F7651" t="s">
        <v>99</v>
      </c>
      <c r="G7651" t="s">
        <v>99</v>
      </c>
    </row>
    <row r="7652" spans="1:7" x14ac:dyDescent="0.3">
      <c r="A7652" t="s">
        <v>36</v>
      </c>
      <c r="B7652" t="s">
        <v>2282</v>
      </c>
      <c r="C7652">
        <v>954</v>
      </c>
      <c r="D7652" t="s">
        <v>621</v>
      </c>
      <c r="E7652" t="s">
        <v>1215</v>
      </c>
      <c r="F7652" t="s">
        <v>99</v>
      </c>
      <c r="G7652" t="s">
        <v>198</v>
      </c>
    </row>
    <row r="7653" spans="1:7" x14ac:dyDescent="0.3">
      <c r="A7653" t="s">
        <v>36</v>
      </c>
      <c r="B7653" t="s">
        <v>2283</v>
      </c>
      <c r="C7653">
        <v>4630</v>
      </c>
      <c r="D7653" t="s">
        <v>1337</v>
      </c>
      <c r="E7653" t="s">
        <v>832</v>
      </c>
      <c r="F7653" t="s">
        <v>198</v>
      </c>
      <c r="G7653" t="s">
        <v>99</v>
      </c>
    </row>
    <row r="7654" spans="1:7" x14ac:dyDescent="0.3">
      <c r="A7654" t="s">
        <v>36</v>
      </c>
      <c r="B7654" t="s">
        <v>365</v>
      </c>
      <c r="C7654">
        <v>423</v>
      </c>
      <c r="D7654" t="s">
        <v>994</v>
      </c>
      <c r="E7654" t="s">
        <v>821</v>
      </c>
      <c r="F7654" t="s">
        <v>104</v>
      </c>
      <c r="G7654" t="s">
        <v>104</v>
      </c>
    </row>
    <row r="7655" spans="1:7" x14ac:dyDescent="0.3">
      <c r="A7655" t="s">
        <v>34</v>
      </c>
      <c r="B7655" t="s">
        <v>2282</v>
      </c>
      <c r="C7655">
        <v>692</v>
      </c>
      <c r="D7655" t="s">
        <v>946</v>
      </c>
      <c r="E7655" t="s">
        <v>1383</v>
      </c>
      <c r="F7655" t="s">
        <v>104</v>
      </c>
      <c r="G7655" t="s">
        <v>132</v>
      </c>
    </row>
    <row r="7656" spans="1:7" x14ac:dyDescent="0.3">
      <c r="A7656" t="s">
        <v>34</v>
      </c>
      <c r="B7656" t="s">
        <v>2283</v>
      </c>
      <c r="C7656">
        <v>3975</v>
      </c>
      <c r="D7656" t="s">
        <v>1144</v>
      </c>
      <c r="E7656" t="s">
        <v>545</v>
      </c>
      <c r="F7656" t="s">
        <v>136</v>
      </c>
      <c r="G7656" t="s">
        <v>198</v>
      </c>
    </row>
    <row r="7657" spans="1:7" x14ac:dyDescent="0.3">
      <c r="A7657" t="s">
        <v>34</v>
      </c>
      <c r="B7657" t="s">
        <v>365</v>
      </c>
      <c r="C7657">
        <v>249</v>
      </c>
      <c r="D7657" t="s">
        <v>1224</v>
      </c>
      <c r="E7657" t="s">
        <v>794</v>
      </c>
      <c r="F7657" t="s">
        <v>136</v>
      </c>
      <c r="G7657" t="s">
        <v>99</v>
      </c>
    </row>
    <row r="7658" spans="1:7" x14ac:dyDescent="0.3">
      <c r="A7658" t="s">
        <v>33</v>
      </c>
      <c r="B7658" t="s">
        <v>2282</v>
      </c>
      <c r="C7658">
        <v>591</v>
      </c>
      <c r="D7658" t="s">
        <v>102</v>
      </c>
      <c r="E7658" t="s">
        <v>2120</v>
      </c>
      <c r="F7658" t="s">
        <v>99</v>
      </c>
      <c r="G7658" t="s">
        <v>99</v>
      </c>
    </row>
    <row r="7659" spans="1:7" x14ac:dyDescent="0.3">
      <c r="A7659" t="s">
        <v>33</v>
      </c>
      <c r="B7659" t="s">
        <v>2283</v>
      </c>
      <c r="C7659">
        <v>3793</v>
      </c>
      <c r="D7659" t="s">
        <v>1001</v>
      </c>
      <c r="E7659" t="s">
        <v>344</v>
      </c>
      <c r="F7659" t="s">
        <v>198</v>
      </c>
      <c r="G7659" t="s">
        <v>198</v>
      </c>
    </row>
    <row r="7660" spans="1:7" x14ac:dyDescent="0.3">
      <c r="A7660" t="s">
        <v>33</v>
      </c>
      <c r="B7660" t="s">
        <v>365</v>
      </c>
      <c r="C7660">
        <v>192</v>
      </c>
      <c r="D7660" t="s">
        <v>636</v>
      </c>
      <c r="E7660" t="s">
        <v>637</v>
      </c>
      <c r="F7660" t="s">
        <v>99</v>
      </c>
      <c r="G7660" t="s">
        <v>99</v>
      </c>
    </row>
    <row r="7661" spans="1:7" x14ac:dyDescent="0.3">
      <c r="A7661" t="s">
        <v>49</v>
      </c>
      <c r="B7661" t="s">
        <v>2282</v>
      </c>
      <c r="C7661">
        <v>4627</v>
      </c>
      <c r="D7661" t="s">
        <v>1154</v>
      </c>
      <c r="E7661" t="s">
        <v>1015</v>
      </c>
      <c r="F7661" t="s">
        <v>198</v>
      </c>
      <c r="G7661" t="s">
        <v>207</v>
      </c>
    </row>
    <row r="7662" spans="1:7" x14ac:dyDescent="0.3">
      <c r="A7662" t="s">
        <v>49</v>
      </c>
      <c r="B7662" t="s">
        <v>2283</v>
      </c>
      <c r="C7662">
        <v>26844</v>
      </c>
      <c r="D7662" t="s">
        <v>1144</v>
      </c>
      <c r="E7662" t="s">
        <v>960</v>
      </c>
      <c r="F7662" t="s">
        <v>207</v>
      </c>
      <c r="G7662" t="s">
        <v>198</v>
      </c>
    </row>
    <row r="7663" spans="1:7" x14ac:dyDescent="0.3">
      <c r="A7663" t="s">
        <v>49</v>
      </c>
      <c r="B7663" t="s">
        <v>365</v>
      </c>
      <c r="C7663">
        <v>1812</v>
      </c>
      <c r="D7663" t="s">
        <v>1108</v>
      </c>
      <c r="E7663" t="s">
        <v>937</v>
      </c>
      <c r="F7663" t="s">
        <v>104</v>
      </c>
      <c r="G7663" t="s">
        <v>114</v>
      </c>
    </row>
    <row r="7665" spans="1:7" x14ac:dyDescent="0.3">
      <c r="A7665" t="s">
        <v>2284</v>
      </c>
    </row>
    <row r="7666" spans="1:7" x14ac:dyDescent="0.3">
      <c r="A7666" t="s">
        <v>44</v>
      </c>
      <c r="B7666" t="s">
        <v>235</v>
      </c>
      <c r="C7666" t="s">
        <v>32</v>
      </c>
      <c r="D7666" t="s">
        <v>352</v>
      </c>
      <c r="E7666" t="s">
        <v>66</v>
      </c>
      <c r="F7666" t="s">
        <v>193</v>
      </c>
      <c r="G7666" t="s">
        <v>67</v>
      </c>
    </row>
    <row r="7667" spans="1:7" x14ac:dyDescent="0.3">
      <c r="A7667" t="s">
        <v>35</v>
      </c>
      <c r="B7667" t="s">
        <v>236</v>
      </c>
      <c r="C7667">
        <v>3968</v>
      </c>
      <c r="D7667" t="s">
        <v>198</v>
      </c>
      <c r="E7667" t="s">
        <v>1350</v>
      </c>
      <c r="F7667" t="s">
        <v>198</v>
      </c>
      <c r="G7667" t="s">
        <v>1048</v>
      </c>
    </row>
    <row r="7668" spans="1:7" x14ac:dyDescent="0.3">
      <c r="A7668" t="s">
        <v>35</v>
      </c>
      <c r="B7668" t="s">
        <v>238</v>
      </c>
      <c r="C7668">
        <v>3757</v>
      </c>
      <c r="D7668" t="s">
        <v>207</v>
      </c>
      <c r="E7668" t="s">
        <v>516</v>
      </c>
      <c r="F7668" t="s">
        <v>115</v>
      </c>
      <c r="G7668" t="s">
        <v>856</v>
      </c>
    </row>
    <row r="7669" spans="1:7" x14ac:dyDescent="0.3">
      <c r="A7669" t="s">
        <v>37</v>
      </c>
      <c r="B7669" t="s">
        <v>236</v>
      </c>
      <c r="C7669">
        <v>5956</v>
      </c>
      <c r="D7669" t="s">
        <v>207</v>
      </c>
      <c r="E7669" t="s">
        <v>581</v>
      </c>
      <c r="F7669" t="s">
        <v>104</v>
      </c>
      <c r="G7669" t="s">
        <v>647</v>
      </c>
    </row>
    <row r="7670" spans="1:7" x14ac:dyDescent="0.3">
      <c r="A7670" t="s">
        <v>37</v>
      </c>
      <c r="B7670" t="s">
        <v>238</v>
      </c>
      <c r="C7670">
        <v>4103</v>
      </c>
      <c r="D7670" t="s">
        <v>198</v>
      </c>
      <c r="E7670" t="s">
        <v>649</v>
      </c>
      <c r="F7670" t="s">
        <v>99</v>
      </c>
      <c r="G7670" t="s">
        <v>821</v>
      </c>
    </row>
    <row r="7671" spans="1:7" x14ac:dyDescent="0.3">
      <c r="A7671" t="s">
        <v>36</v>
      </c>
      <c r="B7671" t="s">
        <v>236</v>
      </c>
      <c r="C7671">
        <v>4143</v>
      </c>
      <c r="D7671" t="s">
        <v>198</v>
      </c>
      <c r="E7671" t="s">
        <v>1001</v>
      </c>
      <c r="F7671" t="s">
        <v>99</v>
      </c>
      <c r="G7671" t="s">
        <v>344</v>
      </c>
    </row>
    <row r="7672" spans="1:7" x14ac:dyDescent="0.3">
      <c r="A7672" t="s">
        <v>36</v>
      </c>
      <c r="B7672" t="s">
        <v>238</v>
      </c>
      <c r="C7672">
        <v>1864</v>
      </c>
      <c r="D7672" t="s">
        <v>104</v>
      </c>
      <c r="E7672" t="s">
        <v>1245</v>
      </c>
      <c r="F7672" t="s">
        <v>104</v>
      </c>
      <c r="G7672" t="s">
        <v>810</v>
      </c>
    </row>
    <row r="7673" spans="1:7" x14ac:dyDescent="0.3">
      <c r="A7673" t="s">
        <v>34</v>
      </c>
      <c r="B7673" t="s">
        <v>236</v>
      </c>
      <c r="C7673">
        <v>1702</v>
      </c>
      <c r="D7673" t="s">
        <v>198</v>
      </c>
      <c r="E7673" t="s">
        <v>1169</v>
      </c>
      <c r="F7673" t="s">
        <v>141</v>
      </c>
      <c r="G7673" t="s">
        <v>1214</v>
      </c>
    </row>
    <row r="7674" spans="1:7" x14ac:dyDescent="0.3">
      <c r="A7674" t="s">
        <v>34</v>
      </c>
      <c r="B7674" t="s">
        <v>238</v>
      </c>
      <c r="C7674">
        <v>3214</v>
      </c>
      <c r="D7674" t="s">
        <v>136</v>
      </c>
      <c r="E7674" t="s">
        <v>213</v>
      </c>
      <c r="F7674" t="s">
        <v>198</v>
      </c>
      <c r="G7674" t="s">
        <v>829</v>
      </c>
    </row>
    <row r="7675" spans="1:7" x14ac:dyDescent="0.3">
      <c r="A7675" t="s">
        <v>33</v>
      </c>
      <c r="B7675" t="s">
        <v>236</v>
      </c>
      <c r="C7675">
        <v>2636</v>
      </c>
      <c r="D7675" t="s">
        <v>198</v>
      </c>
      <c r="E7675" t="s">
        <v>1122</v>
      </c>
      <c r="F7675" t="s">
        <v>99</v>
      </c>
      <c r="G7675" t="s">
        <v>801</v>
      </c>
    </row>
    <row r="7676" spans="1:7" x14ac:dyDescent="0.3">
      <c r="A7676" t="s">
        <v>33</v>
      </c>
      <c r="B7676" t="s">
        <v>238</v>
      </c>
      <c r="C7676">
        <v>1940</v>
      </c>
      <c r="D7676" t="s">
        <v>104</v>
      </c>
      <c r="E7676" t="s">
        <v>1472</v>
      </c>
      <c r="F7676" t="s">
        <v>207</v>
      </c>
      <c r="G7676" t="s">
        <v>1098</v>
      </c>
    </row>
    <row r="7677" spans="1:7" x14ac:dyDescent="0.3">
      <c r="A7677" t="s">
        <v>49</v>
      </c>
      <c r="B7677" t="s">
        <v>236</v>
      </c>
      <c r="C7677">
        <v>18405</v>
      </c>
      <c r="D7677" t="s">
        <v>198</v>
      </c>
      <c r="E7677" t="s">
        <v>1150</v>
      </c>
      <c r="F7677" t="s">
        <v>104</v>
      </c>
      <c r="G7677" t="s">
        <v>146</v>
      </c>
    </row>
    <row r="7678" spans="1:7" x14ac:dyDescent="0.3">
      <c r="A7678" t="s">
        <v>49</v>
      </c>
      <c r="B7678" t="s">
        <v>238</v>
      </c>
      <c r="C7678">
        <v>14878</v>
      </c>
      <c r="D7678" t="s">
        <v>207</v>
      </c>
      <c r="E7678" t="s">
        <v>533</v>
      </c>
      <c r="F7678" t="s">
        <v>207</v>
      </c>
      <c r="G7678" t="s">
        <v>914</v>
      </c>
    </row>
    <row r="7680" spans="1:7" x14ac:dyDescent="0.3">
      <c r="A7680" t="s">
        <v>2285</v>
      </c>
    </row>
    <row r="7681" spans="1:7" x14ac:dyDescent="0.3">
      <c r="A7681" t="s">
        <v>44</v>
      </c>
      <c r="B7681" t="s">
        <v>879</v>
      </c>
      <c r="C7681" t="s">
        <v>32</v>
      </c>
      <c r="D7681" t="s">
        <v>66</v>
      </c>
      <c r="E7681" t="s">
        <v>67</v>
      </c>
      <c r="F7681" t="s">
        <v>352</v>
      </c>
      <c r="G7681" t="s">
        <v>193</v>
      </c>
    </row>
    <row r="7682" spans="1:7" x14ac:dyDescent="0.3">
      <c r="A7682" t="s">
        <v>35</v>
      </c>
      <c r="B7682" t="s">
        <v>880</v>
      </c>
      <c r="C7682">
        <v>1030</v>
      </c>
      <c r="D7682" t="s">
        <v>915</v>
      </c>
      <c r="E7682" t="s">
        <v>224</v>
      </c>
      <c r="F7682" t="s">
        <v>207</v>
      </c>
      <c r="G7682" t="s">
        <v>104</v>
      </c>
    </row>
    <row r="7683" spans="1:7" x14ac:dyDescent="0.3">
      <c r="A7683" t="s">
        <v>35</v>
      </c>
      <c r="B7683" t="s">
        <v>881</v>
      </c>
      <c r="C7683">
        <v>1999</v>
      </c>
      <c r="D7683" t="s">
        <v>793</v>
      </c>
      <c r="E7683" t="s">
        <v>942</v>
      </c>
      <c r="F7683" t="s">
        <v>198</v>
      </c>
      <c r="G7683" t="s">
        <v>198</v>
      </c>
    </row>
    <row r="7684" spans="1:7" x14ac:dyDescent="0.3">
      <c r="A7684" t="s">
        <v>35</v>
      </c>
      <c r="B7684" t="s">
        <v>882</v>
      </c>
      <c r="C7684">
        <v>4696</v>
      </c>
      <c r="D7684" t="s">
        <v>605</v>
      </c>
      <c r="E7684" t="s">
        <v>645</v>
      </c>
      <c r="F7684" t="s">
        <v>207</v>
      </c>
      <c r="G7684" t="s">
        <v>132</v>
      </c>
    </row>
    <row r="7685" spans="1:7" x14ac:dyDescent="0.3">
      <c r="A7685" t="s">
        <v>37</v>
      </c>
      <c r="B7685" t="s">
        <v>880</v>
      </c>
      <c r="C7685">
        <v>1161</v>
      </c>
      <c r="D7685" t="s">
        <v>348</v>
      </c>
      <c r="E7685" t="s">
        <v>711</v>
      </c>
      <c r="F7685" t="s">
        <v>253</v>
      </c>
      <c r="G7685" t="s">
        <v>99</v>
      </c>
    </row>
    <row r="7686" spans="1:7" x14ac:dyDescent="0.3">
      <c r="A7686" t="s">
        <v>37</v>
      </c>
      <c r="B7686" t="s">
        <v>881</v>
      </c>
      <c r="C7686">
        <v>2409</v>
      </c>
      <c r="D7686" t="s">
        <v>1002</v>
      </c>
      <c r="E7686" t="s">
        <v>615</v>
      </c>
      <c r="F7686" t="s">
        <v>104</v>
      </c>
      <c r="G7686" t="s">
        <v>104</v>
      </c>
    </row>
    <row r="7687" spans="1:7" x14ac:dyDescent="0.3">
      <c r="A7687" t="s">
        <v>37</v>
      </c>
      <c r="B7687" t="s">
        <v>882</v>
      </c>
      <c r="C7687">
        <v>6489</v>
      </c>
      <c r="D7687" t="s">
        <v>306</v>
      </c>
      <c r="E7687" t="s">
        <v>545</v>
      </c>
      <c r="F7687" t="s">
        <v>207</v>
      </c>
      <c r="G7687" t="s">
        <v>99</v>
      </c>
    </row>
    <row r="7688" spans="1:7" x14ac:dyDescent="0.3">
      <c r="A7688" t="s">
        <v>36</v>
      </c>
      <c r="B7688" t="s">
        <v>880</v>
      </c>
      <c r="C7688">
        <v>600</v>
      </c>
      <c r="D7688" t="s">
        <v>648</v>
      </c>
      <c r="E7688" t="s">
        <v>647</v>
      </c>
      <c r="F7688" t="s">
        <v>99</v>
      </c>
      <c r="G7688" t="s">
        <v>99</v>
      </c>
    </row>
    <row r="7689" spans="1:7" x14ac:dyDescent="0.3">
      <c r="A7689" t="s">
        <v>36</v>
      </c>
      <c r="B7689" t="s">
        <v>881</v>
      </c>
      <c r="C7689">
        <v>1703</v>
      </c>
      <c r="D7689" t="s">
        <v>1223</v>
      </c>
      <c r="E7689" t="s">
        <v>553</v>
      </c>
      <c r="F7689" t="s">
        <v>207</v>
      </c>
      <c r="G7689" t="s">
        <v>99</v>
      </c>
    </row>
    <row r="7690" spans="1:7" x14ac:dyDescent="0.3">
      <c r="A7690" t="s">
        <v>36</v>
      </c>
      <c r="B7690" t="s">
        <v>882</v>
      </c>
      <c r="C7690">
        <v>3704</v>
      </c>
      <c r="D7690" t="s">
        <v>223</v>
      </c>
      <c r="E7690" t="s">
        <v>834</v>
      </c>
      <c r="F7690" t="s">
        <v>104</v>
      </c>
      <c r="G7690" t="s">
        <v>104</v>
      </c>
    </row>
    <row r="7691" spans="1:7" x14ac:dyDescent="0.3">
      <c r="A7691" t="s">
        <v>34</v>
      </c>
      <c r="B7691" t="s">
        <v>880</v>
      </c>
      <c r="C7691">
        <v>532</v>
      </c>
      <c r="D7691" t="s">
        <v>1187</v>
      </c>
      <c r="E7691" t="s">
        <v>513</v>
      </c>
      <c r="F7691" t="s">
        <v>99</v>
      </c>
      <c r="G7691" t="s">
        <v>114</v>
      </c>
    </row>
    <row r="7692" spans="1:7" x14ac:dyDescent="0.3">
      <c r="A7692" t="s">
        <v>34</v>
      </c>
      <c r="B7692" t="s">
        <v>881</v>
      </c>
      <c r="C7692">
        <v>1551</v>
      </c>
      <c r="D7692" t="s">
        <v>1151</v>
      </c>
      <c r="E7692" t="s">
        <v>899</v>
      </c>
      <c r="F7692" t="s">
        <v>198</v>
      </c>
      <c r="G7692" t="s">
        <v>207</v>
      </c>
    </row>
    <row r="7693" spans="1:7" x14ac:dyDescent="0.3">
      <c r="A7693" t="s">
        <v>34</v>
      </c>
      <c r="B7693" t="s">
        <v>882</v>
      </c>
      <c r="C7693">
        <v>2833</v>
      </c>
      <c r="D7693" t="s">
        <v>1146</v>
      </c>
      <c r="E7693" t="s">
        <v>647</v>
      </c>
      <c r="F7693" t="s">
        <v>136</v>
      </c>
      <c r="G7693" t="s">
        <v>104</v>
      </c>
    </row>
    <row r="7694" spans="1:7" x14ac:dyDescent="0.3">
      <c r="A7694" t="s">
        <v>33</v>
      </c>
      <c r="B7694" t="s">
        <v>880</v>
      </c>
      <c r="C7694">
        <v>768</v>
      </c>
      <c r="D7694" t="s">
        <v>486</v>
      </c>
      <c r="E7694" t="s">
        <v>803</v>
      </c>
      <c r="F7694" t="s">
        <v>99</v>
      </c>
      <c r="G7694" t="s">
        <v>99</v>
      </c>
    </row>
    <row r="7695" spans="1:7" x14ac:dyDescent="0.3">
      <c r="A7695" t="s">
        <v>33</v>
      </c>
      <c r="B7695" t="s">
        <v>881</v>
      </c>
      <c r="C7695">
        <v>1179</v>
      </c>
      <c r="D7695" t="s">
        <v>886</v>
      </c>
      <c r="E7695" t="s">
        <v>948</v>
      </c>
      <c r="F7695" t="s">
        <v>104</v>
      </c>
      <c r="G7695" t="s">
        <v>104</v>
      </c>
    </row>
    <row r="7696" spans="1:7" x14ac:dyDescent="0.3">
      <c r="A7696" t="s">
        <v>33</v>
      </c>
      <c r="B7696" t="s">
        <v>882</v>
      </c>
      <c r="C7696">
        <v>2629</v>
      </c>
      <c r="D7696" t="s">
        <v>962</v>
      </c>
      <c r="E7696" t="s">
        <v>1110</v>
      </c>
      <c r="F7696" t="s">
        <v>198</v>
      </c>
      <c r="G7696" t="s">
        <v>198</v>
      </c>
    </row>
    <row r="7697" spans="1:7" x14ac:dyDescent="0.3">
      <c r="A7697" t="s">
        <v>49</v>
      </c>
      <c r="B7697" t="s">
        <v>880</v>
      </c>
      <c r="C7697">
        <v>4091</v>
      </c>
      <c r="D7697" t="s">
        <v>586</v>
      </c>
      <c r="E7697" t="s">
        <v>429</v>
      </c>
      <c r="F7697" t="s">
        <v>198</v>
      </c>
      <c r="G7697" t="s">
        <v>198</v>
      </c>
    </row>
    <row r="7698" spans="1:7" x14ac:dyDescent="0.3">
      <c r="A7698" t="s">
        <v>49</v>
      </c>
      <c r="B7698" t="s">
        <v>881</v>
      </c>
      <c r="C7698">
        <v>8841</v>
      </c>
      <c r="D7698" t="s">
        <v>594</v>
      </c>
      <c r="E7698" t="s">
        <v>1570</v>
      </c>
      <c r="F7698" t="s">
        <v>198</v>
      </c>
      <c r="G7698" t="s">
        <v>198</v>
      </c>
    </row>
    <row r="7699" spans="1:7" x14ac:dyDescent="0.3">
      <c r="A7699" t="s">
        <v>49</v>
      </c>
      <c r="B7699" t="s">
        <v>882</v>
      </c>
      <c r="C7699">
        <v>20351</v>
      </c>
      <c r="D7699" t="s">
        <v>825</v>
      </c>
      <c r="E7699" t="s">
        <v>146</v>
      </c>
      <c r="F7699" t="s">
        <v>207</v>
      </c>
      <c r="G7699" t="s">
        <v>207</v>
      </c>
    </row>
    <row r="7701" spans="1:7" x14ac:dyDescent="0.3">
      <c r="A7701" t="s">
        <v>2286</v>
      </c>
    </row>
    <row r="7702" spans="1:7" x14ac:dyDescent="0.3">
      <c r="A7702" t="s">
        <v>44</v>
      </c>
      <c r="B7702" t="s">
        <v>1241</v>
      </c>
      <c r="C7702" t="s">
        <v>32</v>
      </c>
      <c r="D7702" t="s">
        <v>352</v>
      </c>
      <c r="E7702" t="s">
        <v>66</v>
      </c>
      <c r="F7702" t="s">
        <v>193</v>
      </c>
      <c r="G7702" t="s">
        <v>67</v>
      </c>
    </row>
    <row r="7703" spans="1:7" x14ac:dyDescent="0.3">
      <c r="A7703" t="s">
        <v>35</v>
      </c>
      <c r="B7703" t="s">
        <v>1242</v>
      </c>
      <c r="C7703">
        <v>7584</v>
      </c>
      <c r="D7703" t="s">
        <v>207</v>
      </c>
      <c r="E7703" t="s">
        <v>528</v>
      </c>
      <c r="F7703" t="s">
        <v>141</v>
      </c>
      <c r="G7703" t="s">
        <v>899</v>
      </c>
    </row>
    <row r="7704" spans="1:7" x14ac:dyDescent="0.3">
      <c r="A7704" t="s">
        <v>35</v>
      </c>
      <c r="B7704" t="s">
        <v>1243</v>
      </c>
      <c r="C7704">
        <v>85</v>
      </c>
      <c r="D7704" t="s">
        <v>99</v>
      </c>
      <c r="E7704" t="s">
        <v>518</v>
      </c>
      <c r="F7704" t="s">
        <v>99</v>
      </c>
      <c r="G7704" t="s">
        <v>842</v>
      </c>
    </row>
    <row r="7705" spans="1:7" x14ac:dyDescent="0.3">
      <c r="A7705" t="s">
        <v>35</v>
      </c>
      <c r="B7705" t="s">
        <v>1244</v>
      </c>
      <c r="C7705">
        <v>47</v>
      </c>
      <c r="D7705" t="s">
        <v>99</v>
      </c>
      <c r="E7705" t="s">
        <v>1237</v>
      </c>
      <c r="F7705" t="s">
        <v>99</v>
      </c>
      <c r="G7705" t="s">
        <v>827</v>
      </c>
    </row>
    <row r="7706" spans="1:7" x14ac:dyDescent="0.3">
      <c r="A7706" t="s">
        <v>35</v>
      </c>
      <c r="B7706" t="s">
        <v>365</v>
      </c>
      <c r="C7706">
        <v>9</v>
      </c>
      <c r="D7706" t="s">
        <v>99</v>
      </c>
      <c r="E7706" t="s">
        <v>895</v>
      </c>
      <c r="F7706" t="s">
        <v>99</v>
      </c>
      <c r="G7706" t="s">
        <v>1178</v>
      </c>
    </row>
    <row r="7707" spans="1:7" x14ac:dyDescent="0.3">
      <c r="A7707" t="s">
        <v>37</v>
      </c>
      <c r="B7707" t="s">
        <v>1242</v>
      </c>
      <c r="C7707">
        <v>9795</v>
      </c>
      <c r="D7707" t="s">
        <v>207</v>
      </c>
      <c r="E7707" t="s">
        <v>1329</v>
      </c>
      <c r="F7707" t="s">
        <v>99</v>
      </c>
      <c r="G7707" t="s">
        <v>902</v>
      </c>
    </row>
    <row r="7708" spans="1:7" x14ac:dyDescent="0.3">
      <c r="A7708" t="s">
        <v>37</v>
      </c>
      <c r="B7708" t="s">
        <v>1243</v>
      </c>
      <c r="C7708">
        <v>214</v>
      </c>
      <c r="D7708" t="s">
        <v>99</v>
      </c>
      <c r="E7708" t="s">
        <v>572</v>
      </c>
      <c r="F7708" t="s">
        <v>99</v>
      </c>
      <c r="G7708" t="s">
        <v>571</v>
      </c>
    </row>
    <row r="7709" spans="1:7" x14ac:dyDescent="0.3">
      <c r="A7709" t="s">
        <v>37</v>
      </c>
      <c r="B7709" t="s">
        <v>1244</v>
      </c>
      <c r="C7709">
        <v>44</v>
      </c>
      <c r="D7709" t="s">
        <v>99</v>
      </c>
      <c r="E7709" t="s">
        <v>1252</v>
      </c>
      <c r="F7709" t="s">
        <v>99</v>
      </c>
      <c r="G7709" t="s">
        <v>1291</v>
      </c>
    </row>
    <row r="7710" spans="1:7" x14ac:dyDescent="0.3">
      <c r="A7710" t="s">
        <v>37</v>
      </c>
      <c r="B7710" t="s">
        <v>365</v>
      </c>
      <c r="C7710">
        <v>6</v>
      </c>
      <c r="D7710" t="s">
        <v>99</v>
      </c>
      <c r="E7710" t="s">
        <v>211</v>
      </c>
      <c r="F7710" t="s">
        <v>99</v>
      </c>
      <c r="G7710" t="s">
        <v>99</v>
      </c>
    </row>
    <row r="7711" spans="1:7" x14ac:dyDescent="0.3">
      <c r="A7711" t="s">
        <v>36</v>
      </c>
      <c r="B7711" t="s">
        <v>1242</v>
      </c>
      <c r="C7711">
        <v>5654</v>
      </c>
      <c r="D7711" t="s">
        <v>104</v>
      </c>
      <c r="E7711" t="s">
        <v>1327</v>
      </c>
      <c r="F7711" t="s">
        <v>99</v>
      </c>
      <c r="G7711" t="s">
        <v>674</v>
      </c>
    </row>
    <row r="7712" spans="1:7" x14ac:dyDescent="0.3">
      <c r="A7712" t="s">
        <v>36</v>
      </c>
      <c r="B7712" t="s">
        <v>1243</v>
      </c>
      <c r="C7712">
        <v>117</v>
      </c>
      <c r="D7712" t="s">
        <v>99</v>
      </c>
      <c r="E7712" t="s">
        <v>926</v>
      </c>
      <c r="F7712" t="s">
        <v>99</v>
      </c>
      <c r="G7712" t="s">
        <v>1185</v>
      </c>
    </row>
    <row r="7713" spans="1:7" x14ac:dyDescent="0.3">
      <c r="A7713" t="s">
        <v>36</v>
      </c>
      <c r="B7713" t="s">
        <v>1244</v>
      </c>
      <c r="C7713">
        <v>233</v>
      </c>
      <c r="D7713" t="s">
        <v>121</v>
      </c>
      <c r="E7713" t="s">
        <v>1111</v>
      </c>
      <c r="F7713" t="s">
        <v>207</v>
      </c>
      <c r="G7713" t="s">
        <v>1232</v>
      </c>
    </row>
    <row r="7714" spans="1:7" x14ac:dyDescent="0.3">
      <c r="A7714" t="s">
        <v>36</v>
      </c>
      <c r="B7714" t="s">
        <v>365</v>
      </c>
      <c r="C7714">
        <v>3</v>
      </c>
      <c r="D7714" t="s">
        <v>99</v>
      </c>
      <c r="E7714" t="s">
        <v>109</v>
      </c>
      <c r="F7714" t="s">
        <v>99</v>
      </c>
      <c r="G7714" t="s">
        <v>326</v>
      </c>
    </row>
    <row r="7715" spans="1:7" x14ac:dyDescent="0.3">
      <c r="A7715" t="s">
        <v>34</v>
      </c>
      <c r="B7715" t="s">
        <v>1242</v>
      </c>
      <c r="C7715">
        <v>4838</v>
      </c>
      <c r="D7715" t="s">
        <v>207</v>
      </c>
      <c r="E7715" t="s">
        <v>61</v>
      </c>
      <c r="F7715" t="s">
        <v>198</v>
      </c>
      <c r="G7715" t="s">
        <v>1048</v>
      </c>
    </row>
    <row r="7716" spans="1:7" s="5" customFormat="1" x14ac:dyDescent="0.3">
      <c r="A7716" s="5" t="s">
        <v>34</v>
      </c>
      <c r="B7716" s="5" t="s">
        <v>1243</v>
      </c>
      <c r="C7716" s="5">
        <v>28</v>
      </c>
      <c r="D7716" s="5" t="s">
        <v>99</v>
      </c>
      <c r="E7716" s="5" t="s">
        <v>823</v>
      </c>
      <c r="F7716" s="5" t="s">
        <v>99</v>
      </c>
      <c r="G7716" s="5" t="s">
        <v>1095</v>
      </c>
    </row>
    <row r="7717" spans="1:7" x14ac:dyDescent="0.3">
      <c r="A7717" t="s">
        <v>34</v>
      </c>
      <c r="B7717" t="s">
        <v>1244</v>
      </c>
      <c r="C7717">
        <v>49</v>
      </c>
      <c r="D7717" t="s">
        <v>138</v>
      </c>
      <c r="E7717" t="s">
        <v>987</v>
      </c>
      <c r="F7717" t="s">
        <v>147</v>
      </c>
      <c r="G7717" t="s">
        <v>551</v>
      </c>
    </row>
    <row r="7718" spans="1:7" x14ac:dyDescent="0.3">
      <c r="A7718" t="s">
        <v>34</v>
      </c>
      <c r="B7718" t="s">
        <v>365</v>
      </c>
      <c r="C7718">
        <v>1</v>
      </c>
      <c r="D7718" t="s">
        <v>99</v>
      </c>
      <c r="E7718" t="s">
        <v>211</v>
      </c>
      <c r="F7718" t="s">
        <v>99</v>
      </c>
      <c r="G7718" t="s">
        <v>99</v>
      </c>
    </row>
    <row r="7719" spans="1:7" x14ac:dyDescent="0.3">
      <c r="A7719" t="s">
        <v>33</v>
      </c>
      <c r="B7719" t="s">
        <v>1242</v>
      </c>
      <c r="C7719">
        <v>4490</v>
      </c>
      <c r="D7719" t="s">
        <v>104</v>
      </c>
      <c r="E7719" t="s">
        <v>1474</v>
      </c>
      <c r="F7719" t="s">
        <v>198</v>
      </c>
      <c r="G7719" t="s">
        <v>914</v>
      </c>
    </row>
    <row r="7720" spans="1:7" x14ac:dyDescent="0.3">
      <c r="A7720" t="s">
        <v>33</v>
      </c>
      <c r="B7720" t="s">
        <v>1243</v>
      </c>
      <c r="C7720">
        <v>58</v>
      </c>
      <c r="D7720" t="s">
        <v>99</v>
      </c>
      <c r="E7720" t="s">
        <v>1176</v>
      </c>
      <c r="F7720" t="s">
        <v>99</v>
      </c>
      <c r="G7720" t="s">
        <v>642</v>
      </c>
    </row>
    <row r="7721" spans="1:7" s="5" customFormat="1" x14ac:dyDescent="0.3">
      <c r="A7721" s="5" t="s">
        <v>33</v>
      </c>
      <c r="B7721" s="5" t="s">
        <v>1244</v>
      </c>
      <c r="C7721" s="5">
        <v>17</v>
      </c>
      <c r="D7721" s="5" t="s">
        <v>99</v>
      </c>
      <c r="E7721" s="5" t="s">
        <v>1098</v>
      </c>
      <c r="F7721" s="5" t="s">
        <v>99</v>
      </c>
      <c r="G7721" s="5" t="s">
        <v>554</v>
      </c>
    </row>
    <row r="7722" spans="1:7" x14ac:dyDescent="0.3">
      <c r="A7722" t="s">
        <v>33</v>
      </c>
      <c r="B7722" t="s">
        <v>365</v>
      </c>
      <c r="C7722">
        <v>11</v>
      </c>
      <c r="D7722" t="s">
        <v>99</v>
      </c>
      <c r="E7722" t="s">
        <v>400</v>
      </c>
      <c r="F7722" t="s">
        <v>99</v>
      </c>
      <c r="G7722" t="s">
        <v>420</v>
      </c>
    </row>
    <row r="7723" spans="1:7" x14ac:dyDescent="0.3">
      <c r="A7723" t="s">
        <v>49</v>
      </c>
      <c r="B7723" t="s">
        <v>1242</v>
      </c>
      <c r="C7723">
        <v>32361</v>
      </c>
      <c r="D7723" t="s">
        <v>198</v>
      </c>
      <c r="E7723" t="s">
        <v>815</v>
      </c>
      <c r="F7723" t="s">
        <v>198</v>
      </c>
      <c r="G7723" t="s">
        <v>1222</v>
      </c>
    </row>
    <row r="7724" spans="1:7" x14ac:dyDescent="0.3">
      <c r="A7724" t="s">
        <v>49</v>
      </c>
      <c r="B7724" t="s">
        <v>1243</v>
      </c>
      <c r="C7724">
        <v>502</v>
      </c>
      <c r="D7724" t="s">
        <v>99</v>
      </c>
      <c r="E7724" t="s">
        <v>539</v>
      </c>
      <c r="F7724" t="s">
        <v>99</v>
      </c>
      <c r="G7724" t="s">
        <v>538</v>
      </c>
    </row>
    <row r="7725" spans="1:7" x14ac:dyDescent="0.3">
      <c r="A7725" t="s">
        <v>49</v>
      </c>
      <c r="B7725" t="s">
        <v>1244</v>
      </c>
      <c r="C7725">
        <v>390</v>
      </c>
      <c r="D7725" t="s">
        <v>126</v>
      </c>
      <c r="E7725" t="s">
        <v>1143</v>
      </c>
      <c r="F7725" t="s">
        <v>100</v>
      </c>
      <c r="G7725" t="s">
        <v>621</v>
      </c>
    </row>
    <row r="7726" spans="1:7" x14ac:dyDescent="0.3">
      <c r="A7726" t="s">
        <v>49</v>
      </c>
      <c r="B7726" t="s">
        <v>365</v>
      </c>
      <c r="C7726">
        <v>30</v>
      </c>
      <c r="D7726" t="s">
        <v>99</v>
      </c>
      <c r="E7726" t="s">
        <v>290</v>
      </c>
      <c r="F7726" t="s">
        <v>99</v>
      </c>
      <c r="G7726" t="s">
        <v>368</v>
      </c>
    </row>
    <row r="7728" spans="1:7" x14ac:dyDescent="0.3">
      <c r="A7728" t="s">
        <v>2287</v>
      </c>
    </row>
    <row r="7729" spans="1:7" x14ac:dyDescent="0.3">
      <c r="A7729" t="s">
        <v>44</v>
      </c>
      <c r="B7729" t="s">
        <v>2252</v>
      </c>
      <c r="C7729" t="s">
        <v>32</v>
      </c>
      <c r="D7729" t="s">
        <v>352</v>
      </c>
      <c r="E7729" t="s">
        <v>66</v>
      </c>
      <c r="F7729" t="s">
        <v>193</v>
      </c>
      <c r="G7729" t="s">
        <v>67</v>
      </c>
    </row>
    <row r="7730" spans="1:7" x14ac:dyDescent="0.3">
      <c r="A7730" t="s">
        <v>35</v>
      </c>
      <c r="B7730" t="s">
        <v>2253</v>
      </c>
      <c r="C7730">
        <v>3478</v>
      </c>
      <c r="D7730" t="s">
        <v>136</v>
      </c>
      <c r="E7730" t="s">
        <v>228</v>
      </c>
      <c r="F7730" t="s">
        <v>132</v>
      </c>
      <c r="G7730" t="s">
        <v>570</v>
      </c>
    </row>
    <row r="7731" spans="1:7" x14ac:dyDescent="0.3">
      <c r="A7731" t="s">
        <v>35</v>
      </c>
      <c r="B7731" t="s">
        <v>2254</v>
      </c>
      <c r="C7731">
        <v>4193</v>
      </c>
      <c r="D7731" t="s">
        <v>198</v>
      </c>
      <c r="E7731" t="s">
        <v>1237</v>
      </c>
      <c r="F7731" t="s">
        <v>207</v>
      </c>
      <c r="G7731" t="s">
        <v>913</v>
      </c>
    </row>
    <row r="7732" spans="1:7" x14ac:dyDescent="0.3">
      <c r="A7732" t="s">
        <v>35</v>
      </c>
      <c r="B7732" t="s">
        <v>365</v>
      </c>
      <c r="C7732">
        <v>54</v>
      </c>
      <c r="D7732" t="s">
        <v>99</v>
      </c>
      <c r="E7732" t="s">
        <v>350</v>
      </c>
      <c r="F7732" t="s">
        <v>123</v>
      </c>
      <c r="G7732" t="s">
        <v>446</v>
      </c>
    </row>
    <row r="7733" spans="1:7" x14ac:dyDescent="0.3">
      <c r="A7733" t="s">
        <v>37</v>
      </c>
      <c r="B7733" t="s">
        <v>2253</v>
      </c>
      <c r="C7733">
        <v>4860</v>
      </c>
      <c r="D7733" t="s">
        <v>136</v>
      </c>
      <c r="E7733" t="s">
        <v>1111</v>
      </c>
      <c r="F7733" t="s">
        <v>104</v>
      </c>
      <c r="G7733" t="s">
        <v>914</v>
      </c>
    </row>
    <row r="7734" spans="1:7" x14ac:dyDescent="0.3">
      <c r="A7734" t="s">
        <v>37</v>
      </c>
      <c r="B7734" t="s">
        <v>2254</v>
      </c>
      <c r="C7734">
        <v>5173</v>
      </c>
      <c r="D7734" t="s">
        <v>198</v>
      </c>
      <c r="E7734" t="s">
        <v>575</v>
      </c>
      <c r="F7734" t="s">
        <v>99</v>
      </c>
      <c r="G7734" t="s">
        <v>1062</v>
      </c>
    </row>
    <row r="7735" spans="1:7" x14ac:dyDescent="0.3">
      <c r="A7735" t="s">
        <v>37</v>
      </c>
      <c r="B7735" t="s">
        <v>365</v>
      </c>
      <c r="C7735">
        <v>26</v>
      </c>
      <c r="D7735" t="s">
        <v>99</v>
      </c>
      <c r="E7735" t="s">
        <v>912</v>
      </c>
      <c r="F7735" t="s">
        <v>99</v>
      </c>
      <c r="G7735" t="s">
        <v>911</v>
      </c>
    </row>
    <row r="7736" spans="1:7" x14ac:dyDescent="0.3">
      <c r="A7736" t="s">
        <v>36</v>
      </c>
      <c r="B7736" t="s">
        <v>2253</v>
      </c>
      <c r="C7736">
        <v>2557</v>
      </c>
      <c r="D7736" t="s">
        <v>104</v>
      </c>
      <c r="E7736" t="s">
        <v>935</v>
      </c>
      <c r="F7736" t="s">
        <v>99</v>
      </c>
      <c r="G7736" t="s">
        <v>1110</v>
      </c>
    </row>
    <row r="7737" spans="1:7" x14ac:dyDescent="0.3">
      <c r="A7737" t="s">
        <v>36</v>
      </c>
      <c r="B7737" t="s">
        <v>2254</v>
      </c>
      <c r="C7737">
        <v>3401</v>
      </c>
      <c r="D7737" t="s">
        <v>198</v>
      </c>
      <c r="E7737" t="s">
        <v>526</v>
      </c>
      <c r="F7737" t="s">
        <v>104</v>
      </c>
      <c r="G7737" t="s">
        <v>349</v>
      </c>
    </row>
    <row r="7738" spans="1:7" x14ac:dyDescent="0.3">
      <c r="A7738" t="s">
        <v>36</v>
      </c>
      <c r="B7738" t="s">
        <v>365</v>
      </c>
      <c r="C7738">
        <v>49</v>
      </c>
      <c r="D7738" t="s">
        <v>99</v>
      </c>
      <c r="E7738" t="s">
        <v>1363</v>
      </c>
      <c r="F7738" t="s">
        <v>382</v>
      </c>
      <c r="G7738" t="s">
        <v>485</v>
      </c>
    </row>
    <row r="7739" spans="1:7" x14ac:dyDescent="0.3">
      <c r="A7739" t="s">
        <v>34</v>
      </c>
      <c r="B7739" t="s">
        <v>2253</v>
      </c>
      <c r="C7739">
        <v>2219</v>
      </c>
      <c r="D7739" t="s">
        <v>207</v>
      </c>
      <c r="E7739" t="s">
        <v>1122</v>
      </c>
      <c r="F7739" t="s">
        <v>104</v>
      </c>
      <c r="G7739" t="s">
        <v>56</v>
      </c>
    </row>
    <row r="7740" spans="1:7" x14ac:dyDescent="0.3">
      <c r="A7740" t="s">
        <v>34</v>
      </c>
      <c r="B7740" t="s">
        <v>2254</v>
      </c>
      <c r="C7740">
        <v>2659</v>
      </c>
      <c r="D7740" t="s">
        <v>136</v>
      </c>
      <c r="E7740" t="s">
        <v>2120</v>
      </c>
      <c r="F7740" t="s">
        <v>136</v>
      </c>
      <c r="G7740" t="s">
        <v>600</v>
      </c>
    </row>
    <row r="7741" spans="1:7" x14ac:dyDescent="0.3">
      <c r="A7741" t="s">
        <v>34</v>
      </c>
      <c r="B7741" t="s">
        <v>365</v>
      </c>
      <c r="C7741">
        <v>38</v>
      </c>
      <c r="D7741" t="s">
        <v>99</v>
      </c>
      <c r="E7741" t="s">
        <v>974</v>
      </c>
      <c r="F7741" t="s">
        <v>99</v>
      </c>
      <c r="G7741" t="s">
        <v>741</v>
      </c>
    </row>
    <row r="7742" spans="1:7" x14ac:dyDescent="0.3">
      <c r="A7742" t="s">
        <v>33</v>
      </c>
      <c r="B7742" t="s">
        <v>2253</v>
      </c>
      <c r="C7742">
        <v>1850</v>
      </c>
      <c r="D7742" t="s">
        <v>198</v>
      </c>
      <c r="E7742" t="s">
        <v>564</v>
      </c>
      <c r="F7742" t="s">
        <v>104</v>
      </c>
      <c r="G7742" t="s">
        <v>906</v>
      </c>
    </row>
    <row r="7743" spans="1:7" x14ac:dyDescent="0.3">
      <c r="A7743" t="s">
        <v>33</v>
      </c>
      <c r="B7743" t="s">
        <v>2254</v>
      </c>
      <c r="C7743">
        <v>2724</v>
      </c>
      <c r="D7743" t="s">
        <v>104</v>
      </c>
      <c r="E7743" t="s">
        <v>1153</v>
      </c>
      <c r="F7743" t="s">
        <v>198</v>
      </c>
      <c r="G7743" t="s">
        <v>1115</v>
      </c>
    </row>
    <row r="7744" spans="1:7" x14ac:dyDescent="0.3">
      <c r="A7744" t="s">
        <v>33</v>
      </c>
      <c r="B7744" t="s">
        <v>365</v>
      </c>
      <c r="C7744">
        <v>2</v>
      </c>
      <c r="D7744" t="s">
        <v>99</v>
      </c>
      <c r="E7744" t="s">
        <v>909</v>
      </c>
      <c r="F7744" t="s">
        <v>99</v>
      </c>
      <c r="G7744" t="s">
        <v>909</v>
      </c>
    </row>
    <row r="7745" spans="1:7" x14ac:dyDescent="0.3">
      <c r="A7745" t="s">
        <v>49</v>
      </c>
      <c r="B7745" t="s">
        <v>2253</v>
      </c>
      <c r="C7745">
        <v>14964</v>
      </c>
      <c r="D7745" t="s">
        <v>207</v>
      </c>
      <c r="E7745" t="s">
        <v>605</v>
      </c>
      <c r="F7745" t="s">
        <v>207</v>
      </c>
      <c r="G7745" t="s">
        <v>521</v>
      </c>
    </row>
    <row r="7746" spans="1:7" x14ac:dyDescent="0.3">
      <c r="A7746" t="s">
        <v>49</v>
      </c>
      <c r="B7746" t="s">
        <v>2254</v>
      </c>
      <c r="C7746">
        <v>18150</v>
      </c>
      <c r="D7746" t="s">
        <v>198</v>
      </c>
      <c r="E7746" t="s">
        <v>490</v>
      </c>
      <c r="F7746" t="s">
        <v>198</v>
      </c>
      <c r="G7746" t="s">
        <v>821</v>
      </c>
    </row>
    <row r="7747" spans="1:7" x14ac:dyDescent="0.3">
      <c r="A7747" t="s">
        <v>49</v>
      </c>
      <c r="B7747" t="s">
        <v>365</v>
      </c>
      <c r="C7747">
        <v>169</v>
      </c>
      <c r="D7747" t="s">
        <v>99</v>
      </c>
      <c r="E7747" t="s">
        <v>541</v>
      </c>
      <c r="F7747" t="s">
        <v>108</v>
      </c>
      <c r="G7747" t="s">
        <v>451</v>
      </c>
    </row>
    <row r="7749" spans="1:7" x14ac:dyDescent="0.3">
      <c r="A7749" t="s">
        <v>2288</v>
      </c>
    </row>
    <row r="7750" spans="1:7" x14ac:dyDescent="0.3">
      <c r="A7750" t="s">
        <v>44</v>
      </c>
      <c r="B7750" t="s">
        <v>361</v>
      </c>
      <c r="C7750" t="s">
        <v>32</v>
      </c>
      <c r="D7750" t="s">
        <v>66</v>
      </c>
      <c r="E7750" t="s">
        <v>193</v>
      </c>
      <c r="F7750" t="s">
        <v>67</v>
      </c>
      <c r="G7750" t="s">
        <v>352</v>
      </c>
    </row>
    <row r="7751" spans="1:7" x14ac:dyDescent="0.3">
      <c r="A7751" t="s">
        <v>35</v>
      </c>
      <c r="B7751" t="s">
        <v>339</v>
      </c>
      <c r="C7751">
        <v>2208</v>
      </c>
      <c r="D7751" t="s">
        <v>943</v>
      </c>
      <c r="E7751" t="s">
        <v>115</v>
      </c>
      <c r="F7751" t="s">
        <v>1097</v>
      </c>
      <c r="G7751" t="s">
        <v>141</v>
      </c>
    </row>
    <row r="7752" spans="1:7" x14ac:dyDescent="0.3">
      <c r="A7752" t="s">
        <v>35</v>
      </c>
      <c r="B7752" t="s">
        <v>340</v>
      </c>
      <c r="C7752">
        <v>5359</v>
      </c>
      <c r="D7752" t="s">
        <v>1224</v>
      </c>
      <c r="E7752" t="s">
        <v>141</v>
      </c>
      <c r="F7752" t="s">
        <v>1252</v>
      </c>
      <c r="G7752" t="s">
        <v>198</v>
      </c>
    </row>
    <row r="7753" spans="1:7" x14ac:dyDescent="0.3">
      <c r="A7753" t="s">
        <v>35</v>
      </c>
      <c r="B7753" t="s">
        <v>365</v>
      </c>
      <c r="C7753">
        <v>158</v>
      </c>
      <c r="D7753" t="s">
        <v>61</v>
      </c>
      <c r="E7753" t="s">
        <v>198</v>
      </c>
      <c r="F7753" t="s">
        <v>843</v>
      </c>
      <c r="G7753" t="s">
        <v>104</v>
      </c>
    </row>
    <row r="7754" spans="1:7" x14ac:dyDescent="0.3">
      <c r="A7754" t="s">
        <v>37</v>
      </c>
      <c r="B7754" t="s">
        <v>339</v>
      </c>
      <c r="C7754">
        <v>2857</v>
      </c>
      <c r="D7754" t="s">
        <v>1182</v>
      </c>
      <c r="E7754" t="s">
        <v>104</v>
      </c>
      <c r="F7754" t="s">
        <v>823</v>
      </c>
      <c r="G7754" t="s">
        <v>141</v>
      </c>
    </row>
    <row r="7755" spans="1:7" x14ac:dyDescent="0.3">
      <c r="A7755" t="s">
        <v>37</v>
      </c>
      <c r="B7755" t="s">
        <v>340</v>
      </c>
      <c r="C7755">
        <v>7032</v>
      </c>
      <c r="D7755" t="s">
        <v>1363</v>
      </c>
      <c r="E7755" t="s">
        <v>99</v>
      </c>
      <c r="F7755" t="s">
        <v>838</v>
      </c>
      <c r="G7755" t="s">
        <v>198</v>
      </c>
    </row>
    <row r="7756" spans="1:7" x14ac:dyDescent="0.3">
      <c r="A7756" t="s">
        <v>37</v>
      </c>
      <c r="B7756" t="s">
        <v>365</v>
      </c>
      <c r="C7756">
        <v>170</v>
      </c>
      <c r="D7756" t="s">
        <v>348</v>
      </c>
      <c r="E7756" t="s">
        <v>99</v>
      </c>
      <c r="F7756" t="s">
        <v>697</v>
      </c>
      <c r="G7756" t="s">
        <v>115</v>
      </c>
    </row>
    <row r="7757" spans="1:7" x14ac:dyDescent="0.3">
      <c r="A7757" t="s">
        <v>36</v>
      </c>
      <c r="B7757" t="s">
        <v>339</v>
      </c>
      <c r="C7757">
        <v>1962</v>
      </c>
      <c r="D7757" t="s">
        <v>800</v>
      </c>
      <c r="E7757" t="s">
        <v>104</v>
      </c>
      <c r="F7757" t="s">
        <v>1098</v>
      </c>
      <c r="G7757" t="s">
        <v>104</v>
      </c>
    </row>
    <row r="7758" spans="1:7" x14ac:dyDescent="0.3">
      <c r="A7758" t="s">
        <v>36</v>
      </c>
      <c r="B7758" t="s">
        <v>340</v>
      </c>
      <c r="C7758">
        <v>3815</v>
      </c>
      <c r="D7758" t="s">
        <v>350</v>
      </c>
      <c r="E7758" t="s">
        <v>99</v>
      </c>
      <c r="F7758" t="s">
        <v>60</v>
      </c>
      <c r="G7758" t="s">
        <v>198</v>
      </c>
    </row>
    <row r="7759" spans="1:7" x14ac:dyDescent="0.3">
      <c r="A7759" t="s">
        <v>36</v>
      </c>
      <c r="B7759" t="s">
        <v>365</v>
      </c>
      <c r="C7759">
        <v>230</v>
      </c>
      <c r="D7759" t="s">
        <v>494</v>
      </c>
      <c r="E7759" t="s">
        <v>99</v>
      </c>
      <c r="F7759" t="s">
        <v>116</v>
      </c>
      <c r="G7759" t="s">
        <v>99</v>
      </c>
    </row>
    <row r="7760" spans="1:7" x14ac:dyDescent="0.3">
      <c r="A7760" t="s">
        <v>34</v>
      </c>
      <c r="B7760" t="s">
        <v>339</v>
      </c>
      <c r="C7760">
        <v>1454</v>
      </c>
      <c r="D7760" t="s">
        <v>1101</v>
      </c>
      <c r="E7760" t="s">
        <v>136</v>
      </c>
      <c r="F7760" t="s">
        <v>566</v>
      </c>
      <c r="G7760" t="s">
        <v>141</v>
      </c>
    </row>
    <row r="7761" spans="1:7" x14ac:dyDescent="0.3">
      <c r="A7761" t="s">
        <v>34</v>
      </c>
      <c r="B7761" t="s">
        <v>340</v>
      </c>
      <c r="C7761">
        <v>3356</v>
      </c>
      <c r="D7761" t="s">
        <v>1065</v>
      </c>
      <c r="E7761" t="s">
        <v>198</v>
      </c>
      <c r="F7761" t="s">
        <v>667</v>
      </c>
      <c r="G7761" t="s">
        <v>198</v>
      </c>
    </row>
    <row r="7762" spans="1:7" x14ac:dyDescent="0.3">
      <c r="A7762" t="s">
        <v>34</v>
      </c>
      <c r="B7762" t="s">
        <v>365</v>
      </c>
      <c r="C7762">
        <v>106</v>
      </c>
      <c r="D7762" t="s">
        <v>424</v>
      </c>
      <c r="E7762" t="s">
        <v>99</v>
      </c>
      <c r="F7762" t="s">
        <v>864</v>
      </c>
      <c r="G7762" t="s">
        <v>132</v>
      </c>
    </row>
    <row r="7763" spans="1:7" x14ac:dyDescent="0.3">
      <c r="A7763" t="s">
        <v>33</v>
      </c>
      <c r="B7763" t="s">
        <v>339</v>
      </c>
      <c r="C7763">
        <v>1155</v>
      </c>
      <c r="D7763" t="s">
        <v>918</v>
      </c>
      <c r="E7763" t="s">
        <v>198</v>
      </c>
      <c r="F7763" t="s">
        <v>1097</v>
      </c>
      <c r="G7763" t="s">
        <v>99</v>
      </c>
    </row>
    <row r="7764" spans="1:7" x14ac:dyDescent="0.3">
      <c r="A7764" t="s">
        <v>33</v>
      </c>
      <c r="B7764" t="s">
        <v>340</v>
      </c>
      <c r="C7764">
        <v>3344</v>
      </c>
      <c r="D7764" t="s">
        <v>1103</v>
      </c>
      <c r="E7764" t="s">
        <v>104</v>
      </c>
      <c r="F7764" t="s">
        <v>902</v>
      </c>
      <c r="G7764" t="s">
        <v>198</v>
      </c>
    </row>
    <row r="7765" spans="1:7" x14ac:dyDescent="0.3">
      <c r="A7765" t="s">
        <v>33</v>
      </c>
      <c r="B7765" t="s">
        <v>365</v>
      </c>
      <c r="C7765">
        <v>77</v>
      </c>
      <c r="D7765" t="s">
        <v>1174</v>
      </c>
      <c r="E7765" t="s">
        <v>99</v>
      </c>
      <c r="F7765" t="s">
        <v>833</v>
      </c>
      <c r="G7765" t="s">
        <v>126</v>
      </c>
    </row>
    <row r="7766" spans="1:7" x14ac:dyDescent="0.3">
      <c r="A7766" t="s">
        <v>49</v>
      </c>
      <c r="B7766" t="s">
        <v>339</v>
      </c>
      <c r="C7766">
        <v>9636</v>
      </c>
      <c r="D7766" t="s">
        <v>904</v>
      </c>
      <c r="E7766" t="s">
        <v>207</v>
      </c>
      <c r="F7766" t="s">
        <v>615</v>
      </c>
      <c r="G7766" t="s">
        <v>136</v>
      </c>
    </row>
    <row r="7767" spans="1:7" x14ac:dyDescent="0.3">
      <c r="A7767" t="s">
        <v>49</v>
      </c>
      <c r="B7767" t="s">
        <v>340</v>
      </c>
      <c r="C7767">
        <v>22906</v>
      </c>
      <c r="D7767" t="s">
        <v>284</v>
      </c>
      <c r="E7767" t="s">
        <v>198</v>
      </c>
      <c r="F7767" t="s">
        <v>745</v>
      </c>
      <c r="G7767" t="s">
        <v>198</v>
      </c>
    </row>
    <row r="7768" spans="1:7" x14ac:dyDescent="0.3">
      <c r="A7768" t="s">
        <v>49</v>
      </c>
      <c r="B7768" t="s">
        <v>365</v>
      </c>
      <c r="C7768">
        <v>741</v>
      </c>
      <c r="D7768" t="s">
        <v>1451</v>
      </c>
      <c r="E7768" t="s">
        <v>99</v>
      </c>
      <c r="F7768" t="s">
        <v>795</v>
      </c>
      <c r="G7768" t="s">
        <v>253</v>
      </c>
    </row>
    <row r="7770" spans="1:7" x14ac:dyDescent="0.3">
      <c r="A7770" t="s">
        <v>2289</v>
      </c>
    </row>
    <row r="7771" spans="1:7" x14ac:dyDescent="0.3">
      <c r="A7771" t="s">
        <v>44</v>
      </c>
      <c r="B7771" t="s">
        <v>257</v>
      </c>
      <c r="C7771" t="s">
        <v>32</v>
      </c>
      <c r="D7771" t="s">
        <v>352</v>
      </c>
      <c r="E7771" t="s">
        <v>66</v>
      </c>
      <c r="F7771" t="s">
        <v>193</v>
      </c>
      <c r="G7771" t="s">
        <v>67</v>
      </c>
    </row>
    <row r="7772" spans="1:7" x14ac:dyDescent="0.3">
      <c r="A7772" t="s">
        <v>35</v>
      </c>
      <c r="B7772" t="s">
        <v>258</v>
      </c>
      <c r="C7772">
        <v>7001</v>
      </c>
      <c r="D7772" t="s">
        <v>207</v>
      </c>
      <c r="E7772" t="s">
        <v>507</v>
      </c>
      <c r="F7772" t="s">
        <v>253</v>
      </c>
      <c r="G7772" t="s">
        <v>521</v>
      </c>
    </row>
    <row r="7773" spans="1:7" x14ac:dyDescent="0.3">
      <c r="A7773" t="s">
        <v>35</v>
      </c>
      <c r="B7773" t="s">
        <v>260</v>
      </c>
      <c r="C7773">
        <v>724</v>
      </c>
      <c r="D7773" t="s">
        <v>104</v>
      </c>
      <c r="E7773" t="s">
        <v>1165</v>
      </c>
      <c r="F7773" t="s">
        <v>207</v>
      </c>
      <c r="G7773" t="s">
        <v>607</v>
      </c>
    </row>
    <row r="7774" spans="1:7" x14ac:dyDescent="0.3">
      <c r="A7774" t="s">
        <v>37</v>
      </c>
      <c r="B7774" t="s">
        <v>258</v>
      </c>
      <c r="C7774">
        <v>10059</v>
      </c>
      <c r="D7774" t="s">
        <v>207</v>
      </c>
      <c r="E7774" t="s">
        <v>490</v>
      </c>
      <c r="F7774" t="s">
        <v>99</v>
      </c>
      <c r="G7774" t="s">
        <v>647</v>
      </c>
    </row>
    <row r="7775" spans="1:7" x14ac:dyDescent="0.3">
      <c r="A7775" t="s">
        <v>36</v>
      </c>
      <c r="B7775" t="s">
        <v>258</v>
      </c>
      <c r="C7775">
        <v>5389</v>
      </c>
      <c r="D7775" t="s">
        <v>104</v>
      </c>
      <c r="E7775" t="s">
        <v>1125</v>
      </c>
      <c r="F7775" t="s">
        <v>99</v>
      </c>
      <c r="G7775" t="s">
        <v>666</v>
      </c>
    </row>
    <row r="7776" spans="1:7" x14ac:dyDescent="0.3">
      <c r="A7776" t="s">
        <v>36</v>
      </c>
      <c r="B7776" t="s">
        <v>260</v>
      </c>
      <c r="C7776">
        <v>618</v>
      </c>
      <c r="D7776" t="s">
        <v>198</v>
      </c>
      <c r="E7776" t="s">
        <v>589</v>
      </c>
      <c r="F7776" t="s">
        <v>141</v>
      </c>
      <c r="G7776" t="s">
        <v>496</v>
      </c>
    </row>
    <row r="7777" spans="1:7" x14ac:dyDescent="0.3">
      <c r="A7777" t="s">
        <v>34</v>
      </c>
      <c r="B7777" t="s">
        <v>258</v>
      </c>
      <c r="C7777">
        <v>2672</v>
      </c>
      <c r="D7777" t="s">
        <v>99</v>
      </c>
      <c r="E7777" t="s">
        <v>261</v>
      </c>
      <c r="F7777" t="s">
        <v>99</v>
      </c>
      <c r="G7777" t="s">
        <v>683</v>
      </c>
    </row>
    <row r="7778" spans="1:7" x14ac:dyDescent="0.3">
      <c r="A7778" t="s">
        <v>34</v>
      </c>
      <c r="B7778" t="s">
        <v>260</v>
      </c>
      <c r="C7778">
        <v>2244</v>
      </c>
      <c r="D7778" t="s">
        <v>141</v>
      </c>
      <c r="E7778" t="s">
        <v>516</v>
      </c>
      <c r="F7778" t="s">
        <v>136</v>
      </c>
      <c r="G7778" t="s">
        <v>642</v>
      </c>
    </row>
    <row r="7779" spans="1:7" x14ac:dyDescent="0.3">
      <c r="A7779" t="s">
        <v>33</v>
      </c>
      <c r="B7779" t="s">
        <v>258</v>
      </c>
      <c r="C7779">
        <v>4576</v>
      </c>
      <c r="D7779" t="s">
        <v>104</v>
      </c>
      <c r="E7779" t="s">
        <v>1650</v>
      </c>
      <c r="F7779" t="s">
        <v>198</v>
      </c>
      <c r="G7779" t="s">
        <v>459</v>
      </c>
    </row>
    <row r="7780" spans="1:7" x14ac:dyDescent="0.3">
      <c r="A7780" t="s">
        <v>49</v>
      </c>
      <c r="B7780" t="s">
        <v>258</v>
      </c>
      <c r="C7780">
        <v>29697</v>
      </c>
      <c r="D7780" t="s">
        <v>198</v>
      </c>
      <c r="E7780" t="s">
        <v>55</v>
      </c>
      <c r="F7780" t="s">
        <v>198</v>
      </c>
      <c r="G7780" t="s">
        <v>843</v>
      </c>
    </row>
    <row r="7781" spans="1:7" x14ac:dyDescent="0.3">
      <c r="A7781" t="s">
        <v>49</v>
      </c>
      <c r="B7781" t="s">
        <v>260</v>
      </c>
      <c r="C7781">
        <v>3586</v>
      </c>
      <c r="D7781" t="s">
        <v>136</v>
      </c>
      <c r="E7781" t="s">
        <v>950</v>
      </c>
      <c r="F7781" t="s">
        <v>136</v>
      </c>
      <c r="G7781" t="s">
        <v>584</v>
      </c>
    </row>
    <row r="7783" spans="1:7" x14ac:dyDescent="0.3">
      <c r="A7783" t="s">
        <v>2290</v>
      </c>
    </row>
    <row r="7784" spans="1:7" x14ac:dyDescent="0.3">
      <c r="A7784" t="s">
        <v>44</v>
      </c>
      <c r="B7784" t="s">
        <v>1590</v>
      </c>
      <c r="C7784" t="s">
        <v>32</v>
      </c>
      <c r="D7784" t="s">
        <v>352</v>
      </c>
      <c r="E7784" t="s">
        <v>66</v>
      </c>
      <c r="F7784" t="s">
        <v>193</v>
      </c>
      <c r="G7784" t="s">
        <v>67</v>
      </c>
    </row>
    <row r="7785" spans="1:7" x14ac:dyDescent="0.3">
      <c r="A7785" t="s">
        <v>35</v>
      </c>
      <c r="B7785" t="s">
        <v>1591</v>
      </c>
      <c r="C7785">
        <v>3666</v>
      </c>
      <c r="D7785" t="s">
        <v>136</v>
      </c>
      <c r="E7785" t="s">
        <v>590</v>
      </c>
      <c r="F7785" t="s">
        <v>115</v>
      </c>
      <c r="G7785" t="s">
        <v>607</v>
      </c>
    </row>
    <row r="7786" spans="1:7" x14ac:dyDescent="0.3">
      <c r="A7786" t="s">
        <v>35</v>
      </c>
      <c r="B7786" t="s">
        <v>1592</v>
      </c>
      <c r="C7786">
        <v>3948</v>
      </c>
      <c r="D7786" t="s">
        <v>198</v>
      </c>
      <c r="E7786" t="s">
        <v>1066</v>
      </c>
      <c r="F7786" t="s">
        <v>136</v>
      </c>
      <c r="G7786" t="s">
        <v>932</v>
      </c>
    </row>
    <row r="7787" spans="1:7" x14ac:dyDescent="0.3">
      <c r="A7787" t="s">
        <v>35</v>
      </c>
      <c r="B7787" t="s">
        <v>365</v>
      </c>
      <c r="C7787">
        <v>111</v>
      </c>
      <c r="D7787" t="s">
        <v>99</v>
      </c>
      <c r="E7787" t="s">
        <v>562</v>
      </c>
      <c r="F7787" t="s">
        <v>120</v>
      </c>
      <c r="G7787" t="s">
        <v>1232</v>
      </c>
    </row>
    <row r="7788" spans="1:7" x14ac:dyDescent="0.3">
      <c r="A7788" t="s">
        <v>37</v>
      </c>
      <c r="B7788" t="s">
        <v>1591</v>
      </c>
      <c r="C7788">
        <v>4336</v>
      </c>
      <c r="D7788" t="s">
        <v>104</v>
      </c>
      <c r="E7788" t="s">
        <v>927</v>
      </c>
      <c r="F7788" t="s">
        <v>104</v>
      </c>
      <c r="G7788" t="s">
        <v>965</v>
      </c>
    </row>
    <row r="7789" spans="1:7" x14ac:dyDescent="0.3">
      <c r="A7789" t="s">
        <v>37</v>
      </c>
      <c r="B7789" t="s">
        <v>1592</v>
      </c>
      <c r="C7789">
        <v>5537</v>
      </c>
      <c r="D7789" t="s">
        <v>207</v>
      </c>
      <c r="E7789" t="s">
        <v>350</v>
      </c>
      <c r="F7789" t="s">
        <v>99</v>
      </c>
      <c r="G7789" t="s">
        <v>681</v>
      </c>
    </row>
    <row r="7790" spans="1:7" x14ac:dyDescent="0.3">
      <c r="A7790" t="s">
        <v>37</v>
      </c>
      <c r="B7790" t="s">
        <v>365</v>
      </c>
      <c r="C7790">
        <v>186</v>
      </c>
      <c r="D7790" t="s">
        <v>474</v>
      </c>
      <c r="E7790" t="s">
        <v>1331</v>
      </c>
      <c r="F7790" t="s">
        <v>99</v>
      </c>
      <c r="G7790" t="s">
        <v>153</v>
      </c>
    </row>
    <row r="7791" spans="1:7" x14ac:dyDescent="0.3">
      <c r="A7791" t="s">
        <v>36</v>
      </c>
      <c r="B7791" t="s">
        <v>1591</v>
      </c>
      <c r="C7791">
        <v>3987</v>
      </c>
      <c r="D7791" t="s">
        <v>104</v>
      </c>
      <c r="E7791" t="s">
        <v>617</v>
      </c>
      <c r="F7791" t="s">
        <v>99</v>
      </c>
      <c r="G7791" t="s">
        <v>580</v>
      </c>
    </row>
    <row r="7792" spans="1:7" x14ac:dyDescent="0.3">
      <c r="A7792" t="s">
        <v>36</v>
      </c>
      <c r="B7792" t="s">
        <v>1592</v>
      </c>
      <c r="C7792">
        <v>1952</v>
      </c>
      <c r="D7792" t="s">
        <v>207</v>
      </c>
      <c r="E7792" t="s">
        <v>484</v>
      </c>
      <c r="F7792" t="s">
        <v>104</v>
      </c>
      <c r="G7792" t="s">
        <v>681</v>
      </c>
    </row>
    <row r="7793" spans="1:17" x14ac:dyDescent="0.3">
      <c r="A7793" t="s">
        <v>36</v>
      </c>
      <c r="B7793" t="s">
        <v>365</v>
      </c>
      <c r="C7793">
        <v>68</v>
      </c>
      <c r="D7793" t="s">
        <v>99</v>
      </c>
      <c r="E7793" t="s">
        <v>1065</v>
      </c>
      <c r="F7793" t="s">
        <v>104</v>
      </c>
      <c r="G7793" t="s">
        <v>545</v>
      </c>
    </row>
    <row r="7794" spans="1:17" x14ac:dyDescent="0.3">
      <c r="A7794" t="s">
        <v>34</v>
      </c>
      <c r="B7794" t="s">
        <v>1591</v>
      </c>
      <c r="C7794">
        <v>2304</v>
      </c>
      <c r="D7794" t="s">
        <v>141</v>
      </c>
      <c r="E7794" t="s">
        <v>583</v>
      </c>
      <c r="F7794" t="s">
        <v>136</v>
      </c>
      <c r="G7794" t="s">
        <v>619</v>
      </c>
    </row>
    <row r="7795" spans="1:17" x14ac:dyDescent="0.3">
      <c r="A7795" t="s">
        <v>34</v>
      </c>
      <c r="B7795" t="s">
        <v>1592</v>
      </c>
      <c r="C7795">
        <v>2451</v>
      </c>
      <c r="D7795" t="s">
        <v>198</v>
      </c>
      <c r="E7795" t="s">
        <v>484</v>
      </c>
      <c r="F7795" t="s">
        <v>198</v>
      </c>
      <c r="G7795" t="s">
        <v>681</v>
      </c>
    </row>
    <row r="7796" spans="1:17" x14ac:dyDescent="0.3">
      <c r="A7796" t="s">
        <v>34</v>
      </c>
      <c r="B7796" t="s">
        <v>365</v>
      </c>
      <c r="C7796">
        <v>161</v>
      </c>
      <c r="D7796" t="s">
        <v>99</v>
      </c>
      <c r="E7796" t="s">
        <v>1470</v>
      </c>
      <c r="F7796" t="s">
        <v>99</v>
      </c>
      <c r="G7796" t="s">
        <v>1046</v>
      </c>
    </row>
    <row r="7797" spans="1:17" x14ac:dyDescent="0.3">
      <c r="A7797" t="s">
        <v>33</v>
      </c>
      <c r="B7797" t="s">
        <v>1591</v>
      </c>
      <c r="C7797">
        <v>1348</v>
      </c>
      <c r="D7797" t="s">
        <v>198</v>
      </c>
      <c r="E7797" t="s">
        <v>957</v>
      </c>
      <c r="F7797" t="s">
        <v>141</v>
      </c>
      <c r="G7797" t="s">
        <v>1190</v>
      </c>
    </row>
    <row r="7798" spans="1:17" x14ac:dyDescent="0.3">
      <c r="A7798" t="s">
        <v>33</v>
      </c>
      <c r="B7798" t="s">
        <v>1592</v>
      </c>
      <c r="C7798">
        <v>3202</v>
      </c>
      <c r="D7798" t="s">
        <v>104</v>
      </c>
      <c r="E7798" t="s">
        <v>1065</v>
      </c>
      <c r="F7798" t="s">
        <v>99</v>
      </c>
      <c r="G7798" t="s">
        <v>545</v>
      </c>
    </row>
    <row r="7799" spans="1:17" x14ac:dyDescent="0.3">
      <c r="A7799" t="s">
        <v>33</v>
      </c>
      <c r="B7799" t="s">
        <v>365</v>
      </c>
      <c r="C7799">
        <v>26</v>
      </c>
      <c r="D7799" t="s">
        <v>99</v>
      </c>
      <c r="E7799" t="s">
        <v>580</v>
      </c>
      <c r="F7799" t="s">
        <v>99</v>
      </c>
      <c r="G7799" t="s">
        <v>581</v>
      </c>
    </row>
    <row r="7800" spans="1:17" x14ac:dyDescent="0.3">
      <c r="A7800" t="s">
        <v>49</v>
      </c>
      <c r="B7800" t="s">
        <v>1591</v>
      </c>
      <c r="C7800">
        <v>15641</v>
      </c>
      <c r="D7800" t="s">
        <v>207</v>
      </c>
      <c r="E7800" t="s">
        <v>516</v>
      </c>
      <c r="F7800" t="s">
        <v>207</v>
      </c>
      <c r="G7800" t="s">
        <v>582</v>
      </c>
    </row>
    <row r="7801" spans="1:17" x14ac:dyDescent="0.3">
      <c r="A7801" t="s">
        <v>49</v>
      </c>
      <c r="B7801" t="s">
        <v>1592</v>
      </c>
      <c r="C7801">
        <v>17090</v>
      </c>
      <c r="D7801" t="s">
        <v>198</v>
      </c>
      <c r="E7801" t="s">
        <v>278</v>
      </c>
      <c r="F7801" t="s">
        <v>198</v>
      </c>
      <c r="G7801" t="s">
        <v>592</v>
      </c>
    </row>
    <row r="7802" spans="1:17" x14ac:dyDescent="0.3">
      <c r="A7802" t="s">
        <v>49</v>
      </c>
      <c r="B7802" t="s">
        <v>365</v>
      </c>
      <c r="C7802">
        <v>552</v>
      </c>
      <c r="D7802" t="s">
        <v>101</v>
      </c>
      <c r="E7802" t="s">
        <v>61</v>
      </c>
      <c r="F7802" t="s">
        <v>141</v>
      </c>
      <c r="G7802" t="s">
        <v>902</v>
      </c>
    </row>
    <row r="7804" spans="1:17" x14ac:dyDescent="0.3">
      <c r="A7804" t="s">
        <v>2291</v>
      </c>
    </row>
    <row r="7805" spans="1:17" x14ac:dyDescent="0.3">
      <c r="A7805" t="s">
        <v>44</v>
      </c>
      <c r="B7805" t="s">
        <v>32</v>
      </c>
      <c r="C7805" t="s">
        <v>2292</v>
      </c>
      <c r="D7805" t="s">
        <v>2293</v>
      </c>
      <c r="E7805" t="s">
        <v>2294</v>
      </c>
      <c r="F7805" t="s">
        <v>2295</v>
      </c>
      <c r="G7805" t="s">
        <v>2296</v>
      </c>
      <c r="H7805" t="s">
        <v>2297</v>
      </c>
      <c r="I7805" t="s">
        <v>2298</v>
      </c>
      <c r="J7805" t="s">
        <v>2299</v>
      </c>
      <c r="K7805" t="s">
        <v>2300</v>
      </c>
      <c r="L7805" t="s">
        <v>2301</v>
      </c>
      <c r="M7805" t="s">
        <v>2302</v>
      </c>
      <c r="N7805" t="s">
        <v>2303</v>
      </c>
      <c r="O7805" t="s">
        <v>88</v>
      </c>
      <c r="P7805" t="s">
        <v>83</v>
      </c>
      <c r="Q7805" t="s">
        <v>193</v>
      </c>
    </row>
    <row r="7806" spans="1:17" x14ac:dyDescent="0.3">
      <c r="A7806" t="s">
        <v>35</v>
      </c>
      <c r="B7806">
        <v>2996</v>
      </c>
      <c r="C7806" t="s">
        <v>735</v>
      </c>
      <c r="D7806" t="s">
        <v>557</v>
      </c>
      <c r="E7806" t="s">
        <v>215</v>
      </c>
      <c r="F7806" t="s">
        <v>138</v>
      </c>
      <c r="G7806" t="s">
        <v>104</v>
      </c>
      <c r="H7806" t="s">
        <v>207</v>
      </c>
      <c r="I7806" t="s">
        <v>401</v>
      </c>
      <c r="J7806" t="s">
        <v>468</v>
      </c>
      <c r="K7806" t="s">
        <v>663</v>
      </c>
      <c r="L7806" t="s">
        <v>103</v>
      </c>
      <c r="M7806" t="s">
        <v>440</v>
      </c>
      <c r="N7806" t="s">
        <v>710</v>
      </c>
      <c r="O7806" t="s">
        <v>117</v>
      </c>
      <c r="P7806" t="s">
        <v>104</v>
      </c>
      <c r="Q7806" t="s">
        <v>129</v>
      </c>
    </row>
    <row r="7807" spans="1:17" x14ac:dyDescent="0.3">
      <c r="A7807" t="s">
        <v>37</v>
      </c>
      <c r="B7807">
        <v>3638</v>
      </c>
      <c r="C7807" t="s">
        <v>894</v>
      </c>
      <c r="D7807" t="s">
        <v>1055</v>
      </c>
      <c r="E7807" t="s">
        <v>292</v>
      </c>
      <c r="F7807" t="s">
        <v>292</v>
      </c>
      <c r="G7807" t="s">
        <v>99</v>
      </c>
      <c r="H7807" t="s">
        <v>115</v>
      </c>
      <c r="I7807" t="s">
        <v>184</v>
      </c>
      <c r="J7807" t="s">
        <v>139</v>
      </c>
      <c r="K7807" t="s">
        <v>325</v>
      </c>
      <c r="L7807" t="s">
        <v>157</v>
      </c>
      <c r="M7807" t="s">
        <v>694</v>
      </c>
      <c r="N7807" t="s">
        <v>165</v>
      </c>
      <c r="O7807" t="s">
        <v>319</v>
      </c>
      <c r="P7807" t="s">
        <v>207</v>
      </c>
      <c r="Q7807" t="s">
        <v>207</v>
      </c>
    </row>
    <row r="7808" spans="1:17" x14ac:dyDescent="0.3">
      <c r="A7808" t="s">
        <v>36</v>
      </c>
      <c r="B7808">
        <v>1952</v>
      </c>
      <c r="C7808" t="s">
        <v>694</v>
      </c>
      <c r="D7808" t="s">
        <v>565</v>
      </c>
      <c r="E7808" t="s">
        <v>215</v>
      </c>
      <c r="F7808" t="s">
        <v>103</v>
      </c>
      <c r="G7808" t="s">
        <v>99</v>
      </c>
      <c r="H7808" t="s">
        <v>108</v>
      </c>
      <c r="I7808" t="s">
        <v>143</v>
      </c>
      <c r="J7808" t="s">
        <v>130</v>
      </c>
      <c r="K7808" t="s">
        <v>138</v>
      </c>
      <c r="L7808" t="s">
        <v>151</v>
      </c>
      <c r="M7808" t="s">
        <v>276</v>
      </c>
      <c r="N7808" t="s">
        <v>231</v>
      </c>
      <c r="O7808" t="s">
        <v>130</v>
      </c>
      <c r="P7808" t="s">
        <v>104</v>
      </c>
      <c r="Q7808" t="s">
        <v>147</v>
      </c>
    </row>
    <row r="7809" spans="1:18" x14ac:dyDescent="0.3">
      <c r="A7809" t="s">
        <v>34</v>
      </c>
      <c r="B7809">
        <v>1597</v>
      </c>
      <c r="C7809" t="s">
        <v>739</v>
      </c>
      <c r="D7809" t="s">
        <v>571</v>
      </c>
      <c r="E7809" t="s">
        <v>101</v>
      </c>
      <c r="F7809" t="s">
        <v>103</v>
      </c>
      <c r="G7809" t="s">
        <v>99</v>
      </c>
      <c r="H7809" t="s">
        <v>101</v>
      </c>
      <c r="I7809" t="s">
        <v>70</v>
      </c>
      <c r="J7809" t="s">
        <v>129</v>
      </c>
      <c r="K7809" t="s">
        <v>120</v>
      </c>
      <c r="L7809" t="s">
        <v>155</v>
      </c>
      <c r="M7809" t="s">
        <v>673</v>
      </c>
      <c r="N7809" t="s">
        <v>244</v>
      </c>
      <c r="O7809" t="s">
        <v>110</v>
      </c>
      <c r="P7809" t="s">
        <v>108</v>
      </c>
      <c r="Q7809" t="s">
        <v>136</v>
      </c>
    </row>
    <row r="7810" spans="1:18" x14ac:dyDescent="0.3">
      <c r="A7810" t="s">
        <v>33</v>
      </c>
      <c r="B7810">
        <v>1701</v>
      </c>
      <c r="C7810" t="s">
        <v>1044</v>
      </c>
      <c r="D7810" t="s">
        <v>827</v>
      </c>
      <c r="E7810" t="s">
        <v>127</v>
      </c>
      <c r="F7810" t="s">
        <v>114</v>
      </c>
      <c r="G7810" t="s">
        <v>104</v>
      </c>
      <c r="H7810" t="s">
        <v>115</v>
      </c>
      <c r="I7810" t="s">
        <v>353</v>
      </c>
      <c r="J7810" t="s">
        <v>113</v>
      </c>
      <c r="K7810" t="s">
        <v>158</v>
      </c>
      <c r="L7810" t="s">
        <v>138</v>
      </c>
      <c r="M7810" t="s">
        <v>423</v>
      </c>
      <c r="N7810" t="s">
        <v>726</v>
      </c>
      <c r="O7810" t="s">
        <v>127</v>
      </c>
      <c r="P7810" t="s">
        <v>136</v>
      </c>
      <c r="Q7810" t="s">
        <v>136</v>
      </c>
    </row>
    <row r="7811" spans="1:18" x14ac:dyDescent="0.3">
      <c r="A7811" t="s">
        <v>49</v>
      </c>
      <c r="B7811">
        <v>11884</v>
      </c>
      <c r="C7811" t="s">
        <v>706</v>
      </c>
      <c r="D7811" t="s">
        <v>551</v>
      </c>
      <c r="E7811" t="s">
        <v>127</v>
      </c>
      <c r="F7811" t="s">
        <v>117</v>
      </c>
      <c r="G7811" t="s">
        <v>104</v>
      </c>
      <c r="H7811" t="s">
        <v>115</v>
      </c>
      <c r="I7811" t="s">
        <v>70</v>
      </c>
      <c r="J7811" t="s">
        <v>158</v>
      </c>
      <c r="K7811" t="s">
        <v>684</v>
      </c>
      <c r="L7811" t="s">
        <v>147</v>
      </c>
      <c r="M7811" t="s">
        <v>807</v>
      </c>
      <c r="N7811" t="s">
        <v>222</v>
      </c>
      <c r="O7811" t="s">
        <v>117</v>
      </c>
      <c r="P7811" t="s">
        <v>136</v>
      </c>
      <c r="Q7811" t="s">
        <v>215</v>
      </c>
    </row>
    <row r="7813" spans="1:18" x14ac:dyDescent="0.3">
      <c r="A7813" t="s">
        <v>2304</v>
      </c>
    </row>
    <row r="7814" spans="1:18" x14ac:dyDescent="0.3">
      <c r="A7814" t="s">
        <v>44</v>
      </c>
      <c r="B7814" t="s">
        <v>2267</v>
      </c>
      <c r="C7814" t="s">
        <v>32</v>
      </c>
      <c r="D7814" t="s">
        <v>2292</v>
      </c>
      <c r="E7814" t="s">
        <v>2293</v>
      </c>
      <c r="F7814" t="s">
        <v>2294</v>
      </c>
      <c r="G7814" t="s">
        <v>2295</v>
      </c>
      <c r="H7814" t="s">
        <v>2296</v>
      </c>
      <c r="I7814" t="s">
        <v>2297</v>
      </c>
      <c r="J7814" t="s">
        <v>2298</v>
      </c>
      <c r="K7814" t="s">
        <v>2299</v>
      </c>
      <c r="L7814" t="s">
        <v>2300</v>
      </c>
      <c r="M7814" t="s">
        <v>2301</v>
      </c>
      <c r="N7814" t="s">
        <v>2302</v>
      </c>
      <c r="O7814" t="s">
        <v>2303</v>
      </c>
      <c r="P7814" t="s">
        <v>88</v>
      </c>
      <c r="Q7814" t="s">
        <v>83</v>
      </c>
      <c r="R7814" t="s">
        <v>193</v>
      </c>
    </row>
    <row r="7815" spans="1:18" x14ac:dyDescent="0.3">
      <c r="A7815" t="s">
        <v>35</v>
      </c>
      <c r="B7815" t="s">
        <v>973</v>
      </c>
      <c r="C7815">
        <v>79</v>
      </c>
      <c r="D7815" t="s">
        <v>919</v>
      </c>
      <c r="E7815" t="s">
        <v>667</v>
      </c>
      <c r="F7815" t="s">
        <v>99</v>
      </c>
      <c r="G7815" t="s">
        <v>160</v>
      </c>
      <c r="H7815" t="s">
        <v>99</v>
      </c>
      <c r="I7815" t="s">
        <v>99</v>
      </c>
      <c r="J7815" t="s">
        <v>118</v>
      </c>
      <c r="K7815" t="s">
        <v>160</v>
      </c>
      <c r="L7815" t="s">
        <v>142</v>
      </c>
      <c r="M7815" t="s">
        <v>99</v>
      </c>
      <c r="N7815" t="s">
        <v>717</v>
      </c>
      <c r="O7815" t="s">
        <v>678</v>
      </c>
      <c r="P7815" t="s">
        <v>420</v>
      </c>
      <c r="Q7815" t="s">
        <v>99</v>
      </c>
      <c r="R7815" t="s">
        <v>99</v>
      </c>
    </row>
    <row r="7816" spans="1:18" x14ac:dyDescent="0.3">
      <c r="A7816" t="s">
        <v>35</v>
      </c>
      <c r="B7816" t="s">
        <v>2268</v>
      </c>
      <c r="C7816">
        <v>116</v>
      </c>
      <c r="D7816" t="s">
        <v>614</v>
      </c>
      <c r="E7816" t="s">
        <v>679</v>
      </c>
      <c r="F7816" t="s">
        <v>198</v>
      </c>
      <c r="G7816" t="s">
        <v>99</v>
      </c>
      <c r="H7816" t="s">
        <v>99</v>
      </c>
      <c r="I7816" t="s">
        <v>99</v>
      </c>
      <c r="J7816" t="s">
        <v>150</v>
      </c>
      <c r="K7816" t="s">
        <v>99</v>
      </c>
      <c r="L7816" t="s">
        <v>517</v>
      </c>
      <c r="M7816" t="s">
        <v>99</v>
      </c>
      <c r="N7816" t="s">
        <v>149</v>
      </c>
      <c r="O7816" t="s">
        <v>864</v>
      </c>
      <c r="P7816" t="s">
        <v>109</v>
      </c>
      <c r="Q7816" t="s">
        <v>99</v>
      </c>
      <c r="R7816" t="s">
        <v>99</v>
      </c>
    </row>
    <row r="7817" spans="1:18" x14ac:dyDescent="0.3">
      <c r="A7817" t="s">
        <v>35</v>
      </c>
      <c r="B7817" t="s">
        <v>2269</v>
      </c>
      <c r="C7817">
        <v>118</v>
      </c>
      <c r="D7817" t="s">
        <v>862</v>
      </c>
      <c r="E7817" t="s">
        <v>108</v>
      </c>
      <c r="F7817" t="s">
        <v>99</v>
      </c>
      <c r="G7817" t="s">
        <v>108</v>
      </c>
      <c r="H7817" t="s">
        <v>99</v>
      </c>
      <c r="I7817" t="s">
        <v>99</v>
      </c>
      <c r="J7817" t="s">
        <v>108</v>
      </c>
      <c r="K7817" t="s">
        <v>158</v>
      </c>
      <c r="L7817" t="s">
        <v>947</v>
      </c>
      <c r="M7817" t="s">
        <v>99</v>
      </c>
      <c r="N7817" t="s">
        <v>432</v>
      </c>
      <c r="O7817" t="s">
        <v>325</v>
      </c>
      <c r="P7817" t="s">
        <v>198</v>
      </c>
      <c r="Q7817" t="s">
        <v>99</v>
      </c>
      <c r="R7817" t="s">
        <v>712</v>
      </c>
    </row>
    <row r="7818" spans="1:18" x14ac:dyDescent="0.3">
      <c r="A7818" t="s">
        <v>35</v>
      </c>
      <c r="B7818" t="s">
        <v>2270</v>
      </c>
      <c r="C7818">
        <v>69</v>
      </c>
      <c r="D7818" t="s">
        <v>153</v>
      </c>
      <c r="E7818" t="s">
        <v>233</v>
      </c>
      <c r="F7818" t="s">
        <v>111</v>
      </c>
      <c r="G7818" t="s">
        <v>319</v>
      </c>
      <c r="H7818" t="s">
        <v>99</v>
      </c>
      <c r="I7818" t="s">
        <v>99</v>
      </c>
      <c r="J7818" t="s">
        <v>68</v>
      </c>
      <c r="K7818" t="s">
        <v>108</v>
      </c>
      <c r="L7818" t="s">
        <v>99</v>
      </c>
      <c r="M7818" t="s">
        <v>231</v>
      </c>
      <c r="N7818" t="s">
        <v>267</v>
      </c>
      <c r="O7818" t="s">
        <v>592</v>
      </c>
      <c r="P7818" t="s">
        <v>126</v>
      </c>
      <c r="Q7818" t="s">
        <v>99</v>
      </c>
      <c r="R7818" t="s">
        <v>461</v>
      </c>
    </row>
    <row r="7819" spans="1:18" x14ac:dyDescent="0.3">
      <c r="A7819" t="s">
        <v>35</v>
      </c>
      <c r="B7819" t="s">
        <v>2271</v>
      </c>
      <c r="C7819">
        <v>441</v>
      </c>
      <c r="D7819" t="s">
        <v>802</v>
      </c>
      <c r="E7819" t="s">
        <v>696</v>
      </c>
      <c r="F7819" t="s">
        <v>108</v>
      </c>
      <c r="G7819" t="s">
        <v>70</v>
      </c>
      <c r="H7819" t="s">
        <v>99</v>
      </c>
      <c r="I7819" t="s">
        <v>198</v>
      </c>
      <c r="J7819" t="s">
        <v>332</v>
      </c>
      <c r="K7819" t="s">
        <v>130</v>
      </c>
      <c r="L7819" t="s">
        <v>99</v>
      </c>
      <c r="M7819" t="s">
        <v>287</v>
      </c>
      <c r="N7819" t="s">
        <v>842</v>
      </c>
      <c r="O7819" t="s">
        <v>687</v>
      </c>
      <c r="P7819" t="s">
        <v>319</v>
      </c>
      <c r="Q7819" t="s">
        <v>141</v>
      </c>
      <c r="R7819" t="s">
        <v>296</v>
      </c>
    </row>
    <row r="7820" spans="1:18" x14ac:dyDescent="0.3">
      <c r="A7820" t="s">
        <v>35</v>
      </c>
      <c r="B7820" t="s">
        <v>2272</v>
      </c>
      <c r="C7820">
        <v>452</v>
      </c>
      <c r="D7820" t="s">
        <v>173</v>
      </c>
      <c r="E7820" t="s">
        <v>1193</v>
      </c>
      <c r="F7820" t="s">
        <v>112</v>
      </c>
      <c r="G7820" t="s">
        <v>115</v>
      </c>
      <c r="H7820" t="s">
        <v>198</v>
      </c>
      <c r="I7820" t="s">
        <v>108</v>
      </c>
      <c r="J7820" t="s">
        <v>70</v>
      </c>
      <c r="K7820" t="s">
        <v>152</v>
      </c>
      <c r="L7820" t="s">
        <v>99</v>
      </c>
      <c r="M7820" t="s">
        <v>115</v>
      </c>
      <c r="N7820" t="s">
        <v>727</v>
      </c>
      <c r="O7820" t="s">
        <v>671</v>
      </c>
      <c r="P7820" t="s">
        <v>316</v>
      </c>
      <c r="Q7820" t="s">
        <v>104</v>
      </c>
      <c r="R7820" t="s">
        <v>115</v>
      </c>
    </row>
    <row r="7821" spans="1:18" x14ac:dyDescent="0.3">
      <c r="A7821" t="s">
        <v>35</v>
      </c>
      <c r="B7821" t="s">
        <v>2273</v>
      </c>
      <c r="C7821">
        <v>520</v>
      </c>
      <c r="D7821" t="s">
        <v>807</v>
      </c>
      <c r="E7821" t="s">
        <v>475</v>
      </c>
      <c r="F7821" t="s">
        <v>138</v>
      </c>
      <c r="G7821" t="s">
        <v>128</v>
      </c>
      <c r="H7821" t="s">
        <v>99</v>
      </c>
      <c r="I7821" t="s">
        <v>198</v>
      </c>
      <c r="J7821" t="s">
        <v>420</v>
      </c>
      <c r="K7821" t="s">
        <v>268</v>
      </c>
      <c r="L7821" t="s">
        <v>99</v>
      </c>
      <c r="M7821" t="s">
        <v>136</v>
      </c>
      <c r="N7821" t="s">
        <v>536</v>
      </c>
      <c r="O7821" t="s">
        <v>242</v>
      </c>
      <c r="P7821" t="s">
        <v>126</v>
      </c>
      <c r="Q7821" t="s">
        <v>99</v>
      </c>
      <c r="R7821" t="s">
        <v>319</v>
      </c>
    </row>
    <row r="7822" spans="1:18" x14ac:dyDescent="0.3">
      <c r="A7822" t="s">
        <v>35</v>
      </c>
      <c r="B7822" t="s">
        <v>976</v>
      </c>
      <c r="C7822">
        <v>92</v>
      </c>
      <c r="D7822" t="s">
        <v>930</v>
      </c>
      <c r="E7822" t="s">
        <v>868</v>
      </c>
      <c r="F7822" t="s">
        <v>99</v>
      </c>
      <c r="G7822" t="s">
        <v>316</v>
      </c>
      <c r="H7822" t="s">
        <v>99</v>
      </c>
      <c r="I7822" t="s">
        <v>99</v>
      </c>
      <c r="J7822" t="s">
        <v>109</v>
      </c>
      <c r="K7822" t="s">
        <v>155</v>
      </c>
      <c r="L7822" t="s">
        <v>296</v>
      </c>
      <c r="M7822" t="s">
        <v>268</v>
      </c>
      <c r="N7822" t="s">
        <v>461</v>
      </c>
      <c r="O7822" t="s">
        <v>76</v>
      </c>
      <c r="P7822" t="s">
        <v>128</v>
      </c>
      <c r="Q7822" t="s">
        <v>99</v>
      </c>
      <c r="R7822" t="s">
        <v>122</v>
      </c>
    </row>
    <row r="7823" spans="1:18" x14ac:dyDescent="0.3">
      <c r="A7823" t="s">
        <v>35</v>
      </c>
      <c r="B7823" t="s">
        <v>2274</v>
      </c>
      <c r="C7823">
        <v>94</v>
      </c>
      <c r="D7823" t="s">
        <v>489</v>
      </c>
      <c r="E7823" t="s">
        <v>143</v>
      </c>
      <c r="F7823" t="s">
        <v>99</v>
      </c>
      <c r="G7823" t="s">
        <v>99</v>
      </c>
      <c r="H7823" t="s">
        <v>99</v>
      </c>
      <c r="I7823" t="s">
        <v>99</v>
      </c>
      <c r="J7823" t="s">
        <v>110</v>
      </c>
      <c r="K7823" t="s">
        <v>115</v>
      </c>
      <c r="L7823" t="s">
        <v>686</v>
      </c>
      <c r="M7823" t="s">
        <v>99</v>
      </c>
      <c r="N7823" t="s">
        <v>149</v>
      </c>
      <c r="O7823" t="s">
        <v>707</v>
      </c>
      <c r="P7823" t="s">
        <v>99</v>
      </c>
      <c r="Q7823" t="s">
        <v>99</v>
      </c>
      <c r="R7823" t="s">
        <v>319</v>
      </c>
    </row>
    <row r="7824" spans="1:18" x14ac:dyDescent="0.3">
      <c r="A7824" t="s">
        <v>35</v>
      </c>
      <c r="B7824" t="s">
        <v>2275</v>
      </c>
      <c r="C7824">
        <v>120</v>
      </c>
      <c r="D7824" t="s">
        <v>1120</v>
      </c>
      <c r="E7824" t="s">
        <v>139</v>
      </c>
      <c r="F7824" t="s">
        <v>99</v>
      </c>
      <c r="G7824" t="s">
        <v>99</v>
      </c>
      <c r="H7824" t="s">
        <v>99</v>
      </c>
      <c r="I7824" t="s">
        <v>198</v>
      </c>
      <c r="J7824" t="s">
        <v>99</v>
      </c>
      <c r="K7824" t="s">
        <v>207</v>
      </c>
      <c r="L7824" t="s">
        <v>1706</v>
      </c>
      <c r="M7824" t="s">
        <v>99</v>
      </c>
      <c r="N7824" t="s">
        <v>708</v>
      </c>
      <c r="O7824" t="s">
        <v>101</v>
      </c>
      <c r="P7824" t="s">
        <v>253</v>
      </c>
      <c r="Q7824" t="s">
        <v>99</v>
      </c>
      <c r="R7824" t="s">
        <v>434</v>
      </c>
    </row>
    <row r="7825" spans="1:18" x14ac:dyDescent="0.3">
      <c r="A7825" t="s">
        <v>35</v>
      </c>
      <c r="B7825" t="s">
        <v>2276</v>
      </c>
      <c r="C7825">
        <v>47</v>
      </c>
      <c r="D7825" t="s">
        <v>1252</v>
      </c>
      <c r="E7825" t="s">
        <v>860</v>
      </c>
      <c r="F7825" t="s">
        <v>99</v>
      </c>
      <c r="G7825" t="s">
        <v>811</v>
      </c>
      <c r="H7825" t="s">
        <v>99</v>
      </c>
      <c r="I7825" t="s">
        <v>141</v>
      </c>
      <c r="J7825" t="s">
        <v>318</v>
      </c>
      <c r="K7825" t="s">
        <v>432</v>
      </c>
      <c r="L7825" t="s">
        <v>99</v>
      </c>
      <c r="M7825" t="s">
        <v>99</v>
      </c>
      <c r="N7825" t="s">
        <v>718</v>
      </c>
      <c r="O7825" t="s">
        <v>113</v>
      </c>
      <c r="P7825" t="s">
        <v>118</v>
      </c>
      <c r="Q7825" t="s">
        <v>99</v>
      </c>
      <c r="R7825" t="s">
        <v>99</v>
      </c>
    </row>
    <row r="7826" spans="1:18" x14ac:dyDescent="0.3">
      <c r="A7826" t="s">
        <v>35</v>
      </c>
      <c r="B7826" t="s">
        <v>2277</v>
      </c>
      <c r="C7826">
        <v>309</v>
      </c>
      <c r="D7826" t="s">
        <v>673</v>
      </c>
      <c r="E7826" t="s">
        <v>1102</v>
      </c>
      <c r="F7826" t="s">
        <v>253</v>
      </c>
      <c r="G7826" t="s">
        <v>277</v>
      </c>
      <c r="H7826" t="s">
        <v>198</v>
      </c>
      <c r="I7826" t="s">
        <v>104</v>
      </c>
      <c r="J7826" t="s">
        <v>705</v>
      </c>
      <c r="K7826" t="s">
        <v>671</v>
      </c>
      <c r="L7826" t="s">
        <v>99</v>
      </c>
      <c r="M7826" t="s">
        <v>99</v>
      </c>
      <c r="N7826" t="s">
        <v>175</v>
      </c>
      <c r="O7826" t="s">
        <v>716</v>
      </c>
      <c r="P7826" t="s">
        <v>157</v>
      </c>
      <c r="Q7826" t="s">
        <v>104</v>
      </c>
      <c r="R7826" t="s">
        <v>420</v>
      </c>
    </row>
    <row r="7827" spans="1:18" x14ac:dyDescent="0.3">
      <c r="A7827" t="s">
        <v>35</v>
      </c>
      <c r="B7827" t="s">
        <v>2278</v>
      </c>
      <c r="C7827">
        <v>272</v>
      </c>
      <c r="D7827" t="s">
        <v>710</v>
      </c>
      <c r="E7827" t="s">
        <v>550</v>
      </c>
      <c r="F7827" t="s">
        <v>121</v>
      </c>
      <c r="G7827" t="s">
        <v>121</v>
      </c>
      <c r="H7827" t="s">
        <v>207</v>
      </c>
      <c r="I7827" t="s">
        <v>253</v>
      </c>
      <c r="J7827" t="s">
        <v>449</v>
      </c>
      <c r="K7827" t="s">
        <v>315</v>
      </c>
      <c r="L7827" t="s">
        <v>99</v>
      </c>
      <c r="M7827" t="s">
        <v>207</v>
      </c>
      <c r="N7827" t="s">
        <v>672</v>
      </c>
      <c r="O7827" t="s">
        <v>705</v>
      </c>
      <c r="P7827" t="s">
        <v>154</v>
      </c>
      <c r="Q7827" t="s">
        <v>207</v>
      </c>
      <c r="R7827" t="s">
        <v>154</v>
      </c>
    </row>
    <row r="7828" spans="1:18" x14ac:dyDescent="0.3">
      <c r="A7828" t="s">
        <v>35</v>
      </c>
      <c r="B7828" t="s">
        <v>2279</v>
      </c>
      <c r="C7828">
        <v>257</v>
      </c>
      <c r="D7828" t="s">
        <v>811</v>
      </c>
      <c r="E7828" t="s">
        <v>939</v>
      </c>
      <c r="F7828" t="s">
        <v>103</v>
      </c>
      <c r="G7828" t="s">
        <v>114</v>
      </c>
      <c r="H7828" t="s">
        <v>141</v>
      </c>
      <c r="I7828" t="s">
        <v>136</v>
      </c>
      <c r="J7828" t="s">
        <v>289</v>
      </c>
      <c r="K7828" t="s">
        <v>804</v>
      </c>
      <c r="L7828" t="s">
        <v>99</v>
      </c>
      <c r="M7828" t="s">
        <v>115</v>
      </c>
      <c r="N7828" t="s">
        <v>676</v>
      </c>
      <c r="O7828" t="s">
        <v>155</v>
      </c>
      <c r="P7828" t="s">
        <v>100</v>
      </c>
      <c r="Q7828" t="s">
        <v>99</v>
      </c>
      <c r="R7828" t="s">
        <v>99</v>
      </c>
    </row>
    <row r="7829" spans="1:18" x14ac:dyDescent="0.3">
      <c r="A7829" t="s">
        <v>35</v>
      </c>
      <c r="B7829" t="s">
        <v>365</v>
      </c>
      <c r="C7829">
        <v>10</v>
      </c>
      <c r="D7829" t="s">
        <v>298</v>
      </c>
      <c r="E7829" t="s">
        <v>227</v>
      </c>
      <c r="F7829" t="s">
        <v>99</v>
      </c>
      <c r="G7829" t="s">
        <v>465</v>
      </c>
      <c r="H7829" t="s">
        <v>99</v>
      </c>
      <c r="I7829" t="s">
        <v>99</v>
      </c>
      <c r="J7829" t="s">
        <v>811</v>
      </c>
      <c r="K7829" t="s">
        <v>99</v>
      </c>
      <c r="L7829" t="s">
        <v>124</v>
      </c>
      <c r="M7829" t="s">
        <v>99</v>
      </c>
      <c r="N7829" t="s">
        <v>811</v>
      </c>
      <c r="O7829" t="s">
        <v>465</v>
      </c>
      <c r="P7829" t="s">
        <v>465</v>
      </c>
      <c r="Q7829" t="s">
        <v>99</v>
      </c>
      <c r="R7829" t="s">
        <v>99</v>
      </c>
    </row>
    <row r="7830" spans="1:18" x14ac:dyDescent="0.3">
      <c r="A7830" t="s">
        <v>37</v>
      </c>
      <c r="B7830" t="s">
        <v>973</v>
      </c>
      <c r="C7830">
        <v>97</v>
      </c>
      <c r="D7830" t="s">
        <v>695</v>
      </c>
      <c r="E7830" t="s">
        <v>814</v>
      </c>
      <c r="F7830" t="s">
        <v>99</v>
      </c>
      <c r="G7830" t="s">
        <v>126</v>
      </c>
      <c r="H7830" t="s">
        <v>99</v>
      </c>
      <c r="I7830" t="s">
        <v>99</v>
      </c>
      <c r="J7830" t="s">
        <v>163</v>
      </c>
      <c r="K7830" t="s">
        <v>74</v>
      </c>
      <c r="L7830" t="s">
        <v>201</v>
      </c>
      <c r="M7830" t="s">
        <v>99</v>
      </c>
      <c r="N7830" t="s">
        <v>675</v>
      </c>
      <c r="O7830" t="s">
        <v>920</v>
      </c>
      <c r="P7830" t="s">
        <v>99</v>
      </c>
      <c r="Q7830" t="s">
        <v>99</v>
      </c>
      <c r="R7830" t="s">
        <v>99</v>
      </c>
    </row>
    <row r="7831" spans="1:18" x14ac:dyDescent="0.3">
      <c r="A7831" t="s">
        <v>37</v>
      </c>
      <c r="B7831" t="s">
        <v>2268</v>
      </c>
      <c r="C7831">
        <v>135</v>
      </c>
      <c r="D7831" t="s">
        <v>589</v>
      </c>
      <c r="E7831" t="s">
        <v>72</v>
      </c>
      <c r="F7831" t="s">
        <v>99</v>
      </c>
      <c r="G7831" t="s">
        <v>111</v>
      </c>
      <c r="H7831" t="s">
        <v>99</v>
      </c>
      <c r="I7831" t="s">
        <v>253</v>
      </c>
      <c r="J7831" t="s">
        <v>215</v>
      </c>
      <c r="K7831" t="s">
        <v>268</v>
      </c>
      <c r="L7831" t="s">
        <v>276</v>
      </c>
      <c r="M7831" t="s">
        <v>99</v>
      </c>
      <c r="N7831" t="s">
        <v>254</v>
      </c>
      <c r="O7831" t="s">
        <v>255</v>
      </c>
      <c r="P7831" t="s">
        <v>99</v>
      </c>
      <c r="Q7831" t="s">
        <v>99</v>
      </c>
      <c r="R7831" t="s">
        <v>99</v>
      </c>
    </row>
    <row r="7832" spans="1:18" x14ac:dyDescent="0.3">
      <c r="A7832" t="s">
        <v>37</v>
      </c>
      <c r="B7832" t="s">
        <v>2269</v>
      </c>
      <c r="C7832">
        <v>154</v>
      </c>
      <c r="D7832" t="s">
        <v>1239</v>
      </c>
      <c r="E7832" t="s">
        <v>157</v>
      </c>
      <c r="F7832" t="s">
        <v>99</v>
      </c>
      <c r="G7832" t="s">
        <v>99</v>
      </c>
      <c r="H7832" t="s">
        <v>99</v>
      </c>
      <c r="I7832" t="s">
        <v>99</v>
      </c>
      <c r="J7832" t="s">
        <v>154</v>
      </c>
      <c r="K7832" t="s">
        <v>141</v>
      </c>
      <c r="L7832" t="s">
        <v>930</v>
      </c>
      <c r="M7832" t="s">
        <v>136</v>
      </c>
      <c r="N7832" t="s">
        <v>111</v>
      </c>
      <c r="O7832" t="s">
        <v>152</v>
      </c>
      <c r="P7832" t="s">
        <v>100</v>
      </c>
      <c r="Q7832" t="s">
        <v>99</v>
      </c>
      <c r="R7832" t="s">
        <v>99</v>
      </c>
    </row>
    <row r="7833" spans="1:18" x14ac:dyDescent="0.3">
      <c r="A7833" t="s">
        <v>37</v>
      </c>
      <c r="B7833" t="s">
        <v>2270</v>
      </c>
      <c r="C7833">
        <v>90</v>
      </c>
      <c r="D7833" t="s">
        <v>834</v>
      </c>
      <c r="E7833" t="s">
        <v>201</v>
      </c>
      <c r="F7833" t="s">
        <v>99</v>
      </c>
      <c r="G7833" t="s">
        <v>129</v>
      </c>
      <c r="H7833" t="s">
        <v>99</v>
      </c>
      <c r="I7833" t="s">
        <v>319</v>
      </c>
      <c r="J7833" t="s">
        <v>474</v>
      </c>
      <c r="K7833" t="s">
        <v>412</v>
      </c>
      <c r="L7833" t="s">
        <v>99</v>
      </c>
      <c r="M7833" t="s">
        <v>298</v>
      </c>
      <c r="N7833" t="s">
        <v>478</v>
      </c>
      <c r="O7833" t="s">
        <v>1105</v>
      </c>
      <c r="P7833" t="s">
        <v>138</v>
      </c>
      <c r="Q7833" t="s">
        <v>114</v>
      </c>
      <c r="R7833" t="s">
        <v>99</v>
      </c>
    </row>
    <row r="7834" spans="1:18" x14ac:dyDescent="0.3">
      <c r="A7834" t="s">
        <v>37</v>
      </c>
      <c r="B7834" t="s">
        <v>2271</v>
      </c>
      <c r="C7834">
        <v>476</v>
      </c>
      <c r="D7834" t="s">
        <v>519</v>
      </c>
      <c r="E7834" t="s">
        <v>828</v>
      </c>
      <c r="F7834" t="s">
        <v>128</v>
      </c>
      <c r="G7834" t="s">
        <v>134</v>
      </c>
      <c r="H7834" t="s">
        <v>99</v>
      </c>
      <c r="I7834" t="s">
        <v>141</v>
      </c>
      <c r="J7834" t="s">
        <v>412</v>
      </c>
      <c r="K7834" t="s">
        <v>130</v>
      </c>
      <c r="L7834" t="s">
        <v>99</v>
      </c>
      <c r="M7834" t="s">
        <v>318</v>
      </c>
      <c r="N7834" t="s">
        <v>706</v>
      </c>
      <c r="O7834" t="s">
        <v>318</v>
      </c>
      <c r="P7834" t="s">
        <v>319</v>
      </c>
      <c r="Q7834" t="s">
        <v>207</v>
      </c>
      <c r="R7834" t="s">
        <v>100</v>
      </c>
    </row>
    <row r="7835" spans="1:18" x14ac:dyDescent="0.3">
      <c r="A7835" t="s">
        <v>37</v>
      </c>
      <c r="B7835" t="s">
        <v>2272</v>
      </c>
      <c r="C7835">
        <v>505</v>
      </c>
      <c r="D7835" t="s">
        <v>677</v>
      </c>
      <c r="E7835" t="s">
        <v>1119</v>
      </c>
      <c r="F7835" t="s">
        <v>157</v>
      </c>
      <c r="G7835" t="s">
        <v>114</v>
      </c>
      <c r="H7835" t="s">
        <v>99</v>
      </c>
      <c r="I7835" t="s">
        <v>114</v>
      </c>
      <c r="J7835" t="s">
        <v>160</v>
      </c>
      <c r="K7835" t="s">
        <v>412</v>
      </c>
      <c r="L7835" t="s">
        <v>99</v>
      </c>
      <c r="M7835" t="s">
        <v>101</v>
      </c>
      <c r="N7835" t="s">
        <v>491</v>
      </c>
      <c r="O7835" t="s">
        <v>420</v>
      </c>
      <c r="P7835" t="s">
        <v>128</v>
      </c>
      <c r="Q7835" t="s">
        <v>136</v>
      </c>
      <c r="R7835" t="s">
        <v>198</v>
      </c>
    </row>
    <row r="7836" spans="1:18" x14ac:dyDescent="0.3">
      <c r="A7836" t="s">
        <v>37</v>
      </c>
      <c r="B7836" t="s">
        <v>2273</v>
      </c>
      <c r="C7836">
        <v>672</v>
      </c>
      <c r="D7836" t="s">
        <v>408</v>
      </c>
      <c r="E7836" t="s">
        <v>469</v>
      </c>
      <c r="F7836" t="s">
        <v>123</v>
      </c>
      <c r="G7836" t="s">
        <v>126</v>
      </c>
      <c r="H7836" t="s">
        <v>99</v>
      </c>
      <c r="I7836" t="s">
        <v>132</v>
      </c>
      <c r="J7836" t="s">
        <v>145</v>
      </c>
      <c r="K7836" t="s">
        <v>138</v>
      </c>
      <c r="L7836" t="s">
        <v>99</v>
      </c>
      <c r="M7836" t="s">
        <v>207</v>
      </c>
      <c r="N7836" t="s">
        <v>990</v>
      </c>
      <c r="O7836" t="s">
        <v>130</v>
      </c>
      <c r="P7836" t="s">
        <v>114</v>
      </c>
      <c r="Q7836" t="s">
        <v>207</v>
      </c>
      <c r="R7836" t="s">
        <v>198</v>
      </c>
    </row>
    <row r="7837" spans="1:18" x14ac:dyDescent="0.3">
      <c r="A7837" t="s">
        <v>37</v>
      </c>
      <c r="B7837" t="s">
        <v>976</v>
      </c>
      <c r="C7837">
        <v>103</v>
      </c>
      <c r="D7837" t="s">
        <v>1222</v>
      </c>
      <c r="E7837" t="s">
        <v>177</v>
      </c>
      <c r="F7837" t="s">
        <v>253</v>
      </c>
      <c r="G7837" t="s">
        <v>204</v>
      </c>
      <c r="H7837" t="s">
        <v>99</v>
      </c>
      <c r="I7837" t="s">
        <v>99</v>
      </c>
      <c r="J7837" t="s">
        <v>113</v>
      </c>
      <c r="K7837" t="s">
        <v>110</v>
      </c>
      <c r="L7837" t="s">
        <v>264</v>
      </c>
      <c r="M7837" t="s">
        <v>121</v>
      </c>
      <c r="N7837" t="s">
        <v>746</v>
      </c>
      <c r="O7837" t="s">
        <v>513</v>
      </c>
      <c r="P7837" t="s">
        <v>99</v>
      </c>
      <c r="Q7837" t="s">
        <v>99</v>
      </c>
      <c r="R7837" t="s">
        <v>99</v>
      </c>
    </row>
    <row r="7838" spans="1:18" x14ac:dyDescent="0.3">
      <c r="A7838" t="s">
        <v>37</v>
      </c>
      <c r="B7838" t="s">
        <v>2274</v>
      </c>
      <c r="C7838">
        <v>113</v>
      </c>
      <c r="D7838" t="s">
        <v>1368</v>
      </c>
      <c r="E7838" t="s">
        <v>109</v>
      </c>
      <c r="F7838" t="s">
        <v>100</v>
      </c>
      <c r="G7838" t="s">
        <v>253</v>
      </c>
      <c r="H7838" t="s">
        <v>99</v>
      </c>
      <c r="I7838" t="s">
        <v>99</v>
      </c>
      <c r="J7838" t="s">
        <v>139</v>
      </c>
      <c r="K7838" t="s">
        <v>126</v>
      </c>
      <c r="L7838" t="s">
        <v>701</v>
      </c>
      <c r="M7838" t="s">
        <v>99</v>
      </c>
      <c r="N7838" t="s">
        <v>138</v>
      </c>
      <c r="O7838" t="s">
        <v>482</v>
      </c>
      <c r="P7838" t="s">
        <v>99</v>
      </c>
      <c r="Q7838" t="s">
        <v>99</v>
      </c>
      <c r="R7838" t="s">
        <v>99</v>
      </c>
    </row>
    <row r="7839" spans="1:18" x14ac:dyDescent="0.3">
      <c r="A7839" t="s">
        <v>37</v>
      </c>
      <c r="B7839" t="s">
        <v>2275</v>
      </c>
      <c r="C7839">
        <v>167</v>
      </c>
      <c r="D7839" t="s">
        <v>554</v>
      </c>
      <c r="E7839" t="s">
        <v>151</v>
      </c>
      <c r="F7839" t="s">
        <v>99</v>
      </c>
      <c r="G7839" t="s">
        <v>99</v>
      </c>
      <c r="H7839" t="s">
        <v>99</v>
      </c>
      <c r="I7839" t="s">
        <v>99</v>
      </c>
      <c r="J7839" t="s">
        <v>99</v>
      </c>
      <c r="K7839" t="s">
        <v>99</v>
      </c>
      <c r="L7839" t="s">
        <v>652</v>
      </c>
      <c r="M7839" t="s">
        <v>115</v>
      </c>
      <c r="N7839" t="s">
        <v>103</v>
      </c>
      <c r="O7839" t="s">
        <v>147</v>
      </c>
      <c r="P7839" t="s">
        <v>99</v>
      </c>
      <c r="Q7839" t="s">
        <v>99</v>
      </c>
      <c r="R7839" t="s">
        <v>99</v>
      </c>
    </row>
    <row r="7840" spans="1:18" x14ac:dyDescent="0.3">
      <c r="A7840" t="s">
        <v>37</v>
      </c>
      <c r="B7840" t="s">
        <v>2276</v>
      </c>
      <c r="C7840">
        <v>53</v>
      </c>
      <c r="D7840" t="s">
        <v>342</v>
      </c>
      <c r="E7840" t="s">
        <v>842</v>
      </c>
      <c r="F7840" t="s">
        <v>99</v>
      </c>
      <c r="G7840" t="s">
        <v>74</v>
      </c>
      <c r="H7840" t="s">
        <v>99</v>
      </c>
      <c r="I7840" t="s">
        <v>117</v>
      </c>
      <c r="J7840" t="s">
        <v>536</v>
      </c>
      <c r="K7840" t="s">
        <v>684</v>
      </c>
      <c r="L7840" t="s">
        <v>99</v>
      </c>
      <c r="M7840" t="s">
        <v>319</v>
      </c>
      <c r="N7840" t="s">
        <v>231</v>
      </c>
      <c r="O7840" t="s">
        <v>508</v>
      </c>
      <c r="P7840" t="s">
        <v>712</v>
      </c>
      <c r="Q7840" t="s">
        <v>99</v>
      </c>
      <c r="R7840" t="s">
        <v>101</v>
      </c>
    </row>
    <row r="7841" spans="1:18" x14ac:dyDescent="0.3">
      <c r="A7841" t="s">
        <v>37</v>
      </c>
      <c r="B7841" t="s">
        <v>2277</v>
      </c>
      <c r="C7841">
        <v>344</v>
      </c>
      <c r="D7841" t="s">
        <v>188</v>
      </c>
      <c r="E7841" t="s">
        <v>597</v>
      </c>
      <c r="F7841" t="s">
        <v>126</v>
      </c>
      <c r="G7841" t="s">
        <v>412</v>
      </c>
      <c r="H7841" t="s">
        <v>99</v>
      </c>
      <c r="I7841" t="s">
        <v>141</v>
      </c>
      <c r="J7841" t="s">
        <v>395</v>
      </c>
      <c r="K7841" t="s">
        <v>41</v>
      </c>
      <c r="L7841" t="s">
        <v>99</v>
      </c>
      <c r="M7841" t="s">
        <v>121</v>
      </c>
      <c r="N7841" t="s">
        <v>482</v>
      </c>
      <c r="O7841" t="s">
        <v>814</v>
      </c>
      <c r="P7841" t="s">
        <v>292</v>
      </c>
      <c r="Q7841" t="s">
        <v>121</v>
      </c>
      <c r="R7841" t="s">
        <v>141</v>
      </c>
    </row>
    <row r="7842" spans="1:18" x14ac:dyDescent="0.3">
      <c r="A7842" t="s">
        <v>37</v>
      </c>
      <c r="B7842" t="s">
        <v>2278</v>
      </c>
      <c r="C7842">
        <v>376</v>
      </c>
      <c r="D7842" t="s">
        <v>406</v>
      </c>
      <c r="E7842" t="s">
        <v>601</v>
      </c>
      <c r="F7842" t="s">
        <v>151</v>
      </c>
      <c r="G7842" t="s">
        <v>136</v>
      </c>
      <c r="H7842" t="s">
        <v>198</v>
      </c>
      <c r="I7842" t="s">
        <v>215</v>
      </c>
      <c r="J7842" t="s">
        <v>470</v>
      </c>
      <c r="K7842" t="s">
        <v>468</v>
      </c>
      <c r="L7842" t="s">
        <v>99</v>
      </c>
      <c r="M7842" t="s">
        <v>207</v>
      </c>
      <c r="N7842" t="s">
        <v>255</v>
      </c>
      <c r="O7842" t="s">
        <v>294</v>
      </c>
      <c r="P7842" t="s">
        <v>132</v>
      </c>
      <c r="Q7842" t="s">
        <v>99</v>
      </c>
      <c r="R7842" t="s">
        <v>99</v>
      </c>
    </row>
    <row r="7843" spans="1:18" x14ac:dyDescent="0.3">
      <c r="A7843" t="s">
        <v>37</v>
      </c>
      <c r="B7843" t="s">
        <v>2279</v>
      </c>
      <c r="C7843">
        <v>352</v>
      </c>
      <c r="D7843" t="s">
        <v>405</v>
      </c>
      <c r="E7843" t="s">
        <v>985</v>
      </c>
      <c r="F7843" t="s">
        <v>158</v>
      </c>
      <c r="G7843" t="s">
        <v>126</v>
      </c>
      <c r="H7843" t="s">
        <v>99</v>
      </c>
      <c r="I7843" t="s">
        <v>115</v>
      </c>
      <c r="J7843" t="s">
        <v>145</v>
      </c>
      <c r="K7843" t="s">
        <v>160</v>
      </c>
      <c r="L7843" t="s">
        <v>99</v>
      </c>
      <c r="M7843" t="s">
        <v>292</v>
      </c>
      <c r="N7843" t="s">
        <v>536</v>
      </c>
      <c r="O7843" t="s">
        <v>242</v>
      </c>
      <c r="P7843" t="s">
        <v>121</v>
      </c>
      <c r="Q7843" t="s">
        <v>198</v>
      </c>
      <c r="R7843" t="s">
        <v>99</v>
      </c>
    </row>
    <row r="7844" spans="1:18" x14ac:dyDescent="0.3">
      <c r="A7844" t="s">
        <v>37</v>
      </c>
      <c r="B7844" t="s">
        <v>365</v>
      </c>
      <c r="C7844">
        <v>1</v>
      </c>
      <c r="D7844" t="s">
        <v>99</v>
      </c>
      <c r="E7844" t="s">
        <v>211</v>
      </c>
      <c r="F7844" t="s">
        <v>99</v>
      </c>
      <c r="G7844" t="s">
        <v>99</v>
      </c>
      <c r="H7844" t="s">
        <v>99</v>
      </c>
      <c r="I7844" t="s">
        <v>99</v>
      </c>
      <c r="J7844" t="s">
        <v>99</v>
      </c>
      <c r="K7844" t="s">
        <v>99</v>
      </c>
      <c r="L7844" t="s">
        <v>99</v>
      </c>
      <c r="M7844" t="s">
        <v>99</v>
      </c>
      <c r="N7844" t="s">
        <v>99</v>
      </c>
      <c r="O7844" t="s">
        <v>99</v>
      </c>
      <c r="P7844" t="s">
        <v>99</v>
      </c>
      <c r="Q7844" t="s">
        <v>99</v>
      </c>
      <c r="R7844" t="s">
        <v>99</v>
      </c>
    </row>
    <row r="7845" spans="1:18" x14ac:dyDescent="0.3">
      <c r="A7845" t="s">
        <v>36</v>
      </c>
      <c r="B7845" t="s">
        <v>973</v>
      </c>
      <c r="C7845">
        <v>40</v>
      </c>
      <c r="D7845" t="s">
        <v>607</v>
      </c>
      <c r="E7845" t="s">
        <v>723</v>
      </c>
      <c r="F7845" t="s">
        <v>99</v>
      </c>
      <c r="G7845" t="s">
        <v>99</v>
      </c>
      <c r="H7845" t="s">
        <v>99</v>
      </c>
      <c r="I7845" t="s">
        <v>99</v>
      </c>
      <c r="J7845" t="s">
        <v>100</v>
      </c>
      <c r="K7845" t="s">
        <v>127</v>
      </c>
      <c r="L7845" t="s">
        <v>123</v>
      </c>
      <c r="M7845" t="s">
        <v>99</v>
      </c>
      <c r="N7845" t="s">
        <v>39</v>
      </c>
      <c r="O7845" t="s">
        <v>663</v>
      </c>
      <c r="P7845" t="s">
        <v>128</v>
      </c>
      <c r="Q7845" t="s">
        <v>99</v>
      </c>
      <c r="R7845" t="s">
        <v>99</v>
      </c>
    </row>
    <row r="7846" spans="1:18" x14ac:dyDescent="0.3">
      <c r="A7846" t="s">
        <v>36</v>
      </c>
      <c r="B7846" t="s">
        <v>2268</v>
      </c>
      <c r="C7846">
        <v>53</v>
      </c>
      <c r="D7846" t="s">
        <v>1105</v>
      </c>
      <c r="E7846" t="s">
        <v>145</v>
      </c>
      <c r="F7846" t="s">
        <v>99</v>
      </c>
      <c r="G7846" t="s">
        <v>155</v>
      </c>
      <c r="H7846" t="s">
        <v>99</v>
      </c>
      <c r="I7846" t="s">
        <v>99</v>
      </c>
      <c r="J7846" t="s">
        <v>158</v>
      </c>
      <c r="K7846" t="s">
        <v>99</v>
      </c>
      <c r="L7846" t="s">
        <v>751</v>
      </c>
      <c r="M7846" t="s">
        <v>99</v>
      </c>
      <c r="N7846" t="s">
        <v>294</v>
      </c>
      <c r="O7846" t="s">
        <v>39</v>
      </c>
      <c r="P7846" t="s">
        <v>100</v>
      </c>
      <c r="Q7846" t="s">
        <v>99</v>
      </c>
      <c r="R7846" t="s">
        <v>416</v>
      </c>
    </row>
    <row r="7847" spans="1:18" x14ac:dyDescent="0.3">
      <c r="A7847" t="s">
        <v>36</v>
      </c>
      <c r="B7847" t="s">
        <v>2269</v>
      </c>
      <c r="C7847">
        <v>70</v>
      </c>
      <c r="D7847" t="s">
        <v>938</v>
      </c>
      <c r="E7847" t="s">
        <v>678</v>
      </c>
      <c r="F7847" t="s">
        <v>99</v>
      </c>
      <c r="G7847" t="s">
        <v>363</v>
      </c>
      <c r="H7847" t="s">
        <v>99</v>
      </c>
      <c r="I7847" t="s">
        <v>99</v>
      </c>
      <c r="J7847" t="s">
        <v>99</v>
      </c>
      <c r="K7847" t="s">
        <v>99</v>
      </c>
      <c r="L7847" t="s">
        <v>740</v>
      </c>
      <c r="M7847" t="s">
        <v>99</v>
      </c>
      <c r="N7847" t="s">
        <v>369</v>
      </c>
      <c r="O7847" t="s">
        <v>353</v>
      </c>
      <c r="P7847" t="s">
        <v>401</v>
      </c>
      <c r="Q7847" t="s">
        <v>99</v>
      </c>
      <c r="R7847" t="s">
        <v>99</v>
      </c>
    </row>
    <row r="7848" spans="1:18" x14ac:dyDescent="0.3">
      <c r="A7848" t="s">
        <v>36</v>
      </c>
      <c r="B7848" t="s">
        <v>2270</v>
      </c>
      <c r="C7848">
        <v>53</v>
      </c>
      <c r="D7848" t="s">
        <v>457</v>
      </c>
      <c r="E7848" t="s">
        <v>692</v>
      </c>
      <c r="F7848" t="s">
        <v>99</v>
      </c>
      <c r="G7848" t="s">
        <v>332</v>
      </c>
      <c r="H7848" t="s">
        <v>99</v>
      </c>
      <c r="I7848" t="s">
        <v>99</v>
      </c>
      <c r="J7848" t="s">
        <v>124</v>
      </c>
      <c r="K7848" t="s">
        <v>100</v>
      </c>
      <c r="L7848" t="s">
        <v>291</v>
      </c>
      <c r="M7848" t="s">
        <v>313</v>
      </c>
      <c r="N7848" t="s">
        <v>1494</v>
      </c>
      <c r="O7848" t="s">
        <v>482</v>
      </c>
      <c r="P7848" t="s">
        <v>141</v>
      </c>
      <c r="Q7848" t="s">
        <v>99</v>
      </c>
      <c r="R7848" t="s">
        <v>115</v>
      </c>
    </row>
    <row r="7849" spans="1:18" x14ac:dyDescent="0.3">
      <c r="A7849" t="s">
        <v>36</v>
      </c>
      <c r="B7849" t="s">
        <v>2271</v>
      </c>
      <c r="C7849">
        <v>327</v>
      </c>
      <c r="D7849" t="s">
        <v>738</v>
      </c>
      <c r="E7849" t="s">
        <v>446</v>
      </c>
      <c r="F7849" t="s">
        <v>100</v>
      </c>
      <c r="G7849" t="s">
        <v>110</v>
      </c>
      <c r="H7849" t="s">
        <v>99</v>
      </c>
      <c r="I7849" t="s">
        <v>117</v>
      </c>
      <c r="J7849" t="s">
        <v>124</v>
      </c>
      <c r="K7849" t="s">
        <v>127</v>
      </c>
      <c r="L7849" t="s">
        <v>198</v>
      </c>
      <c r="M7849" t="s">
        <v>113</v>
      </c>
      <c r="N7849" t="s">
        <v>156</v>
      </c>
      <c r="O7849" t="s">
        <v>1044</v>
      </c>
      <c r="P7849" t="s">
        <v>401</v>
      </c>
      <c r="Q7849" t="s">
        <v>198</v>
      </c>
      <c r="R7849" t="s">
        <v>158</v>
      </c>
    </row>
    <row r="7850" spans="1:18" x14ac:dyDescent="0.3">
      <c r="A7850" t="s">
        <v>36</v>
      </c>
      <c r="B7850" t="s">
        <v>2272</v>
      </c>
      <c r="C7850">
        <v>325</v>
      </c>
      <c r="D7850" t="s">
        <v>117</v>
      </c>
      <c r="E7850" t="s">
        <v>617</v>
      </c>
      <c r="F7850" t="s">
        <v>121</v>
      </c>
      <c r="G7850" t="s">
        <v>101</v>
      </c>
      <c r="H7850" t="s">
        <v>99</v>
      </c>
      <c r="I7850" t="s">
        <v>127</v>
      </c>
      <c r="J7850" t="s">
        <v>130</v>
      </c>
      <c r="K7850" t="s">
        <v>664</v>
      </c>
      <c r="L7850" t="s">
        <v>99</v>
      </c>
      <c r="M7850" t="s">
        <v>319</v>
      </c>
      <c r="N7850" t="s">
        <v>283</v>
      </c>
      <c r="O7850" t="s">
        <v>355</v>
      </c>
      <c r="P7850" t="s">
        <v>474</v>
      </c>
      <c r="Q7850" t="s">
        <v>99</v>
      </c>
      <c r="R7850" t="s">
        <v>104</v>
      </c>
    </row>
    <row r="7851" spans="1:18" x14ac:dyDescent="0.3">
      <c r="A7851" t="s">
        <v>36</v>
      </c>
      <c r="B7851" t="s">
        <v>2273</v>
      </c>
      <c r="C7851">
        <v>298</v>
      </c>
      <c r="D7851" t="s">
        <v>68</v>
      </c>
      <c r="E7851" t="s">
        <v>1187</v>
      </c>
      <c r="F7851" t="s">
        <v>149</v>
      </c>
      <c r="G7851" t="s">
        <v>121</v>
      </c>
      <c r="H7851" t="s">
        <v>99</v>
      </c>
      <c r="I7851" t="s">
        <v>198</v>
      </c>
      <c r="J7851" t="s">
        <v>107</v>
      </c>
      <c r="K7851" t="s">
        <v>144</v>
      </c>
      <c r="L7851" t="s">
        <v>99</v>
      </c>
      <c r="M7851" t="s">
        <v>99</v>
      </c>
      <c r="N7851" t="s">
        <v>307</v>
      </c>
      <c r="O7851" t="s">
        <v>710</v>
      </c>
      <c r="P7851" t="s">
        <v>332</v>
      </c>
      <c r="Q7851" t="s">
        <v>198</v>
      </c>
      <c r="R7851" t="s">
        <v>151</v>
      </c>
    </row>
    <row r="7852" spans="1:18" x14ac:dyDescent="0.3">
      <c r="A7852" t="s">
        <v>36</v>
      </c>
      <c r="B7852" t="s">
        <v>976</v>
      </c>
      <c r="C7852">
        <v>50</v>
      </c>
      <c r="D7852" t="s">
        <v>501</v>
      </c>
      <c r="E7852" t="s">
        <v>298</v>
      </c>
      <c r="F7852" t="s">
        <v>99</v>
      </c>
      <c r="G7852" t="s">
        <v>99</v>
      </c>
      <c r="H7852" t="s">
        <v>99</v>
      </c>
      <c r="I7852" t="s">
        <v>99</v>
      </c>
      <c r="J7852" t="s">
        <v>141</v>
      </c>
      <c r="K7852" t="s">
        <v>233</v>
      </c>
      <c r="L7852" t="s">
        <v>149</v>
      </c>
      <c r="M7852" t="s">
        <v>198</v>
      </c>
      <c r="N7852" t="s">
        <v>738</v>
      </c>
      <c r="O7852" t="s">
        <v>965</v>
      </c>
      <c r="P7852" t="s">
        <v>139</v>
      </c>
      <c r="Q7852" t="s">
        <v>99</v>
      </c>
      <c r="R7852" t="s">
        <v>114</v>
      </c>
    </row>
    <row r="7853" spans="1:18" x14ac:dyDescent="0.3">
      <c r="A7853" t="s">
        <v>36</v>
      </c>
      <c r="B7853" t="s">
        <v>2274</v>
      </c>
      <c r="C7853">
        <v>63</v>
      </c>
      <c r="D7853" t="s">
        <v>580</v>
      </c>
      <c r="E7853" t="s">
        <v>149</v>
      </c>
      <c r="F7853" t="s">
        <v>99</v>
      </c>
      <c r="G7853" t="s">
        <v>712</v>
      </c>
      <c r="H7853" t="s">
        <v>99</v>
      </c>
      <c r="I7853" t="s">
        <v>121</v>
      </c>
      <c r="J7853" t="s">
        <v>319</v>
      </c>
      <c r="K7853" t="s">
        <v>99</v>
      </c>
      <c r="L7853" t="s">
        <v>406</v>
      </c>
      <c r="M7853" t="s">
        <v>99</v>
      </c>
      <c r="N7853" t="s">
        <v>704</v>
      </c>
      <c r="O7853" t="s">
        <v>814</v>
      </c>
      <c r="P7853" t="s">
        <v>319</v>
      </c>
      <c r="Q7853" t="s">
        <v>99</v>
      </c>
      <c r="R7853" t="s">
        <v>721</v>
      </c>
    </row>
    <row r="7854" spans="1:18" x14ac:dyDescent="0.3">
      <c r="A7854" t="s">
        <v>36</v>
      </c>
      <c r="B7854" t="s">
        <v>2275</v>
      </c>
      <c r="C7854">
        <v>74</v>
      </c>
      <c r="D7854" t="s">
        <v>863</v>
      </c>
      <c r="E7854" t="s">
        <v>712</v>
      </c>
      <c r="F7854" t="s">
        <v>99</v>
      </c>
      <c r="G7854" t="s">
        <v>104</v>
      </c>
      <c r="H7854" t="s">
        <v>99</v>
      </c>
      <c r="I7854" t="s">
        <v>99</v>
      </c>
      <c r="J7854" t="s">
        <v>99</v>
      </c>
      <c r="K7854" t="s">
        <v>141</v>
      </c>
      <c r="L7854" t="s">
        <v>1107</v>
      </c>
      <c r="M7854" t="s">
        <v>99</v>
      </c>
      <c r="N7854" t="s">
        <v>684</v>
      </c>
      <c r="O7854" t="s">
        <v>114</v>
      </c>
      <c r="P7854" t="s">
        <v>99</v>
      </c>
      <c r="Q7854" t="s">
        <v>99</v>
      </c>
      <c r="R7854" t="s">
        <v>296</v>
      </c>
    </row>
    <row r="7855" spans="1:18" s="5" customFormat="1" x14ac:dyDescent="0.3">
      <c r="A7855" s="5" t="s">
        <v>36</v>
      </c>
      <c r="B7855" s="5" t="s">
        <v>2276</v>
      </c>
      <c r="C7855" s="5">
        <v>29</v>
      </c>
      <c r="D7855" s="5" t="s">
        <v>130</v>
      </c>
      <c r="E7855" s="5" t="s">
        <v>1058</v>
      </c>
      <c r="F7855" s="5" t="s">
        <v>114</v>
      </c>
      <c r="G7855" s="5" t="s">
        <v>132</v>
      </c>
      <c r="H7855" s="5" t="s">
        <v>99</v>
      </c>
      <c r="I7855" s="5" t="s">
        <v>99</v>
      </c>
      <c r="J7855" s="5" t="s">
        <v>372</v>
      </c>
      <c r="K7855" s="5" t="s">
        <v>117</v>
      </c>
      <c r="L7855" s="5" t="s">
        <v>99</v>
      </c>
      <c r="M7855" s="5" t="s">
        <v>99</v>
      </c>
      <c r="N7855" s="5" t="s">
        <v>112</v>
      </c>
      <c r="O7855" s="5" t="s">
        <v>106</v>
      </c>
      <c r="P7855" s="5" t="s">
        <v>127</v>
      </c>
      <c r="Q7855" s="5" t="s">
        <v>99</v>
      </c>
      <c r="R7855" s="5" t="s">
        <v>99</v>
      </c>
    </row>
    <row r="7856" spans="1:18" x14ac:dyDescent="0.3">
      <c r="A7856" t="s">
        <v>36</v>
      </c>
      <c r="B7856" t="s">
        <v>2277</v>
      </c>
      <c r="C7856">
        <v>194</v>
      </c>
      <c r="D7856" t="s">
        <v>701</v>
      </c>
      <c r="E7856" t="s">
        <v>808</v>
      </c>
      <c r="F7856" t="s">
        <v>104</v>
      </c>
      <c r="G7856" t="s">
        <v>129</v>
      </c>
      <c r="H7856" t="s">
        <v>99</v>
      </c>
      <c r="I7856" t="s">
        <v>141</v>
      </c>
      <c r="J7856" t="s">
        <v>739</v>
      </c>
      <c r="K7856" t="s">
        <v>134</v>
      </c>
      <c r="L7856" t="s">
        <v>99</v>
      </c>
      <c r="M7856" t="s">
        <v>104</v>
      </c>
      <c r="N7856" t="s">
        <v>749</v>
      </c>
      <c r="O7856" t="s">
        <v>125</v>
      </c>
      <c r="P7856" t="s">
        <v>325</v>
      </c>
      <c r="Q7856" t="s">
        <v>207</v>
      </c>
      <c r="R7856" t="s">
        <v>134</v>
      </c>
    </row>
    <row r="7857" spans="1:18" x14ac:dyDescent="0.3">
      <c r="A7857" t="s">
        <v>36</v>
      </c>
      <c r="B7857" t="s">
        <v>2278</v>
      </c>
      <c r="C7857">
        <v>198</v>
      </c>
      <c r="D7857" t="s">
        <v>142</v>
      </c>
      <c r="E7857" t="s">
        <v>955</v>
      </c>
      <c r="F7857" t="s">
        <v>712</v>
      </c>
      <c r="G7857" t="s">
        <v>134</v>
      </c>
      <c r="H7857" t="s">
        <v>99</v>
      </c>
      <c r="I7857" t="s">
        <v>207</v>
      </c>
      <c r="J7857" t="s">
        <v>731</v>
      </c>
      <c r="K7857" t="s">
        <v>412</v>
      </c>
      <c r="L7857" t="s">
        <v>99</v>
      </c>
      <c r="M7857" t="s">
        <v>99</v>
      </c>
      <c r="N7857" t="s">
        <v>116</v>
      </c>
      <c r="O7857" t="s">
        <v>689</v>
      </c>
      <c r="P7857" t="s">
        <v>268</v>
      </c>
      <c r="Q7857" t="s">
        <v>99</v>
      </c>
      <c r="R7857" t="s">
        <v>136</v>
      </c>
    </row>
    <row r="7858" spans="1:18" x14ac:dyDescent="0.3">
      <c r="A7858" t="s">
        <v>36</v>
      </c>
      <c r="B7858" t="s">
        <v>2279</v>
      </c>
      <c r="C7858">
        <v>170</v>
      </c>
      <c r="D7858" t="s">
        <v>109</v>
      </c>
      <c r="E7858" t="s">
        <v>575</v>
      </c>
      <c r="F7858" t="s">
        <v>114</v>
      </c>
      <c r="G7858" t="s">
        <v>132</v>
      </c>
      <c r="H7858" t="s">
        <v>99</v>
      </c>
      <c r="I7858" t="s">
        <v>99</v>
      </c>
      <c r="J7858" t="s">
        <v>242</v>
      </c>
      <c r="K7858" t="s">
        <v>68</v>
      </c>
      <c r="L7858" t="s">
        <v>99</v>
      </c>
      <c r="M7858" t="s">
        <v>141</v>
      </c>
      <c r="N7858" t="s">
        <v>156</v>
      </c>
      <c r="O7858" t="s">
        <v>368</v>
      </c>
      <c r="P7858" t="s">
        <v>198</v>
      </c>
      <c r="Q7858" t="s">
        <v>99</v>
      </c>
      <c r="R7858" t="s">
        <v>134</v>
      </c>
    </row>
    <row r="7859" spans="1:18" x14ac:dyDescent="0.3">
      <c r="A7859" t="s">
        <v>36</v>
      </c>
      <c r="B7859" t="s">
        <v>365</v>
      </c>
      <c r="C7859">
        <v>8</v>
      </c>
      <c r="D7859" t="s">
        <v>99</v>
      </c>
      <c r="E7859" t="s">
        <v>944</v>
      </c>
      <c r="F7859" t="s">
        <v>99</v>
      </c>
      <c r="G7859" t="s">
        <v>108</v>
      </c>
      <c r="H7859" t="s">
        <v>99</v>
      </c>
      <c r="I7859" t="s">
        <v>99</v>
      </c>
      <c r="J7859" t="s">
        <v>154</v>
      </c>
      <c r="K7859" t="s">
        <v>99</v>
      </c>
      <c r="L7859" t="s">
        <v>99</v>
      </c>
      <c r="M7859" t="s">
        <v>99</v>
      </c>
      <c r="N7859" t="s">
        <v>738</v>
      </c>
      <c r="O7859" t="s">
        <v>1236</v>
      </c>
      <c r="P7859" t="s">
        <v>99</v>
      </c>
      <c r="Q7859" t="s">
        <v>99</v>
      </c>
      <c r="R7859" t="s">
        <v>99</v>
      </c>
    </row>
    <row r="7860" spans="1:18" x14ac:dyDescent="0.3">
      <c r="A7860" t="s">
        <v>34</v>
      </c>
      <c r="B7860" t="s">
        <v>973</v>
      </c>
      <c r="C7860">
        <v>49</v>
      </c>
      <c r="D7860" t="s">
        <v>745</v>
      </c>
      <c r="E7860" t="s">
        <v>40</v>
      </c>
      <c r="F7860" t="s">
        <v>99</v>
      </c>
      <c r="G7860" t="s">
        <v>105</v>
      </c>
      <c r="H7860" t="s">
        <v>99</v>
      </c>
      <c r="I7860" t="s">
        <v>123</v>
      </c>
      <c r="J7860" t="s">
        <v>714</v>
      </c>
      <c r="K7860" t="s">
        <v>123</v>
      </c>
      <c r="L7860" t="s">
        <v>811</v>
      </c>
      <c r="M7860" t="s">
        <v>99</v>
      </c>
      <c r="N7860" t="s">
        <v>449</v>
      </c>
      <c r="O7860" t="s">
        <v>716</v>
      </c>
      <c r="P7860" t="s">
        <v>412</v>
      </c>
      <c r="Q7860" t="s">
        <v>99</v>
      </c>
      <c r="R7860" t="s">
        <v>99</v>
      </c>
    </row>
    <row r="7861" spans="1:18" x14ac:dyDescent="0.3">
      <c r="A7861" t="s">
        <v>34</v>
      </c>
      <c r="B7861" t="s">
        <v>2268</v>
      </c>
      <c r="C7861">
        <v>58</v>
      </c>
      <c r="D7861" t="s">
        <v>799</v>
      </c>
      <c r="E7861" t="s">
        <v>737</v>
      </c>
      <c r="F7861" t="s">
        <v>99</v>
      </c>
      <c r="G7861" t="s">
        <v>363</v>
      </c>
      <c r="H7861" t="s">
        <v>99</v>
      </c>
      <c r="I7861" t="s">
        <v>99</v>
      </c>
      <c r="J7861" t="s">
        <v>120</v>
      </c>
      <c r="K7861" t="s">
        <v>712</v>
      </c>
      <c r="L7861" t="s">
        <v>440</v>
      </c>
      <c r="M7861" t="s">
        <v>99</v>
      </c>
      <c r="N7861" t="s">
        <v>315</v>
      </c>
      <c r="O7861" t="s">
        <v>508</v>
      </c>
      <c r="P7861" t="s">
        <v>99</v>
      </c>
      <c r="Q7861" t="s">
        <v>99</v>
      </c>
      <c r="R7861" t="s">
        <v>99</v>
      </c>
    </row>
    <row r="7862" spans="1:18" x14ac:dyDescent="0.3">
      <c r="A7862" t="s">
        <v>34</v>
      </c>
      <c r="B7862" t="s">
        <v>2269</v>
      </c>
      <c r="C7862">
        <v>39</v>
      </c>
      <c r="D7862" t="s">
        <v>1049</v>
      </c>
      <c r="E7862" t="s">
        <v>291</v>
      </c>
      <c r="F7862" t="s">
        <v>99</v>
      </c>
      <c r="G7862" t="s">
        <v>99</v>
      </c>
      <c r="H7862" t="s">
        <v>99</v>
      </c>
      <c r="I7862" t="s">
        <v>99</v>
      </c>
      <c r="J7862" t="s">
        <v>248</v>
      </c>
      <c r="K7862" t="s">
        <v>103</v>
      </c>
      <c r="L7862" t="s">
        <v>54</v>
      </c>
      <c r="M7862" t="s">
        <v>99</v>
      </c>
      <c r="N7862" t="s">
        <v>110</v>
      </c>
      <c r="O7862" t="s">
        <v>434</v>
      </c>
      <c r="P7862" t="s">
        <v>99</v>
      </c>
      <c r="Q7862" t="s">
        <v>99</v>
      </c>
      <c r="R7862" t="s">
        <v>99</v>
      </c>
    </row>
    <row r="7863" spans="1:18" s="5" customFormat="1" x14ac:dyDescent="0.3">
      <c r="A7863" s="5" t="s">
        <v>34</v>
      </c>
      <c r="B7863" s="5" t="s">
        <v>2270</v>
      </c>
      <c r="C7863" s="5">
        <v>27</v>
      </c>
      <c r="D7863" s="5" t="s">
        <v>468</v>
      </c>
      <c r="E7863" s="5" t="s">
        <v>58</v>
      </c>
      <c r="F7863" s="5" t="s">
        <v>99</v>
      </c>
      <c r="G7863" s="5" t="s">
        <v>157</v>
      </c>
      <c r="H7863" s="5" t="s">
        <v>99</v>
      </c>
      <c r="I7863" s="5" t="s">
        <v>99</v>
      </c>
      <c r="J7863" s="5" t="s">
        <v>679</v>
      </c>
      <c r="K7863" s="5" t="s">
        <v>157</v>
      </c>
      <c r="L7863" s="5" t="s">
        <v>99</v>
      </c>
      <c r="M7863" s="5" t="s">
        <v>707</v>
      </c>
      <c r="N7863" s="5" t="s">
        <v>832</v>
      </c>
      <c r="O7863" s="5" t="s">
        <v>347</v>
      </c>
      <c r="P7863" s="5" t="s">
        <v>198</v>
      </c>
      <c r="Q7863" s="5" t="s">
        <v>99</v>
      </c>
      <c r="R7863" s="5" t="s">
        <v>68</v>
      </c>
    </row>
    <row r="7864" spans="1:18" x14ac:dyDescent="0.3">
      <c r="A7864" t="s">
        <v>34</v>
      </c>
      <c r="B7864" t="s">
        <v>2271</v>
      </c>
      <c r="C7864">
        <v>286</v>
      </c>
      <c r="D7864" t="s">
        <v>449</v>
      </c>
      <c r="E7864" t="s">
        <v>1232</v>
      </c>
      <c r="F7864" t="s">
        <v>121</v>
      </c>
      <c r="G7864" t="s">
        <v>134</v>
      </c>
      <c r="H7864" t="s">
        <v>99</v>
      </c>
      <c r="I7864" t="s">
        <v>121</v>
      </c>
      <c r="J7864" t="s">
        <v>72</v>
      </c>
      <c r="K7864" t="s">
        <v>111</v>
      </c>
      <c r="L7864" t="s">
        <v>99</v>
      </c>
      <c r="M7864" t="s">
        <v>680</v>
      </c>
      <c r="N7864" t="s">
        <v>1044</v>
      </c>
      <c r="O7864" t="s">
        <v>802</v>
      </c>
      <c r="P7864" t="s">
        <v>158</v>
      </c>
      <c r="Q7864" t="s">
        <v>127</v>
      </c>
      <c r="R7864" t="s">
        <v>319</v>
      </c>
    </row>
    <row r="7865" spans="1:18" x14ac:dyDescent="0.3">
      <c r="A7865" t="s">
        <v>34</v>
      </c>
      <c r="B7865" t="s">
        <v>2272</v>
      </c>
      <c r="C7865">
        <v>240</v>
      </c>
      <c r="D7865" t="s">
        <v>671</v>
      </c>
      <c r="E7865" t="s">
        <v>1259</v>
      </c>
      <c r="F7865" t="s">
        <v>120</v>
      </c>
      <c r="G7865" t="s">
        <v>114</v>
      </c>
      <c r="H7865" t="s">
        <v>99</v>
      </c>
      <c r="I7865" t="s">
        <v>121</v>
      </c>
      <c r="J7865" t="s">
        <v>325</v>
      </c>
      <c r="K7865" t="s">
        <v>105</v>
      </c>
      <c r="L7865" t="s">
        <v>99</v>
      </c>
      <c r="M7865" t="s">
        <v>198</v>
      </c>
      <c r="N7865" t="s">
        <v>670</v>
      </c>
      <c r="O7865" t="s">
        <v>184</v>
      </c>
      <c r="P7865" t="s">
        <v>110</v>
      </c>
      <c r="Q7865" t="s">
        <v>382</v>
      </c>
      <c r="R7865" t="s">
        <v>99</v>
      </c>
    </row>
    <row r="7866" spans="1:18" x14ac:dyDescent="0.3">
      <c r="A7866" t="s">
        <v>34</v>
      </c>
      <c r="B7866" t="s">
        <v>2273</v>
      </c>
      <c r="C7866">
        <v>241</v>
      </c>
      <c r="D7866" t="s">
        <v>291</v>
      </c>
      <c r="E7866" t="s">
        <v>1079</v>
      </c>
      <c r="F7866" t="s">
        <v>319</v>
      </c>
      <c r="G7866" t="s">
        <v>316</v>
      </c>
      <c r="H7866" t="s">
        <v>99</v>
      </c>
      <c r="I7866" t="s">
        <v>198</v>
      </c>
      <c r="J7866" t="s">
        <v>120</v>
      </c>
      <c r="K7866" t="s">
        <v>474</v>
      </c>
      <c r="L7866" t="s">
        <v>99</v>
      </c>
      <c r="M7866" t="s">
        <v>99</v>
      </c>
      <c r="N7866" t="s">
        <v>860</v>
      </c>
      <c r="O7866" t="s">
        <v>474</v>
      </c>
      <c r="P7866" t="s">
        <v>117</v>
      </c>
      <c r="Q7866" t="s">
        <v>99</v>
      </c>
      <c r="R7866" t="s">
        <v>99</v>
      </c>
    </row>
    <row r="7867" spans="1:18" x14ac:dyDescent="0.3">
      <c r="A7867" t="s">
        <v>34</v>
      </c>
      <c r="B7867" t="s">
        <v>976</v>
      </c>
      <c r="C7867">
        <v>46</v>
      </c>
      <c r="D7867" t="s">
        <v>810</v>
      </c>
      <c r="E7867" t="s">
        <v>911</v>
      </c>
      <c r="F7867" t="s">
        <v>99</v>
      </c>
      <c r="G7867" t="s">
        <v>99</v>
      </c>
      <c r="H7867" t="s">
        <v>99</v>
      </c>
      <c r="I7867" t="s">
        <v>99</v>
      </c>
      <c r="J7867" t="s">
        <v>115</v>
      </c>
      <c r="K7867" t="s">
        <v>138</v>
      </c>
      <c r="L7867" t="s">
        <v>41</v>
      </c>
      <c r="M7867" t="s">
        <v>120</v>
      </c>
      <c r="N7867" t="s">
        <v>732</v>
      </c>
      <c r="O7867" t="s">
        <v>692</v>
      </c>
      <c r="P7867" t="s">
        <v>99</v>
      </c>
      <c r="Q7867" t="s">
        <v>99</v>
      </c>
      <c r="R7867" t="s">
        <v>99</v>
      </c>
    </row>
    <row r="7868" spans="1:18" x14ac:dyDescent="0.3">
      <c r="A7868" t="s">
        <v>34</v>
      </c>
      <c r="B7868" t="s">
        <v>2274</v>
      </c>
      <c r="C7868">
        <v>46</v>
      </c>
      <c r="D7868" t="s">
        <v>555</v>
      </c>
      <c r="E7868" t="s">
        <v>461</v>
      </c>
      <c r="F7868" t="s">
        <v>104</v>
      </c>
      <c r="G7868" t="s">
        <v>328</v>
      </c>
      <c r="H7868" t="s">
        <v>99</v>
      </c>
      <c r="I7868" t="s">
        <v>474</v>
      </c>
      <c r="J7868" t="s">
        <v>110</v>
      </c>
      <c r="K7868" t="s">
        <v>99</v>
      </c>
      <c r="L7868" t="s">
        <v>171</v>
      </c>
      <c r="M7868" t="s">
        <v>198</v>
      </c>
      <c r="N7868" t="s">
        <v>143</v>
      </c>
      <c r="O7868" t="s">
        <v>837</v>
      </c>
      <c r="P7868" t="s">
        <v>99</v>
      </c>
      <c r="Q7868" t="s">
        <v>99</v>
      </c>
      <c r="R7868" t="s">
        <v>99</v>
      </c>
    </row>
    <row r="7869" spans="1:18" x14ac:dyDescent="0.3">
      <c r="A7869" t="s">
        <v>34</v>
      </c>
      <c r="B7869" t="s">
        <v>2275</v>
      </c>
      <c r="C7869">
        <v>46</v>
      </c>
      <c r="D7869" t="s">
        <v>1188</v>
      </c>
      <c r="E7869" t="s">
        <v>222</v>
      </c>
      <c r="F7869" t="s">
        <v>99</v>
      </c>
      <c r="G7869" t="s">
        <v>434</v>
      </c>
      <c r="H7869" t="s">
        <v>99</v>
      </c>
      <c r="I7869" t="s">
        <v>99</v>
      </c>
      <c r="J7869" t="s">
        <v>292</v>
      </c>
      <c r="K7869" t="s">
        <v>99</v>
      </c>
      <c r="L7869" t="s">
        <v>393</v>
      </c>
      <c r="M7869" t="s">
        <v>99</v>
      </c>
      <c r="N7869" t="s">
        <v>807</v>
      </c>
      <c r="O7869" t="s">
        <v>68</v>
      </c>
      <c r="P7869" t="s">
        <v>292</v>
      </c>
      <c r="Q7869" t="s">
        <v>99</v>
      </c>
      <c r="R7869" t="s">
        <v>99</v>
      </c>
    </row>
    <row r="7870" spans="1:18" s="5" customFormat="1" x14ac:dyDescent="0.3">
      <c r="A7870" s="5" t="s">
        <v>34</v>
      </c>
      <c r="B7870" s="5" t="s">
        <v>2276</v>
      </c>
      <c r="C7870" s="5">
        <v>28</v>
      </c>
      <c r="D7870" s="5" t="s">
        <v>342</v>
      </c>
      <c r="E7870" s="5" t="s">
        <v>838</v>
      </c>
      <c r="F7870" s="5" t="s">
        <v>99</v>
      </c>
      <c r="G7870" s="5" t="s">
        <v>147</v>
      </c>
      <c r="H7870" s="5" t="s">
        <v>99</v>
      </c>
      <c r="I7870" s="5" t="s">
        <v>99</v>
      </c>
      <c r="J7870" s="5" t="s">
        <v>718</v>
      </c>
      <c r="K7870" s="5" t="s">
        <v>675</v>
      </c>
      <c r="L7870" s="5" t="s">
        <v>99</v>
      </c>
      <c r="M7870" s="5" t="s">
        <v>412</v>
      </c>
      <c r="N7870" s="5" t="s">
        <v>58</v>
      </c>
      <c r="O7870" s="5" t="s">
        <v>112</v>
      </c>
      <c r="P7870" s="5" t="s">
        <v>99</v>
      </c>
      <c r="Q7870" s="5" t="s">
        <v>99</v>
      </c>
      <c r="R7870" s="5" t="s">
        <v>99</v>
      </c>
    </row>
    <row r="7871" spans="1:18" x14ac:dyDescent="0.3">
      <c r="A7871" t="s">
        <v>34</v>
      </c>
      <c r="B7871" t="s">
        <v>2277</v>
      </c>
      <c r="C7871">
        <v>205</v>
      </c>
      <c r="D7871" t="s">
        <v>244</v>
      </c>
      <c r="E7871" t="s">
        <v>561</v>
      </c>
      <c r="F7871" t="s">
        <v>99</v>
      </c>
      <c r="G7871" t="s">
        <v>127</v>
      </c>
      <c r="H7871" t="s">
        <v>99</v>
      </c>
      <c r="I7871" t="s">
        <v>157</v>
      </c>
      <c r="J7871" t="s">
        <v>676</v>
      </c>
      <c r="K7871" t="s">
        <v>152</v>
      </c>
      <c r="L7871" t="s">
        <v>99</v>
      </c>
      <c r="M7871" t="s">
        <v>99</v>
      </c>
      <c r="N7871" t="s">
        <v>811</v>
      </c>
      <c r="O7871" t="s">
        <v>264</v>
      </c>
      <c r="P7871" t="s">
        <v>204</v>
      </c>
      <c r="Q7871" t="s">
        <v>319</v>
      </c>
      <c r="R7871" t="s">
        <v>104</v>
      </c>
    </row>
    <row r="7872" spans="1:18" x14ac:dyDescent="0.3">
      <c r="A7872" t="s">
        <v>34</v>
      </c>
      <c r="B7872" t="s">
        <v>2278</v>
      </c>
      <c r="C7872">
        <v>145</v>
      </c>
      <c r="D7872" t="s">
        <v>716</v>
      </c>
      <c r="E7872" t="s">
        <v>573</v>
      </c>
      <c r="F7872" t="s">
        <v>332</v>
      </c>
      <c r="G7872" t="s">
        <v>123</v>
      </c>
      <c r="H7872" t="s">
        <v>99</v>
      </c>
      <c r="I7872" t="s">
        <v>126</v>
      </c>
      <c r="J7872" t="s">
        <v>401</v>
      </c>
      <c r="K7872" t="s">
        <v>98</v>
      </c>
      <c r="L7872" t="s">
        <v>99</v>
      </c>
      <c r="M7872" t="s">
        <v>99</v>
      </c>
      <c r="N7872" t="s">
        <v>231</v>
      </c>
      <c r="O7872" t="s">
        <v>721</v>
      </c>
      <c r="P7872" t="s">
        <v>70</v>
      </c>
      <c r="Q7872" t="s">
        <v>114</v>
      </c>
      <c r="R7872" t="s">
        <v>99</v>
      </c>
    </row>
    <row r="7873" spans="1:18" x14ac:dyDescent="0.3">
      <c r="A7873" t="s">
        <v>34</v>
      </c>
      <c r="B7873" t="s">
        <v>2279</v>
      </c>
      <c r="C7873">
        <v>134</v>
      </c>
      <c r="D7873" t="s">
        <v>412</v>
      </c>
      <c r="E7873" t="s">
        <v>486</v>
      </c>
      <c r="F7873" t="s">
        <v>151</v>
      </c>
      <c r="G7873" t="s">
        <v>115</v>
      </c>
      <c r="H7873" t="s">
        <v>99</v>
      </c>
      <c r="I7873" t="s">
        <v>123</v>
      </c>
      <c r="J7873" t="s">
        <v>130</v>
      </c>
      <c r="K7873" t="s">
        <v>299</v>
      </c>
      <c r="L7873" t="s">
        <v>99</v>
      </c>
      <c r="M7873" t="s">
        <v>99</v>
      </c>
      <c r="N7873" t="s">
        <v>167</v>
      </c>
      <c r="O7873" t="s">
        <v>675</v>
      </c>
      <c r="P7873" t="s">
        <v>332</v>
      </c>
      <c r="Q7873" t="s">
        <v>99</v>
      </c>
      <c r="R7873" t="s">
        <v>99</v>
      </c>
    </row>
    <row r="7874" spans="1:18" x14ac:dyDescent="0.3">
      <c r="A7874" t="s">
        <v>34</v>
      </c>
      <c r="B7874" t="s">
        <v>365</v>
      </c>
      <c r="C7874">
        <v>7</v>
      </c>
      <c r="D7874" t="s">
        <v>721</v>
      </c>
      <c r="E7874" t="s">
        <v>985</v>
      </c>
      <c r="F7874" t="s">
        <v>99</v>
      </c>
      <c r="G7874" t="s">
        <v>99</v>
      </c>
      <c r="H7874" t="s">
        <v>99</v>
      </c>
      <c r="I7874" t="s">
        <v>99</v>
      </c>
      <c r="J7874" t="s">
        <v>99</v>
      </c>
      <c r="K7874" t="s">
        <v>99</v>
      </c>
      <c r="L7874" t="s">
        <v>99</v>
      </c>
      <c r="M7874" t="s">
        <v>99</v>
      </c>
      <c r="N7874" t="s">
        <v>721</v>
      </c>
      <c r="O7874" t="s">
        <v>99</v>
      </c>
      <c r="P7874" t="s">
        <v>99</v>
      </c>
      <c r="Q7874" t="s">
        <v>99</v>
      </c>
      <c r="R7874" t="s">
        <v>99</v>
      </c>
    </row>
    <row r="7875" spans="1:18" x14ac:dyDescent="0.3">
      <c r="A7875" t="s">
        <v>33</v>
      </c>
      <c r="B7875" t="s">
        <v>973</v>
      </c>
      <c r="C7875">
        <v>40</v>
      </c>
      <c r="D7875" t="s">
        <v>146</v>
      </c>
      <c r="E7875" t="s">
        <v>289</v>
      </c>
      <c r="F7875" t="s">
        <v>99</v>
      </c>
      <c r="G7875" t="s">
        <v>268</v>
      </c>
      <c r="H7875" t="s">
        <v>99</v>
      </c>
      <c r="I7875" t="s">
        <v>99</v>
      </c>
      <c r="J7875" t="s">
        <v>700</v>
      </c>
      <c r="K7875" t="s">
        <v>254</v>
      </c>
      <c r="L7875" t="s">
        <v>508</v>
      </c>
      <c r="M7875" t="s">
        <v>99</v>
      </c>
      <c r="N7875" t="s">
        <v>315</v>
      </c>
      <c r="O7875" t="s">
        <v>749</v>
      </c>
      <c r="P7875" t="s">
        <v>99</v>
      </c>
      <c r="Q7875" t="s">
        <v>99</v>
      </c>
      <c r="R7875" t="s">
        <v>99</v>
      </c>
    </row>
    <row r="7876" spans="1:18" x14ac:dyDescent="0.3">
      <c r="A7876" t="s">
        <v>33</v>
      </c>
      <c r="B7876" t="s">
        <v>2268</v>
      </c>
      <c r="C7876">
        <v>59</v>
      </c>
      <c r="D7876" t="s">
        <v>913</v>
      </c>
      <c r="E7876" t="s">
        <v>420</v>
      </c>
      <c r="F7876" t="s">
        <v>99</v>
      </c>
      <c r="G7876" t="s">
        <v>147</v>
      </c>
      <c r="H7876" t="s">
        <v>99</v>
      </c>
      <c r="I7876" t="s">
        <v>99</v>
      </c>
      <c r="J7876" t="s">
        <v>722</v>
      </c>
      <c r="K7876" t="s">
        <v>319</v>
      </c>
      <c r="L7876" t="s">
        <v>807</v>
      </c>
      <c r="M7876" t="s">
        <v>99</v>
      </c>
      <c r="N7876" t="s">
        <v>542</v>
      </c>
      <c r="O7876" t="s">
        <v>410</v>
      </c>
      <c r="P7876" t="s">
        <v>123</v>
      </c>
      <c r="Q7876" t="s">
        <v>123</v>
      </c>
      <c r="R7876" t="s">
        <v>99</v>
      </c>
    </row>
    <row r="7877" spans="1:18" x14ac:dyDescent="0.3">
      <c r="A7877" t="s">
        <v>33</v>
      </c>
      <c r="B7877" t="s">
        <v>2269</v>
      </c>
      <c r="C7877">
        <v>63</v>
      </c>
      <c r="D7877" t="s">
        <v>935</v>
      </c>
      <c r="E7877" t="s">
        <v>215</v>
      </c>
      <c r="F7877" t="s">
        <v>99</v>
      </c>
      <c r="G7877" t="s">
        <v>99</v>
      </c>
      <c r="H7877" t="s">
        <v>99</v>
      </c>
      <c r="I7877" t="s">
        <v>99</v>
      </c>
      <c r="J7877" t="s">
        <v>120</v>
      </c>
      <c r="K7877" t="s">
        <v>99</v>
      </c>
      <c r="L7877" t="s">
        <v>1110</v>
      </c>
      <c r="M7877" t="s">
        <v>99</v>
      </c>
      <c r="N7877" t="s">
        <v>408</v>
      </c>
      <c r="O7877" t="s">
        <v>107</v>
      </c>
      <c r="P7877" t="s">
        <v>99</v>
      </c>
      <c r="Q7877" t="s">
        <v>99</v>
      </c>
      <c r="R7877" t="s">
        <v>99</v>
      </c>
    </row>
    <row r="7878" spans="1:18" x14ac:dyDescent="0.3">
      <c r="A7878" t="s">
        <v>33</v>
      </c>
      <c r="B7878" t="s">
        <v>2270</v>
      </c>
      <c r="C7878">
        <v>49</v>
      </c>
      <c r="D7878" t="s">
        <v>197</v>
      </c>
      <c r="E7878" t="s">
        <v>262</v>
      </c>
      <c r="F7878" t="s">
        <v>99</v>
      </c>
      <c r="G7878" t="s">
        <v>99</v>
      </c>
      <c r="H7878" t="s">
        <v>99</v>
      </c>
      <c r="I7878" t="s">
        <v>99</v>
      </c>
      <c r="J7878" t="s">
        <v>123</v>
      </c>
      <c r="K7878" t="s">
        <v>123</v>
      </c>
      <c r="L7878" t="s">
        <v>99</v>
      </c>
      <c r="M7878" t="s">
        <v>708</v>
      </c>
      <c r="N7878" t="s">
        <v>629</v>
      </c>
      <c r="O7878" t="s">
        <v>1115</v>
      </c>
      <c r="P7878" t="s">
        <v>474</v>
      </c>
      <c r="Q7878" t="s">
        <v>99</v>
      </c>
      <c r="R7878" t="s">
        <v>128</v>
      </c>
    </row>
    <row r="7879" spans="1:18" x14ac:dyDescent="0.3">
      <c r="A7879" t="s">
        <v>33</v>
      </c>
      <c r="B7879" t="s">
        <v>2271</v>
      </c>
      <c r="C7879">
        <v>267</v>
      </c>
      <c r="D7879" t="s">
        <v>691</v>
      </c>
      <c r="E7879" t="s">
        <v>868</v>
      </c>
      <c r="F7879" t="s">
        <v>114</v>
      </c>
      <c r="G7879" t="s">
        <v>101</v>
      </c>
      <c r="H7879" t="s">
        <v>99</v>
      </c>
      <c r="I7879" t="s">
        <v>99</v>
      </c>
      <c r="J7879" t="s">
        <v>139</v>
      </c>
      <c r="K7879" t="s">
        <v>328</v>
      </c>
      <c r="L7879" t="s">
        <v>99</v>
      </c>
      <c r="M7879" t="s">
        <v>482</v>
      </c>
      <c r="N7879" t="s">
        <v>916</v>
      </c>
      <c r="O7879" t="s">
        <v>457</v>
      </c>
      <c r="P7879" t="s">
        <v>103</v>
      </c>
      <c r="Q7879" t="s">
        <v>101</v>
      </c>
      <c r="R7879" t="s">
        <v>136</v>
      </c>
    </row>
    <row r="7880" spans="1:18" x14ac:dyDescent="0.3">
      <c r="A7880" t="s">
        <v>33</v>
      </c>
      <c r="B7880" t="s">
        <v>2272</v>
      </c>
      <c r="C7880">
        <v>249</v>
      </c>
      <c r="D7880" t="s">
        <v>746</v>
      </c>
      <c r="E7880" t="s">
        <v>552</v>
      </c>
      <c r="F7880" t="s">
        <v>268</v>
      </c>
      <c r="G7880" t="s">
        <v>136</v>
      </c>
      <c r="H7880" t="s">
        <v>141</v>
      </c>
      <c r="I7880" t="s">
        <v>115</v>
      </c>
      <c r="J7880" t="s">
        <v>70</v>
      </c>
      <c r="K7880" t="s">
        <v>291</v>
      </c>
      <c r="L7880" t="s">
        <v>99</v>
      </c>
      <c r="M7880" t="s">
        <v>123</v>
      </c>
      <c r="N7880" t="s">
        <v>742</v>
      </c>
      <c r="O7880" t="s">
        <v>291</v>
      </c>
      <c r="P7880" t="s">
        <v>101</v>
      </c>
      <c r="Q7880" t="s">
        <v>99</v>
      </c>
      <c r="R7880" t="s">
        <v>101</v>
      </c>
    </row>
    <row r="7881" spans="1:18" x14ac:dyDescent="0.3">
      <c r="A7881" t="s">
        <v>33</v>
      </c>
      <c r="B7881" t="s">
        <v>2273</v>
      </c>
      <c r="C7881">
        <v>298</v>
      </c>
      <c r="D7881" t="s">
        <v>233</v>
      </c>
      <c r="E7881" t="s">
        <v>520</v>
      </c>
      <c r="F7881" t="s">
        <v>115</v>
      </c>
      <c r="G7881" t="s">
        <v>136</v>
      </c>
      <c r="H7881" t="s">
        <v>99</v>
      </c>
      <c r="I7881" t="s">
        <v>127</v>
      </c>
      <c r="J7881" t="s">
        <v>145</v>
      </c>
      <c r="K7881" t="s">
        <v>305</v>
      </c>
      <c r="L7881" t="s">
        <v>99</v>
      </c>
      <c r="M7881" t="s">
        <v>108</v>
      </c>
      <c r="N7881" t="s">
        <v>802</v>
      </c>
      <c r="O7881" t="s">
        <v>109</v>
      </c>
      <c r="P7881" t="s">
        <v>253</v>
      </c>
      <c r="Q7881" t="s">
        <v>99</v>
      </c>
      <c r="R7881" t="s">
        <v>207</v>
      </c>
    </row>
    <row r="7882" spans="1:18" x14ac:dyDescent="0.3">
      <c r="A7882" t="s">
        <v>33</v>
      </c>
      <c r="B7882" t="s">
        <v>976</v>
      </c>
      <c r="C7882">
        <v>54</v>
      </c>
      <c r="D7882" t="s">
        <v>64</v>
      </c>
      <c r="E7882" t="s">
        <v>738</v>
      </c>
      <c r="F7882" t="s">
        <v>99</v>
      </c>
      <c r="G7882" t="s">
        <v>99</v>
      </c>
      <c r="H7882" t="s">
        <v>99</v>
      </c>
      <c r="I7882" t="s">
        <v>99</v>
      </c>
      <c r="J7882" t="s">
        <v>154</v>
      </c>
      <c r="K7882" t="s">
        <v>158</v>
      </c>
      <c r="L7882" t="s">
        <v>154</v>
      </c>
      <c r="M7882" t="s">
        <v>215</v>
      </c>
      <c r="N7882" t="s">
        <v>156</v>
      </c>
      <c r="O7882" t="s">
        <v>809</v>
      </c>
      <c r="P7882" t="s">
        <v>99</v>
      </c>
      <c r="Q7882" t="s">
        <v>99</v>
      </c>
      <c r="R7882" t="s">
        <v>99</v>
      </c>
    </row>
    <row r="7883" spans="1:18" x14ac:dyDescent="0.3">
      <c r="A7883" t="s">
        <v>33</v>
      </c>
      <c r="B7883" t="s">
        <v>2274</v>
      </c>
      <c r="C7883">
        <v>47</v>
      </c>
      <c r="D7883" t="s">
        <v>793</v>
      </c>
      <c r="E7883" t="s">
        <v>158</v>
      </c>
      <c r="F7883" t="s">
        <v>99</v>
      </c>
      <c r="G7883" t="s">
        <v>99</v>
      </c>
      <c r="H7883" t="s">
        <v>99</v>
      </c>
      <c r="I7883" t="s">
        <v>99</v>
      </c>
      <c r="J7883" t="s">
        <v>268</v>
      </c>
      <c r="K7883" t="s">
        <v>215</v>
      </c>
      <c r="L7883" t="s">
        <v>307</v>
      </c>
      <c r="M7883" t="s">
        <v>99</v>
      </c>
      <c r="N7883" t="s">
        <v>255</v>
      </c>
      <c r="O7883" t="s">
        <v>423</v>
      </c>
      <c r="P7883" t="s">
        <v>99</v>
      </c>
      <c r="Q7883" t="s">
        <v>99</v>
      </c>
      <c r="R7883" t="s">
        <v>99</v>
      </c>
    </row>
    <row r="7884" spans="1:18" x14ac:dyDescent="0.3">
      <c r="A7884" t="s">
        <v>33</v>
      </c>
      <c r="B7884" t="s">
        <v>2275</v>
      </c>
      <c r="C7884">
        <v>62</v>
      </c>
      <c r="D7884" t="s">
        <v>620</v>
      </c>
      <c r="E7884" t="s">
        <v>332</v>
      </c>
      <c r="F7884" t="s">
        <v>99</v>
      </c>
      <c r="G7884" t="s">
        <v>99</v>
      </c>
      <c r="H7884" t="s">
        <v>99</v>
      </c>
      <c r="I7884" t="s">
        <v>99</v>
      </c>
      <c r="J7884" t="s">
        <v>107</v>
      </c>
      <c r="K7884" t="s">
        <v>99</v>
      </c>
      <c r="L7884" t="s">
        <v>571</v>
      </c>
      <c r="M7884" t="s">
        <v>99</v>
      </c>
      <c r="N7884" t="s">
        <v>118</v>
      </c>
      <c r="O7884" t="s">
        <v>215</v>
      </c>
      <c r="P7884" t="s">
        <v>150</v>
      </c>
      <c r="Q7884" t="s">
        <v>99</v>
      </c>
      <c r="R7884" t="s">
        <v>99</v>
      </c>
    </row>
    <row r="7885" spans="1:18" s="5" customFormat="1" x14ac:dyDescent="0.3">
      <c r="A7885" s="5" t="s">
        <v>33</v>
      </c>
      <c r="B7885" s="5" t="s">
        <v>2276</v>
      </c>
      <c r="C7885" s="5">
        <v>27</v>
      </c>
      <c r="D7885" s="5" t="s">
        <v>674</v>
      </c>
      <c r="E7885" s="5" t="s">
        <v>406</v>
      </c>
      <c r="F7885" s="5" t="s">
        <v>99</v>
      </c>
      <c r="G7885" s="5" t="s">
        <v>99</v>
      </c>
      <c r="H7885" s="5" t="s">
        <v>99</v>
      </c>
      <c r="I7885" s="5" t="s">
        <v>99</v>
      </c>
      <c r="J7885" s="5" t="s">
        <v>155</v>
      </c>
      <c r="K7885" s="5" t="s">
        <v>171</v>
      </c>
      <c r="L7885" s="5" t="s">
        <v>99</v>
      </c>
      <c r="M7885" s="5" t="s">
        <v>99</v>
      </c>
      <c r="N7885" s="5" t="s">
        <v>748</v>
      </c>
      <c r="O7885" s="5" t="s">
        <v>597</v>
      </c>
      <c r="P7885" s="5" t="s">
        <v>99</v>
      </c>
      <c r="Q7885" s="5" t="s">
        <v>434</v>
      </c>
      <c r="R7885" s="5" t="s">
        <v>99</v>
      </c>
    </row>
    <row r="7886" spans="1:18" x14ac:dyDescent="0.3">
      <c r="A7886" t="s">
        <v>33</v>
      </c>
      <c r="B7886" t="s">
        <v>2277</v>
      </c>
      <c r="C7886">
        <v>170</v>
      </c>
      <c r="D7886" t="s">
        <v>465</v>
      </c>
      <c r="E7886" t="s">
        <v>347</v>
      </c>
      <c r="F7886" t="s">
        <v>99</v>
      </c>
      <c r="G7886" t="s">
        <v>120</v>
      </c>
      <c r="H7886" t="s">
        <v>99</v>
      </c>
      <c r="I7886" t="s">
        <v>103</v>
      </c>
      <c r="J7886" t="s">
        <v>177</v>
      </c>
      <c r="K7886" t="s">
        <v>206</v>
      </c>
      <c r="L7886" t="s">
        <v>99</v>
      </c>
      <c r="M7886" t="s">
        <v>99</v>
      </c>
      <c r="N7886" t="s">
        <v>691</v>
      </c>
      <c r="O7886" t="s">
        <v>39</v>
      </c>
      <c r="P7886" t="s">
        <v>154</v>
      </c>
      <c r="Q7886" t="s">
        <v>99</v>
      </c>
      <c r="R7886" t="s">
        <v>141</v>
      </c>
    </row>
    <row r="7887" spans="1:18" x14ac:dyDescent="0.3">
      <c r="A7887" t="s">
        <v>33</v>
      </c>
      <c r="B7887" t="s">
        <v>2278</v>
      </c>
      <c r="C7887">
        <v>155</v>
      </c>
      <c r="D7887" t="s">
        <v>125</v>
      </c>
      <c r="E7887" t="s">
        <v>957</v>
      </c>
      <c r="F7887" t="s">
        <v>363</v>
      </c>
      <c r="G7887" t="s">
        <v>111</v>
      </c>
      <c r="H7887" t="s">
        <v>99</v>
      </c>
      <c r="I7887" t="s">
        <v>115</v>
      </c>
      <c r="J7887" t="s">
        <v>76</v>
      </c>
      <c r="K7887" t="s">
        <v>721</v>
      </c>
      <c r="L7887" t="s">
        <v>99</v>
      </c>
      <c r="M7887" t="s">
        <v>99</v>
      </c>
      <c r="N7887" t="s">
        <v>488</v>
      </c>
      <c r="O7887" t="s">
        <v>714</v>
      </c>
      <c r="P7887" t="s">
        <v>319</v>
      </c>
      <c r="Q7887" t="s">
        <v>99</v>
      </c>
      <c r="R7887" t="s">
        <v>99</v>
      </c>
    </row>
    <row r="7888" spans="1:18" x14ac:dyDescent="0.3">
      <c r="A7888" t="s">
        <v>33</v>
      </c>
      <c r="B7888" t="s">
        <v>2279</v>
      </c>
      <c r="C7888">
        <v>160</v>
      </c>
      <c r="D7888" t="s">
        <v>145</v>
      </c>
      <c r="E7888" t="s">
        <v>1327</v>
      </c>
      <c r="F7888" t="s">
        <v>149</v>
      </c>
      <c r="G7888" t="s">
        <v>253</v>
      </c>
      <c r="H7888" t="s">
        <v>99</v>
      </c>
      <c r="I7888" t="s">
        <v>99</v>
      </c>
      <c r="J7888" t="s">
        <v>109</v>
      </c>
      <c r="K7888" t="s">
        <v>672</v>
      </c>
      <c r="L7888" t="s">
        <v>99</v>
      </c>
      <c r="M7888" t="s">
        <v>99</v>
      </c>
      <c r="N7888" t="s">
        <v>670</v>
      </c>
      <c r="O7888" t="s">
        <v>328</v>
      </c>
      <c r="P7888" t="s">
        <v>319</v>
      </c>
      <c r="Q7888" t="s">
        <v>115</v>
      </c>
      <c r="R7888" t="s">
        <v>99</v>
      </c>
    </row>
    <row r="7889" spans="1:18" x14ac:dyDescent="0.3">
      <c r="A7889" t="s">
        <v>33</v>
      </c>
      <c r="B7889" t="s">
        <v>365</v>
      </c>
      <c r="C7889">
        <v>1</v>
      </c>
      <c r="D7889" t="s">
        <v>99</v>
      </c>
      <c r="E7889" t="s">
        <v>99</v>
      </c>
      <c r="F7889" t="s">
        <v>99</v>
      </c>
      <c r="G7889" t="s">
        <v>99</v>
      </c>
      <c r="H7889" t="s">
        <v>99</v>
      </c>
      <c r="I7889" t="s">
        <v>99</v>
      </c>
      <c r="J7889" t="s">
        <v>211</v>
      </c>
      <c r="K7889" t="s">
        <v>99</v>
      </c>
      <c r="L7889" t="s">
        <v>99</v>
      </c>
      <c r="M7889" t="s">
        <v>99</v>
      </c>
      <c r="N7889" t="s">
        <v>99</v>
      </c>
      <c r="O7889" t="s">
        <v>99</v>
      </c>
      <c r="P7889" t="s">
        <v>99</v>
      </c>
      <c r="Q7889" t="s">
        <v>99</v>
      </c>
      <c r="R7889" t="s">
        <v>99</v>
      </c>
    </row>
    <row r="7890" spans="1:18" x14ac:dyDescent="0.3">
      <c r="A7890" t="s">
        <v>49</v>
      </c>
      <c r="B7890" t="s">
        <v>973</v>
      </c>
      <c r="C7890">
        <v>305</v>
      </c>
      <c r="D7890" t="s">
        <v>801</v>
      </c>
      <c r="E7890" t="s">
        <v>735</v>
      </c>
      <c r="F7890" t="s">
        <v>99</v>
      </c>
      <c r="G7890" t="s">
        <v>134</v>
      </c>
      <c r="H7890" t="s">
        <v>99</v>
      </c>
      <c r="I7890" t="s">
        <v>136</v>
      </c>
      <c r="J7890" t="s">
        <v>671</v>
      </c>
      <c r="K7890" t="s">
        <v>98</v>
      </c>
      <c r="L7890" t="s">
        <v>814</v>
      </c>
      <c r="M7890" t="s">
        <v>99</v>
      </c>
      <c r="N7890" t="s">
        <v>701</v>
      </c>
      <c r="O7890" t="s">
        <v>463</v>
      </c>
      <c r="P7890" t="s">
        <v>110</v>
      </c>
      <c r="Q7890" t="s">
        <v>99</v>
      </c>
      <c r="R7890" t="s">
        <v>99</v>
      </c>
    </row>
    <row r="7891" spans="1:18" x14ac:dyDescent="0.3">
      <c r="A7891" t="s">
        <v>49</v>
      </c>
      <c r="B7891" t="s">
        <v>2268</v>
      </c>
      <c r="C7891">
        <v>421</v>
      </c>
      <c r="D7891" t="s">
        <v>1112</v>
      </c>
      <c r="E7891" t="s">
        <v>461</v>
      </c>
      <c r="F7891" t="s">
        <v>104</v>
      </c>
      <c r="G7891" t="s">
        <v>128</v>
      </c>
      <c r="H7891" t="s">
        <v>99</v>
      </c>
      <c r="I7891" t="s">
        <v>198</v>
      </c>
      <c r="J7891" t="s">
        <v>277</v>
      </c>
      <c r="K7891" t="s">
        <v>382</v>
      </c>
      <c r="L7891" t="s">
        <v>1008</v>
      </c>
      <c r="M7891" t="s">
        <v>99</v>
      </c>
      <c r="N7891" t="s">
        <v>72</v>
      </c>
      <c r="O7891" t="s">
        <v>1044</v>
      </c>
      <c r="P7891" t="s">
        <v>128</v>
      </c>
      <c r="Q7891" t="s">
        <v>207</v>
      </c>
      <c r="R7891" t="s">
        <v>115</v>
      </c>
    </row>
    <row r="7892" spans="1:18" x14ac:dyDescent="0.3">
      <c r="A7892" t="s">
        <v>49</v>
      </c>
      <c r="B7892" t="s">
        <v>2269</v>
      </c>
      <c r="C7892">
        <v>444</v>
      </c>
      <c r="D7892" t="s">
        <v>633</v>
      </c>
      <c r="E7892" t="s">
        <v>130</v>
      </c>
      <c r="F7892" t="s">
        <v>99</v>
      </c>
      <c r="G7892" t="s">
        <v>114</v>
      </c>
      <c r="H7892" t="s">
        <v>99</v>
      </c>
      <c r="I7892" t="s">
        <v>99</v>
      </c>
      <c r="J7892" t="s">
        <v>128</v>
      </c>
      <c r="K7892" t="s">
        <v>268</v>
      </c>
      <c r="L7892" t="s">
        <v>822</v>
      </c>
      <c r="M7892" t="s">
        <v>104</v>
      </c>
      <c r="N7892" t="s">
        <v>470</v>
      </c>
      <c r="O7892" t="s">
        <v>328</v>
      </c>
      <c r="P7892" t="s">
        <v>100</v>
      </c>
      <c r="Q7892" t="s">
        <v>99</v>
      </c>
      <c r="R7892" t="s">
        <v>126</v>
      </c>
    </row>
    <row r="7893" spans="1:18" x14ac:dyDescent="0.3">
      <c r="A7893" t="s">
        <v>49</v>
      </c>
      <c r="B7893" t="s">
        <v>2270</v>
      </c>
      <c r="C7893">
        <v>288</v>
      </c>
      <c r="D7893" t="s">
        <v>842</v>
      </c>
      <c r="E7893" t="s">
        <v>704</v>
      </c>
      <c r="F7893" t="s">
        <v>115</v>
      </c>
      <c r="G7893" t="s">
        <v>268</v>
      </c>
      <c r="H7893" t="s">
        <v>99</v>
      </c>
      <c r="I7893" t="s">
        <v>136</v>
      </c>
      <c r="J7893" t="s">
        <v>139</v>
      </c>
      <c r="K7893" t="s">
        <v>103</v>
      </c>
      <c r="L7893" t="s">
        <v>114</v>
      </c>
      <c r="M7893" t="s">
        <v>807</v>
      </c>
      <c r="N7893" t="s">
        <v>860</v>
      </c>
      <c r="O7893" t="s">
        <v>626</v>
      </c>
      <c r="P7893" t="s">
        <v>111</v>
      </c>
      <c r="Q7893" t="s">
        <v>207</v>
      </c>
      <c r="R7893" t="s">
        <v>129</v>
      </c>
    </row>
    <row r="7894" spans="1:18" x14ac:dyDescent="0.3">
      <c r="A7894" t="s">
        <v>49</v>
      </c>
      <c r="B7894" t="s">
        <v>2271</v>
      </c>
      <c r="C7894">
        <v>1797</v>
      </c>
      <c r="D7894" t="s">
        <v>298</v>
      </c>
      <c r="E7894" t="s">
        <v>1157</v>
      </c>
      <c r="F7894" t="s">
        <v>319</v>
      </c>
      <c r="G7894" t="s">
        <v>139</v>
      </c>
      <c r="H7894" t="s">
        <v>99</v>
      </c>
      <c r="I7894" t="s">
        <v>253</v>
      </c>
      <c r="J7894" t="s">
        <v>158</v>
      </c>
      <c r="K7894" t="s">
        <v>134</v>
      </c>
      <c r="L7894" t="s">
        <v>99</v>
      </c>
      <c r="M7894" t="s">
        <v>737</v>
      </c>
      <c r="N7894" t="s">
        <v>805</v>
      </c>
      <c r="O7894" t="s">
        <v>478</v>
      </c>
      <c r="P7894" t="s">
        <v>107</v>
      </c>
      <c r="Q7894" t="s">
        <v>132</v>
      </c>
      <c r="R7894" t="s">
        <v>118</v>
      </c>
    </row>
    <row r="7895" spans="1:18" x14ac:dyDescent="0.3">
      <c r="A7895" t="s">
        <v>49</v>
      </c>
      <c r="B7895" t="s">
        <v>2272</v>
      </c>
      <c r="C7895">
        <v>1771</v>
      </c>
      <c r="D7895" t="s">
        <v>710</v>
      </c>
      <c r="E7895" t="s">
        <v>649</v>
      </c>
      <c r="F7895" t="s">
        <v>105</v>
      </c>
      <c r="G7895" t="s">
        <v>132</v>
      </c>
      <c r="H7895" t="s">
        <v>104</v>
      </c>
      <c r="I7895" t="s">
        <v>114</v>
      </c>
      <c r="J7895" t="s">
        <v>109</v>
      </c>
      <c r="K7895" t="s">
        <v>254</v>
      </c>
      <c r="L7895" t="s">
        <v>99</v>
      </c>
      <c r="M7895" t="s">
        <v>114</v>
      </c>
      <c r="N7895" t="s">
        <v>423</v>
      </c>
      <c r="O7895" t="s">
        <v>142</v>
      </c>
      <c r="P7895" t="s">
        <v>120</v>
      </c>
      <c r="Q7895" t="s">
        <v>136</v>
      </c>
      <c r="R7895" t="s">
        <v>141</v>
      </c>
    </row>
    <row r="7896" spans="1:18" x14ac:dyDescent="0.3">
      <c r="A7896" t="s">
        <v>49</v>
      </c>
      <c r="B7896" t="s">
        <v>2273</v>
      </c>
      <c r="C7896">
        <v>2029</v>
      </c>
      <c r="D7896" t="s">
        <v>218</v>
      </c>
      <c r="E7896" t="s">
        <v>1453</v>
      </c>
      <c r="F7896" t="s">
        <v>268</v>
      </c>
      <c r="G7896" t="s">
        <v>127</v>
      </c>
      <c r="H7896" t="s">
        <v>99</v>
      </c>
      <c r="I7896" t="s">
        <v>115</v>
      </c>
      <c r="J7896" t="s">
        <v>74</v>
      </c>
      <c r="K7896" t="s">
        <v>434</v>
      </c>
      <c r="L7896" t="s">
        <v>99</v>
      </c>
      <c r="M7896" t="s">
        <v>136</v>
      </c>
      <c r="N7896" t="s">
        <v>1044</v>
      </c>
      <c r="O7896" t="s">
        <v>124</v>
      </c>
      <c r="P7896" t="s">
        <v>126</v>
      </c>
      <c r="Q7896" t="s">
        <v>104</v>
      </c>
      <c r="R7896" t="s">
        <v>115</v>
      </c>
    </row>
    <row r="7897" spans="1:18" x14ac:dyDescent="0.3">
      <c r="A7897" t="s">
        <v>49</v>
      </c>
      <c r="B7897" t="s">
        <v>976</v>
      </c>
      <c r="C7897">
        <v>345</v>
      </c>
      <c r="D7897" t="s">
        <v>1115</v>
      </c>
      <c r="E7897" t="s">
        <v>706</v>
      </c>
      <c r="F7897" t="s">
        <v>198</v>
      </c>
      <c r="G7897" t="s">
        <v>268</v>
      </c>
      <c r="H7897" t="s">
        <v>99</v>
      </c>
      <c r="I7897" t="s">
        <v>99</v>
      </c>
      <c r="J7897" t="s">
        <v>68</v>
      </c>
      <c r="K7897" t="s">
        <v>474</v>
      </c>
      <c r="L7897" t="s">
        <v>125</v>
      </c>
      <c r="M7897" t="s">
        <v>127</v>
      </c>
      <c r="N7897" t="s">
        <v>676</v>
      </c>
      <c r="O7897" t="s">
        <v>276</v>
      </c>
      <c r="P7897" t="s">
        <v>100</v>
      </c>
      <c r="Q7897" t="s">
        <v>99</v>
      </c>
      <c r="R7897" t="s">
        <v>292</v>
      </c>
    </row>
    <row r="7898" spans="1:18" x14ac:dyDescent="0.3">
      <c r="A7898" t="s">
        <v>49</v>
      </c>
      <c r="B7898" t="s">
        <v>2274</v>
      </c>
      <c r="C7898">
        <v>363</v>
      </c>
      <c r="D7898" t="s">
        <v>591</v>
      </c>
      <c r="E7898" t="s">
        <v>663</v>
      </c>
      <c r="F7898" t="s">
        <v>207</v>
      </c>
      <c r="G7898" t="s">
        <v>382</v>
      </c>
      <c r="H7898" t="s">
        <v>99</v>
      </c>
      <c r="I7898" t="s">
        <v>114</v>
      </c>
      <c r="J7898" t="s">
        <v>134</v>
      </c>
      <c r="K7898" t="s">
        <v>108</v>
      </c>
      <c r="L7898" t="s">
        <v>811</v>
      </c>
      <c r="M7898" t="s">
        <v>99</v>
      </c>
      <c r="N7898" t="s">
        <v>109</v>
      </c>
      <c r="O7898" t="s">
        <v>519</v>
      </c>
      <c r="P7898" t="s">
        <v>104</v>
      </c>
      <c r="Q7898" t="s">
        <v>99</v>
      </c>
      <c r="R7898" t="s">
        <v>101</v>
      </c>
    </row>
    <row r="7899" spans="1:18" x14ac:dyDescent="0.3">
      <c r="A7899" t="s">
        <v>49</v>
      </c>
      <c r="B7899" t="s">
        <v>2275</v>
      </c>
      <c r="C7899">
        <v>469</v>
      </c>
      <c r="D7899" t="s">
        <v>909</v>
      </c>
      <c r="E7899" t="s">
        <v>112</v>
      </c>
      <c r="F7899" t="s">
        <v>99</v>
      </c>
      <c r="G7899" t="s">
        <v>141</v>
      </c>
      <c r="H7899" t="s">
        <v>99</v>
      </c>
      <c r="I7899" t="s">
        <v>104</v>
      </c>
      <c r="J7899" t="s">
        <v>115</v>
      </c>
      <c r="K7899" t="s">
        <v>198</v>
      </c>
      <c r="L7899" t="s">
        <v>631</v>
      </c>
      <c r="M7899" t="s">
        <v>198</v>
      </c>
      <c r="N7899" t="s">
        <v>363</v>
      </c>
      <c r="O7899" t="s">
        <v>268</v>
      </c>
      <c r="P7899" t="s">
        <v>126</v>
      </c>
      <c r="Q7899" t="s">
        <v>99</v>
      </c>
      <c r="R7899" t="s">
        <v>292</v>
      </c>
    </row>
    <row r="7900" spans="1:18" x14ac:dyDescent="0.3">
      <c r="A7900" t="s">
        <v>49</v>
      </c>
      <c r="B7900" t="s">
        <v>2276</v>
      </c>
      <c r="C7900">
        <v>184</v>
      </c>
      <c r="D7900" t="s">
        <v>148</v>
      </c>
      <c r="E7900" t="s">
        <v>156</v>
      </c>
      <c r="F7900" t="s">
        <v>104</v>
      </c>
      <c r="G7900" t="s">
        <v>679</v>
      </c>
      <c r="H7900" t="s">
        <v>99</v>
      </c>
      <c r="I7900" t="s">
        <v>115</v>
      </c>
      <c r="J7900" t="s">
        <v>814</v>
      </c>
      <c r="K7900" t="s">
        <v>470</v>
      </c>
      <c r="L7900" t="s">
        <v>99</v>
      </c>
      <c r="M7900" t="s">
        <v>319</v>
      </c>
      <c r="N7900" t="s">
        <v>478</v>
      </c>
      <c r="O7900" t="s">
        <v>718</v>
      </c>
      <c r="P7900" t="s">
        <v>268</v>
      </c>
      <c r="Q7900" t="s">
        <v>115</v>
      </c>
      <c r="R7900" t="s">
        <v>207</v>
      </c>
    </row>
    <row r="7901" spans="1:18" x14ac:dyDescent="0.3">
      <c r="A7901" t="s">
        <v>49</v>
      </c>
      <c r="B7901" t="s">
        <v>2277</v>
      </c>
      <c r="C7901">
        <v>1222</v>
      </c>
      <c r="D7901" t="s">
        <v>718</v>
      </c>
      <c r="E7901" t="s">
        <v>703</v>
      </c>
      <c r="F7901" t="s">
        <v>253</v>
      </c>
      <c r="G7901" t="s">
        <v>129</v>
      </c>
      <c r="H7901" t="s">
        <v>104</v>
      </c>
      <c r="I7901" t="s">
        <v>121</v>
      </c>
      <c r="J7901" t="s">
        <v>678</v>
      </c>
      <c r="K7901" t="s">
        <v>461</v>
      </c>
      <c r="L7901" t="s">
        <v>99</v>
      </c>
      <c r="M7901" t="s">
        <v>207</v>
      </c>
      <c r="N7901" t="s">
        <v>687</v>
      </c>
      <c r="O7901" t="s">
        <v>731</v>
      </c>
      <c r="P7901" t="s">
        <v>134</v>
      </c>
      <c r="Q7901" t="s">
        <v>253</v>
      </c>
      <c r="R7901" t="s">
        <v>138</v>
      </c>
    </row>
    <row r="7902" spans="1:18" x14ac:dyDescent="0.3">
      <c r="A7902" t="s">
        <v>49</v>
      </c>
      <c r="B7902" t="s">
        <v>2278</v>
      </c>
      <c r="C7902">
        <v>1146</v>
      </c>
      <c r="D7902" t="s">
        <v>294</v>
      </c>
      <c r="E7902" t="s">
        <v>1176</v>
      </c>
      <c r="F7902" t="s">
        <v>105</v>
      </c>
      <c r="G7902" t="s">
        <v>126</v>
      </c>
      <c r="H7902" t="s">
        <v>198</v>
      </c>
      <c r="I7902" t="s">
        <v>100</v>
      </c>
      <c r="J7902" t="s">
        <v>165</v>
      </c>
      <c r="K7902" t="s">
        <v>363</v>
      </c>
      <c r="L7902" t="s">
        <v>99</v>
      </c>
      <c r="M7902" t="s">
        <v>198</v>
      </c>
      <c r="N7902" t="s">
        <v>373</v>
      </c>
      <c r="O7902" t="s">
        <v>264</v>
      </c>
      <c r="P7902" t="s">
        <v>157</v>
      </c>
      <c r="Q7902" t="s">
        <v>207</v>
      </c>
      <c r="R7902" t="s">
        <v>114</v>
      </c>
    </row>
    <row r="7903" spans="1:18" x14ac:dyDescent="0.3">
      <c r="A7903" t="s">
        <v>49</v>
      </c>
      <c r="B7903" t="s">
        <v>2279</v>
      </c>
      <c r="C7903">
        <v>1073</v>
      </c>
      <c r="D7903" t="s">
        <v>251</v>
      </c>
      <c r="E7903" t="s">
        <v>520</v>
      </c>
      <c r="F7903" t="s">
        <v>134</v>
      </c>
      <c r="G7903" t="s">
        <v>114</v>
      </c>
      <c r="H7903" t="s">
        <v>104</v>
      </c>
      <c r="I7903" t="s">
        <v>253</v>
      </c>
      <c r="J7903" t="s">
        <v>664</v>
      </c>
      <c r="K7903" t="s">
        <v>41</v>
      </c>
      <c r="L7903" t="s">
        <v>99</v>
      </c>
      <c r="M7903" t="s">
        <v>108</v>
      </c>
      <c r="N7903" t="s">
        <v>523</v>
      </c>
      <c r="O7903" t="s">
        <v>468</v>
      </c>
      <c r="P7903" t="s">
        <v>126</v>
      </c>
      <c r="Q7903" t="s">
        <v>198</v>
      </c>
      <c r="R7903" t="s">
        <v>207</v>
      </c>
    </row>
    <row r="7904" spans="1:18" x14ac:dyDescent="0.3">
      <c r="A7904" t="s">
        <v>49</v>
      </c>
      <c r="B7904" t="s">
        <v>365</v>
      </c>
      <c r="C7904">
        <v>27</v>
      </c>
      <c r="D7904" t="s">
        <v>708</v>
      </c>
      <c r="E7904" t="s">
        <v>958</v>
      </c>
      <c r="F7904" t="s">
        <v>99</v>
      </c>
      <c r="G7904" t="s">
        <v>149</v>
      </c>
      <c r="H7904" t="s">
        <v>99</v>
      </c>
      <c r="I7904" t="s">
        <v>99</v>
      </c>
      <c r="J7904" t="s">
        <v>470</v>
      </c>
      <c r="K7904" t="s">
        <v>99</v>
      </c>
      <c r="L7904" t="s">
        <v>215</v>
      </c>
      <c r="M7904" t="s">
        <v>99</v>
      </c>
      <c r="N7904" t="s">
        <v>318</v>
      </c>
      <c r="O7904" t="s">
        <v>368</v>
      </c>
      <c r="P7904" t="s">
        <v>112</v>
      </c>
      <c r="Q7904" t="s">
        <v>99</v>
      </c>
      <c r="R7904" t="s">
        <v>99</v>
      </c>
    </row>
    <row r="7906" spans="1:18" x14ac:dyDescent="0.3">
      <c r="A7906" t="s">
        <v>2305</v>
      </c>
    </row>
    <row r="7907" spans="1:18" x14ac:dyDescent="0.3">
      <c r="A7907" t="s">
        <v>44</v>
      </c>
      <c r="B7907" t="s">
        <v>2281</v>
      </c>
      <c r="C7907" t="s">
        <v>32</v>
      </c>
      <c r="D7907" t="s">
        <v>2292</v>
      </c>
      <c r="E7907" t="s">
        <v>2293</v>
      </c>
      <c r="F7907" t="s">
        <v>2294</v>
      </c>
      <c r="G7907" t="s">
        <v>2295</v>
      </c>
      <c r="H7907" t="s">
        <v>2296</v>
      </c>
      <c r="I7907" t="s">
        <v>2297</v>
      </c>
      <c r="J7907" t="s">
        <v>2298</v>
      </c>
      <c r="K7907" t="s">
        <v>2299</v>
      </c>
      <c r="L7907" t="s">
        <v>2300</v>
      </c>
      <c r="M7907" t="s">
        <v>2301</v>
      </c>
      <c r="N7907" t="s">
        <v>2302</v>
      </c>
      <c r="O7907" t="s">
        <v>2303</v>
      </c>
      <c r="P7907" t="s">
        <v>88</v>
      </c>
      <c r="Q7907" t="s">
        <v>83</v>
      </c>
      <c r="R7907" t="s">
        <v>193</v>
      </c>
    </row>
    <row r="7908" spans="1:18" x14ac:dyDescent="0.3">
      <c r="A7908" t="s">
        <v>35</v>
      </c>
      <c r="B7908" t="s">
        <v>2282</v>
      </c>
      <c r="C7908">
        <v>667</v>
      </c>
      <c r="D7908" t="s">
        <v>206</v>
      </c>
      <c r="E7908" t="s">
        <v>1080</v>
      </c>
      <c r="F7908" t="s">
        <v>434</v>
      </c>
      <c r="G7908" t="s">
        <v>112</v>
      </c>
      <c r="H7908" t="s">
        <v>207</v>
      </c>
      <c r="I7908" t="s">
        <v>136</v>
      </c>
      <c r="J7908" t="s">
        <v>408</v>
      </c>
      <c r="K7908" t="s">
        <v>289</v>
      </c>
      <c r="L7908" t="s">
        <v>253</v>
      </c>
      <c r="M7908" t="s">
        <v>207</v>
      </c>
      <c r="N7908" t="s">
        <v>188</v>
      </c>
      <c r="O7908" t="s">
        <v>147</v>
      </c>
      <c r="P7908" t="s">
        <v>118</v>
      </c>
      <c r="Q7908" t="s">
        <v>99</v>
      </c>
      <c r="R7908" t="s">
        <v>100</v>
      </c>
    </row>
    <row r="7909" spans="1:18" x14ac:dyDescent="0.3">
      <c r="A7909" t="s">
        <v>35</v>
      </c>
      <c r="B7909" t="s">
        <v>2283</v>
      </c>
      <c r="C7909">
        <v>2102</v>
      </c>
      <c r="D7909" t="s">
        <v>106</v>
      </c>
      <c r="E7909" t="s">
        <v>1185</v>
      </c>
      <c r="F7909" t="s">
        <v>100</v>
      </c>
      <c r="G7909" t="s">
        <v>157</v>
      </c>
      <c r="H7909" t="s">
        <v>104</v>
      </c>
      <c r="I7909" t="s">
        <v>207</v>
      </c>
      <c r="J7909" t="s">
        <v>78</v>
      </c>
      <c r="K7909" t="s">
        <v>434</v>
      </c>
      <c r="L7909" t="s">
        <v>120</v>
      </c>
      <c r="M7909" t="s">
        <v>332</v>
      </c>
      <c r="N7909" t="s">
        <v>357</v>
      </c>
      <c r="O7909" t="s">
        <v>186</v>
      </c>
      <c r="P7909" t="s">
        <v>151</v>
      </c>
      <c r="Q7909" t="s">
        <v>198</v>
      </c>
      <c r="R7909" t="s">
        <v>242</v>
      </c>
    </row>
    <row r="7910" spans="1:18" x14ac:dyDescent="0.3">
      <c r="A7910" t="s">
        <v>35</v>
      </c>
      <c r="B7910" t="s">
        <v>365</v>
      </c>
      <c r="C7910">
        <v>227</v>
      </c>
      <c r="D7910" t="s">
        <v>822</v>
      </c>
      <c r="E7910" t="s">
        <v>112</v>
      </c>
      <c r="F7910" t="s">
        <v>99</v>
      </c>
      <c r="G7910" t="s">
        <v>121</v>
      </c>
      <c r="H7910" t="s">
        <v>99</v>
      </c>
      <c r="I7910" t="s">
        <v>104</v>
      </c>
      <c r="J7910" t="s">
        <v>100</v>
      </c>
      <c r="K7910" t="s">
        <v>115</v>
      </c>
      <c r="L7910" t="s">
        <v>564</v>
      </c>
      <c r="M7910" t="s">
        <v>99</v>
      </c>
      <c r="N7910" t="s">
        <v>355</v>
      </c>
      <c r="O7910" t="s">
        <v>149</v>
      </c>
      <c r="P7910" t="s">
        <v>114</v>
      </c>
      <c r="Q7910" t="s">
        <v>99</v>
      </c>
      <c r="R7910" t="s">
        <v>139</v>
      </c>
    </row>
    <row r="7911" spans="1:18" x14ac:dyDescent="0.3">
      <c r="A7911" t="s">
        <v>37</v>
      </c>
      <c r="B7911" t="s">
        <v>2282</v>
      </c>
      <c r="C7911">
        <v>826</v>
      </c>
      <c r="D7911" t="s">
        <v>182</v>
      </c>
      <c r="E7911" t="s">
        <v>608</v>
      </c>
      <c r="F7911" t="s">
        <v>118</v>
      </c>
      <c r="G7911" t="s">
        <v>154</v>
      </c>
      <c r="H7911" t="s">
        <v>99</v>
      </c>
      <c r="I7911" t="s">
        <v>108</v>
      </c>
      <c r="J7911" t="s">
        <v>133</v>
      </c>
      <c r="K7911" t="s">
        <v>405</v>
      </c>
      <c r="L7911" t="s">
        <v>141</v>
      </c>
      <c r="M7911" t="s">
        <v>100</v>
      </c>
      <c r="N7911" t="s">
        <v>802</v>
      </c>
      <c r="O7911" t="s">
        <v>68</v>
      </c>
      <c r="P7911" t="s">
        <v>215</v>
      </c>
      <c r="Q7911" t="s">
        <v>136</v>
      </c>
      <c r="R7911" t="s">
        <v>104</v>
      </c>
    </row>
    <row r="7912" spans="1:18" x14ac:dyDescent="0.3">
      <c r="A7912" t="s">
        <v>37</v>
      </c>
      <c r="B7912" t="s">
        <v>2283</v>
      </c>
      <c r="C7912">
        <v>2525</v>
      </c>
      <c r="D7912" t="s">
        <v>715</v>
      </c>
      <c r="E7912" t="s">
        <v>565</v>
      </c>
      <c r="F7912" t="s">
        <v>215</v>
      </c>
      <c r="G7912" t="s">
        <v>127</v>
      </c>
      <c r="H7912" t="s">
        <v>99</v>
      </c>
      <c r="I7912" t="s">
        <v>132</v>
      </c>
      <c r="J7912" t="s">
        <v>184</v>
      </c>
      <c r="K7912" t="s">
        <v>138</v>
      </c>
      <c r="L7912" t="s">
        <v>155</v>
      </c>
      <c r="M7912" t="s">
        <v>130</v>
      </c>
      <c r="N7912" t="s">
        <v>264</v>
      </c>
      <c r="O7912" t="s">
        <v>321</v>
      </c>
      <c r="P7912" t="s">
        <v>101</v>
      </c>
      <c r="Q7912" t="s">
        <v>207</v>
      </c>
      <c r="R7912" t="s">
        <v>136</v>
      </c>
    </row>
    <row r="7913" spans="1:18" x14ac:dyDescent="0.3">
      <c r="A7913" t="s">
        <v>37</v>
      </c>
      <c r="B7913" t="s">
        <v>365</v>
      </c>
      <c r="C7913">
        <v>287</v>
      </c>
      <c r="D7913" t="s">
        <v>1497</v>
      </c>
      <c r="E7913" t="s">
        <v>105</v>
      </c>
      <c r="F7913" t="s">
        <v>99</v>
      </c>
      <c r="G7913" t="s">
        <v>99</v>
      </c>
      <c r="H7913" t="s">
        <v>99</v>
      </c>
      <c r="I7913" t="s">
        <v>99</v>
      </c>
      <c r="J7913" t="s">
        <v>215</v>
      </c>
      <c r="K7913" t="s">
        <v>215</v>
      </c>
      <c r="L7913" t="s">
        <v>728</v>
      </c>
      <c r="M7913" t="s">
        <v>253</v>
      </c>
      <c r="N7913" t="s">
        <v>149</v>
      </c>
      <c r="O7913" t="s">
        <v>147</v>
      </c>
      <c r="P7913" t="s">
        <v>253</v>
      </c>
      <c r="Q7913" t="s">
        <v>99</v>
      </c>
      <c r="R7913" t="s">
        <v>99</v>
      </c>
    </row>
    <row r="7914" spans="1:18" x14ac:dyDescent="0.3">
      <c r="A7914" t="s">
        <v>36</v>
      </c>
      <c r="B7914" t="s">
        <v>2282</v>
      </c>
      <c r="C7914">
        <v>492</v>
      </c>
      <c r="D7914" t="s">
        <v>434</v>
      </c>
      <c r="E7914" t="s">
        <v>601</v>
      </c>
      <c r="F7914" t="s">
        <v>138</v>
      </c>
      <c r="G7914" t="s">
        <v>103</v>
      </c>
      <c r="H7914" t="s">
        <v>99</v>
      </c>
      <c r="I7914" t="s">
        <v>127</v>
      </c>
      <c r="J7914" t="s">
        <v>671</v>
      </c>
      <c r="K7914" t="s">
        <v>124</v>
      </c>
      <c r="L7914" t="s">
        <v>101</v>
      </c>
      <c r="M7914" t="s">
        <v>136</v>
      </c>
      <c r="N7914" t="s">
        <v>1107</v>
      </c>
      <c r="O7914" t="s">
        <v>248</v>
      </c>
      <c r="P7914" t="s">
        <v>98</v>
      </c>
      <c r="Q7914" t="s">
        <v>198</v>
      </c>
      <c r="R7914" t="s">
        <v>104</v>
      </c>
    </row>
    <row r="7915" spans="1:18" x14ac:dyDescent="0.3">
      <c r="A7915" t="s">
        <v>36</v>
      </c>
      <c r="B7915" t="s">
        <v>2283</v>
      </c>
      <c r="C7915">
        <v>1297</v>
      </c>
      <c r="D7915" t="s">
        <v>38</v>
      </c>
      <c r="E7915" t="s">
        <v>824</v>
      </c>
      <c r="F7915" t="s">
        <v>121</v>
      </c>
      <c r="G7915" t="s">
        <v>117</v>
      </c>
      <c r="H7915" t="s">
        <v>99</v>
      </c>
      <c r="I7915" t="s">
        <v>253</v>
      </c>
      <c r="J7915" t="s">
        <v>468</v>
      </c>
      <c r="K7915" t="s">
        <v>154</v>
      </c>
      <c r="L7915" t="s">
        <v>127</v>
      </c>
      <c r="M7915" t="s">
        <v>147</v>
      </c>
      <c r="N7915" t="s">
        <v>959</v>
      </c>
      <c r="O7915" t="s">
        <v>691</v>
      </c>
      <c r="P7915" t="s">
        <v>154</v>
      </c>
      <c r="Q7915" t="s">
        <v>104</v>
      </c>
      <c r="R7915" t="s">
        <v>110</v>
      </c>
    </row>
    <row r="7916" spans="1:18" x14ac:dyDescent="0.3">
      <c r="A7916" t="s">
        <v>36</v>
      </c>
      <c r="B7916" t="s">
        <v>365</v>
      </c>
      <c r="C7916">
        <v>163</v>
      </c>
      <c r="D7916" t="s">
        <v>588</v>
      </c>
      <c r="E7916" t="s">
        <v>536</v>
      </c>
      <c r="F7916" t="s">
        <v>99</v>
      </c>
      <c r="G7916" t="s">
        <v>154</v>
      </c>
      <c r="H7916" t="s">
        <v>99</v>
      </c>
      <c r="I7916" t="s">
        <v>99</v>
      </c>
      <c r="J7916" t="s">
        <v>253</v>
      </c>
      <c r="K7916" t="s">
        <v>110</v>
      </c>
      <c r="L7916" t="s">
        <v>442</v>
      </c>
      <c r="M7916" t="s">
        <v>136</v>
      </c>
      <c r="N7916" t="s">
        <v>184</v>
      </c>
      <c r="O7916" t="s">
        <v>165</v>
      </c>
      <c r="P7916" t="s">
        <v>129</v>
      </c>
      <c r="Q7916" t="s">
        <v>99</v>
      </c>
      <c r="R7916" t="s">
        <v>154</v>
      </c>
    </row>
    <row r="7917" spans="1:18" x14ac:dyDescent="0.3">
      <c r="A7917" t="s">
        <v>34</v>
      </c>
      <c r="B7917" t="s">
        <v>2282</v>
      </c>
      <c r="C7917">
        <v>374</v>
      </c>
      <c r="D7917" t="s">
        <v>679</v>
      </c>
      <c r="E7917" t="s">
        <v>1327</v>
      </c>
      <c r="F7917" t="s">
        <v>128</v>
      </c>
      <c r="G7917" t="s">
        <v>128</v>
      </c>
      <c r="H7917" t="s">
        <v>99</v>
      </c>
      <c r="I7917" t="s">
        <v>114</v>
      </c>
      <c r="J7917" t="s">
        <v>152</v>
      </c>
      <c r="K7917" t="s">
        <v>160</v>
      </c>
      <c r="L7917" t="s">
        <v>132</v>
      </c>
      <c r="M7917" t="s">
        <v>121</v>
      </c>
      <c r="N7917" t="s">
        <v>463</v>
      </c>
      <c r="O7917" t="s">
        <v>112</v>
      </c>
      <c r="P7917" t="s">
        <v>474</v>
      </c>
      <c r="Q7917" t="s">
        <v>101</v>
      </c>
      <c r="R7917" t="s">
        <v>141</v>
      </c>
    </row>
    <row r="7918" spans="1:18" x14ac:dyDescent="0.3">
      <c r="A7918" t="s">
        <v>34</v>
      </c>
      <c r="B7918" t="s">
        <v>2283</v>
      </c>
      <c r="C7918">
        <v>1138</v>
      </c>
      <c r="D7918" t="s">
        <v>432</v>
      </c>
      <c r="E7918" t="s">
        <v>642</v>
      </c>
      <c r="F7918" t="s">
        <v>108</v>
      </c>
      <c r="G7918" t="s">
        <v>103</v>
      </c>
      <c r="H7918" t="s">
        <v>99</v>
      </c>
      <c r="I7918" t="s">
        <v>126</v>
      </c>
      <c r="J7918" t="s">
        <v>363</v>
      </c>
      <c r="K7918" t="s">
        <v>107</v>
      </c>
      <c r="L7918" t="s">
        <v>117</v>
      </c>
      <c r="M7918" t="s">
        <v>474</v>
      </c>
      <c r="N7918" t="s">
        <v>740</v>
      </c>
      <c r="O7918" t="s">
        <v>373</v>
      </c>
      <c r="P7918" t="s">
        <v>110</v>
      </c>
      <c r="Q7918" t="s">
        <v>132</v>
      </c>
      <c r="R7918" t="s">
        <v>136</v>
      </c>
    </row>
    <row r="7919" spans="1:18" x14ac:dyDescent="0.3">
      <c r="A7919" t="s">
        <v>34</v>
      </c>
      <c r="B7919" t="s">
        <v>365</v>
      </c>
      <c r="C7919">
        <v>85</v>
      </c>
      <c r="D7919" t="s">
        <v>621</v>
      </c>
      <c r="E7919" t="s">
        <v>672</v>
      </c>
      <c r="F7919" t="s">
        <v>99</v>
      </c>
      <c r="G7919" t="s">
        <v>111</v>
      </c>
      <c r="H7919" t="s">
        <v>99</v>
      </c>
      <c r="I7919" t="s">
        <v>99</v>
      </c>
      <c r="J7919" t="s">
        <v>129</v>
      </c>
      <c r="K7919" t="s">
        <v>100</v>
      </c>
      <c r="L7919" t="s">
        <v>990</v>
      </c>
      <c r="M7919" t="s">
        <v>99</v>
      </c>
      <c r="N7919" t="s">
        <v>714</v>
      </c>
      <c r="O7919" t="s">
        <v>113</v>
      </c>
      <c r="P7919" t="s">
        <v>382</v>
      </c>
      <c r="Q7919" t="s">
        <v>99</v>
      </c>
      <c r="R7919" t="s">
        <v>99</v>
      </c>
    </row>
    <row r="7920" spans="1:18" x14ac:dyDescent="0.3">
      <c r="A7920" t="s">
        <v>33</v>
      </c>
      <c r="B7920" t="s">
        <v>2282</v>
      </c>
      <c r="C7920">
        <v>370</v>
      </c>
      <c r="D7920" t="s">
        <v>133</v>
      </c>
      <c r="E7920" t="s">
        <v>601</v>
      </c>
      <c r="F7920" t="s">
        <v>120</v>
      </c>
      <c r="G7920" t="s">
        <v>151</v>
      </c>
      <c r="H7920" t="s">
        <v>207</v>
      </c>
      <c r="I7920" t="s">
        <v>126</v>
      </c>
      <c r="J7920" t="s">
        <v>251</v>
      </c>
      <c r="K7920" t="s">
        <v>673</v>
      </c>
      <c r="L7920" t="s">
        <v>132</v>
      </c>
      <c r="M7920" t="s">
        <v>253</v>
      </c>
      <c r="N7920" t="s">
        <v>410</v>
      </c>
      <c r="O7920" t="s">
        <v>135</v>
      </c>
      <c r="P7920" t="s">
        <v>121</v>
      </c>
      <c r="Q7920" t="s">
        <v>207</v>
      </c>
      <c r="R7920" t="s">
        <v>141</v>
      </c>
    </row>
    <row r="7921" spans="1:18" x14ac:dyDescent="0.3">
      <c r="A7921" t="s">
        <v>33</v>
      </c>
      <c r="B7921" t="s">
        <v>2283</v>
      </c>
      <c r="C7921">
        <v>1223</v>
      </c>
      <c r="D7921" t="s">
        <v>491</v>
      </c>
      <c r="E7921" t="s">
        <v>650</v>
      </c>
      <c r="F7921" t="s">
        <v>382</v>
      </c>
      <c r="G7921" t="s">
        <v>132</v>
      </c>
      <c r="H7921" t="s">
        <v>99</v>
      </c>
      <c r="I7921" t="s">
        <v>253</v>
      </c>
      <c r="J7921" t="s">
        <v>78</v>
      </c>
      <c r="K7921" t="s">
        <v>328</v>
      </c>
      <c r="L7921" t="s">
        <v>107</v>
      </c>
      <c r="M7921" t="s">
        <v>112</v>
      </c>
      <c r="N7921" t="s">
        <v>860</v>
      </c>
      <c r="O7921" t="s">
        <v>691</v>
      </c>
      <c r="P7921" t="s">
        <v>215</v>
      </c>
      <c r="Q7921" t="s">
        <v>141</v>
      </c>
      <c r="R7921" t="s">
        <v>136</v>
      </c>
    </row>
    <row r="7922" spans="1:18" x14ac:dyDescent="0.3">
      <c r="A7922" t="s">
        <v>33</v>
      </c>
      <c r="B7922" t="s">
        <v>365</v>
      </c>
      <c r="C7922">
        <v>108</v>
      </c>
      <c r="D7922" t="s">
        <v>1706</v>
      </c>
      <c r="E7922" t="s">
        <v>68</v>
      </c>
      <c r="F7922" t="s">
        <v>99</v>
      </c>
      <c r="G7922" t="s">
        <v>99</v>
      </c>
      <c r="H7922" t="s">
        <v>99</v>
      </c>
      <c r="I7922" t="s">
        <v>99</v>
      </c>
      <c r="J7922" t="s">
        <v>128</v>
      </c>
      <c r="K7922" t="s">
        <v>99</v>
      </c>
      <c r="L7922" t="s">
        <v>652</v>
      </c>
      <c r="M7922" t="s">
        <v>99</v>
      </c>
      <c r="N7922" t="s">
        <v>74</v>
      </c>
      <c r="O7922" t="s">
        <v>316</v>
      </c>
      <c r="P7922" t="s">
        <v>129</v>
      </c>
      <c r="Q7922" t="s">
        <v>99</v>
      </c>
      <c r="R7922" t="s">
        <v>99</v>
      </c>
    </row>
    <row r="7923" spans="1:18" x14ac:dyDescent="0.3">
      <c r="A7923" t="s">
        <v>49</v>
      </c>
      <c r="B7923" t="s">
        <v>2282</v>
      </c>
      <c r="C7923">
        <v>2729</v>
      </c>
      <c r="D7923" t="s">
        <v>133</v>
      </c>
      <c r="E7923" t="s">
        <v>308</v>
      </c>
      <c r="F7923" t="s">
        <v>332</v>
      </c>
      <c r="G7923" t="s">
        <v>155</v>
      </c>
      <c r="H7923" t="s">
        <v>104</v>
      </c>
      <c r="I7923" t="s">
        <v>108</v>
      </c>
      <c r="J7923" t="s">
        <v>722</v>
      </c>
      <c r="K7923" t="s">
        <v>313</v>
      </c>
      <c r="L7923" t="s">
        <v>115</v>
      </c>
      <c r="M7923" t="s">
        <v>132</v>
      </c>
      <c r="N7923" t="s">
        <v>748</v>
      </c>
      <c r="O7923" t="s">
        <v>149</v>
      </c>
      <c r="P7923" t="s">
        <v>157</v>
      </c>
      <c r="Q7923" t="s">
        <v>136</v>
      </c>
      <c r="R7923" t="s">
        <v>253</v>
      </c>
    </row>
    <row r="7924" spans="1:18" x14ac:dyDescent="0.3">
      <c r="A7924" t="s">
        <v>49</v>
      </c>
      <c r="B7924" t="s">
        <v>2283</v>
      </c>
      <c r="C7924">
        <v>8285</v>
      </c>
      <c r="D7924" t="s">
        <v>741</v>
      </c>
      <c r="E7924" t="s">
        <v>578</v>
      </c>
      <c r="F7924" t="s">
        <v>101</v>
      </c>
      <c r="G7924" t="s">
        <v>111</v>
      </c>
      <c r="H7924" t="s">
        <v>99</v>
      </c>
      <c r="I7924" t="s">
        <v>115</v>
      </c>
      <c r="J7924" t="s">
        <v>679</v>
      </c>
      <c r="K7924" t="s">
        <v>110</v>
      </c>
      <c r="L7924" t="s">
        <v>120</v>
      </c>
      <c r="M7924" t="s">
        <v>110</v>
      </c>
      <c r="N7924" t="s">
        <v>39</v>
      </c>
      <c r="O7924" t="s">
        <v>406</v>
      </c>
      <c r="P7924" t="s">
        <v>268</v>
      </c>
      <c r="Q7924" t="s">
        <v>136</v>
      </c>
      <c r="R7924" t="s">
        <v>151</v>
      </c>
    </row>
    <row r="7925" spans="1:18" x14ac:dyDescent="0.3">
      <c r="A7925" t="s">
        <v>49</v>
      </c>
      <c r="B7925" t="s">
        <v>365</v>
      </c>
      <c r="C7925">
        <v>870</v>
      </c>
      <c r="D7925" t="s">
        <v>1077</v>
      </c>
      <c r="E7925" t="s">
        <v>254</v>
      </c>
      <c r="F7925" t="s">
        <v>99</v>
      </c>
      <c r="G7925" t="s">
        <v>114</v>
      </c>
      <c r="H7925" t="s">
        <v>99</v>
      </c>
      <c r="I7925" t="s">
        <v>99</v>
      </c>
      <c r="J7925" t="s">
        <v>127</v>
      </c>
      <c r="K7925" t="s">
        <v>101</v>
      </c>
      <c r="L7925" t="s">
        <v>1120</v>
      </c>
      <c r="M7925" t="s">
        <v>198</v>
      </c>
      <c r="N7925" t="s">
        <v>182</v>
      </c>
      <c r="O7925" t="s">
        <v>242</v>
      </c>
      <c r="P7925" t="s">
        <v>215</v>
      </c>
      <c r="Q7925" t="s">
        <v>99</v>
      </c>
      <c r="R7925" t="s">
        <v>123</v>
      </c>
    </row>
    <row r="7927" spans="1:18" x14ac:dyDescent="0.3">
      <c r="A7927" t="s">
        <v>2306</v>
      </c>
    </row>
    <row r="7928" spans="1:18" x14ac:dyDescent="0.3">
      <c r="A7928" t="s">
        <v>44</v>
      </c>
      <c r="B7928" t="s">
        <v>235</v>
      </c>
      <c r="C7928" t="s">
        <v>32</v>
      </c>
      <c r="D7928" t="s">
        <v>2292</v>
      </c>
      <c r="E7928" t="s">
        <v>2293</v>
      </c>
      <c r="F7928" t="s">
        <v>2294</v>
      </c>
      <c r="G7928" t="s">
        <v>2295</v>
      </c>
      <c r="H7928" t="s">
        <v>2296</v>
      </c>
      <c r="I7928" t="s">
        <v>2297</v>
      </c>
      <c r="J7928" t="s">
        <v>2298</v>
      </c>
      <c r="K7928" t="s">
        <v>2299</v>
      </c>
      <c r="L7928" t="s">
        <v>2300</v>
      </c>
      <c r="M7928" t="s">
        <v>2301</v>
      </c>
      <c r="N7928" t="s">
        <v>2302</v>
      </c>
      <c r="O7928" t="s">
        <v>2303</v>
      </c>
      <c r="P7928" t="s">
        <v>88</v>
      </c>
      <c r="Q7928" t="s">
        <v>83</v>
      </c>
      <c r="R7928" t="s">
        <v>193</v>
      </c>
    </row>
    <row r="7929" spans="1:18" x14ac:dyDescent="0.3">
      <c r="A7929" t="s">
        <v>35</v>
      </c>
      <c r="B7929" t="s">
        <v>236</v>
      </c>
      <c r="C7929">
        <v>1489</v>
      </c>
      <c r="D7929" t="s">
        <v>692</v>
      </c>
      <c r="E7929" t="s">
        <v>906</v>
      </c>
      <c r="F7929" t="s">
        <v>292</v>
      </c>
      <c r="G7929" t="s">
        <v>292</v>
      </c>
      <c r="H7929" t="s">
        <v>99</v>
      </c>
      <c r="I7929" t="s">
        <v>198</v>
      </c>
      <c r="J7929" t="s">
        <v>420</v>
      </c>
      <c r="K7929" t="s">
        <v>110</v>
      </c>
      <c r="L7929" t="s">
        <v>401</v>
      </c>
      <c r="M7929" t="s">
        <v>128</v>
      </c>
      <c r="N7929" t="s">
        <v>303</v>
      </c>
      <c r="O7929" t="s">
        <v>716</v>
      </c>
      <c r="P7929" t="s">
        <v>268</v>
      </c>
      <c r="Q7929" t="s">
        <v>104</v>
      </c>
      <c r="R7929" t="s">
        <v>132</v>
      </c>
    </row>
    <row r="7930" spans="1:18" x14ac:dyDescent="0.3">
      <c r="A7930" t="s">
        <v>35</v>
      </c>
      <c r="B7930" t="s">
        <v>238</v>
      </c>
      <c r="C7930">
        <v>1507</v>
      </c>
      <c r="D7930" t="s">
        <v>735</v>
      </c>
      <c r="E7930" t="s">
        <v>653</v>
      </c>
      <c r="F7930" t="s">
        <v>382</v>
      </c>
      <c r="G7930" t="s">
        <v>134</v>
      </c>
      <c r="H7930" t="s">
        <v>198</v>
      </c>
      <c r="I7930" t="s">
        <v>207</v>
      </c>
      <c r="J7930" t="s">
        <v>248</v>
      </c>
      <c r="K7930" t="s">
        <v>74</v>
      </c>
      <c r="L7930" t="s">
        <v>143</v>
      </c>
      <c r="M7930" t="s">
        <v>117</v>
      </c>
      <c r="N7930" t="s">
        <v>687</v>
      </c>
      <c r="O7930" t="s">
        <v>737</v>
      </c>
      <c r="P7930" t="s">
        <v>117</v>
      </c>
      <c r="Q7930" t="s">
        <v>104</v>
      </c>
      <c r="R7930" t="s">
        <v>277</v>
      </c>
    </row>
    <row r="7931" spans="1:18" x14ac:dyDescent="0.3">
      <c r="A7931" t="s">
        <v>37</v>
      </c>
      <c r="B7931" t="s">
        <v>236</v>
      </c>
      <c r="C7931">
        <v>2114</v>
      </c>
      <c r="D7931" t="s">
        <v>307</v>
      </c>
      <c r="E7931" t="s">
        <v>1231</v>
      </c>
      <c r="F7931" t="s">
        <v>268</v>
      </c>
      <c r="G7931" t="s">
        <v>215</v>
      </c>
      <c r="H7931" t="s">
        <v>99</v>
      </c>
      <c r="I7931" t="s">
        <v>108</v>
      </c>
      <c r="J7931" t="s">
        <v>70</v>
      </c>
      <c r="K7931" t="s">
        <v>158</v>
      </c>
      <c r="L7931" t="s">
        <v>68</v>
      </c>
      <c r="M7931" t="s">
        <v>120</v>
      </c>
      <c r="N7931" t="s">
        <v>393</v>
      </c>
      <c r="O7931" t="s">
        <v>369</v>
      </c>
      <c r="P7931" t="s">
        <v>382</v>
      </c>
      <c r="Q7931" t="s">
        <v>207</v>
      </c>
      <c r="R7931" t="s">
        <v>198</v>
      </c>
    </row>
    <row r="7932" spans="1:18" x14ac:dyDescent="0.3">
      <c r="A7932" t="s">
        <v>37</v>
      </c>
      <c r="B7932" t="s">
        <v>238</v>
      </c>
      <c r="C7932">
        <v>1524</v>
      </c>
      <c r="D7932" t="s">
        <v>246</v>
      </c>
      <c r="E7932" t="s">
        <v>631</v>
      </c>
      <c r="F7932" t="s">
        <v>382</v>
      </c>
      <c r="G7932" t="s">
        <v>316</v>
      </c>
      <c r="H7932" t="s">
        <v>99</v>
      </c>
      <c r="I7932" t="s">
        <v>141</v>
      </c>
      <c r="J7932" t="s">
        <v>160</v>
      </c>
      <c r="K7932" t="s">
        <v>154</v>
      </c>
      <c r="L7932" t="s">
        <v>664</v>
      </c>
      <c r="M7932" t="s">
        <v>154</v>
      </c>
      <c r="N7932" t="s">
        <v>321</v>
      </c>
      <c r="O7932" t="s">
        <v>206</v>
      </c>
      <c r="P7932" t="s">
        <v>114</v>
      </c>
      <c r="Q7932" t="s">
        <v>136</v>
      </c>
      <c r="R7932" t="s">
        <v>136</v>
      </c>
    </row>
    <row r="7933" spans="1:18" x14ac:dyDescent="0.3">
      <c r="A7933" t="s">
        <v>36</v>
      </c>
      <c r="B7933" t="s">
        <v>236</v>
      </c>
      <c r="C7933">
        <v>1327</v>
      </c>
      <c r="D7933" t="s">
        <v>76</v>
      </c>
      <c r="E7933" t="s">
        <v>571</v>
      </c>
      <c r="F7933" t="s">
        <v>123</v>
      </c>
      <c r="G7933" t="s">
        <v>103</v>
      </c>
      <c r="H7933" t="s">
        <v>99</v>
      </c>
      <c r="I7933" t="s">
        <v>136</v>
      </c>
      <c r="J7933" t="s">
        <v>664</v>
      </c>
      <c r="K7933" t="s">
        <v>154</v>
      </c>
      <c r="L7933" t="s">
        <v>103</v>
      </c>
      <c r="M7933" t="s">
        <v>382</v>
      </c>
      <c r="N7933" t="s">
        <v>920</v>
      </c>
      <c r="O7933" t="s">
        <v>416</v>
      </c>
      <c r="P7933" t="s">
        <v>134</v>
      </c>
      <c r="Q7933" t="s">
        <v>104</v>
      </c>
      <c r="R7933" t="s">
        <v>127</v>
      </c>
    </row>
    <row r="7934" spans="1:18" x14ac:dyDescent="0.3">
      <c r="A7934" t="s">
        <v>36</v>
      </c>
      <c r="B7934" t="s">
        <v>238</v>
      </c>
      <c r="C7934">
        <v>625</v>
      </c>
      <c r="D7934" t="s">
        <v>536</v>
      </c>
      <c r="E7934" t="s">
        <v>549</v>
      </c>
      <c r="F7934" t="s">
        <v>126</v>
      </c>
      <c r="G7934" t="s">
        <v>103</v>
      </c>
      <c r="H7934" t="s">
        <v>99</v>
      </c>
      <c r="I7934" t="s">
        <v>121</v>
      </c>
      <c r="J7934" t="s">
        <v>277</v>
      </c>
      <c r="K7934" t="s">
        <v>139</v>
      </c>
      <c r="L7934" t="s">
        <v>110</v>
      </c>
      <c r="M7934" t="s">
        <v>117</v>
      </c>
      <c r="N7934" t="s">
        <v>933</v>
      </c>
      <c r="O7934" t="s">
        <v>811</v>
      </c>
      <c r="P7934" t="s">
        <v>112</v>
      </c>
      <c r="Q7934" t="s">
        <v>104</v>
      </c>
      <c r="R7934" t="s">
        <v>110</v>
      </c>
    </row>
    <row r="7935" spans="1:18" x14ac:dyDescent="0.3">
      <c r="A7935" t="s">
        <v>34</v>
      </c>
      <c r="B7935" t="s">
        <v>236</v>
      </c>
      <c r="C7935">
        <v>489</v>
      </c>
      <c r="D7935" t="s">
        <v>739</v>
      </c>
      <c r="E7935" t="s">
        <v>886</v>
      </c>
      <c r="F7935" t="s">
        <v>215</v>
      </c>
      <c r="G7935" t="s">
        <v>319</v>
      </c>
      <c r="H7935" t="s">
        <v>99</v>
      </c>
      <c r="I7935" t="s">
        <v>132</v>
      </c>
      <c r="J7935" t="s">
        <v>679</v>
      </c>
      <c r="K7935" t="s">
        <v>155</v>
      </c>
      <c r="L7935" t="s">
        <v>382</v>
      </c>
      <c r="M7935" t="s">
        <v>139</v>
      </c>
      <c r="N7935" t="s">
        <v>508</v>
      </c>
      <c r="O7935" t="s">
        <v>321</v>
      </c>
      <c r="P7935" t="s">
        <v>332</v>
      </c>
      <c r="Q7935" t="s">
        <v>121</v>
      </c>
      <c r="R7935" t="s">
        <v>141</v>
      </c>
    </row>
    <row r="7936" spans="1:18" x14ac:dyDescent="0.3">
      <c r="A7936" t="s">
        <v>34</v>
      </c>
      <c r="B7936" t="s">
        <v>238</v>
      </c>
      <c r="C7936">
        <v>1108</v>
      </c>
      <c r="D7936" t="s">
        <v>739</v>
      </c>
      <c r="E7936" t="s">
        <v>591</v>
      </c>
      <c r="F7936" t="s">
        <v>121</v>
      </c>
      <c r="G7936" t="s">
        <v>107</v>
      </c>
      <c r="H7936" t="s">
        <v>99</v>
      </c>
      <c r="I7936" t="s">
        <v>382</v>
      </c>
      <c r="J7936" t="s">
        <v>78</v>
      </c>
      <c r="K7936" t="s">
        <v>712</v>
      </c>
      <c r="L7936" t="s">
        <v>138</v>
      </c>
      <c r="M7936" t="s">
        <v>120</v>
      </c>
      <c r="N7936" t="s">
        <v>691</v>
      </c>
      <c r="O7936" t="s">
        <v>267</v>
      </c>
      <c r="P7936" t="s">
        <v>130</v>
      </c>
      <c r="Q7936" t="s">
        <v>115</v>
      </c>
      <c r="R7936" t="s">
        <v>207</v>
      </c>
    </row>
    <row r="7937" spans="1:18" x14ac:dyDescent="0.3">
      <c r="A7937" t="s">
        <v>33</v>
      </c>
      <c r="B7937" t="s">
        <v>236</v>
      </c>
      <c r="C7937">
        <v>925</v>
      </c>
      <c r="D7937" t="s">
        <v>478</v>
      </c>
      <c r="E7937" t="s">
        <v>1113</v>
      </c>
      <c r="F7937" t="s">
        <v>126</v>
      </c>
      <c r="G7937" t="s">
        <v>121</v>
      </c>
      <c r="H7937" t="s">
        <v>99</v>
      </c>
      <c r="I7937" t="s">
        <v>132</v>
      </c>
      <c r="J7937" t="s">
        <v>72</v>
      </c>
      <c r="K7937" t="s">
        <v>160</v>
      </c>
      <c r="L7937" t="s">
        <v>110</v>
      </c>
      <c r="M7937" t="s">
        <v>105</v>
      </c>
      <c r="N7937" t="s">
        <v>197</v>
      </c>
      <c r="O7937" t="s">
        <v>315</v>
      </c>
      <c r="P7937" t="s">
        <v>215</v>
      </c>
      <c r="Q7937" t="s">
        <v>104</v>
      </c>
      <c r="R7937" t="s">
        <v>136</v>
      </c>
    </row>
    <row r="7938" spans="1:18" x14ac:dyDescent="0.3">
      <c r="A7938" t="s">
        <v>33</v>
      </c>
      <c r="B7938" t="s">
        <v>238</v>
      </c>
      <c r="C7938">
        <v>776</v>
      </c>
      <c r="D7938" t="s">
        <v>743</v>
      </c>
      <c r="E7938" t="s">
        <v>647</v>
      </c>
      <c r="F7938" t="s">
        <v>151</v>
      </c>
      <c r="G7938" t="s">
        <v>108</v>
      </c>
      <c r="H7938" t="s">
        <v>104</v>
      </c>
      <c r="I7938" t="s">
        <v>115</v>
      </c>
      <c r="J7938" t="s">
        <v>664</v>
      </c>
      <c r="K7938" t="s">
        <v>133</v>
      </c>
      <c r="L7938" t="s">
        <v>663</v>
      </c>
      <c r="M7938" t="s">
        <v>155</v>
      </c>
      <c r="N7938" t="s">
        <v>860</v>
      </c>
      <c r="O7938" t="s">
        <v>676</v>
      </c>
      <c r="P7938" t="s">
        <v>127</v>
      </c>
      <c r="Q7938" t="s">
        <v>115</v>
      </c>
      <c r="R7938" t="s">
        <v>136</v>
      </c>
    </row>
    <row r="7939" spans="1:18" x14ac:dyDescent="0.3">
      <c r="A7939" t="s">
        <v>49</v>
      </c>
      <c r="B7939" t="s">
        <v>236</v>
      </c>
      <c r="C7939">
        <v>6344</v>
      </c>
      <c r="D7939" t="s">
        <v>727</v>
      </c>
      <c r="E7939" t="s">
        <v>937</v>
      </c>
      <c r="F7939" t="s">
        <v>151</v>
      </c>
      <c r="G7939" t="s">
        <v>215</v>
      </c>
      <c r="H7939" t="s">
        <v>99</v>
      </c>
      <c r="I7939" t="s">
        <v>115</v>
      </c>
      <c r="J7939" t="s">
        <v>353</v>
      </c>
      <c r="K7939" t="s">
        <v>412</v>
      </c>
      <c r="L7939" t="s">
        <v>139</v>
      </c>
      <c r="M7939" t="s">
        <v>107</v>
      </c>
      <c r="N7939" t="s">
        <v>673</v>
      </c>
      <c r="O7939" t="s">
        <v>163</v>
      </c>
      <c r="P7939" t="s">
        <v>111</v>
      </c>
      <c r="Q7939" t="s">
        <v>207</v>
      </c>
      <c r="R7939" t="s">
        <v>253</v>
      </c>
    </row>
    <row r="7940" spans="1:18" x14ac:dyDescent="0.3">
      <c r="A7940" t="s">
        <v>49</v>
      </c>
      <c r="B7940" t="s">
        <v>238</v>
      </c>
      <c r="C7940">
        <v>5540</v>
      </c>
      <c r="D7940" t="s">
        <v>751</v>
      </c>
      <c r="E7940" t="s">
        <v>653</v>
      </c>
      <c r="F7940" t="s">
        <v>382</v>
      </c>
      <c r="G7940" t="s">
        <v>147</v>
      </c>
      <c r="H7940" t="s">
        <v>104</v>
      </c>
      <c r="I7940" t="s">
        <v>115</v>
      </c>
      <c r="J7940" t="s">
        <v>184</v>
      </c>
      <c r="K7940" t="s">
        <v>468</v>
      </c>
      <c r="L7940" t="s">
        <v>468</v>
      </c>
      <c r="M7940" t="s">
        <v>120</v>
      </c>
      <c r="N7940" t="s">
        <v>689</v>
      </c>
      <c r="O7940" t="s">
        <v>814</v>
      </c>
      <c r="P7940" t="s">
        <v>316</v>
      </c>
      <c r="Q7940" t="s">
        <v>136</v>
      </c>
      <c r="R7940" t="s">
        <v>103</v>
      </c>
    </row>
    <row r="7942" spans="1:18" x14ac:dyDescent="0.3">
      <c r="A7942" t="s">
        <v>2307</v>
      </c>
    </row>
    <row r="7943" spans="1:18" x14ac:dyDescent="0.3">
      <c r="A7943" t="s">
        <v>44</v>
      </c>
      <c r="B7943" t="s">
        <v>879</v>
      </c>
      <c r="C7943" t="s">
        <v>32</v>
      </c>
      <c r="D7943" t="s">
        <v>2292</v>
      </c>
      <c r="E7943" t="s">
        <v>2293</v>
      </c>
      <c r="F7943" t="s">
        <v>2294</v>
      </c>
      <c r="G7943" t="s">
        <v>2295</v>
      </c>
      <c r="H7943" t="s">
        <v>2296</v>
      </c>
      <c r="I7943" t="s">
        <v>2297</v>
      </c>
      <c r="J7943" t="s">
        <v>2298</v>
      </c>
      <c r="K7943" t="s">
        <v>2299</v>
      </c>
      <c r="L7943" t="s">
        <v>2300</v>
      </c>
      <c r="M7943" t="s">
        <v>2301</v>
      </c>
      <c r="N7943" t="s">
        <v>2302</v>
      </c>
      <c r="O7943" t="s">
        <v>2303</v>
      </c>
      <c r="P7943" t="s">
        <v>88</v>
      </c>
      <c r="Q7943" t="s">
        <v>83</v>
      </c>
      <c r="R7943" t="s">
        <v>193</v>
      </c>
    </row>
    <row r="7944" spans="1:18" x14ac:dyDescent="0.3">
      <c r="A7944" t="s">
        <v>35</v>
      </c>
      <c r="B7944" t="s">
        <v>880</v>
      </c>
      <c r="C7944">
        <v>286</v>
      </c>
      <c r="D7944" t="s">
        <v>686</v>
      </c>
      <c r="E7944" t="s">
        <v>1048</v>
      </c>
      <c r="F7944" t="s">
        <v>132</v>
      </c>
      <c r="G7944" t="s">
        <v>160</v>
      </c>
      <c r="H7944" t="s">
        <v>99</v>
      </c>
      <c r="I7944" t="s">
        <v>141</v>
      </c>
      <c r="J7944" t="s">
        <v>264</v>
      </c>
      <c r="K7944" t="s">
        <v>158</v>
      </c>
      <c r="L7944" t="s">
        <v>99</v>
      </c>
      <c r="M7944" t="s">
        <v>204</v>
      </c>
      <c r="N7944" t="s">
        <v>38</v>
      </c>
      <c r="O7944" t="s">
        <v>798</v>
      </c>
      <c r="P7944" t="s">
        <v>117</v>
      </c>
      <c r="Q7944" t="s">
        <v>207</v>
      </c>
      <c r="R7944" t="s">
        <v>198</v>
      </c>
    </row>
    <row r="7945" spans="1:18" x14ac:dyDescent="0.3">
      <c r="A7945" t="s">
        <v>35</v>
      </c>
      <c r="B7945" t="s">
        <v>881</v>
      </c>
      <c r="C7945">
        <v>959</v>
      </c>
      <c r="D7945" t="s">
        <v>676</v>
      </c>
      <c r="E7945" t="s">
        <v>275</v>
      </c>
      <c r="F7945" t="s">
        <v>151</v>
      </c>
      <c r="G7945" t="s">
        <v>154</v>
      </c>
      <c r="H7945" t="s">
        <v>207</v>
      </c>
      <c r="I7945" t="s">
        <v>136</v>
      </c>
      <c r="J7945" t="s">
        <v>251</v>
      </c>
      <c r="K7945" t="s">
        <v>296</v>
      </c>
      <c r="L7945" t="s">
        <v>111</v>
      </c>
      <c r="M7945" t="s">
        <v>108</v>
      </c>
      <c r="N7945" t="s">
        <v>491</v>
      </c>
      <c r="O7945" t="s">
        <v>78</v>
      </c>
      <c r="P7945" t="s">
        <v>127</v>
      </c>
      <c r="Q7945" t="s">
        <v>104</v>
      </c>
      <c r="R7945" t="s">
        <v>292</v>
      </c>
    </row>
    <row r="7946" spans="1:18" x14ac:dyDescent="0.3">
      <c r="A7946" t="s">
        <v>35</v>
      </c>
      <c r="B7946" t="s">
        <v>882</v>
      </c>
      <c r="C7946">
        <v>1751</v>
      </c>
      <c r="D7946" t="s">
        <v>724</v>
      </c>
      <c r="E7946" t="s">
        <v>897</v>
      </c>
      <c r="F7946" t="s">
        <v>127</v>
      </c>
      <c r="G7946" t="s">
        <v>268</v>
      </c>
      <c r="H7946" t="s">
        <v>99</v>
      </c>
      <c r="I7946" t="s">
        <v>198</v>
      </c>
      <c r="J7946" t="s">
        <v>328</v>
      </c>
      <c r="K7946" t="s">
        <v>712</v>
      </c>
      <c r="L7946" t="s">
        <v>251</v>
      </c>
      <c r="M7946" t="s">
        <v>117</v>
      </c>
      <c r="N7946" t="s">
        <v>444</v>
      </c>
      <c r="O7946" t="s">
        <v>368</v>
      </c>
      <c r="P7946" t="s">
        <v>316</v>
      </c>
      <c r="Q7946" t="s">
        <v>104</v>
      </c>
      <c r="R7946" t="s">
        <v>468</v>
      </c>
    </row>
    <row r="7947" spans="1:18" x14ac:dyDescent="0.3">
      <c r="A7947" t="s">
        <v>37</v>
      </c>
      <c r="B7947" t="s">
        <v>880</v>
      </c>
      <c r="C7947">
        <v>331</v>
      </c>
      <c r="D7947" t="s">
        <v>795</v>
      </c>
      <c r="E7947" t="s">
        <v>521</v>
      </c>
      <c r="F7947" t="s">
        <v>136</v>
      </c>
      <c r="G7947" t="s">
        <v>117</v>
      </c>
      <c r="H7947" t="s">
        <v>99</v>
      </c>
      <c r="I7947" t="s">
        <v>99</v>
      </c>
      <c r="J7947" t="s">
        <v>233</v>
      </c>
      <c r="K7947" t="s">
        <v>130</v>
      </c>
      <c r="L7947" t="s">
        <v>99</v>
      </c>
      <c r="M7947" t="s">
        <v>139</v>
      </c>
      <c r="N7947" t="s">
        <v>692</v>
      </c>
      <c r="O7947" t="s">
        <v>701</v>
      </c>
      <c r="P7947" t="s">
        <v>215</v>
      </c>
      <c r="Q7947" t="s">
        <v>99</v>
      </c>
      <c r="R7947" t="s">
        <v>151</v>
      </c>
    </row>
    <row r="7948" spans="1:18" x14ac:dyDescent="0.3">
      <c r="A7948" t="s">
        <v>37</v>
      </c>
      <c r="B7948" t="s">
        <v>881</v>
      </c>
      <c r="C7948">
        <v>1163</v>
      </c>
      <c r="D7948" t="s">
        <v>814</v>
      </c>
      <c r="E7948" t="s">
        <v>275</v>
      </c>
      <c r="F7948" t="s">
        <v>107</v>
      </c>
      <c r="G7948" t="s">
        <v>103</v>
      </c>
      <c r="H7948" t="s">
        <v>99</v>
      </c>
      <c r="I7948" t="s">
        <v>101</v>
      </c>
      <c r="J7948" t="s">
        <v>122</v>
      </c>
      <c r="K7948" t="s">
        <v>325</v>
      </c>
      <c r="L7948" t="s">
        <v>316</v>
      </c>
      <c r="M7948" t="s">
        <v>382</v>
      </c>
      <c r="N7948" t="s">
        <v>173</v>
      </c>
      <c r="O7948" t="s">
        <v>184</v>
      </c>
      <c r="P7948" t="s">
        <v>108</v>
      </c>
      <c r="Q7948" t="s">
        <v>136</v>
      </c>
      <c r="R7948" t="s">
        <v>104</v>
      </c>
    </row>
    <row r="7949" spans="1:18" x14ac:dyDescent="0.3">
      <c r="A7949" t="s">
        <v>37</v>
      </c>
      <c r="B7949" t="s">
        <v>882</v>
      </c>
      <c r="C7949">
        <v>2144</v>
      </c>
      <c r="D7949" t="s">
        <v>116</v>
      </c>
      <c r="E7949" t="s">
        <v>930</v>
      </c>
      <c r="F7949" t="s">
        <v>127</v>
      </c>
      <c r="G7949" t="s">
        <v>127</v>
      </c>
      <c r="H7949" t="s">
        <v>99</v>
      </c>
      <c r="I7949" t="s">
        <v>141</v>
      </c>
      <c r="J7949" t="s">
        <v>152</v>
      </c>
      <c r="K7949" t="s">
        <v>130</v>
      </c>
      <c r="L7949" t="s">
        <v>305</v>
      </c>
      <c r="M7949" t="s">
        <v>134</v>
      </c>
      <c r="N7949" t="s">
        <v>814</v>
      </c>
      <c r="O7949" t="s">
        <v>206</v>
      </c>
      <c r="P7949" t="s">
        <v>382</v>
      </c>
      <c r="Q7949" t="s">
        <v>207</v>
      </c>
      <c r="R7949" t="s">
        <v>104</v>
      </c>
    </row>
    <row r="7950" spans="1:18" x14ac:dyDescent="0.3">
      <c r="A7950" t="s">
        <v>36</v>
      </c>
      <c r="B7950" t="s">
        <v>880</v>
      </c>
      <c r="C7950">
        <v>196</v>
      </c>
      <c r="D7950" t="s">
        <v>679</v>
      </c>
      <c r="E7950" t="s">
        <v>839</v>
      </c>
      <c r="F7950" t="s">
        <v>115</v>
      </c>
      <c r="G7950" t="s">
        <v>319</v>
      </c>
      <c r="H7950" t="s">
        <v>99</v>
      </c>
      <c r="I7950" t="s">
        <v>104</v>
      </c>
      <c r="J7950" t="s">
        <v>434</v>
      </c>
      <c r="K7950" t="s">
        <v>115</v>
      </c>
      <c r="L7950" t="s">
        <v>99</v>
      </c>
      <c r="M7950" t="s">
        <v>132</v>
      </c>
      <c r="N7950" t="s">
        <v>836</v>
      </c>
      <c r="O7950" t="s">
        <v>40</v>
      </c>
      <c r="P7950" t="s">
        <v>107</v>
      </c>
      <c r="Q7950" t="s">
        <v>99</v>
      </c>
      <c r="R7950" t="s">
        <v>198</v>
      </c>
    </row>
    <row r="7951" spans="1:18" x14ac:dyDescent="0.3">
      <c r="A7951" t="s">
        <v>36</v>
      </c>
      <c r="B7951" t="s">
        <v>881</v>
      </c>
      <c r="C7951">
        <v>663</v>
      </c>
      <c r="D7951" t="s">
        <v>714</v>
      </c>
      <c r="E7951" t="s">
        <v>1223</v>
      </c>
      <c r="F7951" t="s">
        <v>138</v>
      </c>
      <c r="G7951" t="s">
        <v>111</v>
      </c>
      <c r="H7951" t="s">
        <v>99</v>
      </c>
      <c r="I7951" t="s">
        <v>136</v>
      </c>
      <c r="J7951" t="s">
        <v>254</v>
      </c>
      <c r="K7951" t="s">
        <v>248</v>
      </c>
      <c r="L7951" t="s">
        <v>127</v>
      </c>
      <c r="M7951" t="s">
        <v>115</v>
      </c>
      <c r="N7951" t="s">
        <v>1053</v>
      </c>
      <c r="O7951" t="s">
        <v>714</v>
      </c>
      <c r="P7951" t="s">
        <v>130</v>
      </c>
      <c r="Q7951" t="s">
        <v>99</v>
      </c>
      <c r="R7951" t="s">
        <v>121</v>
      </c>
    </row>
    <row r="7952" spans="1:18" x14ac:dyDescent="0.3">
      <c r="A7952" t="s">
        <v>36</v>
      </c>
      <c r="B7952" t="s">
        <v>882</v>
      </c>
      <c r="C7952">
        <v>1093</v>
      </c>
      <c r="D7952" t="s">
        <v>478</v>
      </c>
      <c r="E7952" t="s">
        <v>944</v>
      </c>
      <c r="F7952" t="s">
        <v>121</v>
      </c>
      <c r="G7952" t="s">
        <v>107</v>
      </c>
      <c r="H7952" t="s">
        <v>99</v>
      </c>
      <c r="I7952" t="s">
        <v>101</v>
      </c>
      <c r="J7952" t="s">
        <v>254</v>
      </c>
      <c r="K7952" t="s">
        <v>138</v>
      </c>
      <c r="L7952" t="s">
        <v>68</v>
      </c>
      <c r="M7952" t="s">
        <v>107</v>
      </c>
      <c r="N7952" t="s">
        <v>281</v>
      </c>
      <c r="O7952" t="s">
        <v>688</v>
      </c>
      <c r="P7952" t="s">
        <v>474</v>
      </c>
      <c r="Q7952" t="s">
        <v>198</v>
      </c>
      <c r="R7952" t="s">
        <v>474</v>
      </c>
    </row>
    <row r="7953" spans="1:18" x14ac:dyDescent="0.3">
      <c r="A7953" t="s">
        <v>34</v>
      </c>
      <c r="B7953" t="s">
        <v>880</v>
      </c>
      <c r="C7953">
        <v>162</v>
      </c>
      <c r="D7953" t="s">
        <v>710</v>
      </c>
      <c r="E7953" t="s">
        <v>1215</v>
      </c>
      <c r="F7953" t="s">
        <v>108</v>
      </c>
      <c r="G7953" t="s">
        <v>111</v>
      </c>
      <c r="H7953" t="s">
        <v>99</v>
      </c>
      <c r="I7953" t="s">
        <v>105</v>
      </c>
      <c r="J7953" t="s">
        <v>262</v>
      </c>
      <c r="K7953" t="s">
        <v>127</v>
      </c>
      <c r="L7953" t="s">
        <v>99</v>
      </c>
      <c r="M7953" t="s">
        <v>132</v>
      </c>
      <c r="N7953" t="s">
        <v>717</v>
      </c>
      <c r="O7953" t="s">
        <v>746</v>
      </c>
      <c r="P7953" t="s">
        <v>98</v>
      </c>
      <c r="Q7953" t="s">
        <v>215</v>
      </c>
      <c r="R7953" t="s">
        <v>126</v>
      </c>
    </row>
    <row r="7954" spans="1:18" x14ac:dyDescent="0.3">
      <c r="A7954" t="s">
        <v>34</v>
      </c>
      <c r="B7954" t="s">
        <v>881</v>
      </c>
      <c r="C7954">
        <v>578</v>
      </c>
      <c r="D7954" t="s">
        <v>201</v>
      </c>
      <c r="E7954" t="s">
        <v>563</v>
      </c>
      <c r="F7954" t="s">
        <v>151</v>
      </c>
      <c r="G7954" t="s">
        <v>292</v>
      </c>
      <c r="H7954" t="s">
        <v>99</v>
      </c>
      <c r="I7954" t="s">
        <v>114</v>
      </c>
      <c r="J7954" t="s">
        <v>664</v>
      </c>
      <c r="K7954" t="s">
        <v>147</v>
      </c>
      <c r="L7954" t="s">
        <v>268</v>
      </c>
      <c r="M7954" t="s">
        <v>151</v>
      </c>
      <c r="N7954" t="s">
        <v>523</v>
      </c>
      <c r="O7954" t="s">
        <v>746</v>
      </c>
      <c r="P7954" t="s">
        <v>103</v>
      </c>
      <c r="Q7954" t="s">
        <v>141</v>
      </c>
      <c r="R7954" t="s">
        <v>99</v>
      </c>
    </row>
    <row r="7955" spans="1:18" x14ac:dyDescent="0.3">
      <c r="A7955" t="s">
        <v>34</v>
      </c>
      <c r="B7955" t="s">
        <v>882</v>
      </c>
      <c r="C7955">
        <v>857</v>
      </c>
      <c r="D7955" t="s">
        <v>807</v>
      </c>
      <c r="E7955" t="s">
        <v>557</v>
      </c>
      <c r="F7955" t="s">
        <v>114</v>
      </c>
      <c r="G7955" t="s">
        <v>120</v>
      </c>
      <c r="H7955" t="s">
        <v>99</v>
      </c>
      <c r="I7955" t="s">
        <v>101</v>
      </c>
      <c r="J7955" t="s">
        <v>184</v>
      </c>
      <c r="K7955" t="s">
        <v>242</v>
      </c>
      <c r="L7955" t="s">
        <v>155</v>
      </c>
      <c r="M7955" t="s">
        <v>112</v>
      </c>
      <c r="N7955" t="s">
        <v>691</v>
      </c>
      <c r="O7955" t="s">
        <v>685</v>
      </c>
      <c r="P7955" t="s">
        <v>112</v>
      </c>
      <c r="Q7955" t="s">
        <v>114</v>
      </c>
      <c r="R7955" t="s">
        <v>136</v>
      </c>
    </row>
    <row r="7956" spans="1:18" x14ac:dyDescent="0.3">
      <c r="A7956" t="s">
        <v>33</v>
      </c>
      <c r="B7956" t="s">
        <v>880</v>
      </c>
      <c r="C7956">
        <v>201</v>
      </c>
      <c r="D7956" t="s">
        <v>318</v>
      </c>
      <c r="E7956" t="s">
        <v>836</v>
      </c>
      <c r="F7956" t="s">
        <v>126</v>
      </c>
      <c r="G7956" t="s">
        <v>108</v>
      </c>
      <c r="H7956" t="s">
        <v>99</v>
      </c>
      <c r="I7956" t="s">
        <v>292</v>
      </c>
      <c r="J7956" t="s">
        <v>220</v>
      </c>
      <c r="K7956" t="s">
        <v>152</v>
      </c>
      <c r="L7956" t="s">
        <v>99</v>
      </c>
      <c r="M7956" t="s">
        <v>158</v>
      </c>
      <c r="N7956" t="s">
        <v>137</v>
      </c>
      <c r="O7956" t="s">
        <v>670</v>
      </c>
      <c r="P7956" t="s">
        <v>111</v>
      </c>
      <c r="Q7956" t="s">
        <v>121</v>
      </c>
      <c r="R7956" t="s">
        <v>114</v>
      </c>
    </row>
    <row r="7957" spans="1:18" x14ac:dyDescent="0.3">
      <c r="A7957" t="s">
        <v>33</v>
      </c>
      <c r="B7957" t="s">
        <v>881</v>
      </c>
      <c r="C7957">
        <v>552</v>
      </c>
      <c r="D7957" t="s">
        <v>267</v>
      </c>
      <c r="E7957" t="s">
        <v>639</v>
      </c>
      <c r="F7957" t="s">
        <v>316</v>
      </c>
      <c r="G7957" t="s">
        <v>100</v>
      </c>
      <c r="H7957" t="s">
        <v>99</v>
      </c>
      <c r="I7957" t="s">
        <v>121</v>
      </c>
      <c r="J7957" t="s">
        <v>401</v>
      </c>
      <c r="K7957" t="s">
        <v>133</v>
      </c>
      <c r="L7957" t="s">
        <v>332</v>
      </c>
      <c r="M7957" t="s">
        <v>100</v>
      </c>
      <c r="N7957" t="s">
        <v>1059</v>
      </c>
      <c r="O7957" t="s">
        <v>150</v>
      </c>
      <c r="P7957" t="s">
        <v>108</v>
      </c>
      <c r="Q7957" t="s">
        <v>136</v>
      </c>
      <c r="R7957" t="s">
        <v>104</v>
      </c>
    </row>
    <row r="7958" spans="1:18" x14ac:dyDescent="0.3">
      <c r="A7958" t="s">
        <v>33</v>
      </c>
      <c r="B7958" t="s">
        <v>882</v>
      </c>
      <c r="C7958">
        <v>948</v>
      </c>
      <c r="D7958" t="s">
        <v>1059</v>
      </c>
      <c r="E7958" t="s">
        <v>224</v>
      </c>
      <c r="F7958" t="s">
        <v>319</v>
      </c>
      <c r="G7958" t="s">
        <v>114</v>
      </c>
      <c r="H7958" t="s">
        <v>104</v>
      </c>
      <c r="I7958" t="s">
        <v>198</v>
      </c>
      <c r="J7958" t="s">
        <v>679</v>
      </c>
      <c r="K7958" t="s">
        <v>401</v>
      </c>
      <c r="L7958" t="s">
        <v>184</v>
      </c>
      <c r="M7958" t="s">
        <v>130</v>
      </c>
      <c r="N7958" t="s">
        <v>437</v>
      </c>
      <c r="O7958" t="s">
        <v>395</v>
      </c>
      <c r="P7958" t="s">
        <v>292</v>
      </c>
      <c r="Q7958" t="s">
        <v>198</v>
      </c>
      <c r="R7958" t="s">
        <v>141</v>
      </c>
    </row>
    <row r="7959" spans="1:18" x14ac:dyDescent="0.3">
      <c r="A7959" t="s">
        <v>49</v>
      </c>
      <c r="B7959" t="s">
        <v>880</v>
      </c>
      <c r="C7959">
        <v>1176</v>
      </c>
      <c r="D7959" t="s">
        <v>491</v>
      </c>
      <c r="E7959" t="s">
        <v>561</v>
      </c>
      <c r="F7959" t="s">
        <v>132</v>
      </c>
      <c r="G7959" t="s">
        <v>134</v>
      </c>
      <c r="H7959" t="s">
        <v>99</v>
      </c>
      <c r="I7959" t="s">
        <v>114</v>
      </c>
      <c r="J7959" t="s">
        <v>311</v>
      </c>
      <c r="K7959" t="s">
        <v>712</v>
      </c>
      <c r="L7959" t="s">
        <v>99</v>
      </c>
      <c r="M7959" t="s">
        <v>434</v>
      </c>
      <c r="N7959" t="s">
        <v>686</v>
      </c>
      <c r="O7959" t="s">
        <v>676</v>
      </c>
      <c r="P7959" t="s">
        <v>128</v>
      </c>
      <c r="Q7959" t="s">
        <v>141</v>
      </c>
      <c r="R7959" t="s">
        <v>108</v>
      </c>
    </row>
    <row r="7960" spans="1:18" x14ac:dyDescent="0.3">
      <c r="A7960" t="s">
        <v>49</v>
      </c>
      <c r="B7960" t="s">
        <v>881</v>
      </c>
      <c r="C7960">
        <v>3915</v>
      </c>
      <c r="D7960" t="s">
        <v>798</v>
      </c>
      <c r="E7960" t="s">
        <v>61</v>
      </c>
      <c r="F7960" t="s">
        <v>103</v>
      </c>
      <c r="G7960" t="s">
        <v>103</v>
      </c>
      <c r="H7960" t="s">
        <v>104</v>
      </c>
      <c r="I7960" t="s">
        <v>108</v>
      </c>
      <c r="J7960" t="s">
        <v>299</v>
      </c>
      <c r="K7960" t="s">
        <v>109</v>
      </c>
      <c r="L7960" t="s">
        <v>103</v>
      </c>
      <c r="M7960" t="s">
        <v>101</v>
      </c>
      <c r="N7960" t="s">
        <v>463</v>
      </c>
      <c r="O7960" t="s">
        <v>41</v>
      </c>
      <c r="P7960" t="s">
        <v>215</v>
      </c>
      <c r="Q7960" t="s">
        <v>207</v>
      </c>
      <c r="R7960" t="s">
        <v>115</v>
      </c>
    </row>
    <row r="7961" spans="1:18" x14ac:dyDescent="0.3">
      <c r="A7961" t="s">
        <v>49</v>
      </c>
      <c r="B7961" t="s">
        <v>882</v>
      </c>
      <c r="C7961">
        <v>6793</v>
      </c>
      <c r="D7961" t="s">
        <v>665</v>
      </c>
      <c r="E7961" t="s">
        <v>1214</v>
      </c>
      <c r="F7961" t="s">
        <v>126</v>
      </c>
      <c r="G7961" t="s">
        <v>292</v>
      </c>
      <c r="H7961" t="s">
        <v>99</v>
      </c>
      <c r="I7961" t="s">
        <v>253</v>
      </c>
      <c r="J7961" t="s">
        <v>135</v>
      </c>
      <c r="K7961" t="s">
        <v>68</v>
      </c>
      <c r="L7961" t="s">
        <v>70</v>
      </c>
      <c r="M7961" t="s">
        <v>332</v>
      </c>
      <c r="N7961" t="s">
        <v>395</v>
      </c>
      <c r="O7961" t="s">
        <v>244</v>
      </c>
      <c r="P7961" t="s">
        <v>128</v>
      </c>
      <c r="Q7961" t="s">
        <v>207</v>
      </c>
      <c r="R7961" t="s">
        <v>268</v>
      </c>
    </row>
    <row r="7963" spans="1:18" x14ac:dyDescent="0.3">
      <c r="A7963" t="s">
        <v>2308</v>
      </c>
    </row>
    <row r="7964" spans="1:18" x14ac:dyDescent="0.3">
      <c r="A7964" t="s">
        <v>44</v>
      </c>
      <c r="B7964" t="s">
        <v>1241</v>
      </c>
      <c r="C7964" t="s">
        <v>32</v>
      </c>
      <c r="D7964" t="s">
        <v>2292</v>
      </c>
      <c r="E7964" t="s">
        <v>2293</v>
      </c>
      <c r="F7964" t="s">
        <v>2294</v>
      </c>
      <c r="G7964" t="s">
        <v>2295</v>
      </c>
      <c r="H7964" t="s">
        <v>2296</v>
      </c>
      <c r="I7964" t="s">
        <v>2297</v>
      </c>
      <c r="J7964" t="s">
        <v>2298</v>
      </c>
      <c r="K7964" t="s">
        <v>2299</v>
      </c>
      <c r="L7964" t="s">
        <v>2300</v>
      </c>
      <c r="M7964" t="s">
        <v>2301</v>
      </c>
      <c r="N7964" t="s">
        <v>2302</v>
      </c>
      <c r="O7964" t="s">
        <v>2303</v>
      </c>
      <c r="P7964" t="s">
        <v>88</v>
      </c>
      <c r="Q7964" t="s">
        <v>83</v>
      </c>
      <c r="R7964" t="s">
        <v>193</v>
      </c>
    </row>
    <row r="7965" spans="1:18" x14ac:dyDescent="0.3">
      <c r="A7965" t="s">
        <v>35</v>
      </c>
      <c r="B7965" t="s">
        <v>1242</v>
      </c>
      <c r="C7965">
        <v>2942</v>
      </c>
      <c r="D7965" t="s">
        <v>281</v>
      </c>
      <c r="E7965" t="s">
        <v>1494</v>
      </c>
      <c r="F7965" t="s">
        <v>215</v>
      </c>
      <c r="G7965" t="s">
        <v>138</v>
      </c>
      <c r="H7965" t="s">
        <v>104</v>
      </c>
      <c r="I7965" t="s">
        <v>207</v>
      </c>
      <c r="J7965" t="s">
        <v>353</v>
      </c>
      <c r="K7965" t="s">
        <v>468</v>
      </c>
      <c r="L7965" t="s">
        <v>663</v>
      </c>
      <c r="M7965" t="s">
        <v>103</v>
      </c>
      <c r="N7965" t="s">
        <v>357</v>
      </c>
      <c r="O7965" t="s">
        <v>710</v>
      </c>
      <c r="P7965" t="s">
        <v>117</v>
      </c>
      <c r="Q7965" t="s">
        <v>104</v>
      </c>
      <c r="R7965" t="s">
        <v>129</v>
      </c>
    </row>
    <row r="7966" spans="1:18" s="5" customFormat="1" x14ac:dyDescent="0.3">
      <c r="A7966" s="5" t="s">
        <v>35</v>
      </c>
      <c r="B7966" s="5" t="s">
        <v>1243</v>
      </c>
      <c r="C7966" s="5">
        <v>30</v>
      </c>
      <c r="D7966" s="5" t="s">
        <v>76</v>
      </c>
      <c r="E7966" s="5" t="s">
        <v>927</v>
      </c>
      <c r="F7966" s="5" t="s">
        <v>425</v>
      </c>
      <c r="G7966" s="5" t="s">
        <v>99</v>
      </c>
      <c r="H7966" s="5" t="s">
        <v>99</v>
      </c>
      <c r="I7966" s="5" t="s">
        <v>99</v>
      </c>
      <c r="J7966" s="5" t="s">
        <v>99</v>
      </c>
      <c r="K7966" s="5" t="s">
        <v>242</v>
      </c>
      <c r="L7966" s="5" t="s">
        <v>121</v>
      </c>
      <c r="M7966" s="5" t="s">
        <v>99</v>
      </c>
      <c r="N7966" s="5" t="s">
        <v>267</v>
      </c>
      <c r="O7966" s="5" t="s">
        <v>264</v>
      </c>
      <c r="P7966" s="5" t="s">
        <v>434</v>
      </c>
      <c r="Q7966" s="5" t="s">
        <v>99</v>
      </c>
      <c r="R7966" s="5" t="s">
        <v>99</v>
      </c>
    </row>
    <row r="7967" spans="1:18" s="5" customFormat="1" x14ac:dyDescent="0.3">
      <c r="A7967" s="5" t="s">
        <v>35</v>
      </c>
      <c r="B7967" s="5" t="s">
        <v>1244</v>
      </c>
      <c r="C7967" s="5">
        <v>21</v>
      </c>
      <c r="D7967" s="5" t="s">
        <v>905</v>
      </c>
      <c r="E7967" s="5" t="s">
        <v>1360</v>
      </c>
      <c r="F7967" s="5" t="s">
        <v>99</v>
      </c>
      <c r="G7967" s="5" t="s">
        <v>155</v>
      </c>
      <c r="H7967" s="5" t="s">
        <v>99</v>
      </c>
      <c r="I7967" s="5" t="s">
        <v>99</v>
      </c>
      <c r="J7967" s="5" t="s">
        <v>1094</v>
      </c>
      <c r="K7967" s="5" t="s">
        <v>152</v>
      </c>
      <c r="L7967" s="5" t="s">
        <v>405</v>
      </c>
      <c r="M7967" s="5" t="s">
        <v>99</v>
      </c>
      <c r="N7967" s="5" t="s">
        <v>726</v>
      </c>
      <c r="O7967" s="5" t="s">
        <v>99</v>
      </c>
      <c r="P7967" s="5" t="s">
        <v>99</v>
      </c>
      <c r="Q7967" s="5" t="s">
        <v>99</v>
      </c>
      <c r="R7967" s="5" t="s">
        <v>99</v>
      </c>
    </row>
    <row r="7968" spans="1:18" x14ac:dyDescent="0.3">
      <c r="A7968" t="s">
        <v>35</v>
      </c>
      <c r="B7968" t="s">
        <v>365</v>
      </c>
      <c r="C7968">
        <v>3</v>
      </c>
      <c r="D7968" t="s">
        <v>673</v>
      </c>
      <c r="E7968" t="s">
        <v>961</v>
      </c>
      <c r="F7968" t="s">
        <v>99</v>
      </c>
      <c r="G7968" t="s">
        <v>99</v>
      </c>
      <c r="H7968" t="s">
        <v>99</v>
      </c>
      <c r="I7968" t="s">
        <v>99</v>
      </c>
      <c r="J7968" t="s">
        <v>99</v>
      </c>
      <c r="K7968" t="s">
        <v>99</v>
      </c>
      <c r="L7968" t="s">
        <v>99</v>
      </c>
      <c r="M7968" t="s">
        <v>99</v>
      </c>
      <c r="N7968" t="s">
        <v>99</v>
      </c>
      <c r="O7968" t="s">
        <v>99</v>
      </c>
      <c r="P7968" t="s">
        <v>99</v>
      </c>
      <c r="Q7968" t="s">
        <v>99</v>
      </c>
      <c r="R7968" t="s">
        <v>99</v>
      </c>
    </row>
    <row r="7969" spans="1:18" x14ac:dyDescent="0.3">
      <c r="A7969" t="s">
        <v>37</v>
      </c>
      <c r="B7969" t="s">
        <v>1242</v>
      </c>
      <c r="C7969">
        <v>3516</v>
      </c>
      <c r="D7969" t="s">
        <v>240</v>
      </c>
      <c r="E7969" t="s">
        <v>571</v>
      </c>
      <c r="F7969" t="s">
        <v>292</v>
      </c>
      <c r="G7969" t="s">
        <v>151</v>
      </c>
      <c r="H7969" t="s">
        <v>99</v>
      </c>
      <c r="I7969" t="s">
        <v>115</v>
      </c>
      <c r="J7969" t="s">
        <v>184</v>
      </c>
      <c r="K7969" t="s">
        <v>139</v>
      </c>
      <c r="L7969" t="s">
        <v>144</v>
      </c>
      <c r="M7969" t="s">
        <v>138</v>
      </c>
      <c r="N7969" t="s">
        <v>704</v>
      </c>
      <c r="O7969" t="s">
        <v>171</v>
      </c>
      <c r="P7969" t="s">
        <v>121</v>
      </c>
      <c r="Q7969" t="s">
        <v>207</v>
      </c>
      <c r="R7969" t="s">
        <v>207</v>
      </c>
    </row>
    <row r="7970" spans="1:18" x14ac:dyDescent="0.3">
      <c r="A7970" t="s">
        <v>37</v>
      </c>
      <c r="B7970" t="s">
        <v>1243</v>
      </c>
      <c r="C7970">
        <v>96</v>
      </c>
      <c r="D7970" t="s">
        <v>691</v>
      </c>
      <c r="E7970" t="s">
        <v>639</v>
      </c>
      <c r="F7970" t="s">
        <v>126</v>
      </c>
      <c r="G7970" t="s">
        <v>139</v>
      </c>
      <c r="H7970" t="s">
        <v>99</v>
      </c>
      <c r="I7970" t="s">
        <v>126</v>
      </c>
      <c r="J7970" t="s">
        <v>144</v>
      </c>
      <c r="K7970" t="s">
        <v>684</v>
      </c>
      <c r="L7970" t="s">
        <v>292</v>
      </c>
      <c r="M7970" t="s">
        <v>253</v>
      </c>
      <c r="N7970" t="s">
        <v>305</v>
      </c>
      <c r="O7970" t="s">
        <v>706</v>
      </c>
      <c r="P7970" t="s">
        <v>118</v>
      </c>
      <c r="Q7970" t="s">
        <v>99</v>
      </c>
      <c r="R7970" t="s">
        <v>99</v>
      </c>
    </row>
    <row r="7971" spans="1:18" s="5" customFormat="1" x14ac:dyDescent="0.3">
      <c r="A7971" s="5" t="s">
        <v>37</v>
      </c>
      <c r="B7971" s="5" t="s">
        <v>1244</v>
      </c>
      <c r="C7971" s="5">
        <v>26</v>
      </c>
      <c r="D7971" s="5" t="s">
        <v>289</v>
      </c>
      <c r="E7971" s="5" t="s">
        <v>1231</v>
      </c>
      <c r="F7971" s="5" t="s">
        <v>138</v>
      </c>
      <c r="G7971" s="5" t="s">
        <v>99</v>
      </c>
      <c r="H7971" s="5" t="s">
        <v>99</v>
      </c>
      <c r="I7971" s="5" t="s">
        <v>99</v>
      </c>
      <c r="J7971" s="5" t="s">
        <v>355</v>
      </c>
      <c r="K7971" s="5" t="s">
        <v>470</v>
      </c>
      <c r="L7971" s="5" t="s">
        <v>99</v>
      </c>
      <c r="M7971" s="5" t="s">
        <v>99</v>
      </c>
      <c r="N7971" s="5" t="s">
        <v>519</v>
      </c>
      <c r="O7971" s="5" t="s">
        <v>137</v>
      </c>
      <c r="P7971" s="5" t="s">
        <v>277</v>
      </c>
      <c r="Q7971" s="5" t="s">
        <v>99</v>
      </c>
      <c r="R7971" s="5" t="s">
        <v>99</v>
      </c>
    </row>
    <row r="7972" spans="1:18" x14ac:dyDescent="0.3">
      <c r="A7972" t="s">
        <v>36</v>
      </c>
      <c r="B7972" t="s">
        <v>1242</v>
      </c>
      <c r="C7972">
        <v>1850</v>
      </c>
      <c r="D7972" t="s">
        <v>255</v>
      </c>
      <c r="E7972" t="s">
        <v>906</v>
      </c>
      <c r="F7972" t="s">
        <v>382</v>
      </c>
      <c r="G7972" t="s">
        <v>316</v>
      </c>
      <c r="H7972" t="s">
        <v>99</v>
      </c>
      <c r="I7972" t="s">
        <v>108</v>
      </c>
      <c r="J7972" t="s">
        <v>143</v>
      </c>
      <c r="K7972" t="s">
        <v>434</v>
      </c>
      <c r="L7972" t="s">
        <v>138</v>
      </c>
      <c r="M7972" t="s">
        <v>292</v>
      </c>
      <c r="N7972" t="s">
        <v>860</v>
      </c>
      <c r="O7972" t="s">
        <v>798</v>
      </c>
      <c r="P7972" t="s">
        <v>130</v>
      </c>
      <c r="Q7972" t="s">
        <v>104</v>
      </c>
      <c r="R7972" t="s">
        <v>107</v>
      </c>
    </row>
    <row r="7973" spans="1:18" x14ac:dyDescent="0.3">
      <c r="A7973" t="s">
        <v>36</v>
      </c>
      <c r="B7973" t="s">
        <v>1243</v>
      </c>
      <c r="C7973">
        <v>37</v>
      </c>
      <c r="D7973" t="s">
        <v>133</v>
      </c>
      <c r="E7973" t="s">
        <v>862</v>
      </c>
      <c r="F7973" t="s">
        <v>135</v>
      </c>
      <c r="G7973" t="s">
        <v>99</v>
      </c>
      <c r="H7973" t="s">
        <v>99</v>
      </c>
      <c r="I7973" t="s">
        <v>101</v>
      </c>
      <c r="J7973" t="s">
        <v>142</v>
      </c>
      <c r="K7973" t="s">
        <v>99</v>
      </c>
      <c r="L7973" t="s">
        <v>99</v>
      </c>
      <c r="M7973" t="s">
        <v>319</v>
      </c>
      <c r="N7973" t="s">
        <v>804</v>
      </c>
      <c r="O7973" t="s">
        <v>62</v>
      </c>
      <c r="P7973" t="s">
        <v>99</v>
      </c>
      <c r="Q7973" t="s">
        <v>99</v>
      </c>
      <c r="R7973" t="s">
        <v>128</v>
      </c>
    </row>
    <row r="7974" spans="1:18" x14ac:dyDescent="0.3">
      <c r="A7974" t="s">
        <v>36</v>
      </c>
      <c r="B7974" t="s">
        <v>1244</v>
      </c>
      <c r="C7974">
        <v>63</v>
      </c>
      <c r="D7974" t="s">
        <v>301</v>
      </c>
      <c r="E7974" t="s">
        <v>1165</v>
      </c>
      <c r="F7974" t="s">
        <v>108</v>
      </c>
      <c r="G7974" t="s">
        <v>121</v>
      </c>
      <c r="H7974" t="s">
        <v>99</v>
      </c>
      <c r="I7974" t="s">
        <v>99</v>
      </c>
      <c r="J7974" t="s">
        <v>157</v>
      </c>
      <c r="K7974" t="s">
        <v>434</v>
      </c>
      <c r="L7974" t="s">
        <v>138</v>
      </c>
      <c r="M7974" t="s">
        <v>319</v>
      </c>
      <c r="N7974" t="s">
        <v>491</v>
      </c>
      <c r="O7974" t="s">
        <v>315</v>
      </c>
      <c r="P7974" t="s">
        <v>145</v>
      </c>
      <c r="Q7974" t="s">
        <v>99</v>
      </c>
      <c r="R7974" t="s">
        <v>99</v>
      </c>
    </row>
    <row r="7975" spans="1:18" x14ac:dyDescent="0.3">
      <c r="A7975" t="s">
        <v>36</v>
      </c>
      <c r="B7975" t="s">
        <v>365</v>
      </c>
      <c r="C7975">
        <v>2</v>
      </c>
      <c r="D7975" t="s">
        <v>99</v>
      </c>
      <c r="E7975" t="s">
        <v>211</v>
      </c>
      <c r="F7975" t="s">
        <v>99</v>
      </c>
      <c r="G7975" t="s">
        <v>99</v>
      </c>
      <c r="H7975" t="s">
        <v>99</v>
      </c>
      <c r="I7975" t="s">
        <v>99</v>
      </c>
      <c r="J7975" t="s">
        <v>99</v>
      </c>
      <c r="K7975" t="s">
        <v>99</v>
      </c>
      <c r="L7975" t="s">
        <v>99</v>
      </c>
      <c r="M7975" t="s">
        <v>99</v>
      </c>
      <c r="N7975" t="s">
        <v>99</v>
      </c>
      <c r="O7975" t="s">
        <v>99</v>
      </c>
      <c r="P7975" t="s">
        <v>99</v>
      </c>
      <c r="Q7975" t="s">
        <v>99</v>
      </c>
      <c r="R7975" t="s">
        <v>99</v>
      </c>
    </row>
    <row r="7976" spans="1:18" x14ac:dyDescent="0.3">
      <c r="A7976" t="s">
        <v>34</v>
      </c>
      <c r="B7976" t="s">
        <v>1242</v>
      </c>
      <c r="C7976">
        <v>1566</v>
      </c>
      <c r="D7976" t="s">
        <v>440</v>
      </c>
      <c r="E7976" t="s">
        <v>1118</v>
      </c>
      <c r="F7976" t="s">
        <v>319</v>
      </c>
      <c r="G7976" t="s">
        <v>268</v>
      </c>
      <c r="H7976" t="s">
        <v>99</v>
      </c>
      <c r="I7976" t="s">
        <v>319</v>
      </c>
      <c r="J7976" t="s">
        <v>70</v>
      </c>
      <c r="K7976" t="s">
        <v>155</v>
      </c>
      <c r="L7976" t="s">
        <v>147</v>
      </c>
      <c r="M7976" t="s">
        <v>138</v>
      </c>
      <c r="N7976" t="s">
        <v>523</v>
      </c>
      <c r="O7976" t="s">
        <v>677</v>
      </c>
      <c r="P7976" t="s">
        <v>129</v>
      </c>
      <c r="Q7976" t="s">
        <v>132</v>
      </c>
      <c r="R7976" t="s">
        <v>136</v>
      </c>
    </row>
    <row r="7977" spans="1:18" s="5" customFormat="1" x14ac:dyDescent="0.3">
      <c r="A7977" s="5" t="s">
        <v>34</v>
      </c>
      <c r="B7977" s="5" t="s">
        <v>1243</v>
      </c>
      <c r="C7977" s="5">
        <v>10</v>
      </c>
      <c r="D7977" s="5" t="s">
        <v>99</v>
      </c>
      <c r="E7977" s="5" t="s">
        <v>61</v>
      </c>
      <c r="F7977" s="5" t="s">
        <v>99</v>
      </c>
      <c r="G7977" s="5" t="s">
        <v>206</v>
      </c>
      <c r="H7977" s="5" t="s">
        <v>99</v>
      </c>
      <c r="I7977" s="5" t="s">
        <v>99</v>
      </c>
      <c r="J7977" s="5" t="s">
        <v>206</v>
      </c>
      <c r="K7977" s="5" t="s">
        <v>99</v>
      </c>
      <c r="L7977" s="5" t="s">
        <v>99</v>
      </c>
      <c r="M7977" s="5" t="s">
        <v>206</v>
      </c>
      <c r="N7977" s="5" t="s">
        <v>1237</v>
      </c>
      <c r="O7977" s="5" t="s">
        <v>1055</v>
      </c>
      <c r="P7977" s="5" t="s">
        <v>99</v>
      </c>
      <c r="Q7977" s="5" t="s">
        <v>99</v>
      </c>
      <c r="R7977" s="5" t="s">
        <v>99</v>
      </c>
    </row>
    <row r="7978" spans="1:18" s="5" customFormat="1" x14ac:dyDescent="0.3">
      <c r="A7978" s="5" t="s">
        <v>34</v>
      </c>
      <c r="B7978" s="5" t="s">
        <v>1244</v>
      </c>
      <c r="C7978" s="5">
        <v>21</v>
      </c>
      <c r="D7978" s="5" t="s">
        <v>233</v>
      </c>
      <c r="E7978" s="5" t="s">
        <v>909</v>
      </c>
      <c r="F7978" s="5" t="s">
        <v>99</v>
      </c>
      <c r="G7978" s="5" t="s">
        <v>130</v>
      </c>
      <c r="H7978" s="5" t="s">
        <v>99</v>
      </c>
      <c r="I7978" s="5" t="s">
        <v>99</v>
      </c>
      <c r="J7978" s="5" t="s">
        <v>130</v>
      </c>
      <c r="K7978" s="5" t="s">
        <v>681</v>
      </c>
      <c r="L7978" s="5" t="s">
        <v>99</v>
      </c>
      <c r="M7978" s="5" t="s">
        <v>99</v>
      </c>
      <c r="N7978" s="5" t="s">
        <v>244</v>
      </c>
      <c r="O7978" s="5" t="s">
        <v>749</v>
      </c>
      <c r="P7978" s="5" t="s">
        <v>130</v>
      </c>
      <c r="Q7978" s="5" t="s">
        <v>254</v>
      </c>
      <c r="R7978" s="5" t="s">
        <v>99</v>
      </c>
    </row>
    <row r="7979" spans="1:18" x14ac:dyDescent="0.3">
      <c r="A7979" t="s">
        <v>33</v>
      </c>
      <c r="B7979" t="s">
        <v>1242</v>
      </c>
      <c r="C7979">
        <v>1665</v>
      </c>
      <c r="D7979" t="s">
        <v>1044</v>
      </c>
      <c r="E7979" t="s">
        <v>1154</v>
      </c>
      <c r="F7979" t="s">
        <v>127</v>
      </c>
      <c r="G7979" t="s">
        <v>114</v>
      </c>
      <c r="H7979" t="s">
        <v>104</v>
      </c>
      <c r="I7979" t="s">
        <v>132</v>
      </c>
      <c r="J7979" t="s">
        <v>353</v>
      </c>
      <c r="K7979" t="s">
        <v>113</v>
      </c>
      <c r="L7979" t="s">
        <v>98</v>
      </c>
      <c r="M7979" t="s">
        <v>138</v>
      </c>
      <c r="N7979" t="s">
        <v>690</v>
      </c>
      <c r="O7979" t="s">
        <v>798</v>
      </c>
      <c r="P7979" t="s">
        <v>127</v>
      </c>
      <c r="Q7979" t="s">
        <v>136</v>
      </c>
      <c r="R7979" t="s">
        <v>136</v>
      </c>
    </row>
    <row r="7980" spans="1:18" s="5" customFormat="1" x14ac:dyDescent="0.3">
      <c r="A7980" s="5" t="s">
        <v>33</v>
      </c>
      <c r="B7980" s="5" t="s">
        <v>1243</v>
      </c>
      <c r="C7980" s="5">
        <v>25</v>
      </c>
      <c r="D7980" s="5" t="s">
        <v>933</v>
      </c>
      <c r="E7980" s="5" t="s">
        <v>638</v>
      </c>
      <c r="F7980" s="5" t="s">
        <v>99</v>
      </c>
      <c r="G7980" s="5" t="s">
        <v>99</v>
      </c>
      <c r="H7980" s="5" t="s">
        <v>99</v>
      </c>
      <c r="I7980" s="5" t="s">
        <v>99</v>
      </c>
      <c r="J7980" s="5" t="s">
        <v>401</v>
      </c>
      <c r="K7980" s="5" t="s">
        <v>99</v>
      </c>
      <c r="L7980" s="5" t="s">
        <v>99</v>
      </c>
      <c r="M7980" s="5" t="s">
        <v>129</v>
      </c>
      <c r="N7980" s="5" t="s">
        <v>809</v>
      </c>
      <c r="O7980" s="5" t="s">
        <v>112</v>
      </c>
      <c r="P7980" s="5" t="s">
        <v>99</v>
      </c>
      <c r="Q7980" s="5" t="s">
        <v>99</v>
      </c>
      <c r="R7980" s="5" t="s">
        <v>112</v>
      </c>
    </row>
    <row r="7981" spans="1:18" s="5" customFormat="1" x14ac:dyDescent="0.3">
      <c r="A7981" s="5" t="s">
        <v>33</v>
      </c>
      <c r="B7981" s="5" t="s">
        <v>1244</v>
      </c>
      <c r="C7981" s="5">
        <v>10</v>
      </c>
      <c r="D7981" s="5" t="s">
        <v>99</v>
      </c>
      <c r="E7981" s="5" t="s">
        <v>1255</v>
      </c>
      <c r="F7981" s="5" t="s">
        <v>99</v>
      </c>
      <c r="G7981" s="5" t="s">
        <v>99</v>
      </c>
      <c r="H7981" s="5" t="s">
        <v>99</v>
      </c>
      <c r="I7981" s="5" t="s">
        <v>99</v>
      </c>
      <c r="J7981" s="5" t="s">
        <v>296</v>
      </c>
      <c r="K7981" s="5" t="s">
        <v>749</v>
      </c>
      <c r="L7981" s="5" t="s">
        <v>99</v>
      </c>
      <c r="M7981" s="5" t="s">
        <v>401</v>
      </c>
      <c r="N7981" s="5" t="s">
        <v>1415</v>
      </c>
      <c r="O7981" s="5" t="s">
        <v>401</v>
      </c>
      <c r="P7981" s="5" t="s">
        <v>99</v>
      </c>
      <c r="Q7981" s="5" t="s">
        <v>99</v>
      </c>
      <c r="R7981" s="5" t="s">
        <v>99</v>
      </c>
    </row>
    <row r="7982" spans="1:18" x14ac:dyDescent="0.3">
      <c r="A7982" t="s">
        <v>33</v>
      </c>
      <c r="B7982" t="s">
        <v>365</v>
      </c>
      <c r="C7982">
        <v>1</v>
      </c>
      <c r="D7982" t="s">
        <v>99</v>
      </c>
      <c r="E7982" t="s">
        <v>211</v>
      </c>
      <c r="F7982" t="s">
        <v>99</v>
      </c>
      <c r="G7982" t="s">
        <v>99</v>
      </c>
      <c r="H7982" t="s">
        <v>99</v>
      </c>
      <c r="I7982" t="s">
        <v>99</v>
      </c>
      <c r="J7982" t="s">
        <v>99</v>
      </c>
      <c r="K7982" t="s">
        <v>99</v>
      </c>
      <c r="L7982" t="s">
        <v>99</v>
      </c>
      <c r="M7982" t="s">
        <v>99</v>
      </c>
      <c r="N7982" t="s">
        <v>99</v>
      </c>
      <c r="O7982" t="s">
        <v>99</v>
      </c>
      <c r="P7982" t="s">
        <v>99</v>
      </c>
      <c r="Q7982" t="s">
        <v>99</v>
      </c>
      <c r="R7982" t="s">
        <v>99</v>
      </c>
    </row>
    <row r="7983" spans="1:18" x14ac:dyDescent="0.3">
      <c r="A7983" t="s">
        <v>49</v>
      </c>
      <c r="B7983" t="s">
        <v>1242</v>
      </c>
      <c r="C7983">
        <v>11539</v>
      </c>
      <c r="D7983" t="s">
        <v>751</v>
      </c>
      <c r="E7983" t="s">
        <v>609</v>
      </c>
      <c r="F7983" t="s">
        <v>215</v>
      </c>
      <c r="G7983" t="s">
        <v>117</v>
      </c>
      <c r="H7983" t="s">
        <v>104</v>
      </c>
      <c r="I7983" t="s">
        <v>115</v>
      </c>
      <c r="J7983" t="s">
        <v>70</v>
      </c>
      <c r="K7983" t="s">
        <v>684</v>
      </c>
      <c r="L7983" t="s">
        <v>158</v>
      </c>
      <c r="M7983" t="s">
        <v>147</v>
      </c>
      <c r="N7983" t="s">
        <v>478</v>
      </c>
      <c r="O7983" t="s">
        <v>737</v>
      </c>
      <c r="P7983" t="s">
        <v>117</v>
      </c>
      <c r="Q7983" t="s">
        <v>207</v>
      </c>
      <c r="R7983" t="s">
        <v>215</v>
      </c>
    </row>
    <row r="7984" spans="1:18" x14ac:dyDescent="0.3">
      <c r="A7984" t="s">
        <v>49</v>
      </c>
      <c r="B7984" t="s">
        <v>1243</v>
      </c>
      <c r="C7984">
        <v>198</v>
      </c>
      <c r="D7984" t="s">
        <v>701</v>
      </c>
      <c r="E7984" t="s">
        <v>1101</v>
      </c>
      <c r="F7984" t="s">
        <v>147</v>
      </c>
      <c r="G7984" t="s">
        <v>474</v>
      </c>
      <c r="H7984" t="s">
        <v>99</v>
      </c>
      <c r="I7984" t="s">
        <v>114</v>
      </c>
      <c r="J7984" t="s">
        <v>109</v>
      </c>
      <c r="K7984" t="s">
        <v>155</v>
      </c>
      <c r="L7984" t="s">
        <v>101</v>
      </c>
      <c r="M7984" t="s">
        <v>128</v>
      </c>
      <c r="N7984" t="s">
        <v>740</v>
      </c>
      <c r="O7984" t="s">
        <v>702</v>
      </c>
      <c r="P7984" t="s">
        <v>316</v>
      </c>
      <c r="Q7984" t="s">
        <v>99</v>
      </c>
      <c r="R7984" t="s">
        <v>132</v>
      </c>
    </row>
    <row r="7985" spans="1:18" x14ac:dyDescent="0.3">
      <c r="A7985" t="s">
        <v>49</v>
      </c>
      <c r="B7985" t="s">
        <v>1244</v>
      </c>
      <c r="C7985">
        <v>141</v>
      </c>
      <c r="D7985" t="s">
        <v>678</v>
      </c>
      <c r="E7985" t="s">
        <v>950</v>
      </c>
      <c r="F7985" t="s">
        <v>108</v>
      </c>
      <c r="G7985" t="s">
        <v>111</v>
      </c>
      <c r="H7985" t="s">
        <v>99</v>
      </c>
      <c r="I7985" t="s">
        <v>99</v>
      </c>
      <c r="J7985" t="s">
        <v>716</v>
      </c>
      <c r="K7985" t="s">
        <v>393</v>
      </c>
      <c r="L7985" t="s">
        <v>292</v>
      </c>
      <c r="M7985" t="s">
        <v>108</v>
      </c>
      <c r="N7985" t="s">
        <v>197</v>
      </c>
      <c r="O7985" t="s">
        <v>167</v>
      </c>
      <c r="P7985" t="s">
        <v>118</v>
      </c>
      <c r="Q7985" t="s">
        <v>111</v>
      </c>
      <c r="R7985" t="s">
        <v>99</v>
      </c>
    </row>
    <row r="7986" spans="1:18" x14ac:dyDescent="0.3">
      <c r="A7986" t="s">
        <v>49</v>
      </c>
      <c r="B7986" t="s">
        <v>365</v>
      </c>
      <c r="C7986">
        <v>6</v>
      </c>
      <c r="D7986" t="s">
        <v>379</v>
      </c>
      <c r="E7986" t="s">
        <v>778</v>
      </c>
      <c r="F7986" t="s">
        <v>99</v>
      </c>
      <c r="G7986" t="s">
        <v>99</v>
      </c>
      <c r="H7986" t="s">
        <v>99</v>
      </c>
      <c r="I7986" t="s">
        <v>99</v>
      </c>
      <c r="J7986" t="s">
        <v>99</v>
      </c>
      <c r="K7986" t="s">
        <v>99</v>
      </c>
      <c r="L7986" t="s">
        <v>99</v>
      </c>
      <c r="M7986" t="s">
        <v>99</v>
      </c>
      <c r="N7986" t="s">
        <v>99</v>
      </c>
      <c r="O7986" t="s">
        <v>99</v>
      </c>
      <c r="P7986" t="s">
        <v>99</v>
      </c>
      <c r="Q7986" t="s">
        <v>99</v>
      </c>
      <c r="R7986" t="s">
        <v>99</v>
      </c>
    </row>
    <row r="7988" spans="1:18" x14ac:dyDescent="0.3">
      <c r="A7988" t="s">
        <v>2309</v>
      </c>
    </row>
    <row r="7989" spans="1:18" x14ac:dyDescent="0.3">
      <c r="A7989" t="s">
        <v>44</v>
      </c>
      <c r="B7989" t="s">
        <v>2252</v>
      </c>
      <c r="C7989" t="s">
        <v>32</v>
      </c>
      <c r="D7989" t="s">
        <v>2292</v>
      </c>
      <c r="E7989" t="s">
        <v>2293</v>
      </c>
      <c r="F7989" t="s">
        <v>2294</v>
      </c>
      <c r="G7989" t="s">
        <v>2295</v>
      </c>
      <c r="H7989" t="s">
        <v>2296</v>
      </c>
      <c r="I7989" t="s">
        <v>2297</v>
      </c>
      <c r="J7989" t="s">
        <v>2298</v>
      </c>
      <c r="K7989" t="s">
        <v>2299</v>
      </c>
      <c r="L7989" t="s">
        <v>2300</v>
      </c>
      <c r="M7989" t="s">
        <v>2301</v>
      </c>
      <c r="N7989" t="s">
        <v>2302</v>
      </c>
      <c r="O7989" t="s">
        <v>2303</v>
      </c>
      <c r="P7989" t="s">
        <v>88</v>
      </c>
      <c r="Q7989" t="s">
        <v>83</v>
      </c>
      <c r="R7989" t="s">
        <v>193</v>
      </c>
    </row>
    <row r="7990" spans="1:18" x14ac:dyDescent="0.3">
      <c r="A7990" t="s">
        <v>35</v>
      </c>
      <c r="B7990" t="s">
        <v>2253</v>
      </c>
      <c r="C7990">
        <v>1491</v>
      </c>
      <c r="D7990" t="s">
        <v>738</v>
      </c>
      <c r="E7990" t="s">
        <v>1245</v>
      </c>
      <c r="F7990" t="s">
        <v>155</v>
      </c>
      <c r="G7990" t="s">
        <v>154</v>
      </c>
      <c r="H7990" t="s">
        <v>207</v>
      </c>
      <c r="I7990" t="s">
        <v>207</v>
      </c>
      <c r="J7990" t="s">
        <v>182</v>
      </c>
      <c r="K7990" t="s">
        <v>242</v>
      </c>
      <c r="L7990" t="s">
        <v>319</v>
      </c>
      <c r="M7990" t="s">
        <v>100</v>
      </c>
      <c r="N7990" t="s">
        <v>691</v>
      </c>
      <c r="O7990" t="s">
        <v>328</v>
      </c>
      <c r="P7990" t="s">
        <v>126</v>
      </c>
      <c r="Q7990" t="s">
        <v>99</v>
      </c>
      <c r="R7990" t="s">
        <v>108</v>
      </c>
    </row>
    <row r="7991" spans="1:18" x14ac:dyDescent="0.3">
      <c r="A7991" t="s">
        <v>35</v>
      </c>
      <c r="B7991" t="s">
        <v>2254</v>
      </c>
      <c r="C7991">
        <v>1491</v>
      </c>
      <c r="D7991" t="s">
        <v>717</v>
      </c>
      <c r="E7991" t="s">
        <v>488</v>
      </c>
      <c r="F7991" t="s">
        <v>141</v>
      </c>
      <c r="G7991" t="s">
        <v>157</v>
      </c>
      <c r="H7991" t="s">
        <v>99</v>
      </c>
      <c r="I7991" t="s">
        <v>207</v>
      </c>
      <c r="J7991" t="s">
        <v>664</v>
      </c>
      <c r="K7991" t="s">
        <v>74</v>
      </c>
      <c r="L7991" t="s">
        <v>171</v>
      </c>
      <c r="M7991" t="s">
        <v>155</v>
      </c>
      <c r="N7991" t="s">
        <v>406</v>
      </c>
      <c r="O7991" t="s">
        <v>739</v>
      </c>
      <c r="P7991" t="s">
        <v>147</v>
      </c>
      <c r="Q7991" t="s">
        <v>198</v>
      </c>
      <c r="R7991" t="s">
        <v>74</v>
      </c>
    </row>
    <row r="7992" spans="1:18" x14ac:dyDescent="0.3">
      <c r="A7992" t="s">
        <v>35</v>
      </c>
      <c r="B7992" t="s">
        <v>365</v>
      </c>
      <c r="C7992">
        <v>14</v>
      </c>
      <c r="D7992" t="s">
        <v>153</v>
      </c>
      <c r="E7992" t="s">
        <v>936</v>
      </c>
      <c r="F7992" t="s">
        <v>99</v>
      </c>
      <c r="G7992" t="s">
        <v>99</v>
      </c>
      <c r="H7992" t="s">
        <v>99</v>
      </c>
      <c r="I7992" t="s">
        <v>99</v>
      </c>
      <c r="J7992" t="s">
        <v>215</v>
      </c>
      <c r="K7992" t="s">
        <v>99</v>
      </c>
      <c r="L7992" t="s">
        <v>474</v>
      </c>
      <c r="M7992" t="s">
        <v>99</v>
      </c>
      <c r="N7992" t="s">
        <v>264</v>
      </c>
      <c r="O7992" t="s">
        <v>160</v>
      </c>
      <c r="P7992" t="s">
        <v>160</v>
      </c>
      <c r="Q7992" t="s">
        <v>99</v>
      </c>
      <c r="R7992" t="s">
        <v>128</v>
      </c>
    </row>
    <row r="7993" spans="1:18" x14ac:dyDescent="0.3">
      <c r="A7993" t="s">
        <v>37</v>
      </c>
      <c r="B7993" t="s">
        <v>2253</v>
      </c>
      <c r="C7993">
        <v>1982</v>
      </c>
      <c r="D7993" t="s">
        <v>167</v>
      </c>
      <c r="E7993" t="s">
        <v>1341</v>
      </c>
      <c r="F7993" t="s">
        <v>316</v>
      </c>
      <c r="G7993" t="s">
        <v>127</v>
      </c>
      <c r="H7993" t="s">
        <v>99</v>
      </c>
      <c r="I7993" t="s">
        <v>108</v>
      </c>
      <c r="J7993" t="s">
        <v>254</v>
      </c>
      <c r="K7993" t="s">
        <v>68</v>
      </c>
      <c r="L7993" t="s">
        <v>128</v>
      </c>
      <c r="M7993" t="s">
        <v>127</v>
      </c>
      <c r="N7993" t="s">
        <v>701</v>
      </c>
      <c r="O7993" t="s">
        <v>184</v>
      </c>
      <c r="P7993" t="s">
        <v>319</v>
      </c>
      <c r="Q7993" t="s">
        <v>198</v>
      </c>
      <c r="R7993" t="s">
        <v>104</v>
      </c>
    </row>
    <row r="7994" spans="1:18" x14ac:dyDescent="0.3">
      <c r="A7994" t="s">
        <v>37</v>
      </c>
      <c r="B7994" t="s">
        <v>2254</v>
      </c>
      <c r="C7994">
        <v>1651</v>
      </c>
      <c r="D7994" t="s">
        <v>674</v>
      </c>
      <c r="E7994" t="s">
        <v>1057</v>
      </c>
      <c r="F7994" t="s">
        <v>319</v>
      </c>
      <c r="G7994" t="s">
        <v>117</v>
      </c>
      <c r="H7994" t="s">
        <v>99</v>
      </c>
      <c r="I7994" t="s">
        <v>253</v>
      </c>
      <c r="J7994" t="s">
        <v>72</v>
      </c>
      <c r="K7994" t="s">
        <v>474</v>
      </c>
      <c r="L7994" t="s">
        <v>722</v>
      </c>
      <c r="M7994" t="s">
        <v>149</v>
      </c>
      <c r="N7994" t="s">
        <v>231</v>
      </c>
      <c r="O7994" t="s">
        <v>255</v>
      </c>
      <c r="P7994" t="s">
        <v>101</v>
      </c>
      <c r="Q7994" t="s">
        <v>136</v>
      </c>
      <c r="R7994" t="s">
        <v>141</v>
      </c>
    </row>
    <row r="7995" spans="1:18" x14ac:dyDescent="0.3">
      <c r="A7995" t="s">
        <v>37</v>
      </c>
      <c r="B7995" t="s">
        <v>365</v>
      </c>
      <c r="C7995">
        <v>5</v>
      </c>
      <c r="D7995" t="s">
        <v>1455</v>
      </c>
      <c r="E7995" t="s">
        <v>694</v>
      </c>
      <c r="F7995" t="s">
        <v>99</v>
      </c>
      <c r="G7995" t="s">
        <v>99</v>
      </c>
      <c r="H7995" t="s">
        <v>99</v>
      </c>
      <c r="I7995" t="s">
        <v>99</v>
      </c>
      <c r="J7995" t="s">
        <v>99</v>
      </c>
      <c r="K7995" t="s">
        <v>99</v>
      </c>
      <c r="L7995" t="s">
        <v>99</v>
      </c>
      <c r="M7995" t="s">
        <v>99</v>
      </c>
      <c r="N7995" t="s">
        <v>99</v>
      </c>
      <c r="O7995" t="s">
        <v>694</v>
      </c>
      <c r="P7995" t="s">
        <v>99</v>
      </c>
      <c r="Q7995" t="s">
        <v>99</v>
      </c>
      <c r="R7995" t="s">
        <v>99</v>
      </c>
    </row>
    <row r="7996" spans="1:18" x14ac:dyDescent="0.3">
      <c r="A7996" t="s">
        <v>36</v>
      </c>
      <c r="B7996" t="s">
        <v>2253</v>
      </c>
      <c r="C7996">
        <v>934</v>
      </c>
      <c r="D7996" t="s">
        <v>113</v>
      </c>
      <c r="E7996" t="s">
        <v>559</v>
      </c>
      <c r="F7996" t="s">
        <v>111</v>
      </c>
      <c r="G7996" t="s">
        <v>151</v>
      </c>
      <c r="H7996" t="s">
        <v>99</v>
      </c>
      <c r="I7996" t="s">
        <v>132</v>
      </c>
      <c r="J7996" t="s">
        <v>468</v>
      </c>
      <c r="K7996" t="s">
        <v>277</v>
      </c>
      <c r="L7996" t="s">
        <v>126</v>
      </c>
      <c r="M7996" t="s">
        <v>319</v>
      </c>
      <c r="N7996" t="s">
        <v>702</v>
      </c>
      <c r="O7996" t="s">
        <v>704</v>
      </c>
      <c r="P7996" t="s">
        <v>154</v>
      </c>
      <c r="Q7996" t="s">
        <v>104</v>
      </c>
      <c r="R7996" t="s">
        <v>128</v>
      </c>
    </row>
    <row r="7997" spans="1:18" x14ac:dyDescent="0.3">
      <c r="A7997" t="s">
        <v>36</v>
      </c>
      <c r="B7997" t="s">
        <v>2254</v>
      </c>
      <c r="C7997">
        <v>1005</v>
      </c>
      <c r="D7997" t="s">
        <v>911</v>
      </c>
      <c r="E7997" t="s">
        <v>829</v>
      </c>
      <c r="F7997" t="s">
        <v>121</v>
      </c>
      <c r="G7997" t="s">
        <v>107</v>
      </c>
      <c r="H7997" t="s">
        <v>99</v>
      </c>
      <c r="I7997" t="s">
        <v>108</v>
      </c>
      <c r="J7997" t="s">
        <v>663</v>
      </c>
      <c r="K7997" t="s">
        <v>138</v>
      </c>
      <c r="L7997" t="s">
        <v>412</v>
      </c>
      <c r="M7997" t="s">
        <v>316</v>
      </c>
      <c r="N7997" t="s">
        <v>732</v>
      </c>
      <c r="O7997" t="s">
        <v>264</v>
      </c>
      <c r="P7997" t="s">
        <v>139</v>
      </c>
      <c r="Q7997" t="s">
        <v>104</v>
      </c>
      <c r="R7997" t="s">
        <v>105</v>
      </c>
    </row>
    <row r="7998" spans="1:18" x14ac:dyDescent="0.3">
      <c r="A7998" t="s">
        <v>36</v>
      </c>
      <c r="B7998" t="s">
        <v>365</v>
      </c>
      <c r="C7998">
        <v>13</v>
      </c>
      <c r="D7998" t="s">
        <v>379</v>
      </c>
      <c r="E7998" t="s">
        <v>690</v>
      </c>
      <c r="F7998" t="s">
        <v>99</v>
      </c>
      <c r="G7998" t="s">
        <v>108</v>
      </c>
      <c r="H7998" t="s">
        <v>99</v>
      </c>
      <c r="I7998" t="s">
        <v>98</v>
      </c>
      <c r="J7998" t="s">
        <v>108</v>
      </c>
      <c r="K7998" t="s">
        <v>99</v>
      </c>
      <c r="L7998" t="s">
        <v>99</v>
      </c>
      <c r="M7998" t="s">
        <v>99</v>
      </c>
      <c r="N7998" t="s">
        <v>108</v>
      </c>
      <c r="O7998" t="s">
        <v>1052</v>
      </c>
      <c r="P7998" t="s">
        <v>99</v>
      </c>
      <c r="Q7998" t="s">
        <v>99</v>
      </c>
      <c r="R7998" t="s">
        <v>99</v>
      </c>
    </row>
    <row r="7999" spans="1:18" x14ac:dyDescent="0.3">
      <c r="A7999" t="s">
        <v>34</v>
      </c>
      <c r="B7999" t="s">
        <v>2253</v>
      </c>
      <c r="C7999">
        <v>745</v>
      </c>
      <c r="D7999" t="s">
        <v>222</v>
      </c>
      <c r="E7999" t="s">
        <v>953</v>
      </c>
      <c r="F7999" t="s">
        <v>126</v>
      </c>
      <c r="G7999" t="s">
        <v>111</v>
      </c>
      <c r="H7999" t="s">
        <v>99</v>
      </c>
      <c r="I7999" t="s">
        <v>121</v>
      </c>
      <c r="J7999" t="s">
        <v>325</v>
      </c>
      <c r="K7999" t="s">
        <v>684</v>
      </c>
      <c r="L7999" t="s">
        <v>136</v>
      </c>
      <c r="M7999" t="s">
        <v>123</v>
      </c>
      <c r="N7999" t="s">
        <v>410</v>
      </c>
      <c r="O7999" t="s">
        <v>251</v>
      </c>
      <c r="P7999" t="s">
        <v>112</v>
      </c>
      <c r="Q7999" t="s">
        <v>115</v>
      </c>
      <c r="R7999" t="s">
        <v>99</v>
      </c>
    </row>
    <row r="8000" spans="1:18" x14ac:dyDescent="0.3">
      <c r="A8000" t="s">
        <v>34</v>
      </c>
      <c r="B8000" t="s">
        <v>2254</v>
      </c>
      <c r="C8000">
        <v>844</v>
      </c>
      <c r="D8000" t="s">
        <v>298</v>
      </c>
      <c r="E8000" t="s">
        <v>932</v>
      </c>
      <c r="F8000" t="s">
        <v>121</v>
      </c>
      <c r="G8000" t="s">
        <v>128</v>
      </c>
      <c r="H8000" t="s">
        <v>99</v>
      </c>
      <c r="I8000" t="s">
        <v>126</v>
      </c>
      <c r="J8000" t="s">
        <v>125</v>
      </c>
      <c r="K8000" t="s">
        <v>120</v>
      </c>
      <c r="L8000" t="s">
        <v>149</v>
      </c>
      <c r="M8000" t="s">
        <v>712</v>
      </c>
      <c r="N8000" t="s">
        <v>523</v>
      </c>
      <c r="O8000" t="s">
        <v>542</v>
      </c>
      <c r="P8000" t="s">
        <v>332</v>
      </c>
      <c r="Q8000" t="s">
        <v>114</v>
      </c>
      <c r="R8000" t="s">
        <v>115</v>
      </c>
    </row>
    <row r="8001" spans="1:18" x14ac:dyDescent="0.3">
      <c r="A8001" t="s">
        <v>34</v>
      </c>
      <c r="B8001" t="s">
        <v>365</v>
      </c>
      <c r="C8001">
        <v>8</v>
      </c>
      <c r="D8001" t="s">
        <v>99</v>
      </c>
      <c r="E8001" t="s">
        <v>843</v>
      </c>
      <c r="F8001" t="s">
        <v>99</v>
      </c>
      <c r="G8001" t="s">
        <v>99</v>
      </c>
      <c r="H8001" t="s">
        <v>99</v>
      </c>
      <c r="I8001" t="s">
        <v>99</v>
      </c>
      <c r="J8001" t="s">
        <v>401</v>
      </c>
      <c r="K8001" t="s">
        <v>911</v>
      </c>
      <c r="L8001" t="s">
        <v>99</v>
      </c>
      <c r="M8001" t="s">
        <v>911</v>
      </c>
      <c r="N8001" t="s">
        <v>967</v>
      </c>
      <c r="O8001" t="s">
        <v>99</v>
      </c>
      <c r="P8001" t="s">
        <v>99</v>
      </c>
      <c r="Q8001" t="s">
        <v>99</v>
      </c>
      <c r="R8001" t="s">
        <v>99</v>
      </c>
    </row>
    <row r="8002" spans="1:18" x14ac:dyDescent="0.3">
      <c r="A8002" t="s">
        <v>33</v>
      </c>
      <c r="B8002" t="s">
        <v>2253</v>
      </c>
      <c r="C8002">
        <v>812</v>
      </c>
      <c r="D8002" t="s">
        <v>688</v>
      </c>
      <c r="E8002" t="s">
        <v>639</v>
      </c>
      <c r="F8002" t="s">
        <v>316</v>
      </c>
      <c r="G8002" t="s">
        <v>132</v>
      </c>
      <c r="H8002" t="s">
        <v>104</v>
      </c>
      <c r="I8002" t="s">
        <v>132</v>
      </c>
      <c r="J8002" t="s">
        <v>401</v>
      </c>
      <c r="K8002" t="s">
        <v>233</v>
      </c>
      <c r="L8002" t="s">
        <v>101</v>
      </c>
      <c r="M8002" t="s">
        <v>382</v>
      </c>
      <c r="N8002" t="s">
        <v>1008</v>
      </c>
      <c r="O8002" t="s">
        <v>470</v>
      </c>
      <c r="P8002" t="s">
        <v>121</v>
      </c>
      <c r="Q8002" t="s">
        <v>207</v>
      </c>
      <c r="R8002" t="s">
        <v>136</v>
      </c>
    </row>
    <row r="8003" spans="1:18" x14ac:dyDescent="0.3">
      <c r="A8003" t="s">
        <v>33</v>
      </c>
      <c r="B8003" t="s">
        <v>2254</v>
      </c>
      <c r="C8003">
        <v>888</v>
      </c>
      <c r="D8003" t="s">
        <v>106</v>
      </c>
      <c r="E8003" t="s">
        <v>692</v>
      </c>
      <c r="F8003" t="s">
        <v>100</v>
      </c>
      <c r="G8003" t="s">
        <v>121</v>
      </c>
      <c r="H8003" t="s">
        <v>99</v>
      </c>
      <c r="I8003" t="s">
        <v>115</v>
      </c>
      <c r="J8003" t="s">
        <v>78</v>
      </c>
      <c r="K8003" t="s">
        <v>254</v>
      </c>
      <c r="L8003" t="s">
        <v>296</v>
      </c>
      <c r="M8003" t="s">
        <v>68</v>
      </c>
      <c r="N8003" t="s">
        <v>1059</v>
      </c>
      <c r="O8003" t="s">
        <v>39</v>
      </c>
      <c r="P8003" t="s">
        <v>268</v>
      </c>
      <c r="Q8003" t="s">
        <v>141</v>
      </c>
      <c r="R8003" t="s">
        <v>141</v>
      </c>
    </row>
    <row r="8004" spans="1:18" x14ac:dyDescent="0.3">
      <c r="A8004" t="s">
        <v>33</v>
      </c>
      <c r="B8004" t="s">
        <v>365</v>
      </c>
      <c r="C8004">
        <v>1</v>
      </c>
      <c r="D8004" t="s">
        <v>99</v>
      </c>
      <c r="E8004" t="s">
        <v>99</v>
      </c>
      <c r="F8004" t="s">
        <v>99</v>
      </c>
      <c r="G8004" t="s">
        <v>99</v>
      </c>
      <c r="H8004" t="s">
        <v>99</v>
      </c>
      <c r="I8004" t="s">
        <v>99</v>
      </c>
      <c r="J8004" t="s">
        <v>211</v>
      </c>
      <c r="K8004" t="s">
        <v>99</v>
      </c>
      <c r="L8004" t="s">
        <v>99</v>
      </c>
      <c r="M8004" t="s">
        <v>99</v>
      </c>
      <c r="N8004" t="s">
        <v>99</v>
      </c>
      <c r="O8004" t="s">
        <v>99</v>
      </c>
      <c r="P8004" t="s">
        <v>99</v>
      </c>
      <c r="Q8004" t="s">
        <v>99</v>
      </c>
      <c r="R8004" t="s">
        <v>99</v>
      </c>
    </row>
    <row r="8005" spans="1:18" x14ac:dyDescent="0.3">
      <c r="A8005" t="s">
        <v>49</v>
      </c>
      <c r="B8005" t="s">
        <v>2253</v>
      </c>
      <c r="C8005">
        <v>5964</v>
      </c>
      <c r="D8005" t="s">
        <v>694</v>
      </c>
      <c r="E8005" t="s">
        <v>61</v>
      </c>
      <c r="F8005" t="s">
        <v>316</v>
      </c>
      <c r="G8005" t="s">
        <v>111</v>
      </c>
      <c r="H8005" t="s">
        <v>104</v>
      </c>
      <c r="I8005" t="s">
        <v>132</v>
      </c>
      <c r="J8005" t="s">
        <v>664</v>
      </c>
      <c r="K8005" t="s">
        <v>325</v>
      </c>
      <c r="L8005" t="s">
        <v>382</v>
      </c>
      <c r="M8005" t="s">
        <v>382</v>
      </c>
      <c r="N8005" t="s">
        <v>807</v>
      </c>
      <c r="O8005" t="s">
        <v>305</v>
      </c>
      <c r="P8005" t="s">
        <v>292</v>
      </c>
      <c r="Q8005" t="s">
        <v>198</v>
      </c>
      <c r="R8005" t="s">
        <v>253</v>
      </c>
    </row>
    <row r="8006" spans="1:18" x14ac:dyDescent="0.3">
      <c r="A8006" t="s">
        <v>49</v>
      </c>
      <c r="B8006" t="s">
        <v>2254</v>
      </c>
      <c r="C8006">
        <v>5879</v>
      </c>
      <c r="D8006" t="s">
        <v>137</v>
      </c>
      <c r="E8006" t="s">
        <v>341</v>
      </c>
      <c r="F8006" t="s">
        <v>114</v>
      </c>
      <c r="G8006" t="s">
        <v>103</v>
      </c>
      <c r="H8006" t="s">
        <v>99</v>
      </c>
      <c r="I8006" t="s">
        <v>115</v>
      </c>
      <c r="J8006" t="s">
        <v>353</v>
      </c>
      <c r="K8006" t="s">
        <v>242</v>
      </c>
      <c r="L8006" t="s">
        <v>305</v>
      </c>
      <c r="M8006" t="s">
        <v>130</v>
      </c>
      <c r="N8006" t="s">
        <v>478</v>
      </c>
      <c r="O8006" t="s">
        <v>167</v>
      </c>
      <c r="P8006" t="s">
        <v>128</v>
      </c>
      <c r="Q8006" t="s">
        <v>141</v>
      </c>
      <c r="R8006" t="s">
        <v>128</v>
      </c>
    </row>
    <row r="8007" spans="1:18" x14ac:dyDescent="0.3">
      <c r="A8007" t="s">
        <v>49</v>
      </c>
      <c r="B8007" t="s">
        <v>365</v>
      </c>
      <c r="C8007">
        <v>41</v>
      </c>
      <c r="D8007" t="s">
        <v>820</v>
      </c>
      <c r="E8007" t="s">
        <v>62</v>
      </c>
      <c r="F8007" t="s">
        <v>99</v>
      </c>
      <c r="G8007" t="s">
        <v>104</v>
      </c>
      <c r="H8007" t="s">
        <v>99</v>
      </c>
      <c r="I8007" t="s">
        <v>253</v>
      </c>
      <c r="J8007" t="s">
        <v>143</v>
      </c>
      <c r="K8007" t="s">
        <v>152</v>
      </c>
      <c r="L8007" t="s">
        <v>151</v>
      </c>
      <c r="M8007" t="s">
        <v>152</v>
      </c>
      <c r="N8007" t="s">
        <v>990</v>
      </c>
      <c r="O8007" t="s">
        <v>313</v>
      </c>
      <c r="P8007" t="s">
        <v>138</v>
      </c>
      <c r="Q8007" t="s">
        <v>99</v>
      </c>
      <c r="R8007" t="s">
        <v>121</v>
      </c>
    </row>
    <row r="8009" spans="1:18" x14ac:dyDescent="0.3">
      <c r="A8009" t="s">
        <v>2310</v>
      </c>
    </row>
    <row r="8010" spans="1:18" x14ac:dyDescent="0.3">
      <c r="A8010" t="s">
        <v>44</v>
      </c>
      <c r="B8010" t="s">
        <v>361</v>
      </c>
      <c r="C8010" t="s">
        <v>32</v>
      </c>
      <c r="D8010" t="s">
        <v>2292</v>
      </c>
      <c r="E8010" t="s">
        <v>2293</v>
      </c>
      <c r="F8010" t="s">
        <v>2294</v>
      </c>
      <c r="G8010" t="s">
        <v>2295</v>
      </c>
      <c r="H8010" t="s">
        <v>2296</v>
      </c>
      <c r="I8010" t="s">
        <v>2297</v>
      </c>
      <c r="J8010" t="s">
        <v>2298</v>
      </c>
      <c r="K8010" t="s">
        <v>2299</v>
      </c>
      <c r="L8010" t="s">
        <v>2300</v>
      </c>
      <c r="M8010" t="s">
        <v>2301</v>
      </c>
      <c r="N8010" t="s">
        <v>2302</v>
      </c>
      <c r="O8010" t="s">
        <v>2303</v>
      </c>
      <c r="P8010" t="s">
        <v>88</v>
      </c>
      <c r="Q8010" t="s">
        <v>83</v>
      </c>
      <c r="R8010" t="s">
        <v>193</v>
      </c>
    </row>
    <row r="8011" spans="1:18" x14ac:dyDescent="0.3">
      <c r="A8011" t="s">
        <v>35</v>
      </c>
      <c r="B8011" t="s">
        <v>339</v>
      </c>
      <c r="C8011">
        <v>1088</v>
      </c>
      <c r="D8011" t="s">
        <v>691</v>
      </c>
      <c r="E8011" t="s">
        <v>1150</v>
      </c>
      <c r="F8011" t="s">
        <v>157</v>
      </c>
      <c r="G8011" t="s">
        <v>712</v>
      </c>
      <c r="H8011" t="s">
        <v>198</v>
      </c>
      <c r="I8011" t="s">
        <v>136</v>
      </c>
      <c r="J8011" t="s">
        <v>262</v>
      </c>
      <c r="K8011" t="s">
        <v>305</v>
      </c>
      <c r="L8011" t="s">
        <v>292</v>
      </c>
      <c r="M8011" t="s">
        <v>108</v>
      </c>
      <c r="N8011" t="s">
        <v>231</v>
      </c>
      <c r="O8011" t="s">
        <v>712</v>
      </c>
      <c r="P8011" t="s">
        <v>155</v>
      </c>
      <c r="Q8011" t="s">
        <v>104</v>
      </c>
      <c r="R8011" t="s">
        <v>319</v>
      </c>
    </row>
    <row r="8012" spans="1:18" x14ac:dyDescent="0.3">
      <c r="A8012" t="s">
        <v>35</v>
      </c>
      <c r="B8012" t="s">
        <v>340</v>
      </c>
      <c r="C8012">
        <v>1864</v>
      </c>
      <c r="D8012" t="s">
        <v>451</v>
      </c>
      <c r="E8012" t="s">
        <v>1062</v>
      </c>
      <c r="F8012" t="s">
        <v>114</v>
      </c>
      <c r="G8012" t="s">
        <v>128</v>
      </c>
      <c r="H8012" t="s">
        <v>104</v>
      </c>
      <c r="I8012" t="s">
        <v>198</v>
      </c>
      <c r="J8012" t="s">
        <v>135</v>
      </c>
      <c r="K8012" t="s">
        <v>130</v>
      </c>
      <c r="L8012" t="s">
        <v>72</v>
      </c>
      <c r="M8012" t="s">
        <v>155</v>
      </c>
      <c r="N8012" t="s">
        <v>303</v>
      </c>
      <c r="O8012" t="s">
        <v>542</v>
      </c>
      <c r="P8012" t="s">
        <v>127</v>
      </c>
      <c r="Q8012" t="s">
        <v>198</v>
      </c>
      <c r="R8012" t="s">
        <v>468</v>
      </c>
    </row>
    <row r="8013" spans="1:18" x14ac:dyDescent="0.3">
      <c r="A8013" t="s">
        <v>35</v>
      </c>
      <c r="B8013" t="s">
        <v>365</v>
      </c>
      <c r="C8013">
        <v>44</v>
      </c>
      <c r="D8013" t="s">
        <v>942</v>
      </c>
      <c r="E8013" t="s">
        <v>307</v>
      </c>
      <c r="F8013" t="s">
        <v>100</v>
      </c>
      <c r="G8013" t="s">
        <v>100</v>
      </c>
      <c r="H8013" t="s">
        <v>99</v>
      </c>
      <c r="I8013" t="s">
        <v>99</v>
      </c>
      <c r="J8013" t="s">
        <v>684</v>
      </c>
      <c r="K8013" t="s">
        <v>115</v>
      </c>
      <c r="L8013" t="s">
        <v>809</v>
      </c>
      <c r="M8013" t="s">
        <v>99</v>
      </c>
      <c r="N8013" t="s">
        <v>117</v>
      </c>
      <c r="O8013" t="s">
        <v>382</v>
      </c>
      <c r="P8013" t="s">
        <v>151</v>
      </c>
      <c r="Q8013" t="s">
        <v>99</v>
      </c>
      <c r="R8013" t="s">
        <v>99</v>
      </c>
    </row>
    <row r="8014" spans="1:18" x14ac:dyDescent="0.3">
      <c r="A8014" t="s">
        <v>37</v>
      </c>
      <c r="B8014" t="s">
        <v>339</v>
      </c>
      <c r="C8014">
        <v>1342</v>
      </c>
      <c r="D8014" t="s">
        <v>406</v>
      </c>
      <c r="E8014" t="s">
        <v>1331</v>
      </c>
      <c r="F8014" t="s">
        <v>105</v>
      </c>
      <c r="G8014" t="s">
        <v>107</v>
      </c>
      <c r="H8014" t="s">
        <v>99</v>
      </c>
      <c r="I8014" t="s">
        <v>253</v>
      </c>
      <c r="J8014" t="s">
        <v>113</v>
      </c>
      <c r="K8014" t="s">
        <v>664</v>
      </c>
      <c r="L8014" t="s">
        <v>268</v>
      </c>
      <c r="M8014" t="s">
        <v>123</v>
      </c>
      <c r="N8014" t="s">
        <v>807</v>
      </c>
      <c r="O8014" t="s">
        <v>98</v>
      </c>
      <c r="P8014" t="s">
        <v>127</v>
      </c>
      <c r="Q8014" t="s">
        <v>141</v>
      </c>
      <c r="R8014" t="s">
        <v>104</v>
      </c>
    </row>
    <row r="8015" spans="1:18" x14ac:dyDescent="0.3">
      <c r="A8015" t="s">
        <v>37</v>
      </c>
      <c r="B8015" t="s">
        <v>340</v>
      </c>
      <c r="C8015">
        <v>2250</v>
      </c>
      <c r="D8015" t="s">
        <v>920</v>
      </c>
      <c r="E8015" t="s">
        <v>1154</v>
      </c>
      <c r="F8015" t="s">
        <v>319</v>
      </c>
      <c r="G8015" t="s">
        <v>382</v>
      </c>
      <c r="H8015" t="s">
        <v>99</v>
      </c>
      <c r="I8015" t="s">
        <v>132</v>
      </c>
      <c r="J8015" t="s">
        <v>109</v>
      </c>
      <c r="K8015" t="s">
        <v>107</v>
      </c>
      <c r="L8015" t="s">
        <v>401</v>
      </c>
      <c r="M8015" t="s">
        <v>134</v>
      </c>
      <c r="N8015" t="s">
        <v>731</v>
      </c>
      <c r="O8015" t="s">
        <v>264</v>
      </c>
      <c r="P8015" t="s">
        <v>100</v>
      </c>
      <c r="Q8015" t="s">
        <v>198</v>
      </c>
      <c r="R8015" t="s">
        <v>136</v>
      </c>
    </row>
    <row r="8016" spans="1:18" x14ac:dyDescent="0.3">
      <c r="A8016" t="s">
        <v>37</v>
      </c>
      <c r="B8016" t="s">
        <v>365</v>
      </c>
      <c r="C8016">
        <v>46</v>
      </c>
      <c r="D8016" t="s">
        <v>1062</v>
      </c>
      <c r="E8016" t="s">
        <v>561</v>
      </c>
      <c r="F8016" t="s">
        <v>316</v>
      </c>
      <c r="G8016" t="s">
        <v>99</v>
      </c>
      <c r="H8016" t="s">
        <v>99</v>
      </c>
      <c r="I8016" t="s">
        <v>99</v>
      </c>
      <c r="J8016" t="s">
        <v>160</v>
      </c>
      <c r="K8016" t="s">
        <v>133</v>
      </c>
      <c r="L8016" t="s">
        <v>99</v>
      </c>
      <c r="M8016" t="s">
        <v>804</v>
      </c>
      <c r="N8016" t="s">
        <v>175</v>
      </c>
      <c r="O8016" t="s">
        <v>215</v>
      </c>
      <c r="P8016" t="s">
        <v>99</v>
      </c>
      <c r="Q8016" t="s">
        <v>99</v>
      </c>
      <c r="R8016" t="s">
        <v>99</v>
      </c>
    </row>
    <row r="8017" spans="1:18" x14ac:dyDescent="0.3">
      <c r="A8017" t="s">
        <v>36</v>
      </c>
      <c r="B8017" t="s">
        <v>339</v>
      </c>
      <c r="C8017">
        <v>766</v>
      </c>
      <c r="D8017" t="s">
        <v>305</v>
      </c>
      <c r="E8017" t="s">
        <v>1104</v>
      </c>
      <c r="F8017" t="s">
        <v>105</v>
      </c>
      <c r="G8017" t="s">
        <v>110</v>
      </c>
      <c r="H8017" t="s">
        <v>99</v>
      </c>
      <c r="I8017" t="s">
        <v>101</v>
      </c>
      <c r="J8017" t="s">
        <v>401</v>
      </c>
      <c r="K8017" t="s">
        <v>684</v>
      </c>
      <c r="L8017" t="s">
        <v>103</v>
      </c>
      <c r="M8017" t="s">
        <v>121</v>
      </c>
      <c r="N8017" t="s">
        <v>717</v>
      </c>
      <c r="O8017" t="s">
        <v>125</v>
      </c>
      <c r="P8017" t="s">
        <v>118</v>
      </c>
      <c r="Q8017" t="s">
        <v>104</v>
      </c>
      <c r="R8017" t="s">
        <v>114</v>
      </c>
    </row>
    <row r="8018" spans="1:18" x14ac:dyDescent="0.3">
      <c r="A8018" t="s">
        <v>36</v>
      </c>
      <c r="B8018" t="s">
        <v>340</v>
      </c>
      <c r="C8018">
        <v>1118</v>
      </c>
      <c r="D8018" t="s">
        <v>298</v>
      </c>
      <c r="E8018" t="s">
        <v>1252</v>
      </c>
      <c r="F8018" t="s">
        <v>115</v>
      </c>
      <c r="G8018" t="s">
        <v>215</v>
      </c>
      <c r="H8018" t="s">
        <v>99</v>
      </c>
      <c r="I8018" t="s">
        <v>253</v>
      </c>
      <c r="J8018" t="s">
        <v>412</v>
      </c>
      <c r="K8018" t="s">
        <v>154</v>
      </c>
      <c r="L8018" t="s">
        <v>332</v>
      </c>
      <c r="M8018" t="s">
        <v>103</v>
      </c>
      <c r="N8018" t="s">
        <v>696</v>
      </c>
      <c r="O8018" t="s">
        <v>990</v>
      </c>
      <c r="P8018" t="s">
        <v>118</v>
      </c>
      <c r="Q8018" t="s">
        <v>104</v>
      </c>
      <c r="R8018" t="s">
        <v>474</v>
      </c>
    </row>
    <row r="8019" spans="1:18" x14ac:dyDescent="0.3">
      <c r="A8019" t="s">
        <v>36</v>
      </c>
      <c r="B8019" t="s">
        <v>365</v>
      </c>
      <c r="C8019">
        <v>68</v>
      </c>
      <c r="D8019" t="s">
        <v>248</v>
      </c>
      <c r="E8019" t="s">
        <v>698</v>
      </c>
      <c r="F8019" t="s">
        <v>114</v>
      </c>
      <c r="G8019" t="s">
        <v>99</v>
      </c>
      <c r="H8019" t="s">
        <v>99</v>
      </c>
      <c r="I8019" t="s">
        <v>99</v>
      </c>
      <c r="J8019" t="s">
        <v>127</v>
      </c>
      <c r="K8019" t="s">
        <v>99</v>
      </c>
      <c r="L8019" t="s">
        <v>133</v>
      </c>
      <c r="M8019" t="s">
        <v>147</v>
      </c>
      <c r="N8019" t="s">
        <v>122</v>
      </c>
      <c r="O8019" t="s">
        <v>809</v>
      </c>
      <c r="P8019" t="s">
        <v>694</v>
      </c>
      <c r="Q8019" t="s">
        <v>99</v>
      </c>
      <c r="R8019" t="s">
        <v>99</v>
      </c>
    </row>
    <row r="8020" spans="1:18" x14ac:dyDescent="0.3">
      <c r="A8020" t="s">
        <v>34</v>
      </c>
      <c r="B8020" t="s">
        <v>339</v>
      </c>
      <c r="C8020">
        <v>634</v>
      </c>
      <c r="D8020" t="s">
        <v>721</v>
      </c>
      <c r="E8020" t="s">
        <v>558</v>
      </c>
      <c r="F8020" t="s">
        <v>151</v>
      </c>
      <c r="G8020" t="s">
        <v>128</v>
      </c>
      <c r="H8020" t="s">
        <v>99</v>
      </c>
      <c r="I8020" t="s">
        <v>382</v>
      </c>
      <c r="J8020" t="s">
        <v>254</v>
      </c>
      <c r="K8020" t="s">
        <v>158</v>
      </c>
      <c r="L8020" t="s">
        <v>127</v>
      </c>
      <c r="M8020" t="s">
        <v>138</v>
      </c>
      <c r="N8020" t="s">
        <v>523</v>
      </c>
      <c r="O8020" t="s">
        <v>182</v>
      </c>
      <c r="P8020" t="s">
        <v>277</v>
      </c>
      <c r="Q8020" t="s">
        <v>319</v>
      </c>
      <c r="R8020" t="s">
        <v>207</v>
      </c>
    </row>
    <row r="8021" spans="1:18" x14ac:dyDescent="0.3">
      <c r="A8021" t="s">
        <v>34</v>
      </c>
      <c r="B8021" t="s">
        <v>340</v>
      </c>
      <c r="C8021">
        <v>935</v>
      </c>
      <c r="D8021" t="s">
        <v>491</v>
      </c>
      <c r="E8021" t="s">
        <v>963</v>
      </c>
      <c r="F8021" t="s">
        <v>132</v>
      </c>
      <c r="G8021" t="s">
        <v>117</v>
      </c>
      <c r="H8021" t="s">
        <v>99</v>
      </c>
      <c r="I8021" t="s">
        <v>100</v>
      </c>
      <c r="J8021" t="s">
        <v>296</v>
      </c>
      <c r="K8021" t="s">
        <v>107</v>
      </c>
      <c r="L8021" t="s">
        <v>134</v>
      </c>
      <c r="M8021" t="s">
        <v>138</v>
      </c>
      <c r="N8021" t="s">
        <v>298</v>
      </c>
      <c r="O8021" t="s">
        <v>676</v>
      </c>
      <c r="P8021" t="s">
        <v>107</v>
      </c>
      <c r="Q8021" t="s">
        <v>136</v>
      </c>
      <c r="R8021" t="s">
        <v>141</v>
      </c>
    </row>
    <row r="8022" spans="1:18" x14ac:dyDescent="0.3">
      <c r="A8022" t="s">
        <v>34</v>
      </c>
      <c r="B8022" t="s">
        <v>365</v>
      </c>
      <c r="C8022">
        <v>28</v>
      </c>
      <c r="D8022" t="s">
        <v>897</v>
      </c>
      <c r="E8022" t="s">
        <v>538</v>
      </c>
      <c r="F8022" t="s">
        <v>99</v>
      </c>
      <c r="G8022" t="s">
        <v>99</v>
      </c>
      <c r="H8022" t="s">
        <v>99</v>
      </c>
      <c r="I8022" t="s">
        <v>99</v>
      </c>
      <c r="J8022" t="s">
        <v>382</v>
      </c>
      <c r="K8022" t="s">
        <v>99</v>
      </c>
      <c r="L8022" t="s">
        <v>99</v>
      </c>
      <c r="M8022" t="s">
        <v>152</v>
      </c>
      <c r="N8022" t="s">
        <v>100</v>
      </c>
      <c r="O8022" t="s">
        <v>368</v>
      </c>
      <c r="P8022" t="s">
        <v>99</v>
      </c>
      <c r="Q8022" t="s">
        <v>99</v>
      </c>
      <c r="R8022" t="s">
        <v>99</v>
      </c>
    </row>
    <row r="8023" spans="1:18" x14ac:dyDescent="0.3">
      <c r="A8023" t="s">
        <v>33</v>
      </c>
      <c r="B8023" t="s">
        <v>339</v>
      </c>
      <c r="C8023">
        <v>576</v>
      </c>
      <c r="D8023" t="s">
        <v>201</v>
      </c>
      <c r="E8023" t="s">
        <v>498</v>
      </c>
      <c r="F8023" t="s">
        <v>147</v>
      </c>
      <c r="G8023" t="s">
        <v>126</v>
      </c>
      <c r="H8023" t="s">
        <v>198</v>
      </c>
      <c r="I8023" t="s">
        <v>100</v>
      </c>
      <c r="J8023" t="s">
        <v>405</v>
      </c>
      <c r="K8023" t="s">
        <v>255</v>
      </c>
      <c r="L8023" t="s">
        <v>147</v>
      </c>
      <c r="M8023" t="s">
        <v>319</v>
      </c>
      <c r="N8023" t="s">
        <v>1044</v>
      </c>
      <c r="O8023" t="s">
        <v>405</v>
      </c>
      <c r="P8023" t="s">
        <v>101</v>
      </c>
      <c r="Q8023" t="s">
        <v>253</v>
      </c>
      <c r="R8023" t="s">
        <v>141</v>
      </c>
    </row>
    <row r="8024" spans="1:18" x14ac:dyDescent="0.3">
      <c r="A8024" t="s">
        <v>33</v>
      </c>
      <c r="B8024" t="s">
        <v>340</v>
      </c>
      <c r="C8024">
        <v>1107</v>
      </c>
      <c r="D8024" t="s">
        <v>911</v>
      </c>
      <c r="E8024" t="s">
        <v>64</v>
      </c>
      <c r="F8024" t="s">
        <v>121</v>
      </c>
      <c r="G8024" t="s">
        <v>115</v>
      </c>
      <c r="H8024" t="s">
        <v>99</v>
      </c>
      <c r="I8024" t="s">
        <v>253</v>
      </c>
      <c r="J8024" t="s">
        <v>150</v>
      </c>
      <c r="K8024" t="s">
        <v>68</v>
      </c>
      <c r="L8024" t="s">
        <v>663</v>
      </c>
      <c r="M8024" t="s">
        <v>712</v>
      </c>
      <c r="N8024" t="s">
        <v>276</v>
      </c>
      <c r="O8024" t="s">
        <v>357</v>
      </c>
      <c r="P8024" t="s">
        <v>151</v>
      </c>
      <c r="Q8024" t="s">
        <v>207</v>
      </c>
      <c r="R8024" t="s">
        <v>136</v>
      </c>
    </row>
    <row r="8025" spans="1:18" x14ac:dyDescent="0.3">
      <c r="A8025" t="s">
        <v>33</v>
      </c>
      <c r="B8025" t="s">
        <v>365</v>
      </c>
      <c r="C8025">
        <v>18</v>
      </c>
      <c r="D8025" t="s">
        <v>616</v>
      </c>
      <c r="E8025" t="s">
        <v>276</v>
      </c>
      <c r="F8025" t="s">
        <v>99</v>
      </c>
      <c r="G8025" t="s">
        <v>325</v>
      </c>
      <c r="H8025" t="s">
        <v>99</v>
      </c>
      <c r="I8025" t="s">
        <v>99</v>
      </c>
      <c r="J8025" t="s">
        <v>99</v>
      </c>
      <c r="K8025" t="s">
        <v>99</v>
      </c>
      <c r="L8025" t="s">
        <v>99</v>
      </c>
      <c r="M8025" t="s">
        <v>99</v>
      </c>
      <c r="N8025" t="s">
        <v>149</v>
      </c>
      <c r="O8025" t="s">
        <v>706</v>
      </c>
      <c r="P8025" t="s">
        <v>99</v>
      </c>
      <c r="Q8025" t="s">
        <v>99</v>
      </c>
      <c r="R8025" t="s">
        <v>99</v>
      </c>
    </row>
    <row r="8026" spans="1:18" x14ac:dyDescent="0.3">
      <c r="A8026" t="s">
        <v>49</v>
      </c>
      <c r="B8026" t="s">
        <v>339</v>
      </c>
      <c r="C8026">
        <v>4406</v>
      </c>
      <c r="D8026" t="s">
        <v>704</v>
      </c>
      <c r="E8026" t="s">
        <v>533</v>
      </c>
      <c r="F8026" t="s">
        <v>147</v>
      </c>
      <c r="G8026" t="s">
        <v>105</v>
      </c>
      <c r="H8026" t="s">
        <v>104</v>
      </c>
      <c r="I8026" t="s">
        <v>108</v>
      </c>
      <c r="J8026" t="s">
        <v>461</v>
      </c>
      <c r="K8026" t="s">
        <v>299</v>
      </c>
      <c r="L8026" t="s">
        <v>111</v>
      </c>
      <c r="M8026" t="s">
        <v>127</v>
      </c>
      <c r="N8026" t="s">
        <v>691</v>
      </c>
      <c r="O8026" t="s">
        <v>109</v>
      </c>
      <c r="P8026" t="s">
        <v>157</v>
      </c>
      <c r="Q8026" t="s">
        <v>141</v>
      </c>
      <c r="R8026" t="s">
        <v>253</v>
      </c>
    </row>
    <row r="8027" spans="1:18" x14ac:dyDescent="0.3">
      <c r="A8027" t="s">
        <v>49</v>
      </c>
      <c r="B8027" t="s">
        <v>340</v>
      </c>
      <c r="C8027">
        <v>7274</v>
      </c>
      <c r="D8027" t="s">
        <v>529</v>
      </c>
      <c r="E8027" t="s">
        <v>146</v>
      </c>
      <c r="F8027" t="s">
        <v>100</v>
      </c>
      <c r="G8027" t="s">
        <v>123</v>
      </c>
      <c r="H8027" t="s">
        <v>99</v>
      </c>
      <c r="I8027" t="s">
        <v>253</v>
      </c>
      <c r="J8027" t="s">
        <v>150</v>
      </c>
      <c r="K8027" t="s">
        <v>134</v>
      </c>
      <c r="L8027" t="s">
        <v>150</v>
      </c>
      <c r="M8027" t="s">
        <v>154</v>
      </c>
      <c r="N8027" t="s">
        <v>501</v>
      </c>
      <c r="O8027" t="s">
        <v>167</v>
      </c>
      <c r="P8027" t="s">
        <v>151</v>
      </c>
      <c r="Q8027" t="s">
        <v>198</v>
      </c>
      <c r="R8027" t="s">
        <v>117</v>
      </c>
    </row>
    <row r="8028" spans="1:18" x14ac:dyDescent="0.3">
      <c r="A8028" t="s">
        <v>49</v>
      </c>
      <c r="B8028" t="s">
        <v>365</v>
      </c>
      <c r="C8028">
        <v>204</v>
      </c>
      <c r="D8028" t="s">
        <v>1214</v>
      </c>
      <c r="E8028" t="s">
        <v>713</v>
      </c>
      <c r="F8028" t="s">
        <v>100</v>
      </c>
      <c r="G8028" t="s">
        <v>114</v>
      </c>
      <c r="H8028" t="s">
        <v>99</v>
      </c>
      <c r="I8028" t="s">
        <v>99</v>
      </c>
      <c r="J8028" t="s">
        <v>118</v>
      </c>
      <c r="K8028" t="s">
        <v>117</v>
      </c>
      <c r="L8028" t="s">
        <v>311</v>
      </c>
      <c r="M8028" t="s">
        <v>129</v>
      </c>
      <c r="N8028" t="s">
        <v>144</v>
      </c>
      <c r="O8028" t="s">
        <v>165</v>
      </c>
      <c r="P8028" t="s">
        <v>105</v>
      </c>
      <c r="Q8028" t="s">
        <v>99</v>
      </c>
      <c r="R8028" t="s">
        <v>99</v>
      </c>
    </row>
    <row r="8030" spans="1:18" x14ac:dyDescent="0.3">
      <c r="A8030" t="s">
        <v>2311</v>
      </c>
    </row>
    <row r="8031" spans="1:18" x14ac:dyDescent="0.3">
      <c r="A8031" t="s">
        <v>44</v>
      </c>
      <c r="B8031" t="s">
        <v>257</v>
      </c>
      <c r="C8031" t="s">
        <v>32</v>
      </c>
      <c r="D8031" t="s">
        <v>2292</v>
      </c>
      <c r="E8031" t="s">
        <v>2293</v>
      </c>
      <c r="F8031" t="s">
        <v>2294</v>
      </c>
      <c r="G8031" t="s">
        <v>2295</v>
      </c>
      <c r="H8031" t="s">
        <v>2296</v>
      </c>
      <c r="I8031" t="s">
        <v>2297</v>
      </c>
      <c r="J8031" t="s">
        <v>2298</v>
      </c>
      <c r="K8031" t="s">
        <v>2299</v>
      </c>
      <c r="L8031" t="s">
        <v>2300</v>
      </c>
      <c r="M8031" t="s">
        <v>2301</v>
      </c>
      <c r="N8031" t="s">
        <v>2302</v>
      </c>
      <c r="O8031" t="s">
        <v>2303</v>
      </c>
      <c r="P8031" t="s">
        <v>88</v>
      </c>
      <c r="Q8031" t="s">
        <v>83</v>
      </c>
      <c r="R8031" t="s">
        <v>193</v>
      </c>
    </row>
    <row r="8032" spans="1:18" x14ac:dyDescent="0.3">
      <c r="A8032" t="s">
        <v>35</v>
      </c>
      <c r="B8032" t="s">
        <v>258</v>
      </c>
      <c r="C8032">
        <v>2667</v>
      </c>
      <c r="D8032" t="s">
        <v>307</v>
      </c>
      <c r="E8032" t="s">
        <v>496</v>
      </c>
      <c r="F8032" t="s">
        <v>215</v>
      </c>
      <c r="G8032" t="s">
        <v>138</v>
      </c>
      <c r="H8032" t="s">
        <v>104</v>
      </c>
      <c r="I8032" t="s">
        <v>207</v>
      </c>
      <c r="J8032" t="s">
        <v>299</v>
      </c>
      <c r="K8032" t="s">
        <v>328</v>
      </c>
      <c r="L8032" t="s">
        <v>122</v>
      </c>
      <c r="M8032" t="s">
        <v>103</v>
      </c>
      <c r="N8032" t="s">
        <v>395</v>
      </c>
      <c r="O8032" t="s">
        <v>714</v>
      </c>
      <c r="P8032" t="s">
        <v>151</v>
      </c>
      <c r="Q8032" t="s">
        <v>104</v>
      </c>
      <c r="R8032" t="s">
        <v>474</v>
      </c>
    </row>
    <row r="8033" spans="1:18" x14ac:dyDescent="0.3">
      <c r="A8033" t="s">
        <v>35</v>
      </c>
      <c r="B8033" t="s">
        <v>260</v>
      </c>
      <c r="C8033">
        <v>329</v>
      </c>
      <c r="D8033" t="s">
        <v>751</v>
      </c>
      <c r="E8033" t="s">
        <v>886</v>
      </c>
      <c r="F8033" t="s">
        <v>292</v>
      </c>
      <c r="G8033" t="s">
        <v>107</v>
      </c>
      <c r="H8033" t="s">
        <v>99</v>
      </c>
      <c r="I8033" t="s">
        <v>207</v>
      </c>
      <c r="J8033" t="s">
        <v>109</v>
      </c>
      <c r="K8033" t="s">
        <v>68</v>
      </c>
      <c r="L8033" t="s">
        <v>111</v>
      </c>
      <c r="M8033" t="s">
        <v>151</v>
      </c>
      <c r="N8033" t="s">
        <v>701</v>
      </c>
      <c r="O8033" t="s">
        <v>287</v>
      </c>
      <c r="P8033" t="s">
        <v>68</v>
      </c>
      <c r="Q8033" t="s">
        <v>207</v>
      </c>
      <c r="R8033" t="s">
        <v>101</v>
      </c>
    </row>
    <row r="8034" spans="1:18" x14ac:dyDescent="0.3">
      <c r="A8034" t="s">
        <v>37</v>
      </c>
      <c r="B8034" t="s">
        <v>258</v>
      </c>
      <c r="C8034">
        <v>3638</v>
      </c>
      <c r="D8034" t="s">
        <v>894</v>
      </c>
      <c r="E8034" t="s">
        <v>1055</v>
      </c>
      <c r="F8034" t="s">
        <v>292</v>
      </c>
      <c r="G8034" t="s">
        <v>292</v>
      </c>
      <c r="H8034" t="s">
        <v>99</v>
      </c>
      <c r="I8034" t="s">
        <v>115</v>
      </c>
      <c r="J8034" t="s">
        <v>184</v>
      </c>
      <c r="K8034" t="s">
        <v>139</v>
      </c>
      <c r="L8034" t="s">
        <v>325</v>
      </c>
      <c r="M8034" t="s">
        <v>157</v>
      </c>
      <c r="N8034" t="s">
        <v>694</v>
      </c>
      <c r="O8034" t="s">
        <v>165</v>
      </c>
      <c r="P8034" t="s">
        <v>319</v>
      </c>
      <c r="Q8034" t="s">
        <v>207</v>
      </c>
      <c r="R8034" t="s">
        <v>207</v>
      </c>
    </row>
    <row r="8035" spans="1:18" x14ac:dyDescent="0.3">
      <c r="A8035" t="s">
        <v>36</v>
      </c>
      <c r="B8035" t="s">
        <v>258</v>
      </c>
      <c r="C8035">
        <v>1693</v>
      </c>
      <c r="D8035" t="s">
        <v>694</v>
      </c>
      <c r="E8035" t="s">
        <v>1112</v>
      </c>
      <c r="F8035" t="s">
        <v>215</v>
      </c>
      <c r="G8035" t="s">
        <v>103</v>
      </c>
      <c r="H8035" t="s">
        <v>99</v>
      </c>
      <c r="I8035" t="s">
        <v>108</v>
      </c>
      <c r="J8035" t="s">
        <v>144</v>
      </c>
      <c r="K8035" t="s">
        <v>130</v>
      </c>
      <c r="L8035" t="s">
        <v>138</v>
      </c>
      <c r="M8035" t="s">
        <v>151</v>
      </c>
      <c r="N8035" t="s">
        <v>696</v>
      </c>
      <c r="O8035" t="s">
        <v>255</v>
      </c>
      <c r="P8035" t="s">
        <v>130</v>
      </c>
      <c r="Q8035" t="s">
        <v>104</v>
      </c>
      <c r="R8035" t="s">
        <v>107</v>
      </c>
    </row>
    <row r="8036" spans="1:18" x14ac:dyDescent="0.3">
      <c r="A8036" t="s">
        <v>36</v>
      </c>
      <c r="B8036" t="s">
        <v>260</v>
      </c>
      <c r="C8036">
        <v>259</v>
      </c>
      <c r="D8036" t="s">
        <v>372</v>
      </c>
      <c r="E8036" t="s">
        <v>598</v>
      </c>
      <c r="F8036" t="s">
        <v>132</v>
      </c>
      <c r="G8036" t="s">
        <v>268</v>
      </c>
      <c r="H8036" t="s">
        <v>99</v>
      </c>
      <c r="I8036" t="s">
        <v>136</v>
      </c>
      <c r="J8036" t="s">
        <v>299</v>
      </c>
      <c r="K8036" t="s">
        <v>325</v>
      </c>
      <c r="L8036" t="s">
        <v>128</v>
      </c>
      <c r="M8036" t="s">
        <v>412</v>
      </c>
      <c r="N8036" t="s">
        <v>864</v>
      </c>
      <c r="O8036" t="s">
        <v>289</v>
      </c>
      <c r="P8036" t="s">
        <v>434</v>
      </c>
      <c r="Q8036" t="s">
        <v>121</v>
      </c>
      <c r="R8036" t="s">
        <v>99</v>
      </c>
    </row>
    <row r="8037" spans="1:18" x14ac:dyDescent="0.3">
      <c r="A8037" t="s">
        <v>34</v>
      </c>
      <c r="B8037" t="s">
        <v>258</v>
      </c>
      <c r="C8037">
        <v>634</v>
      </c>
      <c r="D8037" t="s">
        <v>702</v>
      </c>
      <c r="E8037" t="s">
        <v>822</v>
      </c>
      <c r="F8037" t="s">
        <v>136</v>
      </c>
      <c r="G8037" t="s">
        <v>215</v>
      </c>
      <c r="H8037" t="s">
        <v>99</v>
      </c>
      <c r="I8037" t="s">
        <v>126</v>
      </c>
      <c r="J8037" t="s">
        <v>118</v>
      </c>
      <c r="K8037" t="s">
        <v>70</v>
      </c>
      <c r="L8037" t="s">
        <v>277</v>
      </c>
      <c r="M8037" t="s">
        <v>108</v>
      </c>
      <c r="N8037" t="s">
        <v>724</v>
      </c>
      <c r="O8037" t="s">
        <v>379</v>
      </c>
      <c r="P8037" t="s">
        <v>132</v>
      </c>
      <c r="Q8037" t="s">
        <v>99</v>
      </c>
      <c r="R8037" t="s">
        <v>132</v>
      </c>
    </row>
    <row r="8038" spans="1:18" x14ac:dyDescent="0.3">
      <c r="A8038" t="s">
        <v>34</v>
      </c>
      <c r="B8038" t="s">
        <v>260</v>
      </c>
      <c r="C8038">
        <v>963</v>
      </c>
      <c r="D8038" t="s">
        <v>694</v>
      </c>
      <c r="E8038" t="s">
        <v>909</v>
      </c>
      <c r="F8038" t="s">
        <v>126</v>
      </c>
      <c r="G8038" t="s">
        <v>128</v>
      </c>
      <c r="H8038" t="s">
        <v>99</v>
      </c>
      <c r="I8038" t="s">
        <v>101</v>
      </c>
      <c r="J8038" t="s">
        <v>420</v>
      </c>
      <c r="K8038" t="s">
        <v>105</v>
      </c>
      <c r="L8038" t="s">
        <v>268</v>
      </c>
      <c r="M8038" t="s">
        <v>110</v>
      </c>
      <c r="N8038" t="s">
        <v>177</v>
      </c>
      <c r="O8038" t="s">
        <v>264</v>
      </c>
      <c r="P8038" t="s">
        <v>139</v>
      </c>
      <c r="Q8038" t="s">
        <v>100</v>
      </c>
      <c r="R8038" t="s">
        <v>207</v>
      </c>
    </row>
    <row r="8039" spans="1:18" x14ac:dyDescent="0.3">
      <c r="A8039" t="s">
        <v>33</v>
      </c>
      <c r="B8039" t="s">
        <v>258</v>
      </c>
      <c r="C8039">
        <v>1701</v>
      </c>
      <c r="D8039" t="s">
        <v>1044</v>
      </c>
      <c r="E8039" t="s">
        <v>827</v>
      </c>
      <c r="F8039" t="s">
        <v>127</v>
      </c>
      <c r="G8039" t="s">
        <v>114</v>
      </c>
      <c r="H8039" t="s">
        <v>104</v>
      </c>
      <c r="I8039" t="s">
        <v>115</v>
      </c>
      <c r="J8039" t="s">
        <v>353</v>
      </c>
      <c r="K8039" t="s">
        <v>113</v>
      </c>
      <c r="L8039" t="s">
        <v>158</v>
      </c>
      <c r="M8039" t="s">
        <v>138</v>
      </c>
      <c r="N8039" t="s">
        <v>423</v>
      </c>
      <c r="O8039" t="s">
        <v>726</v>
      </c>
      <c r="P8039" t="s">
        <v>127</v>
      </c>
      <c r="Q8039" t="s">
        <v>136</v>
      </c>
      <c r="R8039" t="s">
        <v>136</v>
      </c>
    </row>
    <row r="8040" spans="1:18" x14ac:dyDescent="0.3">
      <c r="A8040" t="s">
        <v>49</v>
      </c>
      <c r="B8040" t="s">
        <v>258</v>
      </c>
      <c r="C8040">
        <v>10333</v>
      </c>
      <c r="D8040" t="s">
        <v>864</v>
      </c>
      <c r="E8040" t="s">
        <v>620</v>
      </c>
      <c r="F8040" t="s">
        <v>127</v>
      </c>
      <c r="G8040" t="s">
        <v>268</v>
      </c>
      <c r="H8040" t="s">
        <v>104</v>
      </c>
      <c r="I8040" t="s">
        <v>253</v>
      </c>
      <c r="J8040" t="s">
        <v>679</v>
      </c>
      <c r="K8040" t="s">
        <v>325</v>
      </c>
      <c r="L8040" t="s">
        <v>204</v>
      </c>
      <c r="M8040" t="s">
        <v>120</v>
      </c>
      <c r="N8040" t="s">
        <v>39</v>
      </c>
      <c r="O8040" t="s">
        <v>737</v>
      </c>
      <c r="P8040" t="s">
        <v>123</v>
      </c>
      <c r="Q8040" t="s">
        <v>198</v>
      </c>
      <c r="R8040" t="s">
        <v>151</v>
      </c>
    </row>
    <row r="8041" spans="1:18" x14ac:dyDescent="0.3">
      <c r="A8041" t="s">
        <v>49</v>
      </c>
      <c r="B8041" t="s">
        <v>260</v>
      </c>
      <c r="C8041">
        <v>1551</v>
      </c>
      <c r="D8041" t="s">
        <v>687</v>
      </c>
      <c r="E8041" t="s">
        <v>632</v>
      </c>
      <c r="F8041" t="s">
        <v>215</v>
      </c>
      <c r="G8041" t="s">
        <v>128</v>
      </c>
      <c r="H8041" t="s">
        <v>99</v>
      </c>
      <c r="I8041" t="s">
        <v>100</v>
      </c>
      <c r="J8041" t="s">
        <v>299</v>
      </c>
      <c r="K8041" t="s">
        <v>332</v>
      </c>
      <c r="L8041" t="s">
        <v>111</v>
      </c>
      <c r="M8041" t="s">
        <v>332</v>
      </c>
      <c r="N8041" t="s">
        <v>705</v>
      </c>
      <c r="O8041" t="s">
        <v>267</v>
      </c>
      <c r="P8041" t="s">
        <v>139</v>
      </c>
      <c r="Q8041" t="s">
        <v>108</v>
      </c>
      <c r="R8041" t="s">
        <v>141</v>
      </c>
    </row>
    <row r="8043" spans="1:18" x14ac:dyDescent="0.3">
      <c r="A8043" t="s">
        <v>2312</v>
      </c>
    </row>
    <row r="8044" spans="1:18" x14ac:dyDescent="0.3">
      <c r="A8044" t="s">
        <v>44</v>
      </c>
      <c r="B8044" t="s">
        <v>1590</v>
      </c>
      <c r="C8044" t="s">
        <v>32</v>
      </c>
      <c r="D8044" t="s">
        <v>2292</v>
      </c>
      <c r="E8044" t="s">
        <v>2293</v>
      </c>
      <c r="F8044" t="s">
        <v>2294</v>
      </c>
      <c r="G8044" t="s">
        <v>2295</v>
      </c>
      <c r="H8044" t="s">
        <v>2296</v>
      </c>
      <c r="I8044" t="s">
        <v>2297</v>
      </c>
      <c r="J8044" t="s">
        <v>2298</v>
      </c>
      <c r="K8044" t="s">
        <v>2299</v>
      </c>
      <c r="L8044" t="s">
        <v>2300</v>
      </c>
      <c r="M8044" t="s">
        <v>2301</v>
      </c>
      <c r="N8044" t="s">
        <v>2302</v>
      </c>
      <c r="O8044" t="s">
        <v>2303</v>
      </c>
      <c r="P8044" t="s">
        <v>88</v>
      </c>
      <c r="Q8044" t="s">
        <v>83</v>
      </c>
      <c r="R8044" t="s">
        <v>193</v>
      </c>
    </row>
    <row r="8045" spans="1:18" x14ac:dyDescent="0.3">
      <c r="A8045" t="s">
        <v>35</v>
      </c>
      <c r="B8045" t="s">
        <v>1591</v>
      </c>
      <c r="C8045">
        <v>1618</v>
      </c>
      <c r="D8045" t="s">
        <v>503</v>
      </c>
      <c r="E8045" t="s">
        <v>571</v>
      </c>
      <c r="F8045" t="s">
        <v>382</v>
      </c>
      <c r="G8045" t="s">
        <v>155</v>
      </c>
      <c r="H8045" t="s">
        <v>198</v>
      </c>
      <c r="I8045" t="s">
        <v>141</v>
      </c>
      <c r="J8045" t="s">
        <v>353</v>
      </c>
      <c r="K8045" t="s">
        <v>144</v>
      </c>
      <c r="L8045" t="s">
        <v>663</v>
      </c>
      <c r="M8045" t="s">
        <v>382</v>
      </c>
      <c r="N8045" t="s">
        <v>691</v>
      </c>
      <c r="O8045" t="s">
        <v>470</v>
      </c>
      <c r="P8045" t="s">
        <v>103</v>
      </c>
      <c r="Q8045" t="s">
        <v>198</v>
      </c>
      <c r="R8045" t="s">
        <v>118</v>
      </c>
    </row>
    <row r="8046" spans="1:18" x14ac:dyDescent="0.3">
      <c r="A8046" t="s">
        <v>35</v>
      </c>
      <c r="B8046" t="s">
        <v>1592</v>
      </c>
      <c r="C8046">
        <v>1341</v>
      </c>
      <c r="D8046" t="s">
        <v>748</v>
      </c>
      <c r="E8046" t="s">
        <v>2115</v>
      </c>
      <c r="F8046" t="s">
        <v>127</v>
      </c>
      <c r="G8046" t="s">
        <v>157</v>
      </c>
      <c r="H8046" t="s">
        <v>104</v>
      </c>
      <c r="I8046" t="s">
        <v>99</v>
      </c>
      <c r="J8046" t="s">
        <v>363</v>
      </c>
      <c r="K8046" t="s">
        <v>98</v>
      </c>
      <c r="L8046" t="s">
        <v>109</v>
      </c>
      <c r="M8046" t="s">
        <v>155</v>
      </c>
      <c r="N8046" t="s">
        <v>173</v>
      </c>
      <c r="O8046" t="s">
        <v>465</v>
      </c>
      <c r="P8046" t="s">
        <v>151</v>
      </c>
      <c r="Q8046" t="s">
        <v>104</v>
      </c>
      <c r="R8046" t="s">
        <v>712</v>
      </c>
    </row>
    <row r="8047" spans="1:18" x14ac:dyDescent="0.3">
      <c r="A8047" t="s">
        <v>35</v>
      </c>
      <c r="B8047" t="s">
        <v>365</v>
      </c>
      <c r="C8047">
        <v>37</v>
      </c>
      <c r="D8047" t="s">
        <v>276</v>
      </c>
      <c r="E8047" t="s">
        <v>1255</v>
      </c>
      <c r="F8047" t="s">
        <v>712</v>
      </c>
      <c r="G8047" t="s">
        <v>130</v>
      </c>
      <c r="H8047" t="s">
        <v>99</v>
      </c>
      <c r="I8047" t="s">
        <v>99</v>
      </c>
      <c r="J8047" t="s">
        <v>99</v>
      </c>
      <c r="K8047" t="s">
        <v>141</v>
      </c>
      <c r="L8047" t="s">
        <v>114</v>
      </c>
      <c r="M8047" t="s">
        <v>99</v>
      </c>
      <c r="N8047" t="s">
        <v>1059</v>
      </c>
      <c r="O8047" t="s">
        <v>145</v>
      </c>
      <c r="P8047" t="s">
        <v>289</v>
      </c>
      <c r="Q8047" t="s">
        <v>114</v>
      </c>
      <c r="R8047" t="s">
        <v>99</v>
      </c>
    </row>
    <row r="8048" spans="1:18" x14ac:dyDescent="0.3">
      <c r="A8048" t="s">
        <v>37</v>
      </c>
      <c r="B8048" t="s">
        <v>1591</v>
      </c>
      <c r="C8048">
        <v>1880</v>
      </c>
      <c r="D8048" t="s">
        <v>747</v>
      </c>
      <c r="E8048" t="s">
        <v>594</v>
      </c>
      <c r="F8048" t="s">
        <v>123</v>
      </c>
      <c r="G8048" t="s">
        <v>147</v>
      </c>
      <c r="H8048" t="s">
        <v>99</v>
      </c>
      <c r="I8048" t="s">
        <v>100</v>
      </c>
      <c r="J8048" t="s">
        <v>353</v>
      </c>
      <c r="K8048" t="s">
        <v>158</v>
      </c>
      <c r="L8048" t="s">
        <v>684</v>
      </c>
      <c r="M8048" t="s">
        <v>103</v>
      </c>
      <c r="N8048" t="s">
        <v>372</v>
      </c>
      <c r="O8048" t="s">
        <v>125</v>
      </c>
      <c r="P8048" t="s">
        <v>127</v>
      </c>
      <c r="Q8048" t="s">
        <v>198</v>
      </c>
      <c r="R8048" t="s">
        <v>198</v>
      </c>
    </row>
    <row r="8049" spans="1:18" x14ac:dyDescent="0.3">
      <c r="A8049" t="s">
        <v>37</v>
      </c>
      <c r="B8049" t="s">
        <v>1592</v>
      </c>
      <c r="C8049">
        <v>1700</v>
      </c>
      <c r="D8049" t="s">
        <v>451</v>
      </c>
      <c r="E8049" t="s">
        <v>566</v>
      </c>
      <c r="F8049" t="s">
        <v>111</v>
      </c>
      <c r="G8049" t="s">
        <v>121</v>
      </c>
      <c r="H8049" t="s">
        <v>99</v>
      </c>
      <c r="I8049" t="s">
        <v>136</v>
      </c>
      <c r="J8049" t="s">
        <v>150</v>
      </c>
      <c r="K8049" t="s">
        <v>110</v>
      </c>
      <c r="L8049" t="s">
        <v>663</v>
      </c>
      <c r="M8049" t="s">
        <v>110</v>
      </c>
      <c r="N8049" t="s">
        <v>726</v>
      </c>
      <c r="O8049" t="s">
        <v>721</v>
      </c>
      <c r="P8049" t="s">
        <v>108</v>
      </c>
      <c r="Q8049" t="s">
        <v>136</v>
      </c>
      <c r="R8049" t="s">
        <v>136</v>
      </c>
    </row>
    <row r="8050" spans="1:18" x14ac:dyDescent="0.3">
      <c r="A8050" t="s">
        <v>37</v>
      </c>
      <c r="B8050" t="s">
        <v>365</v>
      </c>
      <c r="C8050">
        <v>58</v>
      </c>
      <c r="D8050" t="s">
        <v>662</v>
      </c>
      <c r="E8050" t="s">
        <v>823</v>
      </c>
      <c r="F8050" t="s">
        <v>268</v>
      </c>
      <c r="G8050" t="s">
        <v>118</v>
      </c>
      <c r="H8050" t="s">
        <v>99</v>
      </c>
      <c r="I8050" t="s">
        <v>99</v>
      </c>
      <c r="J8050" t="s">
        <v>134</v>
      </c>
      <c r="K8050" t="s">
        <v>147</v>
      </c>
      <c r="L8050" t="s">
        <v>121</v>
      </c>
      <c r="M8050" t="s">
        <v>99</v>
      </c>
      <c r="N8050" t="s">
        <v>1059</v>
      </c>
      <c r="O8050" t="s">
        <v>163</v>
      </c>
      <c r="P8050" t="s">
        <v>99</v>
      </c>
      <c r="Q8050" t="s">
        <v>99</v>
      </c>
      <c r="R8050" t="s">
        <v>99</v>
      </c>
    </row>
    <row r="8051" spans="1:18" x14ac:dyDescent="0.3">
      <c r="A8051" t="s">
        <v>36</v>
      </c>
      <c r="B8051" t="s">
        <v>1591</v>
      </c>
      <c r="C8051">
        <v>1357</v>
      </c>
      <c r="D8051" t="s">
        <v>38</v>
      </c>
      <c r="E8051" t="s">
        <v>831</v>
      </c>
      <c r="F8051" t="s">
        <v>292</v>
      </c>
      <c r="G8051" t="s">
        <v>147</v>
      </c>
      <c r="H8051" t="s">
        <v>99</v>
      </c>
      <c r="I8051" t="s">
        <v>132</v>
      </c>
      <c r="J8051" t="s">
        <v>135</v>
      </c>
      <c r="K8051" t="s">
        <v>112</v>
      </c>
      <c r="L8051" t="s">
        <v>130</v>
      </c>
      <c r="M8051" t="s">
        <v>215</v>
      </c>
      <c r="N8051" t="s">
        <v>54</v>
      </c>
      <c r="O8051" t="s">
        <v>355</v>
      </c>
      <c r="P8051" t="s">
        <v>118</v>
      </c>
      <c r="Q8051" t="s">
        <v>104</v>
      </c>
      <c r="R8051" t="s">
        <v>130</v>
      </c>
    </row>
    <row r="8052" spans="1:18" x14ac:dyDescent="0.3">
      <c r="A8052" t="s">
        <v>36</v>
      </c>
      <c r="B8052" t="s">
        <v>1592</v>
      </c>
      <c r="C8052">
        <v>572</v>
      </c>
      <c r="D8052" t="s">
        <v>465</v>
      </c>
      <c r="E8052" t="s">
        <v>905</v>
      </c>
      <c r="F8052" t="s">
        <v>108</v>
      </c>
      <c r="G8052" t="s">
        <v>151</v>
      </c>
      <c r="H8052" t="s">
        <v>99</v>
      </c>
      <c r="I8052" t="s">
        <v>108</v>
      </c>
      <c r="J8052" t="s">
        <v>434</v>
      </c>
      <c r="K8052" t="s">
        <v>332</v>
      </c>
      <c r="L8052" t="s">
        <v>319</v>
      </c>
      <c r="M8052" t="s">
        <v>120</v>
      </c>
      <c r="N8052" t="s">
        <v>741</v>
      </c>
      <c r="O8052" t="s">
        <v>478</v>
      </c>
      <c r="P8052" t="s">
        <v>149</v>
      </c>
      <c r="Q8052" t="s">
        <v>99</v>
      </c>
      <c r="R8052" t="s">
        <v>114</v>
      </c>
    </row>
    <row r="8053" spans="1:18" x14ac:dyDescent="0.3">
      <c r="A8053" t="s">
        <v>36</v>
      </c>
      <c r="B8053" t="s">
        <v>365</v>
      </c>
      <c r="C8053">
        <v>23</v>
      </c>
      <c r="D8053" t="s">
        <v>99</v>
      </c>
      <c r="E8053" t="s">
        <v>965</v>
      </c>
      <c r="F8053" t="s">
        <v>99</v>
      </c>
      <c r="G8053" t="s">
        <v>99</v>
      </c>
      <c r="H8053" t="s">
        <v>99</v>
      </c>
      <c r="I8053" t="s">
        <v>99</v>
      </c>
      <c r="J8053" t="s">
        <v>1059</v>
      </c>
      <c r="K8053" t="s">
        <v>126</v>
      </c>
      <c r="L8053" t="s">
        <v>395</v>
      </c>
      <c r="M8053" t="s">
        <v>99</v>
      </c>
      <c r="N8053" t="s">
        <v>801</v>
      </c>
      <c r="O8053" t="s">
        <v>136</v>
      </c>
      <c r="P8053" t="s">
        <v>143</v>
      </c>
      <c r="Q8053" t="s">
        <v>99</v>
      </c>
      <c r="R8053" t="s">
        <v>99</v>
      </c>
    </row>
    <row r="8054" spans="1:18" x14ac:dyDescent="0.3">
      <c r="A8054" t="s">
        <v>34</v>
      </c>
      <c r="B8054" t="s">
        <v>1591</v>
      </c>
      <c r="C8054">
        <v>873</v>
      </c>
      <c r="D8054" t="s">
        <v>673</v>
      </c>
      <c r="E8054" t="s">
        <v>938</v>
      </c>
      <c r="F8054" t="s">
        <v>319</v>
      </c>
      <c r="G8054" t="s">
        <v>107</v>
      </c>
      <c r="H8054" t="s">
        <v>99</v>
      </c>
      <c r="I8054" t="s">
        <v>108</v>
      </c>
      <c r="J8054" t="s">
        <v>363</v>
      </c>
      <c r="K8054" t="s">
        <v>138</v>
      </c>
      <c r="L8054" t="s">
        <v>268</v>
      </c>
      <c r="M8054" t="s">
        <v>155</v>
      </c>
      <c r="N8054" t="s">
        <v>501</v>
      </c>
      <c r="O8054" t="s">
        <v>218</v>
      </c>
      <c r="P8054" t="s">
        <v>118</v>
      </c>
      <c r="Q8054" t="s">
        <v>141</v>
      </c>
      <c r="R8054" t="s">
        <v>198</v>
      </c>
    </row>
    <row r="8055" spans="1:18" x14ac:dyDescent="0.3">
      <c r="A8055" t="s">
        <v>34</v>
      </c>
      <c r="B8055" t="s">
        <v>1592</v>
      </c>
      <c r="C8055">
        <v>680</v>
      </c>
      <c r="D8055" t="s">
        <v>368</v>
      </c>
      <c r="E8055" t="s">
        <v>1576</v>
      </c>
      <c r="F8055" t="s">
        <v>121</v>
      </c>
      <c r="G8055" t="s">
        <v>123</v>
      </c>
      <c r="H8055" t="s">
        <v>99</v>
      </c>
      <c r="I8055" t="s">
        <v>151</v>
      </c>
      <c r="J8055" t="s">
        <v>135</v>
      </c>
      <c r="K8055" t="s">
        <v>684</v>
      </c>
      <c r="L8055" t="s">
        <v>155</v>
      </c>
      <c r="M8055" t="s">
        <v>332</v>
      </c>
      <c r="N8055" t="s">
        <v>676</v>
      </c>
      <c r="O8055" t="s">
        <v>704</v>
      </c>
      <c r="P8055" t="s">
        <v>154</v>
      </c>
      <c r="Q8055" t="s">
        <v>319</v>
      </c>
      <c r="R8055" t="s">
        <v>115</v>
      </c>
    </row>
    <row r="8056" spans="1:18" x14ac:dyDescent="0.3">
      <c r="A8056" t="s">
        <v>34</v>
      </c>
      <c r="B8056" t="s">
        <v>365</v>
      </c>
      <c r="C8056">
        <v>44</v>
      </c>
      <c r="D8056" t="s">
        <v>289</v>
      </c>
      <c r="E8056" t="s">
        <v>1178</v>
      </c>
      <c r="F8056" t="s">
        <v>316</v>
      </c>
      <c r="G8056" t="s">
        <v>198</v>
      </c>
      <c r="H8056" t="s">
        <v>99</v>
      </c>
      <c r="I8056" t="s">
        <v>99</v>
      </c>
      <c r="J8056" t="s">
        <v>182</v>
      </c>
      <c r="K8056" t="s">
        <v>151</v>
      </c>
      <c r="L8056" t="s">
        <v>130</v>
      </c>
      <c r="M8056" t="s">
        <v>207</v>
      </c>
      <c r="N8056" t="s">
        <v>1159</v>
      </c>
      <c r="O8056" t="s">
        <v>664</v>
      </c>
      <c r="P8056" t="s">
        <v>315</v>
      </c>
      <c r="Q8056" t="s">
        <v>99</v>
      </c>
      <c r="R8056" t="s">
        <v>99</v>
      </c>
    </row>
    <row r="8057" spans="1:18" x14ac:dyDescent="0.3">
      <c r="A8057" t="s">
        <v>33</v>
      </c>
      <c r="B8057" t="s">
        <v>1591</v>
      </c>
      <c r="C8057">
        <v>686</v>
      </c>
      <c r="D8057" t="s">
        <v>523</v>
      </c>
      <c r="E8057" t="s">
        <v>925</v>
      </c>
      <c r="F8057" t="s">
        <v>316</v>
      </c>
      <c r="G8057" t="s">
        <v>100</v>
      </c>
      <c r="H8057" t="s">
        <v>99</v>
      </c>
      <c r="I8057" t="s">
        <v>108</v>
      </c>
      <c r="J8057" t="s">
        <v>363</v>
      </c>
      <c r="K8057" t="s">
        <v>722</v>
      </c>
      <c r="L8057" t="s">
        <v>412</v>
      </c>
      <c r="M8057" t="s">
        <v>151</v>
      </c>
      <c r="N8057" t="s">
        <v>748</v>
      </c>
      <c r="O8057" t="s">
        <v>804</v>
      </c>
      <c r="P8057" t="s">
        <v>123</v>
      </c>
      <c r="Q8057" t="s">
        <v>141</v>
      </c>
      <c r="R8057" t="s">
        <v>141</v>
      </c>
    </row>
    <row r="8058" spans="1:18" x14ac:dyDescent="0.3">
      <c r="A8058" t="s">
        <v>33</v>
      </c>
      <c r="B8058" t="s">
        <v>1592</v>
      </c>
      <c r="C8058">
        <v>999</v>
      </c>
      <c r="D8058" t="s">
        <v>425</v>
      </c>
      <c r="E8058" t="s">
        <v>1046</v>
      </c>
      <c r="F8058" t="s">
        <v>121</v>
      </c>
      <c r="G8058" t="s">
        <v>114</v>
      </c>
      <c r="H8058" t="s">
        <v>104</v>
      </c>
      <c r="I8058" t="s">
        <v>141</v>
      </c>
      <c r="J8058" t="s">
        <v>679</v>
      </c>
      <c r="K8058" t="s">
        <v>122</v>
      </c>
      <c r="L8058" t="s">
        <v>124</v>
      </c>
      <c r="M8058" t="s">
        <v>130</v>
      </c>
      <c r="N8058" t="s">
        <v>240</v>
      </c>
      <c r="O8058" t="s">
        <v>188</v>
      </c>
      <c r="P8058" t="s">
        <v>215</v>
      </c>
      <c r="Q8058" t="s">
        <v>136</v>
      </c>
      <c r="R8058" t="s">
        <v>136</v>
      </c>
    </row>
    <row r="8059" spans="1:18" x14ac:dyDescent="0.3">
      <c r="A8059" t="s">
        <v>33</v>
      </c>
      <c r="B8059" t="s">
        <v>365</v>
      </c>
      <c r="C8059">
        <v>16</v>
      </c>
      <c r="D8059" t="s">
        <v>727</v>
      </c>
      <c r="E8059" t="s">
        <v>446</v>
      </c>
      <c r="F8059" t="s">
        <v>99</v>
      </c>
      <c r="G8059" t="s">
        <v>99</v>
      </c>
      <c r="H8059" t="s">
        <v>99</v>
      </c>
      <c r="I8059" t="s">
        <v>143</v>
      </c>
      <c r="J8059" t="s">
        <v>700</v>
      </c>
      <c r="K8059" t="s">
        <v>291</v>
      </c>
      <c r="L8059" t="s">
        <v>135</v>
      </c>
      <c r="M8059" t="s">
        <v>353</v>
      </c>
      <c r="N8059" t="s">
        <v>626</v>
      </c>
      <c r="O8059" t="s">
        <v>291</v>
      </c>
      <c r="P8059" t="s">
        <v>99</v>
      </c>
      <c r="Q8059" t="s">
        <v>99</v>
      </c>
      <c r="R8059" t="s">
        <v>99</v>
      </c>
    </row>
    <row r="8060" spans="1:18" x14ac:dyDescent="0.3">
      <c r="A8060" t="s">
        <v>49</v>
      </c>
      <c r="B8060" t="s">
        <v>1591</v>
      </c>
      <c r="C8060">
        <v>6414</v>
      </c>
      <c r="D8060" t="s">
        <v>437</v>
      </c>
      <c r="E8060" t="s">
        <v>1178</v>
      </c>
      <c r="F8060" t="s">
        <v>127</v>
      </c>
      <c r="G8060" t="s">
        <v>147</v>
      </c>
      <c r="H8060" t="s">
        <v>104</v>
      </c>
      <c r="I8060" t="s">
        <v>132</v>
      </c>
      <c r="J8060" t="s">
        <v>353</v>
      </c>
      <c r="K8060" t="s">
        <v>124</v>
      </c>
      <c r="L8060" t="s">
        <v>242</v>
      </c>
      <c r="M8060" t="s">
        <v>268</v>
      </c>
      <c r="N8060" t="s">
        <v>523</v>
      </c>
      <c r="O8060" t="s">
        <v>716</v>
      </c>
      <c r="P8060" t="s">
        <v>316</v>
      </c>
      <c r="Q8060" t="s">
        <v>207</v>
      </c>
      <c r="R8060" t="s">
        <v>215</v>
      </c>
    </row>
    <row r="8061" spans="1:18" x14ac:dyDescent="0.3">
      <c r="A8061" t="s">
        <v>49</v>
      </c>
      <c r="B8061" t="s">
        <v>1592</v>
      </c>
      <c r="C8061">
        <v>5292</v>
      </c>
      <c r="D8061" t="s">
        <v>720</v>
      </c>
      <c r="E8061" t="s">
        <v>521</v>
      </c>
      <c r="F8061" t="s">
        <v>215</v>
      </c>
      <c r="G8061" t="s">
        <v>123</v>
      </c>
      <c r="H8061" t="s">
        <v>99</v>
      </c>
      <c r="I8061" t="s">
        <v>253</v>
      </c>
      <c r="J8061" t="s">
        <v>664</v>
      </c>
      <c r="K8061" t="s">
        <v>684</v>
      </c>
      <c r="L8061" t="s">
        <v>468</v>
      </c>
      <c r="M8061" t="s">
        <v>134</v>
      </c>
      <c r="N8061" t="s">
        <v>676</v>
      </c>
      <c r="O8061" t="s">
        <v>694</v>
      </c>
      <c r="P8061" t="s">
        <v>151</v>
      </c>
      <c r="Q8061" t="s">
        <v>136</v>
      </c>
      <c r="R8061" t="s">
        <v>215</v>
      </c>
    </row>
    <row r="8062" spans="1:18" x14ac:dyDescent="0.3">
      <c r="A8062" t="s">
        <v>49</v>
      </c>
      <c r="B8062" t="s">
        <v>365</v>
      </c>
      <c r="C8062">
        <v>178</v>
      </c>
      <c r="D8062" t="s">
        <v>442</v>
      </c>
      <c r="E8062" t="s">
        <v>826</v>
      </c>
      <c r="F8062" t="s">
        <v>117</v>
      </c>
      <c r="G8062" t="s">
        <v>123</v>
      </c>
      <c r="H8062" t="s">
        <v>99</v>
      </c>
      <c r="I8062" t="s">
        <v>115</v>
      </c>
      <c r="J8062" t="s">
        <v>70</v>
      </c>
      <c r="K8062" t="s">
        <v>147</v>
      </c>
      <c r="L8062" t="s">
        <v>110</v>
      </c>
      <c r="M8062" t="s">
        <v>108</v>
      </c>
      <c r="N8062" t="s">
        <v>1209</v>
      </c>
      <c r="O8062" t="s">
        <v>401</v>
      </c>
      <c r="P8062" t="s">
        <v>109</v>
      </c>
      <c r="Q8062" t="s">
        <v>198</v>
      </c>
      <c r="R8062" t="s">
        <v>99</v>
      </c>
    </row>
    <row r="8064" spans="1:18" x14ac:dyDescent="0.3">
      <c r="A8064" t="s">
        <v>2313</v>
      </c>
    </row>
    <row r="8065" spans="1:7" x14ac:dyDescent="0.3">
      <c r="A8065" t="s">
        <v>44</v>
      </c>
      <c r="B8065" t="s">
        <v>32</v>
      </c>
      <c r="C8065" t="s">
        <v>352</v>
      </c>
      <c r="D8065" t="s">
        <v>66</v>
      </c>
      <c r="E8065" t="s">
        <v>67</v>
      </c>
      <c r="F8065" t="s">
        <v>193</v>
      </c>
    </row>
    <row r="8066" spans="1:7" x14ac:dyDescent="0.3">
      <c r="A8066" t="s">
        <v>35</v>
      </c>
      <c r="B8066">
        <v>2998</v>
      </c>
      <c r="C8066" t="s">
        <v>99</v>
      </c>
      <c r="D8066" t="s">
        <v>461</v>
      </c>
      <c r="E8066" t="s">
        <v>1308</v>
      </c>
      <c r="F8066" t="s">
        <v>104</v>
      </c>
    </row>
    <row r="8067" spans="1:7" x14ac:dyDescent="0.3">
      <c r="A8067" t="s">
        <v>37</v>
      </c>
      <c r="B8067">
        <v>3641</v>
      </c>
      <c r="C8067" t="s">
        <v>99</v>
      </c>
      <c r="D8067" t="s">
        <v>142</v>
      </c>
      <c r="E8067" t="s">
        <v>857</v>
      </c>
      <c r="F8067" t="s">
        <v>99</v>
      </c>
    </row>
    <row r="8068" spans="1:7" x14ac:dyDescent="0.3">
      <c r="A8068" t="s">
        <v>36</v>
      </c>
      <c r="B8068">
        <v>1960</v>
      </c>
      <c r="C8068" t="s">
        <v>99</v>
      </c>
      <c r="D8068" t="s">
        <v>315</v>
      </c>
      <c r="E8068" t="s">
        <v>966</v>
      </c>
      <c r="F8068" t="s">
        <v>99</v>
      </c>
    </row>
    <row r="8069" spans="1:7" x14ac:dyDescent="0.3">
      <c r="A8069" t="s">
        <v>34</v>
      </c>
      <c r="B8069">
        <v>1602</v>
      </c>
      <c r="C8069" t="s">
        <v>99</v>
      </c>
      <c r="D8069" t="s">
        <v>179</v>
      </c>
      <c r="E8069" t="s">
        <v>380</v>
      </c>
      <c r="F8069" t="s">
        <v>104</v>
      </c>
    </row>
    <row r="8070" spans="1:7" x14ac:dyDescent="0.3">
      <c r="A8070" t="s">
        <v>33</v>
      </c>
      <c r="B8070">
        <v>1703</v>
      </c>
      <c r="C8070" t="s">
        <v>104</v>
      </c>
      <c r="D8070" t="s">
        <v>220</v>
      </c>
      <c r="E8070" t="s">
        <v>422</v>
      </c>
      <c r="F8070" t="s">
        <v>99</v>
      </c>
    </row>
    <row r="8071" spans="1:7" x14ac:dyDescent="0.3">
      <c r="A8071" t="s">
        <v>49</v>
      </c>
      <c r="B8071">
        <v>11904</v>
      </c>
      <c r="C8071" t="s">
        <v>99</v>
      </c>
      <c r="D8071" t="s">
        <v>405</v>
      </c>
      <c r="E8071" t="s">
        <v>293</v>
      </c>
      <c r="F8071" t="s">
        <v>99</v>
      </c>
    </row>
    <row r="8073" spans="1:7" x14ac:dyDescent="0.3">
      <c r="A8073" t="s">
        <v>2314</v>
      </c>
    </row>
    <row r="8074" spans="1:7" x14ac:dyDescent="0.3">
      <c r="A8074" t="s">
        <v>44</v>
      </c>
      <c r="B8074" t="s">
        <v>2267</v>
      </c>
      <c r="C8074" t="s">
        <v>32</v>
      </c>
      <c r="D8074" t="s">
        <v>66</v>
      </c>
      <c r="E8074" t="s">
        <v>67</v>
      </c>
      <c r="F8074" t="s">
        <v>352</v>
      </c>
      <c r="G8074" t="s">
        <v>193</v>
      </c>
    </row>
    <row r="8075" spans="1:7" x14ac:dyDescent="0.3">
      <c r="A8075" t="s">
        <v>35</v>
      </c>
      <c r="B8075" t="s">
        <v>973</v>
      </c>
      <c r="C8075">
        <v>79</v>
      </c>
      <c r="D8075" t="s">
        <v>332</v>
      </c>
      <c r="E8075" t="s">
        <v>265</v>
      </c>
      <c r="F8075" t="s">
        <v>99</v>
      </c>
      <c r="G8075" t="s">
        <v>99</v>
      </c>
    </row>
    <row r="8076" spans="1:7" x14ac:dyDescent="0.3">
      <c r="A8076" t="s">
        <v>35</v>
      </c>
      <c r="B8076" t="s">
        <v>2268</v>
      </c>
      <c r="C8076">
        <v>117</v>
      </c>
      <c r="D8076" t="s">
        <v>204</v>
      </c>
      <c r="E8076" t="s">
        <v>415</v>
      </c>
      <c r="F8076" t="s">
        <v>99</v>
      </c>
      <c r="G8076" t="s">
        <v>99</v>
      </c>
    </row>
    <row r="8077" spans="1:7" x14ac:dyDescent="0.3">
      <c r="A8077" t="s">
        <v>35</v>
      </c>
      <c r="B8077" t="s">
        <v>2269</v>
      </c>
      <c r="C8077">
        <v>118</v>
      </c>
      <c r="D8077" t="s">
        <v>242</v>
      </c>
      <c r="E8077" t="s">
        <v>375</v>
      </c>
      <c r="F8077" t="s">
        <v>99</v>
      </c>
      <c r="G8077" t="s">
        <v>99</v>
      </c>
    </row>
    <row r="8078" spans="1:7" x14ac:dyDescent="0.3">
      <c r="A8078" t="s">
        <v>35</v>
      </c>
      <c r="B8078" t="s">
        <v>2270</v>
      </c>
      <c r="C8078">
        <v>69</v>
      </c>
      <c r="D8078" t="s">
        <v>292</v>
      </c>
      <c r="E8078" t="s">
        <v>986</v>
      </c>
      <c r="F8078" t="s">
        <v>99</v>
      </c>
      <c r="G8078" t="s">
        <v>99</v>
      </c>
    </row>
    <row r="8079" spans="1:7" x14ac:dyDescent="0.3">
      <c r="A8079" t="s">
        <v>35</v>
      </c>
      <c r="B8079" t="s">
        <v>2271</v>
      </c>
      <c r="C8079">
        <v>441</v>
      </c>
      <c r="D8079" t="s">
        <v>251</v>
      </c>
      <c r="E8079" t="s">
        <v>1276</v>
      </c>
      <c r="F8079" t="s">
        <v>99</v>
      </c>
      <c r="G8079" t="s">
        <v>198</v>
      </c>
    </row>
    <row r="8080" spans="1:7" x14ac:dyDescent="0.3">
      <c r="A8080" t="s">
        <v>35</v>
      </c>
      <c r="B8080" t="s">
        <v>2272</v>
      </c>
      <c r="C8080">
        <v>452</v>
      </c>
      <c r="D8080" t="s">
        <v>671</v>
      </c>
      <c r="E8080" t="s">
        <v>359</v>
      </c>
      <c r="F8080" t="s">
        <v>99</v>
      </c>
      <c r="G8080" t="s">
        <v>99</v>
      </c>
    </row>
    <row r="8081" spans="1:7" x14ac:dyDescent="0.3">
      <c r="A8081" t="s">
        <v>35</v>
      </c>
      <c r="B8081" t="s">
        <v>2273</v>
      </c>
      <c r="C8081">
        <v>521</v>
      </c>
      <c r="D8081" t="s">
        <v>470</v>
      </c>
      <c r="E8081" t="s">
        <v>293</v>
      </c>
      <c r="F8081" t="s">
        <v>99</v>
      </c>
      <c r="G8081" t="s">
        <v>99</v>
      </c>
    </row>
    <row r="8082" spans="1:7" x14ac:dyDescent="0.3">
      <c r="A8082" t="s">
        <v>35</v>
      </c>
      <c r="B8082" t="s">
        <v>976</v>
      </c>
      <c r="C8082">
        <v>92</v>
      </c>
      <c r="D8082" t="s">
        <v>319</v>
      </c>
      <c r="E8082" t="s">
        <v>483</v>
      </c>
      <c r="F8082" t="s">
        <v>99</v>
      </c>
      <c r="G8082" t="s">
        <v>99</v>
      </c>
    </row>
    <row r="8083" spans="1:7" x14ac:dyDescent="0.3">
      <c r="A8083" t="s">
        <v>35</v>
      </c>
      <c r="B8083" t="s">
        <v>2274</v>
      </c>
      <c r="C8083">
        <v>94</v>
      </c>
      <c r="D8083" t="s">
        <v>107</v>
      </c>
      <c r="E8083" t="s">
        <v>998</v>
      </c>
      <c r="F8083" t="s">
        <v>99</v>
      </c>
      <c r="G8083" t="s">
        <v>99</v>
      </c>
    </row>
    <row r="8084" spans="1:7" x14ac:dyDescent="0.3">
      <c r="A8084" t="s">
        <v>35</v>
      </c>
      <c r="B8084" t="s">
        <v>2275</v>
      </c>
      <c r="C8084">
        <v>120</v>
      </c>
      <c r="D8084" t="s">
        <v>132</v>
      </c>
      <c r="E8084" t="s">
        <v>989</v>
      </c>
      <c r="F8084" t="s">
        <v>99</v>
      </c>
      <c r="G8084" t="s">
        <v>99</v>
      </c>
    </row>
    <row r="8085" spans="1:7" x14ac:dyDescent="0.3">
      <c r="A8085" t="s">
        <v>35</v>
      </c>
      <c r="B8085" t="s">
        <v>2276</v>
      </c>
      <c r="C8085">
        <v>47</v>
      </c>
      <c r="D8085" t="s">
        <v>231</v>
      </c>
      <c r="E8085" t="s">
        <v>769</v>
      </c>
      <c r="F8085" t="s">
        <v>99</v>
      </c>
      <c r="G8085" t="s">
        <v>99</v>
      </c>
    </row>
    <row r="8086" spans="1:7" x14ac:dyDescent="0.3">
      <c r="A8086" t="s">
        <v>35</v>
      </c>
      <c r="B8086" t="s">
        <v>2277</v>
      </c>
      <c r="C8086">
        <v>309</v>
      </c>
      <c r="D8086" t="s">
        <v>716</v>
      </c>
      <c r="E8086" t="s">
        <v>1282</v>
      </c>
      <c r="F8086" t="s">
        <v>99</v>
      </c>
      <c r="G8086" t="s">
        <v>198</v>
      </c>
    </row>
    <row r="8087" spans="1:7" x14ac:dyDescent="0.3">
      <c r="A8087" t="s">
        <v>35</v>
      </c>
      <c r="B8087" t="s">
        <v>2278</v>
      </c>
      <c r="C8087">
        <v>272</v>
      </c>
      <c r="D8087" t="s">
        <v>355</v>
      </c>
      <c r="E8087" t="s">
        <v>288</v>
      </c>
      <c r="F8087" t="s">
        <v>99</v>
      </c>
      <c r="G8087" t="s">
        <v>99</v>
      </c>
    </row>
    <row r="8088" spans="1:7" x14ac:dyDescent="0.3">
      <c r="A8088" t="s">
        <v>35</v>
      </c>
      <c r="B8088" t="s">
        <v>2279</v>
      </c>
      <c r="C8088">
        <v>257</v>
      </c>
      <c r="D8088" t="s">
        <v>251</v>
      </c>
      <c r="E8088" t="s">
        <v>250</v>
      </c>
      <c r="F8088" t="s">
        <v>99</v>
      </c>
      <c r="G8088" t="s">
        <v>99</v>
      </c>
    </row>
    <row r="8089" spans="1:7" x14ac:dyDescent="0.3">
      <c r="A8089" t="s">
        <v>35</v>
      </c>
      <c r="B8089" t="s">
        <v>365</v>
      </c>
      <c r="C8089">
        <v>10</v>
      </c>
      <c r="D8089" t="s">
        <v>1053</v>
      </c>
      <c r="E8089" t="s">
        <v>1360</v>
      </c>
      <c r="F8089" t="s">
        <v>99</v>
      </c>
      <c r="G8089" t="s">
        <v>99</v>
      </c>
    </row>
    <row r="8090" spans="1:7" x14ac:dyDescent="0.3">
      <c r="A8090" t="s">
        <v>37</v>
      </c>
      <c r="B8090" t="s">
        <v>973</v>
      </c>
      <c r="C8090">
        <v>97</v>
      </c>
      <c r="D8090" t="s">
        <v>325</v>
      </c>
      <c r="E8090" t="s">
        <v>327</v>
      </c>
      <c r="F8090" t="s">
        <v>99</v>
      </c>
      <c r="G8090" t="s">
        <v>99</v>
      </c>
    </row>
    <row r="8091" spans="1:7" x14ac:dyDescent="0.3">
      <c r="A8091" t="s">
        <v>37</v>
      </c>
      <c r="B8091" t="s">
        <v>2268</v>
      </c>
      <c r="C8091">
        <v>135</v>
      </c>
      <c r="D8091" t="s">
        <v>401</v>
      </c>
      <c r="E8091" t="s">
        <v>354</v>
      </c>
      <c r="F8091" t="s">
        <v>99</v>
      </c>
      <c r="G8091" t="s">
        <v>99</v>
      </c>
    </row>
    <row r="8092" spans="1:7" x14ac:dyDescent="0.3">
      <c r="A8092" t="s">
        <v>37</v>
      </c>
      <c r="B8092" t="s">
        <v>2269</v>
      </c>
      <c r="C8092">
        <v>154</v>
      </c>
      <c r="D8092" t="s">
        <v>277</v>
      </c>
      <c r="E8092" t="s">
        <v>778</v>
      </c>
      <c r="F8092" t="s">
        <v>99</v>
      </c>
      <c r="G8092" t="s">
        <v>99</v>
      </c>
    </row>
    <row r="8093" spans="1:7" x14ac:dyDescent="0.3">
      <c r="A8093" t="s">
        <v>37</v>
      </c>
      <c r="B8093" t="s">
        <v>2270</v>
      </c>
      <c r="C8093">
        <v>90</v>
      </c>
      <c r="D8093" t="s">
        <v>70</v>
      </c>
      <c r="E8093" t="s">
        <v>71</v>
      </c>
      <c r="F8093" t="s">
        <v>99</v>
      </c>
      <c r="G8093" t="s">
        <v>99</v>
      </c>
    </row>
    <row r="8094" spans="1:7" x14ac:dyDescent="0.3">
      <c r="A8094" t="s">
        <v>37</v>
      </c>
      <c r="B8094" t="s">
        <v>2271</v>
      </c>
      <c r="C8094">
        <v>477</v>
      </c>
      <c r="D8094" t="s">
        <v>152</v>
      </c>
      <c r="E8094" t="s">
        <v>978</v>
      </c>
      <c r="F8094" t="s">
        <v>99</v>
      </c>
      <c r="G8094" t="s">
        <v>99</v>
      </c>
    </row>
    <row r="8095" spans="1:7" x14ac:dyDescent="0.3">
      <c r="A8095" t="s">
        <v>37</v>
      </c>
      <c r="B8095" t="s">
        <v>2272</v>
      </c>
      <c r="C8095">
        <v>506</v>
      </c>
      <c r="D8095" t="s">
        <v>408</v>
      </c>
      <c r="E8095" t="s">
        <v>409</v>
      </c>
      <c r="F8095" t="s">
        <v>99</v>
      </c>
      <c r="G8095" t="s">
        <v>99</v>
      </c>
    </row>
    <row r="8096" spans="1:7" x14ac:dyDescent="0.3">
      <c r="A8096" t="s">
        <v>37</v>
      </c>
      <c r="B8096" t="s">
        <v>2273</v>
      </c>
      <c r="C8096">
        <v>673</v>
      </c>
      <c r="D8096" t="s">
        <v>677</v>
      </c>
      <c r="E8096" t="s">
        <v>875</v>
      </c>
      <c r="F8096" t="s">
        <v>99</v>
      </c>
      <c r="G8096" t="s">
        <v>99</v>
      </c>
    </row>
    <row r="8097" spans="1:7" x14ac:dyDescent="0.3">
      <c r="A8097" t="s">
        <v>37</v>
      </c>
      <c r="B8097" t="s">
        <v>976</v>
      </c>
      <c r="C8097">
        <v>103</v>
      </c>
      <c r="D8097" t="s">
        <v>468</v>
      </c>
      <c r="E8097" t="s">
        <v>467</v>
      </c>
      <c r="F8097" t="s">
        <v>99</v>
      </c>
      <c r="G8097" t="s">
        <v>99</v>
      </c>
    </row>
    <row r="8098" spans="1:7" x14ac:dyDescent="0.3">
      <c r="A8098" t="s">
        <v>37</v>
      </c>
      <c r="B8098" t="s">
        <v>2274</v>
      </c>
      <c r="C8098">
        <v>113</v>
      </c>
      <c r="D8098" t="s">
        <v>68</v>
      </c>
      <c r="E8098" t="s">
        <v>69</v>
      </c>
      <c r="F8098" t="s">
        <v>99</v>
      </c>
      <c r="G8098" t="s">
        <v>99</v>
      </c>
    </row>
    <row r="8099" spans="1:7" x14ac:dyDescent="0.3">
      <c r="A8099" t="s">
        <v>37</v>
      </c>
      <c r="B8099" t="s">
        <v>2275</v>
      </c>
      <c r="C8099">
        <v>167</v>
      </c>
      <c r="D8099" t="s">
        <v>155</v>
      </c>
      <c r="E8099" t="s">
        <v>776</v>
      </c>
      <c r="F8099" t="s">
        <v>99</v>
      </c>
      <c r="G8099" t="s">
        <v>99</v>
      </c>
    </row>
    <row r="8100" spans="1:7" x14ac:dyDescent="0.3">
      <c r="A8100" t="s">
        <v>37</v>
      </c>
      <c r="B8100" t="s">
        <v>2276</v>
      </c>
      <c r="C8100">
        <v>53</v>
      </c>
      <c r="D8100" t="s">
        <v>125</v>
      </c>
      <c r="E8100" t="s">
        <v>378</v>
      </c>
      <c r="F8100" t="s">
        <v>99</v>
      </c>
      <c r="G8100" t="s">
        <v>99</v>
      </c>
    </row>
    <row r="8101" spans="1:7" x14ac:dyDescent="0.3">
      <c r="A8101" t="s">
        <v>37</v>
      </c>
      <c r="B8101" t="s">
        <v>2277</v>
      </c>
      <c r="C8101">
        <v>344</v>
      </c>
      <c r="D8101" t="s">
        <v>353</v>
      </c>
      <c r="E8101" t="s">
        <v>419</v>
      </c>
      <c r="F8101" t="s">
        <v>99</v>
      </c>
      <c r="G8101" t="s">
        <v>99</v>
      </c>
    </row>
    <row r="8102" spans="1:7" x14ac:dyDescent="0.3">
      <c r="A8102" t="s">
        <v>37</v>
      </c>
      <c r="B8102" t="s">
        <v>2278</v>
      </c>
      <c r="C8102">
        <v>376</v>
      </c>
      <c r="D8102" t="s">
        <v>171</v>
      </c>
      <c r="E8102" t="s">
        <v>172</v>
      </c>
      <c r="F8102" t="s">
        <v>99</v>
      </c>
      <c r="G8102" t="s">
        <v>99</v>
      </c>
    </row>
    <row r="8103" spans="1:7" x14ac:dyDescent="0.3">
      <c r="A8103" t="s">
        <v>37</v>
      </c>
      <c r="B8103" t="s">
        <v>2279</v>
      </c>
      <c r="C8103">
        <v>352</v>
      </c>
      <c r="D8103" t="s">
        <v>688</v>
      </c>
      <c r="E8103" t="s">
        <v>286</v>
      </c>
      <c r="F8103" t="s">
        <v>99</v>
      </c>
      <c r="G8103" t="s">
        <v>99</v>
      </c>
    </row>
    <row r="8104" spans="1:7" x14ac:dyDescent="0.3">
      <c r="A8104" t="s">
        <v>37</v>
      </c>
      <c r="B8104" t="s">
        <v>365</v>
      </c>
      <c r="C8104">
        <v>1</v>
      </c>
      <c r="D8104" t="s">
        <v>99</v>
      </c>
      <c r="E8104" t="s">
        <v>211</v>
      </c>
      <c r="F8104" t="s">
        <v>99</v>
      </c>
      <c r="G8104" t="s">
        <v>99</v>
      </c>
    </row>
    <row r="8105" spans="1:7" x14ac:dyDescent="0.3">
      <c r="A8105" t="s">
        <v>36</v>
      </c>
      <c r="B8105" t="s">
        <v>973</v>
      </c>
      <c r="C8105">
        <v>40</v>
      </c>
      <c r="D8105" t="s">
        <v>425</v>
      </c>
      <c r="E8105" t="s">
        <v>1023</v>
      </c>
      <c r="F8105" t="s">
        <v>99</v>
      </c>
      <c r="G8105" t="s">
        <v>99</v>
      </c>
    </row>
    <row r="8106" spans="1:7" x14ac:dyDescent="0.3">
      <c r="A8106" t="s">
        <v>36</v>
      </c>
      <c r="B8106" t="s">
        <v>2268</v>
      </c>
      <c r="C8106">
        <v>54</v>
      </c>
      <c r="D8106" t="s">
        <v>470</v>
      </c>
      <c r="E8106" t="s">
        <v>293</v>
      </c>
      <c r="F8106" t="s">
        <v>99</v>
      </c>
      <c r="G8106" t="s">
        <v>99</v>
      </c>
    </row>
    <row r="8107" spans="1:7" x14ac:dyDescent="0.3">
      <c r="A8107" t="s">
        <v>36</v>
      </c>
      <c r="B8107" t="s">
        <v>2269</v>
      </c>
      <c r="C8107">
        <v>70</v>
      </c>
      <c r="D8107" t="s">
        <v>136</v>
      </c>
      <c r="E8107" t="s">
        <v>511</v>
      </c>
      <c r="F8107" t="s">
        <v>99</v>
      </c>
      <c r="G8107" t="s">
        <v>99</v>
      </c>
    </row>
    <row r="8108" spans="1:7" x14ac:dyDescent="0.3">
      <c r="A8108" t="s">
        <v>36</v>
      </c>
      <c r="B8108" t="s">
        <v>2270</v>
      </c>
      <c r="C8108">
        <v>53</v>
      </c>
      <c r="D8108" t="s">
        <v>142</v>
      </c>
      <c r="E8108" t="s">
        <v>857</v>
      </c>
      <c r="F8108" t="s">
        <v>99</v>
      </c>
      <c r="G8108" t="s">
        <v>99</v>
      </c>
    </row>
    <row r="8109" spans="1:7" x14ac:dyDescent="0.3">
      <c r="A8109" t="s">
        <v>36</v>
      </c>
      <c r="B8109" t="s">
        <v>2271</v>
      </c>
      <c r="C8109">
        <v>328</v>
      </c>
      <c r="D8109" t="s">
        <v>408</v>
      </c>
      <c r="E8109" t="s">
        <v>409</v>
      </c>
      <c r="F8109" t="s">
        <v>99</v>
      </c>
      <c r="G8109" t="s">
        <v>99</v>
      </c>
    </row>
    <row r="8110" spans="1:7" x14ac:dyDescent="0.3">
      <c r="A8110" t="s">
        <v>36</v>
      </c>
      <c r="B8110" t="s">
        <v>2272</v>
      </c>
      <c r="C8110">
        <v>327</v>
      </c>
      <c r="D8110" t="s">
        <v>244</v>
      </c>
      <c r="E8110" t="s">
        <v>205</v>
      </c>
      <c r="F8110" t="s">
        <v>99</v>
      </c>
      <c r="G8110" t="s">
        <v>99</v>
      </c>
    </row>
    <row r="8111" spans="1:7" x14ac:dyDescent="0.3">
      <c r="A8111" t="s">
        <v>36</v>
      </c>
      <c r="B8111" t="s">
        <v>2273</v>
      </c>
      <c r="C8111">
        <v>299</v>
      </c>
      <c r="D8111" t="s">
        <v>277</v>
      </c>
      <c r="E8111" t="s">
        <v>778</v>
      </c>
      <c r="F8111" t="s">
        <v>99</v>
      </c>
      <c r="G8111" t="s">
        <v>99</v>
      </c>
    </row>
    <row r="8112" spans="1:7" x14ac:dyDescent="0.3">
      <c r="A8112" t="s">
        <v>36</v>
      </c>
      <c r="B8112" t="s">
        <v>976</v>
      </c>
      <c r="C8112">
        <v>50</v>
      </c>
      <c r="D8112" t="s">
        <v>482</v>
      </c>
      <c r="E8112" t="s">
        <v>464</v>
      </c>
      <c r="F8112" t="s">
        <v>99</v>
      </c>
      <c r="G8112" t="s">
        <v>99</v>
      </c>
    </row>
    <row r="8113" spans="1:7" x14ac:dyDescent="0.3">
      <c r="A8113" t="s">
        <v>36</v>
      </c>
      <c r="B8113" t="s">
        <v>2274</v>
      </c>
      <c r="C8113">
        <v>63</v>
      </c>
      <c r="D8113" t="s">
        <v>686</v>
      </c>
      <c r="E8113" t="s">
        <v>901</v>
      </c>
      <c r="F8113" t="s">
        <v>99</v>
      </c>
      <c r="G8113" t="s">
        <v>99</v>
      </c>
    </row>
    <row r="8114" spans="1:7" x14ac:dyDescent="0.3">
      <c r="A8114" t="s">
        <v>36</v>
      </c>
      <c r="B8114" t="s">
        <v>2275</v>
      </c>
      <c r="C8114">
        <v>74</v>
      </c>
      <c r="D8114" t="s">
        <v>103</v>
      </c>
      <c r="E8114" t="s">
        <v>851</v>
      </c>
      <c r="F8114" t="s">
        <v>99</v>
      </c>
      <c r="G8114" t="s">
        <v>99</v>
      </c>
    </row>
    <row r="8115" spans="1:7" s="5" customFormat="1" x14ac:dyDescent="0.3">
      <c r="A8115" s="5" t="s">
        <v>36</v>
      </c>
      <c r="B8115" s="5" t="s">
        <v>2276</v>
      </c>
      <c r="C8115" s="5">
        <v>29</v>
      </c>
      <c r="D8115" s="5" t="s">
        <v>262</v>
      </c>
      <c r="E8115" s="5" t="s">
        <v>889</v>
      </c>
      <c r="F8115" s="5" t="s">
        <v>99</v>
      </c>
      <c r="G8115" s="5" t="s">
        <v>99</v>
      </c>
    </row>
    <row r="8116" spans="1:7" x14ac:dyDescent="0.3">
      <c r="A8116" t="s">
        <v>36</v>
      </c>
      <c r="B8116" t="s">
        <v>2277</v>
      </c>
      <c r="C8116">
        <v>194</v>
      </c>
      <c r="D8116" t="s">
        <v>165</v>
      </c>
      <c r="E8116" t="s">
        <v>166</v>
      </c>
      <c r="F8116" t="s">
        <v>99</v>
      </c>
      <c r="G8116" t="s">
        <v>99</v>
      </c>
    </row>
    <row r="8117" spans="1:7" x14ac:dyDescent="0.3">
      <c r="A8117" t="s">
        <v>36</v>
      </c>
      <c r="B8117" t="s">
        <v>2278</v>
      </c>
      <c r="C8117">
        <v>200</v>
      </c>
      <c r="D8117" t="s">
        <v>542</v>
      </c>
      <c r="E8117" t="s">
        <v>784</v>
      </c>
      <c r="F8117" t="s">
        <v>99</v>
      </c>
      <c r="G8117" t="s">
        <v>99</v>
      </c>
    </row>
    <row r="8118" spans="1:7" x14ac:dyDescent="0.3">
      <c r="A8118" t="s">
        <v>36</v>
      </c>
      <c r="B8118" t="s">
        <v>2279</v>
      </c>
      <c r="C8118">
        <v>171</v>
      </c>
      <c r="D8118" t="s">
        <v>432</v>
      </c>
      <c r="E8118" t="s">
        <v>1226</v>
      </c>
      <c r="F8118" t="s">
        <v>99</v>
      </c>
      <c r="G8118" t="s">
        <v>99</v>
      </c>
    </row>
    <row r="8119" spans="1:7" x14ac:dyDescent="0.3">
      <c r="A8119" t="s">
        <v>36</v>
      </c>
      <c r="B8119" t="s">
        <v>365</v>
      </c>
      <c r="C8119">
        <v>8</v>
      </c>
      <c r="D8119" t="s">
        <v>99</v>
      </c>
      <c r="E8119" t="s">
        <v>211</v>
      </c>
      <c r="F8119" t="s">
        <v>99</v>
      </c>
      <c r="G8119" t="s">
        <v>99</v>
      </c>
    </row>
    <row r="8120" spans="1:7" x14ac:dyDescent="0.3">
      <c r="A8120" t="s">
        <v>34</v>
      </c>
      <c r="B8120" t="s">
        <v>973</v>
      </c>
      <c r="C8120">
        <v>50</v>
      </c>
      <c r="D8120" t="s">
        <v>305</v>
      </c>
      <c r="E8120" t="s">
        <v>203</v>
      </c>
      <c r="F8120" t="s">
        <v>99</v>
      </c>
      <c r="G8120" t="s">
        <v>99</v>
      </c>
    </row>
    <row r="8121" spans="1:7" x14ac:dyDescent="0.3">
      <c r="A8121" t="s">
        <v>34</v>
      </c>
      <c r="B8121" t="s">
        <v>2268</v>
      </c>
      <c r="C8121">
        <v>58</v>
      </c>
      <c r="D8121" t="s">
        <v>72</v>
      </c>
      <c r="E8121" t="s">
        <v>73</v>
      </c>
      <c r="F8121" t="s">
        <v>99</v>
      </c>
      <c r="G8121" t="s">
        <v>99</v>
      </c>
    </row>
    <row r="8122" spans="1:7" x14ac:dyDescent="0.3">
      <c r="A8122" t="s">
        <v>34</v>
      </c>
      <c r="B8122" t="s">
        <v>2269</v>
      </c>
      <c r="C8122">
        <v>39</v>
      </c>
      <c r="D8122" t="s">
        <v>154</v>
      </c>
      <c r="E8122" t="s">
        <v>759</v>
      </c>
      <c r="F8122" t="s">
        <v>99</v>
      </c>
      <c r="G8122" t="s">
        <v>99</v>
      </c>
    </row>
    <row r="8123" spans="1:7" s="5" customFormat="1" x14ac:dyDescent="0.3">
      <c r="A8123" s="5" t="s">
        <v>34</v>
      </c>
      <c r="B8123" s="5" t="s">
        <v>2270</v>
      </c>
      <c r="C8123" s="5">
        <v>27</v>
      </c>
      <c r="D8123" s="5" t="s">
        <v>68</v>
      </c>
      <c r="E8123" s="5" t="s">
        <v>69</v>
      </c>
      <c r="F8123" s="5" t="s">
        <v>99</v>
      </c>
      <c r="G8123" s="5" t="s">
        <v>99</v>
      </c>
    </row>
    <row r="8124" spans="1:7" x14ac:dyDescent="0.3">
      <c r="A8124" t="s">
        <v>34</v>
      </c>
      <c r="B8124" t="s">
        <v>2271</v>
      </c>
      <c r="C8124">
        <v>287</v>
      </c>
      <c r="D8124" t="s">
        <v>444</v>
      </c>
      <c r="E8124" t="s">
        <v>908</v>
      </c>
      <c r="F8124" t="s">
        <v>99</v>
      </c>
      <c r="G8124" t="s">
        <v>207</v>
      </c>
    </row>
    <row r="8125" spans="1:7" x14ac:dyDescent="0.3">
      <c r="A8125" t="s">
        <v>34</v>
      </c>
      <c r="B8125" t="s">
        <v>2272</v>
      </c>
      <c r="C8125">
        <v>240</v>
      </c>
      <c r="D8125" t="s">
        <v>186</v>
      </c>
      <c r="E8125" t="s">
        <v>168</v>
      </c>
      <c r="F8125" t="s">
        <v>99</v>
      </c>
      <c r="G8125" t="s">
        <v>136</v>
      </c>
    </row>
    <row r="8126" spans="1:7" x14ac:dyDescent="0.3">
      <c r="A8126" t="s">
        <v>34</v>
      </c>
      <c r="B8126" t="s">
        <v>2273</v>
      </c>
      <c r="C8126">
        <v>243</v>
      </c>
      <c r="D8126" t="s">
        <v>291</v>
      </c>
      <c r="E8126" t="s">
        <v>877</v>
      </c>
      <c r="F8126" t="s">
        <v>99</v>
      </c>
      <c r="G8126" t="s">
        <v>99</v>
      </c>
    </row>
    <row r="8127" spans="1:7" x14ac:dyDescent="0.3">
      <c r="A8127" t="s">
        <v>34</v>
      </c>
      <c r="B8127" t="s">
        <v>976</v>
      </c>
      <c r="C8127">
        <v>46</v>
      </c>
      <c r="D8127" t="s">
        <v>277</v>
      </c>
      <c r="E8127" t="s">
        <v>778</v>
      </c>
      <c r="F8127" t="s">
        <v>99</v>
      </c>
      <c r="G8127" t="s">
        <v>99</v>
      </c>
    </row>
    <row r="8128" spans="1:7" x14ac:dyDescent="0.3">
      <c r="A8128" t="s">
        <v>34</v>
      </c>
      <c r="B8128" t="s">
        <v>2274</v>
      </c>
      <c r="C8128">
        <v>46</v>
      </c>
      <c r="D8128" t="s">
        <v>708</v>
      </c>
      <c r="E8128" t="s">
        <v>1007</v>
      </c>
      <c r="F8128" t="s">
        <v>99</v>
      </c>
      <c r="G8128" t="s">
        <v>99</v>
      </c>
    </row>
    <row r="8129" spans="1:7" x14ac:dyDescent="0.3">
      <c r="A8129" t="s">
        <v>34</v>
      </c>
      <c r="B8129" t="s">
        <v>2275</v>
      </c>
      <c r="C8129">
        <v>46</v>
      </c>
      <c r="D8129" t="s">
        <v>663</v>
      </c>
      <c r="E8129" t="s">
        <v>771</v>
      </c>
      <c r="F8129" t="s">
        <v>99</v>
      </c>
      <c r="G8129" t="s">
        <v>99</v>
      </c>
    </row>
    <row r="8130" spans="1:7" s="5" customFormat="1" x14ac:dyDescent="0.3">
      <c r="A8130" s="5" t="s">
        <v>34</v>
      </c>
      <c r="B8130" s="5" t="s">
        <v>2276</v>
      </c>
      <c r="C8130" s="5">
        <v>28</v>
      </c>
      <c r="D8130" s="5" t="s">
        <v>393</v>
      </c>
      <c r="E8130" s="5" t="s">
        <v>394</v>
      </c>
      <c r="F8130" s="5" t="s">
        <v>99</v>
      </c>
      <c r="G8130" s="5" t="s">
        <v>99</v>
      </c>
    </row>
    <row r="8131" spans="1:7" x14ac:dyDescent="0.3">
      <c r="A8131" t="s">
        <v>34</v>
      </c>
      <c r="B8131" t="s">
        <v>2277</v>
      </c>
      <c r="C8131">
        <v>205</v>
      </c>
      <c r="D8131" t="s">
        <v>449</v>
      </c>
      <c r="E8131" t="s">
        <v>448</v>
      </c>
      <c r="F8131" t="s">
        <v>99</v>
      </c>
      <c r="G8131" t="s">
        <v>99</v>
      </c>
    </row>
    <row r="8132" spans="1:7" x14ac:dyDescent="0.3">
      <c r="A8132" t="s">
        <v>34</v>
      </c>
      <c r="B8132" t="s">
        <v>2278</v>
      </c>
      <c r="C8132">
        <v>146</v>
      </c>
      <c r="D8132" t="s">
        <v>671</v>
      </c>
      <c r="E8132" t="s">
        <v>359</v>
      </c>
      <c r="F8132" t="s">
        <v>99</v>
      </c>
      <c r="G8132" t="s">
        <v>99</v>
      </c>
    </row>
    <row r="8133" spans="1:7" x14ac:dyDescent="0.3">
      <c r="A8133" t="s">
        <v>34</v>
      </c>
      <c r="B8133" t="s">
        <v>2279</v>
      </c>
      <c r="C8133">
        <v>134</v>
      </c>
      <c r="D8133" t="s">
        <v>664</v>
      </c>
      <c r="E8133" t="s">
        <v>362</v>
      </c>
      <c r="F8133" t="s">
        <v>99</v>
      </c>
      <c r="G8133" t="s">
        <v>99</v>
      </c>
    </row>
    <row r="8134" spans="1:7" x14ac:dyDescent="0.3">
      <c r="A8134" t="s">
        <v>34</v>
      </c>
      <c r="B8134" t="s">
        <v>365</v>
      </c>
      <c r="C8134">
        <v>7</v>
      </c>
      <c r="D8134" t="s">
        <v>99</v>
      </c>
      <c r="E8134" t="s">
        <v>211</v>
      </c>
      <c r="F8134" t="s">
        <v>99</v>
      </c>
      <c r="G8134" t="s">
        <v>99</v>
      </c>
    </row>
    <row r="8135" spans="1:7" x14ac:dyDescent="0.3">
      <c r="A8135" t="s">
        <v>33</v>
      </c>
      <c r="B8135" t="s">
        <v>973</v>
      </c>
      <c r="C8135">
        <v>40</v>
      </c>
      <c r="D8135" t="s">
        <v>412</v>
      </c>
      <c r="E8135" t="s">
        <v>413</v>
      </c>
      <c r="F8135" t="s">
        <v>99</v>
      </c>
      <c r="G8135" t="s">
        <v>99</v>
      </c>
    </row>
    <row r="8136" spans="1:7" x14ac:dyDescent="0.3">
      <c r="A8136" t="s">
        <v>33</v>
      </c>
      <c r="B8136" t="s">
        <v>2268</v>
      </c>
      <c r="C8136">
        <v>59</v>
      </c>
      <c r="D8136" t="s">
        <v>739</v>
      </c>
      <c r="E8136" t="s">
        <v>908</v>
      </c>
      <c r="F8136" t="s">
        <v>99</v>
      </c>
      <c r="G8136" t="s">
        <v>99</v>
      </c>
    </row>
    <row r="8137" spans="1:7" x14ac:dyDescent="0.3">
      <c r="A8137" t="s">
        <v>33</v>
      </c>
      <c r="B8137" t="s">
        <v>2269</v>
      </c>
      <c r="C8137">
        <v>63</v>
      </c>
      <c r="D8137" t="s">
        <v>142</v>
      </c>
      <c r="E8137" t="s">
        <v>857</v>
      </c>
      <c r="F8137" t="s">
        <v>99</v>
      </c>
      <c r="G8137" t="s">
        <v>99</v>
      </c>
    </row>
    <row r="8138" spans="1:7" x14ac:dyDescent="0.3">
      <c r="A8138" t="s">
        <v>33</v>
      </c>
      <c r="B8138" t="s">
        <v>2270</v>
      </c>
      <c r="C8138">
        <v>49</v>
      </c>
      <c r="D8138" t="s">
        <v>268</v>
      </c>
      <c r="E8138" t="s">
        <v>386</v>
      </c>
      <c r="F8138" t="s">
        <v>99</v>
      </c>
      <c r="G8138" t="s">
        <v>99</v>
      </c>
    </row>
    <row r="8139" spans="1:7" x14ac:dyDescent="0.3">
      <c r="A8139" t="s">
        <v>33</v>
      </c>
      <c r="B8139" t="s">
        <v>2271</v>
      </c>
      <c r="C8139">
        <v>267</v>
      </c>
      <c r="D8139" t="s">
        <v>675</v>
      </c>
      <c r="E8139" t="s">
        <v>978</v>
      </c>
      <c r="F8139" t="s">
        <v>136</v>
      </c>
      <c r="G8139" t="s">
        <v>99</v>
      </c>
    </row>
    <row r="8140" spans="1:7" x14ac:dyDescent="0.3">
      <c r="A8140" t="s">
        <v>33</v>
      </c>
      <c r="B8140" t="s">
        <v>2272</v>
      </c>
      <c r="C8140">
        <v>249</v>
      </c>
      <c r="D8140" t="s">
        <v>311</v>
      </c>
      <c r="E8140" t="s">
        <v>199</v>
      </c>
      <c r="F8140" t="s">
        <v>99</v>
      </c>
      <c r="G8140" t="s">
        <v>99</v>
      </c>
    </row>
    <row r="8141" spans="1:7" x14ac:dyDescent="0.3">
      <c r="A8141" t="s">
        <v>33</v>
      </c>
      <c r="B8141" t="s">
        <v>2273</v>
      </c>
      <c r="C8141">
        <v>298</v>
      </c>
      <c r="D8141" t="s">
        <v>289</v>
      </c>
      <c r="E8141" t="s">
        <v>417</v>
      </c>
      <c r="F8141" t="s">
        <v>99</v>
      </c>
      <c r="G8141" t="s">
        <v>99</v>
      </c>
    </row>
    <row r="8142" spans="1:7" x14ac:dyDescent="0.3">
      <c r="A8142" t="s">
        <v>33</v>
      </c>
      <c r="B8142" t="s">
        <v>976</v>
      </c>
      <c r="C8142">
        <v>54</v>
      </c>
      <c r="D8142" t="s">
        <v>112</v>
      </c>
      <c r="E8142" t="s">
        <v>331</v>
      </c>
      <c r="F8142" t="s">
        <v>99</v>
      </c>
      <c r="G8142" t="s">
        <v>99</v>
      </c>
    </row>
    <row r="8143" spans="1:7" x14ac:dyDescent="0.3">
      <c r="A8143" t="s">
        <v>33</v>
      </c>
      <c r="B8143" t="s">
        <v>2274</v>
      </c>
      <c r="C8143">
        <v>47</v>
      </c>
      <c r="D8143" t="s">
        <v>434</v>
      </c>
      <c r="E8143" t="s">
        <v>433</v>
      </c>
      <c r="F8143" t="s">
        <v>99</v>
      </c>
      <c r="G8143" t="s">
        <v>99</v>
      </c>
    </row>
    <row r="8144" spans="1:7" x14ac:dyDescent="0.3">
      <c r="A8144" t="s">
        <v>33</v>
      </c>
      <c r="B8144" t="s">
        <v>2275</v>
      </c>
      <c r="C8144">
        <v>63</v>
      </c>
      <c r="D8144" t="s">
        <v>150</v>
      </c>
      <c r="E8144" t="s">
        <v>226</v>
      </c>
      <c r="F8144" t="s">
        <v>99</v>
      </c>
      <c r="G8144" t="s">
        <v>99</v>
      </c>
    </row>
    <row r="8145" spans="1:7" s="5" customFormat="1" x14ac:dyDescent="0.3">
      <c r="A8145" s="5" t="s">
        <v>33</v>
      </c>
      <c r="B8145" s="5" t="s">
        <v>2276</v>
      </c>
      <c r="C8145" s="5">
        <v>27</v>
      </c>
      <c r="D8145" s="5" t="s">
        <v>842</v>
      </c>
      <c r="E8145" s="5" t="s">
        <v>518</v>
      </c>
      <c r="F8145" s="5" t="s">
        <v>99</v>
      </c>
      <c r="G8145" s="5" t="s">
        <v>99</v>
      </c>
    </row>
    <row r="8146" spans="1:7" x14ac:dyDescent="0.3">
      <c r="A8146" t="s">
        <v>33</v>
      </c>
      <c r="B8146" t="s">
        <v>2277</v>
      </c>
      <c r="C8146">
        <v>170</v>
      </c>
      <c r="D8146" t="s">
        <v>133</v>
      </c>
      <c r="E8146" t="s">
        <v>293</v>
      </c>
      <c r="F8146" t="s">
        <v>115</v>
      </c>
      <c r="G8146" t="s">
        <v>99</v>
      </c>
    </row>
    <row r="8147" spans="1:7" x14ac:dyDescent="0.3">
      <c r="A8147" t="s">
        <v>33</v>
      </c>
      <c r="B8147" t="s">
        <v>2278</v>
      </c>
      <c r="C8147">
        <v>155</v>
      </c>
      <c r="D8147" t="s">
        <v>78</v>
      </c>
      <c r="E8147" t="s">
        <v>79</v>
      </c>
      <c r="F8147" t="s">
        <v>99</v>
      </c>
      <c r="G8147" t="s">
        <v>99</v>
      </c>
    </row>
    <row r="8148" spans="1:7" x14ac:dyDescent="0.3">
      <c r="A8148" t="s">
        <v>33</v>
      </c>
      <c r="B8148" t="s">
        <v>2279</v>
      </c>
      <c r="C8148">
        <v>161</v>
      </c>
      <c r="D8148" t="s">
        <v>201</v>
      </c>
      <c r="E8148" t="s">
        <v>200</v>
      </c>
      <c r="F8148" t="s">
        <v>99</v>
      </c>
      <c r="G8148" t="s">
        <v>99</v>
      </c>
    </row>
    <row r="8149" spans="1:7" x14ac:dyDescent="0.3">
      <c r="A8149" t="s">
        <v>33</v>
      </c>
      <c r="B8149" t="s">
        <v>365</v>
      </c>
      <c r="C8149">
        <v>1</v>
      </c>
      <c r="D8149" t="s">
        <v>99</v>
      </c>
      <c r="E8149" t="s">
        <v>211</v>
      </c>
      <c r="F8149" t="s">
        <v>99</v>
      </c>
      <c r="G8149" t="s">
        <v>99</v>
      </c>
    </row>
    <row r="8150" spans="1:7" x14ac:dyDescent="0.3">
      <c r="A8150" t="s">
        <v>49</v>
      </c>
      <c r="B8150" t="s">
        <v>973</v>
      </c>
      <c r="C8150">
        <v>306</v>
      </c>
      <c r="D8150" t="s">
        <v>74</v>
      </c>
      <c r="E8150" t="s">
        <v>75</v>
      </c>
      <c r="F8150" t="s">
        <v>99</v>
      </c>
      <c r="G8150" t="s">
        <v>99</v>
      </c>
    </row>
    <row r="8151" spans="1:7" x14ac:dyDescent="0.3">
      <c r="A8151" t="s">
        <v>49</v>
      </c>
      <c r="B8151" t="s">
        <v>2268</v>
      </c>
      <c r="C8151">
        <v>423</v>
      </c>
      <c r="D8151" t="s">
        <v>296</v>
      </c>
      <c r="E8151" t="s">
        <v>1308</v>
      </c>
      <c r="F8151" t="s">
        <v>99</v>
      </c>
      <c r="G8151" t="s">
        <v>99</v>
      </c>
    </row>
    <row r="8152" spans="1:7" x14ac:dyDescent="0.3">
      <c r="A8152" t="s">
        <v>49</v>
      </c>
      <c r="B8152" t="s">
        <v>2269</v>
      </c>
      <c r="C8152">
        <v>444</v>
      </c>
      <c r="D8152" t="s">
        <v>684</v>
      </c>
      <c r="E8152" t="s">
        <v>1438</v>
      </c>
      <c r="F8152" t="s">
        <v>99</v>
      </c>
      <c r="G8152" t="s">
        <v>99</v>
      </c>
    </row>
    <row r="8153" spans="1:7" x14ac:dyDescent="0.3">
      <c r="A8153" t="s">
        <v>49</v>
      </c>
      <c r="B8153" t="s">
        <v>2270</v>
      </c>
      <c r="C8153">
        <v>288</v>
      </c>
      <c r="D8153" t="s">
        <v>139</v>
      </c>
      <c r="E8153" t="s">
        <v>367</v>
      </c>
      <c r="F8153" t="s">
        <v>99</v>
      </c>
      <c r="G8153" t="s">
        <v>99</v>
      </c>
    </row>
    <row r="8154" spans="1:7" x14ac:dyDescent="0.3">
      <c r="A8154" t="s">
        <v>49</v>
      </c>
      <c r="B8154" t="s">
        <v>2271</v>
      </c>
      <c r="C8154">
        <v>1800</v>
      </c>
      <c r="D8154" t="s">
        <v>262</v>
      </c>
      <c r="E8154" t="s">
        <v>232</v>
      </c>
      <c r="F8154" t="s">
        <v>104</v>
      </c>
      <c r="G8154" t="s">
        <v>104</v>
      </c>
    </row>
    <row r="8155" spans="1:7" x14ac:dyDescent="0.3">
      <c r="A8155" t="s">
        <v>49</v>
      </c>
      <c r="B8155" t="s">
        <v>2272</v>
      </c>
      <c r="C8155">
        <v>1774</v>
      </c>
      <c r="D8155" t="s">
        <v>179</v>
      </c>
      <c r="E8155" t="s">
        <v>180</v>
      </c>
      <c r="F8155" t="s">
        <v>99</v>
      </c>
      <c r="G8155" t="s">
        <v>104</v>
      </c>
    </row>
    <row r="8156" spans="1:7" x14ac:dyDescent="0.3">
      <c r="A8156" t="s">
        <v>49</v>
      </c>
      <c r="B8156" t="s">
        <v>2273</v>
      </c>
      <c r="C8156">
        <v>2034</v>
      </c>
      <c r="D8156" t="s">
        <v>165</v>
      </c>
      <c r="E8156" t="s">
        <v>166</v>
      </c>
      <c r="F8156" t="s">
        <v>99</v>
      </c>
      <c r="G8156" t="s">
        <v>99</v>
      </c>
    </row>
    <row r="8157" spans="1:7" x14ac:dyDescent="0.3">
      <c r="A8157" t="s">
        <v>49</v>
      </c>
      <c r="B8157" t="s">
        <v>976</v>
      </c>
      <c r="C8157">
        <v>345</v>
      </c>
      <c r="D8157" t="s">
        <v>242</v>
      </c>
      <c r="E8157" t="s">
        <v>375</v>
      </c>
      <c r="F8157" t="s">
        <v>99</v>
      </c>
      <c r="G8157" t="s">
        <v>99</v>
      </c>
    </row>
    <row r="8158" spans="1:7" x14ac:dyDescent="0.3">
      <c r="A8158" t="s">
        <v>49</v>
      </c>
      <c r="B8158" t="s">
        <v>2274</v>
      </c>
      <c r="C8158">
        <v>363</v>
      </c>
      <c r="D8158" t="s">
        <v>152</v>
      </c>
      <c r="E8158" t="s">
        <v>978</v>
      </c>
      <c r="F8158" t="s">
        <v>99</v>
      </c>
      <c r="G8158" t="s">
        <v>99</v>
      </c>
    </row>
    <row r="8159" spans="1:7" x14ac:dyDescent="0.3">
      <c r="A8159" t="s">
        <v>49</v>
      </c>
      <c r="B8159" t="s">
        <v>2275</v>
      </c>
      <c r="C8159">
        <v>470</v>
      </c>
      <c r="D8159" t="s">
        <v>138</v>
      </c>
      <c r="E8159" t="s">
        <v>336</v>
      </c>
      <c r="F8159" t="s">
        <v>99</v>
      </c>
      <c r="G8159" t="s">
        <v>99</v>
      </c>
    </row>
    <row r="8160" spans="1:7" x14ac:dyDescent="0.3">
      <c r="A8160" t="s">
        <v>49</v>
      </c>
      <c r="B8160" t="s">
        <v>2276</v>
      </c>
      <c r="C8160">
        <v>184</v>
      </c>
      <c r="D8160" t="s">
        <v>231</v>
      </c>
      <c r="E8160" t="s">
        <v>769</v>
      </c>
      <c r="F8160" t="s">
        <v>99</v>
      </c>
      <c r="G8160" t="s">
        <v>99</v>
      </c>
    </row>
    <row r="8161" spans="1:7" x14ac:dyDescent="0.3">
      <c r="A8161" t="s">
        <v>49</v>
      </c>
      <c r="B8161" t="s">
        <v>2277</v>
      </c>
      <c r="C8161">
        <v>1222</v>
      </c>
      <c r="D8161" t="s">
        <v>251</v>
      </c>
      <c r="E8161" t="s">
        <v>392</v>
      </c>
      <c r="F8161" t="s">
        <v>104</v>
      </c>
      <c r="G8161" t="s">
        <v>104</v>
      </c>
    </row>
    <row r="8162" spans="1:7" x14ac:dyDescent="0.3">
      <c r="A8162" t="s">
        <v>49</v>
      </c>
      <c r="B8162" t="s">
        <v>2278</v>
      </c>
      <c r="C8162">
        <v>1149</v>
      </c>
      <c r="D8162" t="s">
        <v>291</v>
      </c>
      <c r="E8162" t="s">
        <v>877</v>
      </c>
      <c r="F8162" t="s">
        <v>99</v>
      </c>
      <c r="G8162" t="s">
        <v>99</v>
      </c>
    </row>
    <row r="8163" spans="1:7" x14ac:dyDescent="0.3">
      <c r="A8163" t="s">
        <v>49</v>
      </c>
      <c r="B8163" t="s">
        <v>2279</v>
      </c>
      <c r="C8163">
        <v>1075</v>
      </c>
      <c r="D8163" t="s">
        <v>710</v>
      </c>
      <c r="E8163" t="s">
        <v>764</v>
      </c>
      <c r="F8163" t="s">
        <v>99</v>
      </c>
      <c r="G8163" t="s">
        <v>99</v>
      </c>
    </row>
    <row r="8164" spans="1:7" x14ac:dyDescent="0.3">
      <c r="A8164" t="s">
        <v>49</v>
      </c>
      <c r="B8164" t="s">
        <v>365</v>
      </c>
      <c r="C8164">
        <v>27</v>
      </c>
      <c r="D8164" t="s">
        <v>248</v>
      </c>
      <c r="E8164" t="s">
        <v>247</v>
      </c>
      <c r="F8164" t="s">
        <v>99</v>
      </c>
      <c r="G8164" t="s">
        <v>99</v>
      </c>
    </row>
    <row r="8166" spans="1:7" x14ac:dyDescent="0.3">
      <c r="A8166" t="s">
        <v>2315</v>
      </c>
    </row>
    <row r="8167" spans="1:7" x14ac:dyDescent="0.3">
      <c r="A8167" t="s">
        <v>44</v>
      </c>
      <c r="B8167" t="s">
        <v>2281</v>
      </c>
      <c r="C8167" t="s">
        <v>32</v>
      </c>
      <c r="D8167" t="s">
        <v>352</v>
      </c>
      <c r="E8167" t="s">
        <v>66</v>
      </c>
      <c r="F8167" t="s">
        <v>67</v>
      </c>
      <c r="G8167" t="s">
        <v>193</v>
      </c>
    </row>
    <row r="8168" spans="1:7" x14ac:dyDescent="0.3">
      <c r="A8168" t="s">
        <v>35</v>
      </c>
      <c r="B8168" t="s">
        <v>2282</v>
      </c>
      <c r="C8168">
        <v>667</v>
      </c>
      <c r="D8168" t="s">
        <v>99</v>
      </c>
      <c r="E8168" t="s">
        <v>369</v>
      </c>
      <c r="F8168" t="s">
        <v>392</v>
      </c>
      <c r="G8168" t="s">
        <v>99</v>
      </c>
    </row>
    <row r="8169" spans="1:7" x14ac:dyDescent="0.3">
      <c r="A8169" t="s">
        <v>35</v>
      </c>
      <c r="B8169" t="s">
        <v>2283</v>
      </c>
      <c r="C8169">
        <v>2104</v>
      </c>
      <c r="D8169" t="s">
        <v>99</v>
      </c>
      <c r="E8169" t="s">
        <v>125</v>
      </c>
      <c r="F8169" t="s">
        <v>183</v>
      </c>
      <c r="G8169" t="s">
        <v>104</v>
      </c>
    </row>
    <row r="8170" spans="1:7" x14ac:dyDescent="0.3">
      <c r="A8170" t="s">
        <v>35</v>
      </c>
      <c r="B8170" t="s">
        <v>365</v>
      </c>
      <c r="C8170">
        <v>227</v>
      </c>
      <c r="D8170" t="s">
        <v>99</v>
      </c>
      <c r="E8170" t="s">
        <v>157</v>
      </c>
      <c r="F8170" t="s">
        <v>404</v>
      </c>
      <c r="G8170" t="s">
        <v>99</v>
      </c>
    </row>
    <row r="8171" spans="1:7" x14ac:dyDescent="0.3">
      <c r="A8171" t="s">
        <v>37</v>
      </c>
      <c r="B8171" t="s">
        <v>2282</v>
      </c>
      <c r="C8171">
        <v>826</v>
      </c>
      <c r="D8171" t="s">
        <v>99</v>
      </c>
      <c r="E8171" t="s">
        <v>233</v>
      </c>
      <c r="F8171" t="s">
        <v>232</v>
      </c>
      <c r="G8171" t="s">
        <v>99</v>
      </c>
    </row>
    <row r="8172" spans="1:7" x14ac:dyDescent="0.3">
      <c r="A8172" t="s">
        <v>37</v>
      </c>
      <c r="B8172" t="s">
        <v>2283</v>
      </c>
      <c r="C8172">
        <v>2528</v>
      </c>
      <c r="D8172" t="s">
        <v>99</v>
      </c>
      <c r="E8172" t="s">
        <v>220</v>
      </c>
      <c r="F8172" t="s">
        <v>377</v>
      </c>
      <c r="G8172" t="s">
        <v>99</v>
      </c>
    </row>
    <row r="8173" spans="1:7" x14ac:dyDescent="0.3">
      <c r="A8173" t="s">
        <v>37</v>
      </c>
      <c r="B8173" t="s">
        <v>365</v>
      </c>
      <c r="C8173">
        <v>287</v>
      </c>
      <c r="D8173" t="s">
        <v>99</v>
      </c>
      <c r="E8173" t="s">
        <v>110</v>
      </c>
      <c r="F8173" t="s">
        <v>768</v>
      </c>
      <c r="G8173" t="s">
        <v>99</v>
      </c>
    </row>
    <row r="8174" spans="1:7" x14ac:dyDescent="0.3">
      <c r="A8174" t="s">
        <v>36</v>
      </c>
      <c r="B8174" t="s">
        <v>2282</v>
      </c>
      <c r="C8174">
        <v>496</v>
      </c>
      <c r="D8174" t="s">
        <v>99</v>
      </c>
      <c r="E8174" t="s">
        <v>369</v>
      </c>
      <c r="F8174" t="s">
        <v>392</v>
      </c>
      <c r="G8174" t="s">
        <v>99</v>
      </c>
    </row>
    <row r="8175" spans="1:7" x14ac:dyDescent="0.3">
      <c r="A8175" t="s">
        <v>36</v>
      </c>
      <c r="B8175" t="s">
        <v>2283</v>
      </c>
      <c r="C8175">
        <v>1301</v>
      </c>
      <c r="D8175" t="s">
        <v>99</v>
      </c>
      <c r="E8175" t="s">
        <v>688</v>
      </c>
      <c r="F8175" t="s">
        <v>286</v>
      </c>
      <c r="G8175" t="s">
        <v>99</v>
      </c>
    </row>
    <row r="8176" spans="1:7" x14ac:dyDescent="0.3">
      <c r="A8176" t="s">
        <v>36</v>
      </c>
      <c r="B8176" t="s">
        <v>365</v>
      </c>
      <c r="C8176">
        <v>163</v>
      </c>
      <c r="D8176" t="s">
        <v>99</v>
      </c>
      <c r="E8176" t="s">
        <v>139</v>
      </c>
      <c r="F8176" t="s">
        <v>367</v>
      </c>
      <c r="G8176" t="s">
        <v>99</v>
      </c>
    </row>
    <row r="8177" spans="1:7" x14ac:dyDescent="0.3">
      <c r="A8177" t="s">
        <v>34</v>
      </c>
      <c r="B8177" t="s">
        <v>2282</v>
      </c>
      <c r="C8177">
        <v>376</v>
      </c>
      <c r="D8177" t="s">
        <v>99</v>
      </c>
      <c r="E8177" t="s">
        <v>814</v>
      </c>
      <c r="F8177" t="s">
        <v>356</v>
      </c>
      <c r="G8177" t="s">
        <v>99</v>
      </c>
    </row>
    <row r="8178" spans="1:7" x14ac:dyDescent="0.3">
      <c r="A8178" t="s">
        <v>34</v>
      </c>
      <c r="B8178" t="s">
        <v>2283</v>
      </c>
      <c r="C8178">
        <v>1140</v>
      </c>
      <c r="D8178" t="s">
        <v>99</v>
      </c>
      <c r="E8178" t="s">
        <v>416</v>
      </c>
      <c r="F8178" t="s">
        <v>448</v>
      </c>
      <c r="G8178" t="s">
        <v>198</v>
      </c>
    </row>
    <row r="8179" spans="1:7" x14ac:dyDescent="0.3">
      <c r="A8179" t="s">
        <v>34</v>
      </c>
      <c r="B8179" t="s">
        <v>365</v>
      </c>
      <c r="C8179">
        <v>86</v>
      </c>
      <c r="D8179" t="s">
        <v>99</v>
      </c>
      <c r="E8179" t="s">
        <v>143</v>
      </c>
      <c r="F8179" t="s">
        <v>162</v>
      </c>
      <c r="G8179" t="s">
        <v>99</v>
      </c>
    </row>
    <row r="8180" spans="1:7" x14ac:dyDescent="0.3">
      <c r="A8180" t="s">
        <v>33</v>
      </c>
      <c r="B8180" t="s">
        <v>2282</v>
      </c>
      <c r="C8180">
        <v>371</v>
      </c>
      <c r="D8180" t="s">
        <v>207</v>
      </c>
      <c r="E8180" t="s">
        <v>804</v>
      </c>
      <c r="F8180" t="s">
        <v>250</v>
      </c>
      <c r="G8180" t="s">
        <v>99</v>
      </c>
    </row>
    <row r="8181" spans="1:7" x14ac:dyDescent="0.3">
      <c r="A8181" t="s">
        <v>33</v>
      </c>
      <c r="B8181" t="s">
        <v>2283</v>
      </c>
      <c r="C8181">
        <v>1224</v>
      </c>
      <c r="D8181" t="s">
        <v>104</v>
      </c>
      <c r="E8181" t="s">
        <v>220</v>
      </c>
      <c r="F8181" t="s">
        <v>399</v>
      </c>
      <c r="G8181" t="s">
        <v>99</v>
      </c>
    </row>
    <row r="8182" spans="1:7" x14ac:dyDescent="0.3">
      <c r="A8182" t="s">
        <v>33</v>
      </c>
      <c r="B8182" t="s">
        <v>365</v>
      </c>
      <c r="C8182">
        <v>108</v>
      </c>
      <c r="D8182" t="s">
        <v>99</v>
      </c>
      <c r="E8182" t="s">
        <v>220</v>
      </c>
      <c r="F8182" t="s">
        <v>377</v>
      </c>
      <c r="G8182" t="s">
        <v>99</v>
      </c>
    </row>
    <row r="8183" spans="1:7" x14ac:dyDescent="0.3">
      <c r="A8183" t="s">
        <v>49</v>
      </c>
      <c r="B8183" t="s">
        <v>2282</v>
      </c>
      <c r="C8183">
        <v>2736</v>
      </c>
      <c r="D8183" t="s">
        <v>99</v>
      </c>
      <c r="E8183" t="s">
        <v>165</v>
      </c>
      <c r="F8183" t="s">
        <v>166</v>
      </c>
      <c r="G8183" t="s">
        <v>99</v>
      </c>
    </row>
    <row r="8184" spans="1:7" x14ac:dyDescent="0.3">
      <c r="A8184" t="s">
        <v>49</v>
      </c>
      <c r="B8184" t="s">
        <v>2283</v>
      </c>
      <c r="C8184">
        <v>8297</v>
      </c>
      <c r="D8184" t="s">
        <v>99</v>
      </c>
      <c r="E8184" t="s">
        <v>251</v>
      </c>
      <c r="F8184" t="s">
        <v>392</v>
      </c>
      <c r="G8184" t="s">
        <v>104</v>
      </c>
    </row>
    <row r="8185" spans="1:7" x14ac:dyDescent="0.3">
      <c r="A8185" t="s">
        <v>49</v>
      </c>
      <c r="B8185" t="s">
        <v>365</v>
      </c>
      <c r="C8185">
        <v>871</v>
      </c>
      <c r="D8185" t="s">
        <v>99</v>
      </c>
      <c r="E8185" t="s">
        <v>68</v>
      </c>
      <c r="F8185" t="s">
        <v>69</v>
      </c>
      <c r="G8185" t="s">
        <v>99</v>
      </c>
    </row>
    <row r="8187" spans="1:7" x14ac:dyDescent="0.3">
      <c r="A8187" t="s">
        <v>2316</v>
      </c>
    </row>
    <row r="8188" spans="1:7" x14ac:dyDescent="0.3">
      <c r="A8188" t="s">
        <v>44</v>
      </c>
      <c r="B8188" t="s">
        <v>235</v>
      </c>
      <c r="C8188" t="s">
        <v>32</v>
      </c>
      <c r="D8188" t="s">
        <v>66</v>
      </c>
      <c r="E8188" t="s">
        <v>67</v>
      </c>
      <c r="F8188" t="s">
        <v>352</v>
      </c>
      <c r="G8188" t="s">
        <v>193</v>
      </c>
    </row>
    <row r="8189" spans="1:7" x14ac:dyDescent="0.3">
      <c r="A8189" t="s">
        <v>35</v>
      </c>
      <c r="B8189" t="s">
        <v>236</v>
      </c>
      <c r="C8189">
        <v>1490</v>
      </c>
      <c r="D8189" t="s">
        <v>171</v>
      </c>
      <c r="E8189" t="s">
        <v>172</v>
      </c>
      <c r="F8189" t="s">
        <v>99</v>
      </c>
      <c r="G8189" t="s">
        <v>99</v>
      </c>
    </row>
    <row r="8190" spans="1:7" x14ac:dyDescent="0.3">
      <c r="A8190" t="s">
        <v>35</v>
      </c>
      <c r="B8190" t="s">
        <v>238</v>
      </c>
      <c r="C8190">
        <v>1508</v>
      </c>
      <c r="D8190" t="s">
        <v>299</v>
      </c>
      <c r="E8190" t="s">
        <v>364</v>
      </c>
      <c r="F8190" t="s">
        <v>99</v>
      </c>
      <c r="G8190" t="s">
        <v>104</v>
      </c>
    </row>
    <row r="8191" spans="1:7" x14ac:dyDescent="0.3">
      <c r="A8191" t="s">
        <v>37</v>
      </c>
      <c r="B8191" t="s">
        <v>236</v>
      </c>
      <c r="C8191">
        <v>2117</v>
      </c>
      <c r="D8191" t="s">
        <v>287</v>
      </c>
      <c r="E8191" t="s">
        <v>366</v>
      </c>
      <c r="F8191" t="s">
        <v>99</v>
      </c>
      <c r="G8191" t="s">
        <v>99</v>
      </c>
    </row>
    <row r="8192" spans="1:7" x14ac:dyDescent="0.3">
      <c r="A8192" t="s">
        <v>37</v>
      </c>
      <c r="B8192" t="s">
        <v>238</v>
      </c>
      <c r="C8192">
        <v>1524</v>
      </c>
      <c r="D8192" t="s">
        <v>679</v>
      </c>
      <c r="E8192" t="s">
        <v>324</v>
      </c>
      <c r="F8192" t="s">
        <v>99</v>
      </c>
      <c r="G8192" t="s">
        <v>99</v>
      </c>
    </row>
    <row r="8193" spans="1:7" x14ac:dyDescent="0.3">
      <c r="A8193" t="s">
        <v>36</v>
      </c>
      <c r="B8193" t="s">
        <v>236</v>
      </c>
      <c r="C8193">
        <v>1333</v>
      </c>
      <c r="D8193" t="s">
        <v>313</v>
      </c>
      <c r="E8193" t="s">
        <v>1282</v>
      </c>
      <c r="F8193" t="s">
        <v>99</v>
      </c>
      <c r="G8193" t="s">
        <v>99</v>
      </c>
    </row>
    <row r="8194" spans="1:7" x14ac:dyDescent="0.3">
      <c r="A8194" t="s">
        <v>36</v>
      </c>
      <c r="B8194" t="s">
        <v>238</v>
      </c>
      <c r="C8194">
        <v>627</v>
      </c>
      <c r="D8194" t="s">
        <v>179</v>
      </c>
      <c r="E8194" t="s">
        <v>180</v>
      </c>
      <c r="F8194" t="s">
        <v>99</v>
      </c>
      <c r="G8194" t="s">
        <v>99</v>
      </c>
    </row>
    <row r="8195" spans="1:7" x14ac:dyDescent="0.3">
      <c r="A8195" t="s">
        <v>34</v>
      </c>
      <c r="B8195" t="s">
        <v>236</v>
      </c>
      <c r="C8195">
        <v>490</v>
      </c>
      <c r="D8195" t="s">
        <v>372</v>
      </c>
      <c r="E8195" t="s">
        <v>612</v>
      </c>
      <c r="F8195" t="s">
        <v>99</v>
      </c>
      <c r="G8195" t="s">
        <v>99</v>
      </c>
    </row>
    <row r="8196" spans="1:7" x14ac:dyDescent="0.3">
      <c r="A8196" t="s">
        <v>34</v>
      </c>
      <c r="B8196" t="s">
        <v>238</v>
      </c>
      <c r="C8196">
        <v>1112</v>
      </c>
      <c r="D8196" t="s">
        <v>369</v>
      </c>
      <c r="E8196" t="s">
        <v>889</v>
      </c>
      <c r="F8196" t="s">
        <v>99</v>
      </c>
      <c r="G8196" t="s">
        <v>198</v>
      </c>
    </row>
    <row r="8197" spans="1:7" x14ac:dyDescent="0.3">
      <c r="A8197" t="s">
        <v>33</v>
      </c>
      <c r="B8197" t="s">
        <v>236</v>
      </c>
      <c r="C8197">
        <v>926</v>
      </c>
      <c r="D8197" t="s">
        <v>218</v>
      </c>
      <c r="E8197" t="s">
        <v>217</v>
      </c>
      <c r="F8197" t="s">
        <v>99</v>
      </c>
      <c r="G8197" t="s">
        <v>99</v>
      </c>
    </row>
    <row r="8198" spans="1:7" x14ac:dyDescent="0.3">
      <c r="A8198" t="s">
        <v>33</v>
      </c>
      <c r="B8198" t="s">
        <v>238</v>
      </c>
      <c r="C8198">
        <v>777</v>
      </c>
      <c r="D8198" t="s">
        <v>135</v>
      </c>
      <c r="E8198" t="s">
        <v>226</v>
      </c>
      <c r="F8198" t="s">
        <v>207</v>
      </c>
      <c r="G8198" t="s">
        <v>99</v>
      </c>
    </row>
    <row r="8199" spans="1:7" x14ac:dyDescent="0.3">
      <c r="A8199" t="s">
        <v>49</v>
      </c>
      <c r="B8199" t="s">
        <v>236</v>
      </c>
      <c r="C8199">
        <v>6356</v>
      </c>
      <c r="D8199" t="s">
        <v>449</v>
      </c>
      <c r="E8199" t="s">
        <v>448</v>
      </c>
      <c r="F8199" t="s">
        <v>99</v>
      </c>
      <c r="G8199" t="s">
        <v>99</v>
      </c>
    </row>
    <row r="8200" spans="1:7" x14ac:dyDescent="0.3">
      <c r="A8200" t="s">
        <v>49</v>
      </c>
      <c r="B8200" t="s">
        <v>238</v>
      </c>
      <c r="C8200">
        <v>5548</v>
      </c>
      <c r="D8200" t="s">
        <v>420</v>
      </c>
      <c r="E8200" t="s">
        <v>73</v>
      </c>
      <c r="F8200" t="s">
        <v>99</v>
      </c>
      <c r="G8200" t="s">
        <v>104</v>
      </c>
    </row>
    <row r="8202" spans="1:7" x14ac:dyDescent="0.3">
      <c r="A8202" t="s">
        <v>2317</v>
      </c>
    </row>
    <row r="8203" spans="1:7" x14ac:dyDescent="0.3">
      <c r="A8203" t="s">
        <v>44</v>
      </c>
      <c r="B8203" t="s">
        <v>879</v>
      </c>
      <c r="C8203" t="s">
        <v>32</v>
      </c>
      <c r="D8203" t="s">
        <v>66</v>
      </c>
      <c r="E8203" t="s">
        <v>67</v>
      </c>
      <c r="F8203" t="s">
        <v>352</v>
      </c>
      <c r="G8203" t="s">
        <v>193</v>
      </c>
    </row>
    <row r="8204" spans="1:7" x14ac:dyDescent="0.3">
      <c r="A8204" t="s">
        <v>35</v>
      </c>
      <c r="B8204" t="s">
        <v>880</v>
      </c>
      <c r="C8204">
        <v>286</v>
      </c>
      <c r="D8204" t="s">
        <v>254</v>
      </c>
      <c r="E8204" t="s">
        <v>414</v>
      </c>
      <c r="F8204" t="s">
        <v>99</v>
      </c>
      <c r="G8204" t="s">
        <v>99</v>
      </c>
    </row>
    <row r="8205" spans="1:7" x14ac:dyDescent="0.3">
      <c r="A8205" t="s">
        <v>35</v>
      </c>
      <c r="B8205" t="s">
        <v>881</v>
      </c>
      <c r="C8205">
        <v>960</v>
      </c>
      <c r="D8205" t="s">
        <v>218</v>
      </c>
      <c r="E8205" t="s">
        <v>875</v>
      </c>
      <c r="F8205" t="s">
        <v>99</v>
      </c>
      <c r="G8205" t="s">
        <v>104</v>
      </c>
    </row>
    <row r="8206" spans="1:7" x14ac:dyDescent="0.3">
      <c r="A8206" t="s">
        <v>35</v>
      </c>
      <c r="B8206" t="s">
        <v>882</v>
      </c>
      <c r="C8206">
        <v>1752</v>
      </c>
      <c r="D8206" t="s">
        <v>184</v>
      </c>
      <c r="E8206" t="s">
        <v>185</v>
      </c>
      <c r="F8206" t="s">
        <v>99</v>
      </c>
      <c r="G8206" t="s">
        <v>99</v>
      </c>
    </row>
    <row r="8207" spans="1:7" x14ac:dyDescent="0.3">
      <c r="A8207" t="s">
        <v>37</v>
      </c>
      <c r="B8207" t="s">
        <v>880</v>
      </c>
      <c r="C8207">
        <v>331</v>
      </c>
      <c r="D8207" t="s">
        <v>251</v>
      </c>
      <c r="E8207" t="s">
        <v>250</v>
      </c>
      <c r="F8207" t="s">
        <v>99</v>
      </c>
      <c r="G8207" t="s">
        <v>99</v>
      </c>
    </row>
    <row r="8208" spans="1:7" x14ac:dyDescent="0.3">
      <c r="A8208" t="s">
        <v>37</v>
      </c>
      <c r="B8208" t="s">
        <v>881</v>
      </c>
      <c r="C8208">
        <v>1163</v>
      </c>
      <c r="D8208" t="s">
        <v>714</v>
      </c>
      <c r="E8208" t="s">
        <v>854</v>
      </c>
      <c r="F8208" t="s">
        <v>99</v>
      </c>
      <c r="G8208" t="s">
        <v>99</v>
      </c>
    </row>
    <row r="8209" spans="1:7" x14ac:dyDescent="0.3">
      <c r="A8209" t="s">
        <v>37</v>
      </c>
      <c r="B8209" t="s">
        <v>882</v>
      </c>
      <c r="C8209">
        <v>2147</v>
      </c>
      <c r="D8209" t="s">
        <v>248</v>
      </c>
      <c r="E8209" t="s">
        <v>247</v>
      </c>
      <c r="F8209" t="s">
        <v>99</v>
      </c>
      <c r="G8209" t="s">
        <v>99</v>
      </c>
    </row>
    <row r="8210" spans="1:7" x14ac:dyDescent="0.3">
      <c r="A8210" t="s">
        <v>36</v>
      </c>
      <c r="B8210" t="s">
        <v>880</v>
      </c>
      <c r="C8210">
        <v>196</v>
      </c>
      <c r="D8210" t="s">
        <v>152</v>
      </c>
      <c r="E8210" t="s">
        <v>978</v>
      </c>
      <c r="F8210" t="s">
        <v>99</v>
      </c>
      <c r="G8210" t="s">
        <v>99</v>
      </c>
    </row>
    <row r="8211" spans="1:7" x14ac:dyDescent="0.3">
      <c r="A8211" t="s">
        <v>36</v>
      </c>
      <c r="B8211" t="s">
        <v>881</v>
      </c>
      <c r="C8211">
        <v>667</v>
      </c>
      <c r="D8211" t="s">
        <v>368</v>
      </c>
      <c r="E8211" t="s">
        <v>290</v>
      </c>
      <c r="F8211" t="s">
        <v>99</v>
      </c>
      <c r="G8211" t="s">
        <v>99</v>
      </c>
    </row>
    <row r="8212" spans="1:7" x14ac:dyDescent="0.3">
      <c r="A8212" t="s">
        <v>36</v>
      </c>
      <c r="B8212" t="s">
        <v>882</v>
      </c>
      <c r="C8212">
        <v>1097</v>
      </c>
      <c r="D8212" t="s">
        <v>416</v>
      </c>
      <c r="E8212" t="s">
        <v>417</v>
      </c>
      <c r="F8212" t="s">
        <v>99</v>
      </c>
      <c r="G8212" t="s">
        <v>99</v>
      </c>
    </row>
    <row r="8213" spans="1:7" x14ac:dyDescent="0.3">
      <c r="A8213" t="s">
        <v>34</v>
      </c>
      <c r="B8213" t="s">
        <v>880</v>
      </c>
      <c r="C8213">
        <v>162</v>
      </c>
      <c r="D8213" t="s">
        <v>160</v>
      </c>
      <c r="E8213" t="s">
        <v>161</v>
      </c>
      <c r="F8213" t="s">
        <v>99</v>
      </c>
      <c r="G8213" t="s">
        <v>99</v>
      </c>
    </row>
    <row r="8214" spans="1:7" x14ac:dyDescent="0.3">
      <c r="A8214" t="s">
        <v>34</v>
      </c>
      <c r="B8214" t="s">
        <v>881</v>
      </c>
      <c r="C8214">
        <v>579</v>
      </c>
      <c r="D8214" t="s">
        <v>267</v>
      </c>
      <c r="E8214" t="s">
        <v>1010</v>
      </c>
      <c r="F8214" t="s">
        <v>99</v>
      </c>
      <c r="G8214" t="s">
        <v>99</v>
      </c>
    </row>
    <row r="8215" spans="1:7" x14ac:dyDescent="0.3">
      <c r="A8215" t="s">
        <v>34</v>
      </c>
      <c r="B8215" t="s">
        <v>882</v>
      </c>
      <c r="C8215">
        <v>861</v>
      </c>
      <c r="D8215" t="s">
        <v>416</v>
      </c>
      <c r="E8215" t="s">
        <v>448</v>
      </c>
      <c r="F8215" t="s">
        <v>99</v>
      </c>
      <c r="G8215" t="s">
        <v>198</v>
      </c>
    </row>
    <row r="8216" spans="1:7" x14ac:dyDescent="0.3">
      <c r="A8216" t="s">
        <v>33</v>
      </c>
      <c r="B8216" t="s">
        <v>880</v>
      </c>
      <c r="C8216">
        <v>201</v>
      </c>
      <c r="D8216" t="s">
        <v>449</v>
      </c>
      <c r="E8216" t="s">
        <v>448</v>
      </c>
      <c r="F8216" t="s">
        <v>99</v>
      </c>
      <c r="G8216" t="s">
        <v>99</v>
      </c>
    </row>
    <row r="8217" spans="1:7" x14ac:dyDescent="0.3">
      <c r="A8217" t="s">
        <v>33</v>
      </c>
      <c r="B8217" t="s">
        <v>881</v>
      </c>
      <c r="C8217">
        <v>553</v>
      </c>
      <c r="D8217" t="s">
        <v>814</v>
      </c>
      <c r="E8217" t="s">
        <v>314</v>
      </c>
      <c r="F8217" t="s">
        <v>198</v>
      </c>
      <c r="G8217" t="s">
        <v>99</v>
      </c>
    </row>
    <row r="8218" spans="1:7" x14ac:dyDescent="0.3">
      <c r="A8218" t="s">
        <v>33</v>
      </c>
      <c r="B8218" t="s">
        <v>882</v>
      </c>
      <c r="C8218">
        <v>949</v>
      </c>
      <c r="D8218" t="s">
        <v>152</v>
      </c>
      <c r="E8218" t="s">
        <v>226</v>
      </c>
      <c r="F8218" t="s">
        <v>104</v>
      </c>
      <c r="G8218" t="s">
        <v>99</v>
      </c>
    </row>
    <row r="8219" spans="1:7" x14ac:dyDescent="0.3">
      <c r="A8219" t="s">
        <v>49</v>
      </c>
      <c r="B8219" t="s">
        <v>880</v>
      </c>
      <c r="C8219">
        <v>1176</v>
      </c>
      <c r="D8219" t="s">
        <v>363</v>
      </c>
      <c r="E8219" t="s">
        <v>364</v>
      </c>
      <c r="F8219" t="s">
        <v>99</v>
      </c>
      <c r="G8219" t="s">
        <v>99</v>
      </c>
    </row>
    <row r="8220" spans="1:7" x14ac:dyDescent="0.3">
      <c r="A8220" t="s">
        <v>49</v>
      </c>
      <c r="B8220" t="s">
        <v>881</v>
      </c>
      <c r="C8220">
        <v>3922</v>
      </c>
      <c r="D8220" t="s">
        <v>721</v>
      </c>
      <c r="E8220" t="s">
        <v>845</v>
      </c>
      <c r="F8220" t="s">
        <v>99</v>
      </c>
      <c r="G8220" t="s">
        <v>99</v>
      </c>
    </row>
    <row r="8221" spans="1:7" x14ac:dyDescent="0.3">
      <c r="A8221" t="s">
        <v>49</v>
      </c>
      <c r="B8221" t="s">
        <v>882</v>
      </c>
      <c r="C8221">
        <v>6806</v>
      </c>
      <c r="D8221" t="s">
        <v>420</v>
      </c>
      <c r="E8221" t="s">
        <v>73</v>
      </c>
      <c r="F8221" t="s">
        <v>99</v>
      </c>
      <c r="G8221" t="s">
        <v>104</v>
      </c>
    </row>
    <row r="8223" spans="1:7" x14ac:dyDescent="0.3">
      <c r="A8223" t="s">
        <v>2318</v>
      </c>
    </row>
    <row r="8224" spans="1:7" x14ac:dyDescent="0.3">
      <c r="A8224" t="s">
        <v>44</v>
      </c>
      <c r="B8224" t="s">
        <v>2252</v>
      </c>
      <c r="C8224" t="s">
        <v>32</v>
      </c>
      <c r="D8224" t="s">
        <v>66</v>
      </c>
      <c r="E8224" t="s">
        <v>67</v>
      </c>
      <c r="F8224" t="s">
        <v>352</v>
      </c>
      <c r="G8224" t="s">
        <v>193</v>
      </c>
    </row>
    <row r="8225" spans="1:7" x14ac:dyDescent="0.3">
      <c r="A8225" t="s">
        <v>35</v>
      </c>
      <c r="B8225" t="s">
        <v>2253</v>
      </c>
      <c r="C8225">
        <v>1492</v>
      </c>
      <c r="D8225" t="s">
        <v>251</v>
      </c>
      <c r="E8225" t="s">
        <v>250</v>
      </c>
      <c r="F8225" t="s">
        <v>99</v>
      </c>
      <c r="G8225" t="s">
        <v>99</v>
      </c>
    </row>
    <row r="8226" spans="1:7" x14ac:dyDescent="0.3">
      <c r="A8226" t="s">
        <v>35</v>
      </c>
      <c r="B8226" t="s">
        <v>2254</v>
      </c>
      <c r="C8226">
        <v>1492</v>
      </c>
      <c r="D8226" t="s">
        <v>248</v>
      </c>
      <c r="E8226" t="s">
        <v>419</v>
      </c>
      <c r="F8226" t="s">
        <v>99</v>
      </c>
      <c r="G8226" t="s">
        <v>104</v>
      </c>
    </row>
    <row r="8227" spans="1:7" x14ac:dyDescent="0.3">
      <c r="A8227" t="s">
        <v>35</v>
      </c>
      <c r="B8227" t="s">
        <v>365</v>
      </c>
      <c r="C8227">
        <v>14</v>
      </c>
      <c r="D8227" t="s">
        <v>294</v>
      </c>
      <c r="E8227" t="s">
        <v>312</v>
      </c>
      <c r="F8227" t="s">
        <v>99</v>
      </c>
      <c r="G8227" t="s">
        <v>99</v>
      </c>
    </row>
    <row r="8228" spans="1:7" x14ac:dyDescent="0.3">
      <c r="A8228" t="s">
        <v>37</v>
      </c>
      <c r="B8228" t="s">
        <v>2253</v>
      </c>
      <c r="C8228">
        <v>1984</v>
      </c>
      <c r="D8228" t="s">
        <v>311</v>
      </c>
      <c r="E8228" t="s">
        <v>199</v>
      </c>
      <c r="F8228" t="s">
        <v>99</v>
      </c>
      <c r="G8228" t="s">
        <v>99</v>
      </c>
    </row>
    <row r="8229" spans="1:7" x14ac:dyDescent="0.3">
      <c r="A8229" t="s">
        <v>37</v>
      </c>
      <c r="B8229" t="s">
        <v>2254</v>
      </c>
      <c r="C8229">
        <v>1651</v>
      </c>
      <c r="D8229" t="s">
        <v>184</v>
      </c>
      <c r="E8229" t="s">
        <v>185</v>
      </c>
      <c r="F8229" t="s">
        <v>99</v>
      </c>
      <c r="G8229" t="s">
        <v>99</v>
      </c>
    </row>
    <row r="8230" spans="1:7" x14ac:dyDescent="0.3">
      <c r="A8230" t="s">
        <v>37</v>
      </c>
      <c r="B8230" t="s">
        <v>365</v>
      </c>
      <c r="C8230">
        <v>6</v>
      </c>
      <c r="D8230" t="s">
        <v>222</v>
      </c>
      <c r="E8230" t="s">
        <v>221</v>
      </c>
      <c r="F8230" t="s">
        <v>99</v>
      </c>
      <c r="G8230" t="s">
        <v>99</v>
      </c>
    </row>
    <row r="8231" spans="1:7" x14ac:dyDescent="0.3">
      <c r="A8231" t="s">
        <v>36</v>
      </c>
      <c r="B8231" t="s">
        <v>2253</v>
      </c>
      <c r="C8231">
        <v>939</v>
      </c>
      <c r="D8231" t="s">
        <v>708</v>
      </c>
      <c r="E8231" t="s">
        <v>1007</v>
      </c>
      <c r="F8231" t="s">
        <v>99</v>
      </c>
      <c r="G8231" t="s">
        <v>99</v>
      </c>
    </row>
    <row r="8232" spans="1:7" x14ac:dyDescent="0.3">
      <c r="A8232" t="s">
        <v>36</v>
      </c>
      <c r="B8232" t="s">
        <v>2254</v>
      </c>
      <c r="C8232">
        <v>1008</v>
      </c>
      <c r="D8232" t="s">
        <v>171</v>
      </c>
      <c r="E8232" t="s">
        <v>172</v>
      </c>
      <c r="F8232" t="s">
        <v>99</v>
      </c>
      <c r="G8232" t="s">
        <v>99</v>
      </c>
    </row>
    <row r="8233" spans="1:7" x14ac:dyDescent="0.3">
      <c r="A8233" t="s">
        <v>36</v>
      </c>
      <c r="B8233" t="s">
        <v>365</v>
      </c>
      <c r="C8233">
        <v>13</v>
      </c>
      <c r="D8233" t="s">
        <v>108</v>
      </c>
      <c r="E8233" t="s">
        <v>1022</v>
      </c>
      <c r="F8233" t="s">
        <v>99</v>
      </c>
      <c r="G8233" t="s">
        <v>99</v>
      </c>
    </row>
    <row r="8234" spans="1:7" x14ac:dyDescent="0.3">
      <c r="A8234" t="s">
        <v>34</v>
      </c>
      <c r="B8234" t="s">
        <v>2253</v>
      </c>
      <c r="C8234">
        <v>749</v>
      </c>
      <c r="D8234" t="s">
        <v>313</v>
      </c>
      <c r="E8234" t="s">
        <v>166</v>
      </c>
      <c r="F8234" t="s">
        <v>99</v>
      </c>
      <c r="G8234" t="s">
        <v>104</v>
      </c>
    </row>
    <row r="8235" spans="1:7" x14ac:dyDescent="0.3">
      <c r="A8235" t="s">
        <v>34</v>
      </c>
      <c r="B8235" t="s">
        <v>2254</v>
      </c>
      <c r="C8235">
        <v>845</v>
      </c>
      <c r="D8235" t="s">
        <v>688</v>
      </c>
      <c r="E8235" t="s">
        <v>217</v>
      </c>
      <c r="F8235" t="s">
        <v>99</v>
      </c>
      <c r="G8235" t="s">
        <v>104</v>
      </c>
    </row>
    <row r="8236" spans="1:7" x14ac:dyDescent="0.3">
      <c r="A8236" t="s">
        <v>34</v>
      </c>
      <c r="B8236" t="s">
        <v>365</v>
      </c>
      <c r="C8236">
        <v>8</v>
      </c>
      <c r="D8236" t="s">
        <v>155</v>
      </c>
      <c r="E8236" t="s">
        <v>776</v>
      </c>
      <c r="F8236" t="s">
        <v>99</v>
      </c>
      <c r="G8236" t="s">
        <v>99</v>
      </c>
    </row>
    <row r="8237" spans="1:7" x14ac:dyDescent="0.3">
      <c r="A8237" t="s">
        <v>33</v>
      </c>
      <c r="B8237" t="s">
        <v>2253</v>
      </c>
      <c r="C8237">
        <v>813</v>
      </c>
      <c r="D8237" t="s">
        <v>289</v>
      </c>
      <c r="E8237" t="s">
        <v>417</v>
      </c>
      <c r="F8237" t="s">
        <v>99</v>
      </c>
      <c r="G8237" t="s">
        <v>99</v>
      </c>
    </row>
    <row r="8238" spans="1:7" x14ac:dyDescent="0.3">
      <c r="A8238" t="s">
        <v>33</v>
      </c>
      <c r="B8238" t="s">
        <v>2254</v>
      </c>
      <c r="C8238">
        <v>889</v>
      </c>
      <c r="D8238" t="s">
        <v>401</v>
      </c>
      <c r="E8238" t="s">
        <v>364</v>
      </c>
      <c r="F8238" t="s">
        <v>207</v>
      </c>
      <c r="G8238" t="s">
        <v>99</v>
      </c>
    </row>
    <row r="8239" spans="1:7" x14ac:dyDescent="0.3">
      <c r="A8239" t="s">
        <v>33</v>
      </c>
      <c r="B8239" t="s">
        <v>365</v>
      </c>
      <c r="C8239">
        <v>1</v>
      </c>
      <c r="D8239" t="s">
        <v>99</v>
      </c>
      <c r="E8239" t="s">
        <v>211</v>
      </c>
      <c r="F8239" t="s">
        <v>99</v>
      </c>
      <c r="G8239" t="s">
        <v>99</v>
      </c>
    </row>
    <row r="8240" spans="1:7" x14ac:dyDescent="0.3">
      <c r="A8240" t="s">
        <v>49</v>
      </c>
      <c r="B8240" t="s">
        <v>2253</v>
      </c>
      <c r="C8240">
        <v>5977</v>
      </c>
      <c r="D8240" t="s">
        <v>165</v>
      </c>
      <c r="E8240" t="s">
        <v>166</v>
      </c>
      <c r="F8240" t="s">
        <v>99</v>
      </c>
      <c r="G8240" t="s">
        <v>99</v>
      </c>
    </row>
    <row r="8241" spans="1:7" x14ac:dyDescent="0.3">
      <c r="A8241" t="s">
        <v>49</v>
      </c>
      <c r="B8241" t="s">
        <v>2254</v>
      </c>
      <c r="C8241">
        <v>5885</v>
      </c>
      <c r="D8241" t="s">
        <v>41</v>
      </c>
      <c r="E8241" t="s">
        <v>378</v>
      </c>
      <c r="F8241" t="s">
        <v>99</v>
      </c>
      <c r="G8241" t="s">
        <v>104</v>
      </c>
    </row>
    <row r="8242" spans="1:7" x14ac:dyDescent="0.3">
      <c r="A8242" t="s">
        <v>49</v>
      </c>
      <c r="B8242" t="s">
        <v>365</v>
      </c>
      <c r="C8242">
        <v>42</v>
      </c>
      <c r="D8242" t="s">
        <v>401</v>
      </c>
      <c r="E8242" t="s">
        <v>354</v>
      </c>
      <c r="F8242" t="s">
        <v>99</v>
      </c>
      <c r="G8242" t="s">
        <v>99</v>
      </c>
    </row>
    <row r="8244" spans="1:7" x14ac:dyDescent="0.3">
      <c r="A8244" t="s">
        <v>2319</v>
      </c>
    </row>
    <row r="8245" spans="1:7" x14ac:dyDescent="0.3">
      <c r="A8245" t="s">
        <v>44</v>
      </c>
      <c r="B8245" t="s">
        <v>361</v>
      </c>
      <c r="C8245" t="s">
        <v>32</v>
      </c>
      <c r="D8245" t="s">
        <v>352</v>
      </c>
      <c r="E8245" t="s">
        <v>66</v>
      </c>
      <c r="F8245" t="s">
        <v>67</v>
      </c>
      <c r="G8245" t="s">
        <v>193</v>
      </c>
    </row>
    <row r="8246" spans="1:7" x14ac:dyDescent="0.3">
      <c r="A8246" t="s">
        <v>35</v>
      </c>
      <c r="B8246" t="s">
        <v>339</v>
      </c>
      <c r="C8246">
        <v>1088</v>
      </c>
      <c r="D8246" t="s">
        <v>99</v>
      </c>
      <c r="E8246" t="s">
        <v>408</v>
      </c>
      <c r="F8246" t="s">
        <v>409</v>
      </c>
      <c r="G8246" t="s">
        <v>99</v>
      </c>
    </row>
    <row r="8247" spans="1:7" x14ac:dyDescent="0.3">
      <c r="A8247" t="s">
        <v>35</v>
      </c>
      <c r="B8247" t="s">
        <v>340</v>
      </c>
      <c r="C8247">
        <v>1866</v>
      </c>
      <c r="D8247" t="s">
        <v>99</v>
      </c>
      <c r="E8247" t="s">
        <v>160</v>
      </c>
      <c r="F8247" t="s">
        <v>362</v>
      </c>
      <c r="G8247" t="s">
        <v>104</v>
      </c>
    </row>
    <row r="8248" spans="1:7" x14ac:dyDescent="0.3">
      <c r="A8248" t="s">
        <v>35</v>
      </c>
      <c r="B8248" t="s">
        <v>365</v>
      </c>
      <c r="C8248">
        <v>44</v>
      </c>
      <c r="D8248" t="s">
        <v>99</v>
      </c>
      <c r="E8248" t="s">
        <v>173</v>
      </c>
      <c r="F8248" t="s">
        <v>174</v>
      </c>
      <c r="G8248" t="s">
        <v>99</v>
      </c>
    </row>
    <row r="8249" spans="1:7" x14ac:dyDescent="0.3">
      <c r="A8249" t="s">
        <v>37</v>
      </c>
      <c r="B8249" t="s">
        <v>339</v>
      </c>
      <c r="C8249">
        <v>1342</v>
      </c>
      <c r="D8249" t="s">
        <v>99</v>
      </c>
      <c r="E8249" t="s">
        <v>313</v>
      </c>
      <c r="F8249" t="s">
        <v>1282</v>
      </c>
      <c r="G8249" t="s">
        <v>99</v>
      </c>
    </row>
    <row r="8250" spans="1:7" x14ac:dyDescent="0.3">
      <c r="A8250" t="s">
        <v>37</v>
      </c>
      <c r="B8250" t="s">
        <v>340</v>
      </c>
      <c r="C8250">
        <v>2253</v>
      </c>
      <c r="D8250" t="s">
        <v>99</v>
      </c>
      <c r="E8250" t="s">
        <v>72</v>
      </c>
      <c r="F8250" t="s">
        <v>73</v>
      </c>
      <c r="G8250" t="s">
        <v>99</v>
      </c>
    </row>
    <row r="8251" spans="1:7" x14ac:dyDescent="0.3">
      <c r="A8251" t="s">
        <v>37</v>
      </c>
      <c r="B8251" t="s">
        <v>365</v>
      </c>
      <c r="C8251">
        <v>46</v>
      </c>
      <c r="D8251" t="s">
        <v>99</v>
      </c>
      <c r="E8251" t="s">
        <v>138</v>
      </c>
      <c r="F8251" t="s">
        <v>336</v>
      </c>
      <c r="G8251" t="s">
        <v>99</v>
      </c>
    </row>
    <row r="8252" spans="1:7" x14ac:dyDescent="0.3">
      <c r="A8252" t="s">
        <v>36</v>
      </c>
      <c r="B8252" t="s">
        <v>339</v>
      </c>
      <c r="C8252">
        <v>770</v>
      </c>
      <c r="D8252" t="s">
        <v>99</v>
      </c>
      <c r="E8252" t="s">
        <v>311</v>
      </c>
      <c r="F8252" t="s">
        <v>199</v>
      </c>
      <c r="G8252" t="s">
        <v>99</v>
      </c>
    </row>
    <row r="8253" spans="1:7" x14ac:dyDescent="0.3">
      <c r="A8253" t="s">
        <v>36</v>
      </c>
      <c r="B8253" t="s">
        <v>340</v>
      </c>
      <c r="C8253">
        <v>1122</v>
      </c>
      <c r="D8253" t="s">
        <v>99</v>
      </c>
      <c r="E8253" t="s">
        <v>163</v>
      </c>
      <c r="F8253" t="s">
        <v>164</v>
      </c>
      <c r="G8253" t="s">
        <v>99</v>
      </c>
    </row>
    <row r="8254" spans="1:7" x14ac:dyDescent="0.3">
      <c r="A8254" t="s">
        <v>36</v>
      </c>
      <c r="B8254" t="s">
        <v>365</v>
      </c>
      <c r="C8254">
        <v>68</v>
      </c>
      <c r="D8254" t="s">
        <v>99</v>
      </c>
      <c r="E8254" t="s">
        <v>727</v>
      </c>
      <c r="F8254" t="s">
        <v>441</v>
      </c>
      <c r="G8254" t="s">
        <v>99</v>
      </c>
    </row>
    <row r="8255" spans="1:7" x14ac:dyDescent="0.3">
      <c r="A8255" t="s">
        <v>34</v>
      </c>
      <c r="B8255" t="s">
        <v>339</v>
      </c>
      <c r="C8255">
        <v>638</v>
      </c>
      <c r="D8255" t="s">
        <v>99</v>
      </c>
      <c r="E8255" t="s">
        <v>731</v>
      </c>
      <c r="F8255" t="s">
        <v>290</v>
      </c>
      <c r="G8255" t="s">
        <v>104</v>
      </c>
    </row>
    <row r="8256" spans="1:7" x14ac:dyDescent="0.3">
      <c r="A8256" t="s">
        <v>34</v>
      </c>
      <c r="B8256" t="s">
        <v>340</v>
      </c>
      <c r="C8256">
        <v>936</v>
      </c>
      <c r="D8256" t="s">
        <v>99</v>
      </c>
      <c r="E8256" t="s">
        <v>716</v>
      </c>
      <c r="F8256" t="s">
        <v>366</v>
      </c>
      <c r="G8256" t="s">
        <v>104</v>
      </c>
    </row>
    <row r="8257" spans="1:7" x14ac:dyDescent="0.3">
      <c r="A8257" t="s">
        <v>34</v>
      </c>
      <c r="B8257" t="s">
        <v>365</v>
      </c>
      <c r="C8257">
        <v>28</v>
      </c>
      <c r="D8257" t="s">
        <v>99</v>
      </c>
      <c r="E8257" t="s">
        <v>262</v>
      </c>
      <c r="F8257" t="s">
        <v>889</v>
      </c>
      <c r="G8257" t="s">
        <v>99</v>
      </c>
    </row>
    <row r="8258" spans="1:7" x14ac:dyDescent="0.3">
      <c r="A8258" t="s">
        <v>33</v>
      </c>
      <c r="B8258" t="s">
        <v>339</v>
      </c>
      <c r="C8258">
        <v>577</v>
      </c>
      <c r="D8258" t="s">
        <v>136</v>
      </c>
      <c r="E8258" t="s">
        <v>405</v>
      </c>
      <c r="F8258" t="s">
        <v>1276</v>
      </c>
      <c r="G8258" t="s">
        <v>99</v>
      </c>
    </row>
    <row r="8259" spans="1:7" x14ac:dyDescent="0.3">
      <c r="A8259" t="s">
        <v>33</v>
      </c>
      <c r="B8259" t="s">
        <v>340</v>
      </c>
      <c r="C8259">
        <v>1108</v>
      </c>
      <c r="D8259" t="s">
        <v>99</v>
      </c>
      <c r="E8259" t="s">
        <v>804</v>
      </c>
      <c r="F8259" t="s">
        <v>399</v>
      </c>
      <c r="G8259" t="s">
        <v>99</v>
      </c>
    </row>
    <row r="8260" spans="1:7" x14ac:dyDescent="0.3">
      <c r="A8260" t="s">
        <v>33</v>
      </c>
      <c r="B8260" t="s">
        <v>365</v>
      </c>
      <c r="C8260">
        <v>18</v>
      </c>
      <c r="D8260" t="s">
        <v>99</v>
      </c>
      <c r="E8260" t="s">
        <v>99</v>
      </c>
      <c r="F8260" t="s">
        <v>211</v>
      </c>
      <c r="G8260" t="s">
        <v>99</v>
      </c>
    </row>
    <row r="8261" spans="1:7" x14ac:dyDescent="0.3">
      <c r="A8261" t="s">
        <v>49</v>
      </c>
      <c r="B8261" t="s">
        <v>339</v>
      </c>
      <c r="C8261">
        <v>4415</v>
      </c>
      <c r="D8261" t="s">
        <v>104</v>
      </c>
      <c r="E8261" t="s">
        <v>408</v>
      </c>
      <c r="F8261" t="s">
        <v>219</v>
      </c>
      <c r="G8261" t="s">
        <v>99</v>
      </c>
    </row>
    <row r="8262" spans="1:7" x14ac:dyDescent="0.3">
      <c r="A8262" t="s">
        <v>49</v>
      </c>
      <c r="B8262" t="s">
        <v>340</v>
      </c>
      <c r="C8262">
        <v>7285</v>
      </c>
      <c r="D8262" t="s">
        <v>99</v>
      </c>
      <c r="E8262" t="s">
        <v>296</v>
      </c>
      <c r="F8262" t="s">
        <v>421</v>
      </c>
      <c r="G8262" t="s">
        <v>99</v>
      </c>
    </row>
    <row r="8263" spans="1:7" x14ac:dyDescent="0.3">
      <c r="A8263" t="s">
        <v>49</v>
      </c>
      <c r="B8263" t="s">
        <v>365</v>
      </c>
      <c r="C8263">
        <v>204</v>
      </c>
      <c r="D8263" t="s">
        <v>99</v>
      </c>
      <c r="E8263" t="s">
        <v>313</v>
      </c>
      <c r="F8263" t="s">
        <v>1282</v>
      </c>
      <c r="G8263" t="s">
        <v>99</v>
      </c>
    </row>
    <row r="8265" spans="1:7" x14ac:dyDescent="0.3">
      <c r="A8265" t="s">
        <v>2320</v>
      </c>
    </row>
    <row r="8266" spans="1:7" x14ac:dyDescent="0.3">
      <c r="A8266" t="s">
        <v>44</v>
      </c>
      <c r="B8266" t="s">
        <v>257</v>
      </c>
      <c r="C8266" t="s">
        <v>32</v>
      </c>
      <c r="D8266" t="s">
        <v>352</v>
      </c>
      <c r="E8266" t="s">
        <v>66</v>
      </c>
      <c r="F8266" t="s">
        <v>67</v>
      </c>
      <c r="G8266" t="s">
        <v>193</v>
      </c>
    </row>
    <row r="8267" spans="1:7" x14ac:dyDescent="0.3">
      <c r="A8267" t="s">
        <v>35</v>
      </c>
      <c r="B8267" t="s">
        <v>258</v>
      </c>
      <c r="C8267">
        <v>2669</v>
      </c>
      <c r="D8267" t="s">
        <v>99</v>
      </c>
      <c r="E8267" t="s">
        <v>353</v>
      </c>
      <c r="F8267" t="s">
        <v>419</v>
      </c>
      <c r="G8267" t="s">
        <v>104</v>
      </c>
    </row>
    <row r="8268" spans="1:7" x14ac:dyDescent="0.3">
      <c r="A8268" t="s">
        <v>35</v>
      </c>
      <c r="B8268" t="s">
        <v>260</v>
      </c>
      <c r="C8268">
        <v>329</v>
      </c>
      <c r="D8268" t="s">
        <v>99</v>
      </c>
      <c r="E8268" t="s">
        <v>318</v>
      </c>
      <c r="F8268" t="s">
        <v>1135</v>
      </c>
      <c r="G8268" t="s">
        <v>99</v>
      </c>
    </row>
    <row r="8269" spans="1:7" x14ac:dyDescent="0.3">
      <c r="A8269" t="s">
        <v>37</v>
      </c>
      <c r="B8269" t="s">
        <v>258</v>
      </c>
      <c r="C8269">
        <v>3641</v>
      </c>
      <c r="D8269" t="s">
        <v>99</v>
      </c>
      <c r="E8269" t="s">
        <v>142</v>
      </c>
      <c r="F8269" t="s">
        <v>857</v>
      </c>
      <c r="G8269" t="s">
        <v>99</v>
      </c>
    </row>
    <row r="8270" spans="1:7" x14ac:dyDescent="0.3">
      <c r="A8270" t="s">
        <v>36</v>
      </c>
      <c r="B8270" t="s">
        <v>258</v>
      </c>
      <c r="C8270">
        <v>1701</v>
      </c>
      <c r="D8270" t="s">
        <v>99</v>
      </c>
      <c r="E8270" t="s">
        <v>315</v>
      </c>
      <c r="F8270" t="s">
        <v>966</v>
      </c>
      <c r="G8270" t="s">
        <v>99</v>
      </c>
    </row>
    <row r="8271" spans="1:7" x14ac:dyDescent="0.3">
      <c r="A8271" t="s">
        <v>36</v>
      </c>
      <c r="B8271" t="s">
        <v>260</v>
      </c>
      <c r="C8271">
        <v>259</v>
      </c>
      <c r="D8271" t="s">
        <v>136</v>
      </c>
      <c r="E8271" t="s">
        <v>318</v>
      </c>
      <c r="F8271" t="s">
        <v>883</v>
      </c>
      <c r="G8271" t="s">
        <v>99</v>
      </c>
    </row>
    <row r="8272" spans="1:7" x14ac:dyDescent="0.3">
      <c r="A8272" t="s">
        <v>34</v>
      </c>
      <c r="B8272" t="s">
        <v>258</v>
      </c>
      <c r="C8272">
        <v>634</v>
      </c>
      <c r="D8272" t="s">
        <v>99</v>
      </c>
      <c r="E8272" t="s">
        <v>129</v>
      </c>
      <c r="F8272" t="s">
        <v>782</v>
      </c>
      <c r="G8272" t="s">
        <v>99</v>
      </c>
    </row>
    <row r="8273" spans="1:7" x14ac:dyDescent="0.3">
      <c r="A8273" t="s">
        <v>34</v>
      </c>
      <c r="B8273" t="s">
        <v>260</v>
      </c>
      <c r="C8273">
        <v>968</v>
      </c>
      <c r="D8273" t="s">
        <v>99</v>
      </c>
      <c r="E8273" t="s">
        <v>267</v>
      </c>
      <c r="F8273" t="s">
        <v>356</v>
      </c>
      <c r="G8273" t="s">
        <v>104</v>
      </c>
    </row>
    <row r="8274" spans="1:7" x14ac:dyDescent="0.3">
      <c r="A8274" t="s">
        <v>33</v>
      </c>
      <c r="B8274" t="s">
        <v>258</v>
      </c>
      <c r="C8274">
        <v>1703</v>
      </c>
      <c r="D8274" t="s">
        <v>104</v>
      </c>
      <c r="E8274" t="s">
        <v>220</v>
      </c>
      <c r="F8274" t="s">
        <v>422</v>
      </c>
      <c r="G8274" t="s">
        <v>99</v>
      </c>
    </row>
    <row r="8275" spans="1:7" x14ac:dyDescent="0.3">
      <c r="A8275" t="s">
        <v>49</v>
      </c>
      <c r="B8275" t="s">
        <v>258</v>
      </c>
      <c r="C8275">
        <v>10348</v>
      </c>
      <c r="D8275" t="s">
        <v>99</v>
      </c>
      <c r="E8275" t="s">
        <v>41</v>
      </c>
      <c r="F8275" t="s">
        <v>421</v>
      </c>
      <c r="G8275" t="s">
        <v>99</v>
      </c>
    </row>
    <row r="8276" spans="1:7" x14ac:dyDescent="0.3">
      <c r="A8276" t="s">
        <v>49</v>
      </c>
      <c r="B8276" t="s">
        <v>260</v>
      </c>
      <c r="C8276">
        <v>1556</v>
      </c>
      <c r="D8276" t="s">
        <v>99</v>
      </c>
      <c r="E8276" t="s">
        <v>321</v>
      </c>
      <c r="F8276" t="s">
        <v>314</v>
      </c>
      <c r="G8276" t="s">
        <v>104</v>
      </c>
    </row>
    <row r="8278" spans="1:7" x14ac:dyDescent="0.3">
      <c r="A8278" t="s">
        <v>2321</v>
      </c>
    </row>
    <row r="8279" spans="1:7" x14ac:dyDescent="0.3">
      <c r="A8279" t="s">
        <v>44</v>
      </c>
      <c r="B8279" t="s">
        <v>1590</v>
      </c>
      <c r="C8279" t="s">
        <v>32</v>
      </c>
      <c r="D8279" t="s">
        <v>352</v>
      </c>
      <c r="E8279" t="s">
        <v>66</v>
      </c>
      <c r="F8279" t="s">
        <v>67</v>
      </c>
      <c r="G8279" t="s">
        <v>193</v>
      </c>
    </row>
    <row r="8280" spans="1:7" x14ac:dyDescent="0.3">
      <c r="A8280" t="s">
        <v>35</v>
      </c>
      <c r="B8280" t="s">
        <v>1591</v>
      </c>
      <c r="C8280">
        <v>1618</v>
      </c>
      <c r="D8280" t="s">
        <v>99</v>
      </c>
      <c r="E8280" t="s">
        <v>369</v>
      </c>
      <c r="F8280" t="s">
        <v>392</v>
      </c>
      <c r="G8280" t="s">
        <v>99</v>
      </c>
    </row>
    <row r="8281" spans="1:7" x14ac:dyDescent="0.3">
      <c r="A8281" t="s">
        <v>35</v>
      </c>
      <c r="B8281" t="s">
        <v>1592</v>
      </c>
      <c r="C8281">
        <v>1343</v>
      </c>
      <c r="D8281" t="s">
        <v>99</v>
      </c>
      <c r="E8281" t="s">
        <v>109</v>
      </c>
      <c r="F8281" t="s">
        <v>978</v>
      </c>
      <c r="G8281" t="s">
        <v>104</v>
      </c>
    </row>
    <row r="8282" spans="1:7" x14ac:dyDescent="0.3">
      <c r="A8282" t="s">
        <v>35</v>
      </c>
      <c r="B8282" t="s">
        <v>365</v>
      </c>
      <c r="C8282">
        <v>37</v>
      </c>
      <c r="D8282" t="s">
        <v>99</v>
      </c>
      <c r="E8282" t="s">
        <v>1157</v>
      </c>
      <c r="F8282" t="s">
        <v>1065</v>
      </c>
      <c r="G8282" t="s">
        <v>157</v>
      </c>
    </row>
    <row r="8283" spans="1:7" x14ac:dyDescent="0.3">
      <c r="A8283" t="s">
        <v>37</v>
      </c>
      <c r="B8283" t="s">
        <v>1591</v>
      </c>
      <c r="C8283">
        <v>1882</v>
      </c>
      <c r="D8283" t="s">
        <v>99</v>
      </c>
      <c r="E8283" t="s">
        <v>708</v>
      </c>
      <c r="F8283" t="s">
        <v>1007</v>
      </c>
      <c r="G8283" t="s">
        <v>99</v>
      </c>
    </row>
    <row r="8284" spans="1:7" x14ac:dyDescent="0.3">
      <c r="A8284" t="s">
        <v>37</v>
      </c>
      <c r="B8284" t="s">
        <v>1592</v>
      </c>
      <c r="C8284">
        <v>1701</v>
      </c>
      <c r="D8284" t="s">
        <v>99</v>
      </c>
      <c r="E8284" t="s">
        <v>144</v>
      </c>
      <c r="F8284" t="s">
        <v>376</v>
      </c>
      <c r="G8284" t="s">
        <v>99</v>
      </c>
    </row>
    <row r="8285" spans="1:7" x14ac:dyDescent="0.3">
      <c r="A8285" t="s">
        <v>37</v>
      </c>
      <c r="B8285" t="s">
        <v>365</v>
      </c>
      <c r="C8285">
        <v>58</v>
      </c>
      <c r="D8285" t="s">
        <v>99</v>
      </c>
      <c r="E8285" t="s">
        <v>78</v>
      </c>
      <c r="F8285" t="s">
        <v>79</v>
      </c>
      <c r="G8285" t="s">
        <v>99</v>
      </c>
    </row>
    <row r="8286" spans="1:7" x14ac:dyDescent="0.3">
      <c r="A8286" t="s">
        <v>36</v>
      </c>
      <c r="B8286" t="s">
        <v>1591</v>
      </c>
      <c r="C8286">
        <v>1364</v>
      </c>
      <c r="D8286" t="s">
        <v>99</v>
      </c>
      <c r="E8286" t="s">
        <v>465</v>
      </c>
      <c r="F8286" t="s">
        <v>200</v>
      </c>
      <c r="G8286" t="s">
        <v>99</v>
      </c>
    </row>
    <row r="8287" spans="1:7" x14ac:dyDescent="0.3">
      <c r="A8287" t="s">
        <v>36</v>
      </c>
      <c r="B8287" t="s">
        <v>1592</v>
      </c>
      <c r="C8287">
        <v>573</v>
      </c>
      <c r="D8287" t="s">
        <v>99</v>
      </c>
      <c r="E8287" t="s">
        <v>204</v>
      </c>
      <c r="F8287" t="s">
        <v>415</v>
      </c>
      <c r="G8287" t="s">
        <v>99</v>
      </c>
    </row>
    <row r="8288" spans="1:7" x14ac:dyDescent="0.3">
      <c r="A8288" t="s">
        <v>36</v>
      </c>
      <c r="B8288" t="s">
        <v>365</v>
      </c>
      <c r="C8288">
        <v>23</v>
      </c>
      <c r="D8288" t="s">
        <v>99</v>
      </c>
      <c r="E8288" t="s">
        <v>120</v>
      </c>
      <c r="F8288" t="s">
        <v>466</v>
      </c>
      <c r="G8288" t="s">
        <v>99</v>
      </c>
    </row>
    <row r="8289" spans="1:7" x14ac:dyDescent="0.3">
      <c r="A8289" t="s">
        <v>34</v>
      </c>
      <c r="B8289" t="s">
        <v>1591</v>
      </c>
      <c r="C8289">
        <v>875</v>
      </c>
      <c r="D8289" t="s">
        <v>99</v>
      </c>
      <c r="E8289" t="s">
        <v>175</v>
      </c>
      <c r="F8289" t="s">
        <v>263</v>
      </c>
      <c r="G8289" t="s">
        <v>104</v>
      </c>
    </row>
    <row r="8290" spans="1:7" x14ac:dyDescent="0.3">
      <c r="A8290" t="s">
        <v>34</v>
      </c>
      <c r="B8290" t="s">
        <v>1592</v>
      </c>
      <c r="C8290">
        <v>683</v>
      </c>
      <c r="D8290" t="s">
        <v>99</v>
      </c>
      <c r="E8290" t="s">
        <v>72</v>
      </c>
      <c r="F8290" t="s">
        <v>403</v>
      </c>
      <c r="G8290" t="s">
        <v>104</v>
      </c>
    </row>
    <row r="8291" spans="1:7" x14ac:dyDescent="0.3">
      <c r="A8291" t="s">
        <v>34</v>
      </c>
      <c r="B8291" t="s">
        <v>365</v>
      </c>
      <c r="C8291">
        <v>44</v>
      </c>
      <c r="D8291" t="s">
        <v>99</v>
      </c>
      <c r="E8291" t="s">
        <v>461</v>
      </c>
      <c r="F8291" t="s">
        <v>403</v>
      </c>
      <c r="G8291" t="s">
        <v>99</v>
      </c>
    </row>
    <row r="8292" spans="1:7" x14ac:dyDescent="0.3">
      <c r="A8292" t="s">
        <v>33</v>
      </c>
      <c r="B8292" t="s">
        <v>1591</v>
      </c>
      <c r="C8292">
        <v>687</v>
      </c>
      <c r="D8292" t="s">
        <v>207</v>
      </c>
      <c r="E8292" t="s">
        <v>688</v>
      </c>
      <c r="F8292" t="s">
        <v>845</v>
      </c>
      <c r="G8292" t="s">
        <v>99</v>
      </c>
    </row>
    <row r="8293" spans="1:7" x14ac:dyDescent="0.3">
      <c r="A8293" t="s">
        <v>33</v>
      </c>
      <c r="B8293" t="s">
        <v>1592</v>
      </c>
      <c r="C8293">
        <v>1000</v>
      </c>
      <c r="D8293" t="s">
        <v>99</v>
      </c>
      <c r="E8293" t="s">
        <v>184</v>
      </c>
      <c r="F8293" t="s">
        <v>185</v>
      </c>
      <c r="G8293" t="s">
        <v>99</v>
      </c>
    </row>
    <row r="8294" spans="1:7" x14ac:dyDescent="0.3">
      <c r="A8294" t="s">
        <v>33</v>
      </c>
      <c r="B8294" t="s">
        <v>365</v>
      </c>
      <c r="C8294">
        <v>16</v>
      </c>
      <c r="D8294" t="s">
        <v>99</v>
      </c>
      <c r="E8294" t="s">
        <v>716</v>
      </c>
      <c r="F8294" t="s">
        <v>873</v>
      </c>
      <c r="G8294" t="s">
        <v>99</v>
      </c>
    </row>
    <row r="8295" spans="1:7" x14ac:dyDescent="0.3">
      <c r="A8295" t="s">
        <v>49</v>
      </c>
      <c r="B8295" t="s">
        <v>1591</v>
      </c>
      <c r="C8295">
        <v>6426</v>
      </c>
      <c r="D8295" t="s">
        <v>99</v>
      </c>
      <c r="E8295" t="s">
        <v>294</v>
      </c>
      <c r="F8295" t="s">
        <v>762</v>
      </c>
      <c r="G8295" t="s">
        <v>99</v>
      </c>
    </row>
    <row r="8296" spans="1:7" x14ac:dyDescent="0.3">
      <c r="A8296" t="s">
        <v>49</v>
      </c>
      <c r="B8296" t="s">
        <v>1592</v>
      </c>
      <c r="C8296">
        <v>5300</v>
      </c>
      <c r="D8296" t="s">
        <v>99</v>
      </c>
      <c r="E8296" t="s">
        <v>152</v>
      </c>
      <c r="F8296" t="s">
        <v>226</v>
      </c>
      <c r="G8296" t="s">
        <v>99</v>
      </c>
    </row>
    <row r="8297" spans="1:7" x14ac:dyDescent="0.3">
      <c r="A8297" t="s">
        <v>49</v>
      </c>
      <c r="B8297" t="s">
        <v>365</v>
      </c>
      <c r="C8297">
        <v>178</v>
      </c>
      <c r="D8297" t="s">
        <v>99</v>
      </c>
      <c r="E8297" t="s">
        <v>708</v>
      </c>
      <c r="F8297" t="s">
        <v>866</v>
      </c>
      <c r="G8297" t="s">
        <v>253</v>
      </c>
    </row>
    <row r="8299" spans="1:7" x14ac:dyDescent="0.3">
      <c r="A8299" t="s">
        <v>2322</v>
      </c>
    </row>
    <row r="8300" spans="1:7" x14ac:dyDescent="0.3">
      <c r="A8300" t="s">
        <v>44</v>
      </c>
      <c r="B8300" t="s">
        <v>32</v>
      </c>
      <c r="C8300" t="s">
        <v>352</v>
      </c>
      <c r="D8300" t="s">
        <v>66</v>
      </c>
      <c r="E8300" t="s">
        <v>67</v>
      </c>
      <c r="F8300" t="s">
        <v>193</v>
      </c>
    </row>
    <row r="8301" spans="1:7" x14ac:dyDescent="0.3">
      <c r="A8301" t="s">
        <v>35</v>
      </c>
      <c r="B8301">
        <v>2711</v>
      </c>
      <c r="C8301" t="s">
        <v>104</v>
      </c>
      <c r="D8301" t="s">
        <v>434</v>
      </c>
      <c r="E8301" t="s">
        <v>367</v>
      </c>
      <c r="F8301" t="s">
        <v>207</v>
      </c>
    </row>
    <row r="8302" spans="1:7" x14ac:dyDescent="0.3">
      <c r="A8302" t="s">
        <v>37</v>
      </c>
      <c r="B8302">
        <v>3262</v>
      </c>
      <c r="C8302" t="s">
        <v>99</v>
      </c>
      <c r="D8302" t="s">
        <v>215</v>
      </c>
      <c r="E8302" t="s">
        <v>1026</v>
      </c>
      <c r="F8302" t="s">
        <v>99</v>
      </c>
    </row>
    <row r="8303" spans="1:7" x14ac:dyDescent="0.3">
      <c r="A8303" t="s">
        <v>36</v>
      </c>
      <c r="B8303">
        <v>1753</v>
      </c>
      <c r="C8303" t="s">
        <v>99</v>
      </c>
      <c r="D8303" t="s">
        <v>242</v>
      </c>
      <c r="E8303" t="s">
        <v>375</v>
      </c>
      <c r="F8303" t="s">
        <v>99</v>
      </c>
    </row>
    <row r="8304" spans="1:7" x14ac:dyDescent="0.3">
      <c r="A8304" t="s">
        <v>34</v>
      </c>
      <c r="B8304">
        <v>1410</v>
      </c>
      <c r="C8304" t="s">
        <v>207</v>
      </c>
      <c r="D8304" t="s">
        <v>109</v>
      </c>
      <c r="E8304" t="s">
        <v>161</v>
      </c>
      <c r="F8304" t="s">
        <v>99</v>
      </c>
    </row>
    <row r="8305" spans="1:7" x14ac:dyDescent="0.3">
      <c r="A8305" t="s">
        <v>33</v>
      </c>
      <c r="B8305">
        <v>1535</v>
      </c>
      <c r="C8305" t="s">
        <v>104</v>
      </c>
      <c r="D8305" t="s">
        <v>117</v>
      </c>
      <c r="E8305" t="s">
        <v>851</v>
      </c>
      <c r="F8305" t="s">
        <v>99</v>
      </c>
    </row>
    <row r="8306" spans="1:7" x14ac:dyDescent="0.3">
      <c r="A8306" t="s">
        <v>49</v>
      </c>
      <c r="B8306">
        <v>10671</v>
      </c>
      <c r="C8306" t="s">
        <v>104</v>
      </c>
      <c r="D8306" t="s">
        <v>134</v>
      </c>
      <c r="E8306" t="s">
        <v>768</v>
      </c>
      <c r="F8306" t="s">
        <v>104</v>
      </c>
    </row>
    <row r="8308" spans="1:7" x14ac:dyDescent="0.3">
      <c r="A8308" t="s">
        <v>2323</v>
      </c>
    </row>
    <row r="8309" spans="1:7" x14ac:dyDescent="0.3">
      <c r="A8309" t="s">
        <v>44</v>
      </c>
      <c r="B8309" t="s">
        <v>2267</v>
      </c>
      <c r="C8309" t="s">
        <v>32</v>
      </c>
      <c r="D8309" t="s">
        <v>67</v>
      </c>
      <c r="E8309" t="s">
        <v>352</v>
      </c>
      <c r="F8309" t="s">
        <v>66</v>
      </c>
      <c r="G8309" t="s">
        <v>193</v>
      </c>
    </row>
    <row r="8310" spans="1:7" x14ac:dyDescent="0.3">
      <c r="A8310" t="s">
        <v>35</v>
      </c>
      <c r="B8310" t="s">
        <v>973</v>
      </c>
      <c r="C8310">
        <v>75</v>
      </c>
      <c r="D8310" t="s">
        <v>202</v>
      </c>
      <c r="E8310" t="s">
        <v>99</v>
      </c>
      <c r="F8310" t="s">
        <v>111</v>
      </c>
      <c r="G8310" t="s">
        <v>99</v>
      </c>
    </row>
    <row r="8311" spans="1:7" x14ac:dyDescent="0.3">
      <c r="A8311" t="s">
        <v>35</v>
      </c>
      <c r="B8311" t="s">
        <v>2268</v>
      </c>
      <c r="C8311">
        <v>109</v>
      </c>
      <c r="D8311" t="s">
        <v>989</v>
      </c>
      <c r="E8311" t="s">
        <v>99</v>
      </c>
      <c r="F8311" t="s">
        <v>132</v>
      </c>
      <c r="G8311" t="s">
        <v>99</v>
      </c>
    </row>
    <row r="8312" spans="1:7" x14ac:dyDescent="0.3">
      <c r="A8312" t="s">
        <v>35</v>
      </c>
      <c r="B8312" t="s">
        <v>2269</v>
      </c>
      <c r="C8312">
        <v>111</v>
      </c>
      <c r="D8312" t="s">
        <v>786</v>
      </c>
      <c r="E8312" t="s">
        <v>99</v>
      </c>
      <c r="F8312" t="s">
        <v>149</v>
      </c>
      <c r="G8312" t="s">
        <v>99</v>
      </c>
    </row>
    <row r="8313" spans="1:7" x14ac:dyDescent="0.3">
      <c r="A8313" t="s">
        <v>35</v>
      </c>
      <c r="B8313" t="s">
        <v>2270</v>
      </c>
      <c r="C8313">
        <v>66</v>
      </c>
      <c r="D8313" t="s">
        <v>211</v>
      </c>
      <c r="E8313" t="s">
        <v>99</v>
      </c>
      <c r="F8313" t="s">
        <v>99</v>
      </c>
      <c r="G8313" t="s">
        <v>99</v>
      </c>
    </row>
    <row r="8314" spans="1:7" x14ac:dyDescent="0.3">
      <c r="A8314" t="s">
        <v>35</v>
      </c>
      <c r="B8314" t="s">
        <v>2271</v>
      </c>
      <c r="C8314">
        <v>397</v>
      </c>
      <c r="D8314" t="s">
        <v>237</v>
      </c>
      <c r="E8314" t="s">
        <v>104</v>
      </c>
      <c r="F8314" t="s">
        <v>129</v>
      </c>
      <c r="G8314" t="s">
        <v>99</v>
      </c>
    </row>
    <row r="8315" spans="1:7" x14ac:dyDescent="0.3">
      <c r="A8315" t="s">
        <v>35</v>
      </c>
      <c r="B8315" t="s">
        <v>2272</v>
      </c>
      <c r="C8315">
        <v>402</v>
      </c>
      <c r="D8315" t="s">
        <v>759</v>
      </c>
      <c r="E8315" t="s">
        <v>99</v>
      </c>
      <c r="F8315" t="s">
        <v>154</v>
      </c>
      <c r="G8315" t="s">
        <v>99</v>
      </c>
    </row>
    <row r="8316" spans="1:7" x14ac:dyDescent="0.3">
      <c r="A8316" t="s">
        <v>35</v>
      </c>
      <c r="B8316" t="s">
        <v>2273</v>
      </c>
      <c r="C8316">
        <v>458</v>
      </c>
      <c r="D8316" t="s">
        <v>505</v>
      </c>
      <c r="E8316" t="s">
        <v>207</v>
      </c>
      <c r="F8316" t="s">
        <v>68</v>
      </c>
      <c r="G8316" t="s">
        <v>207</v>
      </c>
    </row>
    <row r="8317" spans="1:7" x14ac:dyDescent="0.3">
      <c r="A8317" t="s">
        <v>35</v>
      </c>
      <c r="B8317" t="s">
        <v>976</v>
      </c>
      <c r="C8317">
        <v>90</v>
      </c>
      <c r="D8317" t="s">
        <v>422</v>
      </c>
      <c r="E8317" t="s">
        <v>99</v>
      </c>
      <c r="F8317" t="s">
        <v>117</v>
      </c>
      <c r="G8317" t="s">
        <v>184</v>
      </c>
    </row>
    <row r="8318" spans="1:7" x14ac:dyDescent="0.3">
      <c r="A8318" t="s">
        <v>35</v>
      </c>
      <c r="B8318" t="s">
        <v>2274</v>
      </c>
      <c r="C8318">
        <v>88</v>
      </c>
      <c r="D8318" t="s">
        <v>211</v>
      </c>
      <c r="E8318" t="s">
        <v>99</v>
      </c>
      <c r="F8318" t="s">
        <v>99</v>
      </c>
      <c r="G8318" t="s">
        <v>99</v>
      </c>
    </row>
    <row r="8319" spans="1:7" x14ac:dyDescent="0.3">
      <c r="A8319" t="s">
        <v>35</v>
      </c>
      <c r="B8319" t="s">
        <v>2275</v>
      </c>
      <c r="C8319">
        <v>118</v>
      </c>
      <c r="D8319" t="s">
        <v>511</v>
      </c>
      <c r="E8319" t="s">
        <v>99</v>
      </c>
      <c r="F8319" t="s">
        <v>136</v>
      </c>
      <c r="G8319" t="s">
        <v>99</v>
      </c>
    </row>
    <row r="8320" spans="1:7" x14ac:dyDescent="0.3">
      <c r="A8320" t="s">
        <v>35</v>
      </c>
      <c r="B8320" t="s">
        <v>2276</v>
      </c>
      <c r="C8320">
        <v>45</v>
      </c>
      <c r="D8320" t="s">
        <v>786</v>
      </c>
      <c r="E8320" t="s">
        <v>99</v>
      </c>
      <c r="F8320" t="s">
        <v>149</v>
      </c>
      <c r="G8320" t="s">
        <v>99</v>
      </c>
    </row>
    <row r="8321" spans="1:7" x14ac:dyDescent="0.3">
      <c r="A8321" t="s">
        <v>35</v>
      </c>
      <c r="B8321" t="s">
        <v>2277</v>
      </c>
      <c r="C8321">
        <v>275</v>
      </c>
      <c r="D8321" t="s">
        <v>391</v>
      </c>
      <c r="E8321" t="s">
        <v>136</v>
      </c>
      <c r="F8321" t="s">
        <v>143</v>
      </c>
      <c r="G8321" t="s">
        <v>99</v>
      </c>
    </row>
    <row r="8322" spans="1:7" x14ac:dyDescent="0.3">
      <c r="A8322" t="s">
        <v>35</v>
      </c>
      <c r="B8322" t="s">
        <v>2278</v>
      </c>
      <c r="C8322">
        <v>237</v>
      </c>
      <c r="D8322" t="s">
        <v>377</v>
      </c>
      <c r="E8322" t="s">
        <v>99</v>
      </c>
      <c r="F8322" t="s">
        <v>220</v>
      </c>
      <c r="G8322" t="s">
        <v>99</v>
      </c>
    </row>
    <row r="8323" spans="1:7" x14ac:dyDescent="0.3">
      <c r="A8323" t="s">
        <v>35</v>
      </c>
      <c r="B8323" t="s">
        <v>2279</v>
      </c>
      <c r="C8323">
        <v>232</v>
      </c>
      <c r="D8323" t="s">
        <v>1017</v>
      </c>
      <c r="E8323" t="s">
        <v>99</v>
      </c>
      <c r="F8323" t="s">
        <v>712</v>
      </c>
      <c r="G8323" t="s">
        <v>99</v>
      </c>
    </row>
    <row r="8324" spans="1:7" x14ac:dyDescent="0.3">
      <c r="A8324" t="s">
        <v>35</v>
      </c>
      <c r="B8324" t="s">
        <v>365</v>
      </c>
      <c r="C8324">
        <v>8</v>
      </c>
      <c r="D8324" t="s">
        <v>211</v>
      </c>
      <c r="E8324" t="s">
        <v>99</v>
      </c>
      <c r="F8324" t="s">
        <v>99</v>
      </c>
      <c r="G8324" t="s">
        <v>99</v>
      </c>
    </row>
    <row r="8325" spans="1:7" x14ac:dyDescent="0.3">
      <c r="A8325" t="s">
        <v>37</v>
      </c>
      <c r="B8325" t="s">
        <v>973</v>
      </c>
      <c r="C8325">
        <v>93</v>
      </c>
      <c r="D8325" t="s">
        <v>249</v>
      </c>
      <c r="E8325" t="s">
        <v>99</v>
      </c>
      <c r="F8325" t="s">
        <v>316</v>
      </c>
      <c r="G8325" t="s">
        <v>99</v>
      </c>
    </row>
    <row r="8326" spans="1:7" x14ac:dyDescent="0.3">
      <c r="A8326" t="s">
        <v>37</v>
      </c>
      <c r="B8326" t="s">
        <v>2268</v>
      </c>
      <c r="C8326">
        <v>123</v>
      </c>
      <c r="D8326" t="s">
        <v>225</v>
      </c>
      <c r="E8326" t="s">
        <v>99</v>
      </c>
      <c r="F8326" t="s">
        <v>114</v>
      </c>
      <c r="G8326" t="s">
        <v>99</v>
      </c>
    </row>
    <row r="8327" spans="1:7" x14ac:dyDescent="0.3">
      <c r="A8327" t="s">
        <v>37</v>
      </c>
      <c r="B8327" t="s">
        <v>2269</v>
      </c>
      <c r="C8327">
        <v>148</v>
      </c>
      <c r="D8327" t="s">
        <v>211</v>
      </c>
      <c r="E8327" t="s">
        <v>99</v>
      </c>
      <c r="F8327" t="s">
        <v>99</v>
      </c>
      <c r="G8327" t="s">
        <v>99</v>
      </c>
    </row>
    <row r="8328" spans="1:7" x14ac:dyDescent="0.3">
      <c r="A8328" t="s">
        <v>37</v>
      </c>
      <c r="B8328" t="s">
        <v>2270</v>
      </c>
      <c r="C8328">
        <v>83</v>
      </c>
      <c r="D8328" t="s">
        <v>211</v>
      </c>
      <c r="E8328" t="s">
        <v>99</v>
      </c>
      <c r="F8328" t="s">
        <v>99</v>
      </c>
      <c r="G8328" t="s">
        <v>99</v>
      </c>
    </row>
    <row r="8329" spans="1:7" x14ac:dyDescent="0.3">
      <c r="A8329" t="s">
        <v>37</v>
      </c>
      <c r="B8329" t="s">
        <v>2271</v>
      </c>
      <c r="C8329">
        <v>439</v>
      </c>
      <c r="D8329" t="s">
        <v>385</v>
      </c>
      <c r="E8329" t="s">
        <v>99</v>
      </c>
      <c r="F8329" t="s">
        <v>121</v>
      </c>
      <c r="G8329" t="s">
        <v>99</v>
      </c>
    </row>
    <row r="8330" spans="1:7" x14ac:dyDescent="0.3">
      <c r="A8330" t="s">
        <v>37</v>
      </c>
      <c r="B8330" t="s">
        <v>2272</v>
      </c>
      <c r="C8330">
        <v>439</v>
      </c>
      <c r="D8330" t="s">
        <v>383</v>
      </c>
      <c r="E8330" t="s">
        <v>99</v>
      </c>
      <c r="F8330" t="s">
        <v>215</v>
      </c>
      <c r="G8330" t="s">
        <v>99</v>
      </c>
    </row>
    <row r="8331" spans="1:7" x14ac:dyDescent="0.3">
      <c r="A8331" t="s">
        <v>37</v>
      </c>
      <c r="B8331" t="s">
        <v>2273</v>
      </c>
      <c r="C8331">
        <v>575</v>
      </c>
      <c r="D8331" t="s">
        <v>999</v>
      </c>
      <c r="E8331" t="s">
        <v>198</v>
      </c>
      <c r="F8331" t="s">
        <v>100</v>
      </c>
      <c r="G8331" t="s">
        <v>99</v>
      </c>
    </row>
    <row r="8332" spans="1:7" x14ac:dyDescent="0.3">
      <c r="A8332" t="s">
        <v>37</v>
      </c>
      <c r="B8332" t="s">
        <v>976</v>
      </c>
      <c r="C8332">
        <v>97</v>
      </c>
      <c r="D8332" t="s">
        <v>766</v>
      </c>
      <c r="E8332" t="s">
        <v>99</v>
      </c>
      <c r="F8332" t="s">
        <v>151</v>
      </c>
      <c r="G8332" t="s">
        <v>99</v>
      </c>
    </row>
    <row r="8333" spans="1:7" x14ac:dyDescent="0.3">
      <c r="A8333" t="s">
        <v>37</v>
      </c>
      <c r="B8333" t="s">
        <v>2274</v>
      </c>
      <c r="C8333">
        <v>108</v>
      </c>
      <c r="D8333" t="s">
        <v>211</v>
      </c>
      <c r="E8333" t="s">
        <v>99</v>
      </c>
      <c r="F8333" t="s">
        <v>99</v>
      </c>
      <c r="G8333" t="s">
        <v>99</v>
      </c>
    </row>
    <row r="8334" spans="1:7" x14ac:dyDescent="0.3">
      <c r="A8334" t="s">
        <v>37</v>
      </c>
      <c r="B8334" t="s">
        <v>2275</v>
      </c>
      <c r="C8334">
        <v>161</v>
      </c>
      <c r="D8334" t="s">
        <v>989</v>
      </c>
      <c r="E8334" t="s">
        <v>99</v>
      </c>
      <c r="F8334" t="s">
        <v>132</v>
      </c>
      <c r="G8334" t="s">
        <v>99</v>
      </c>
    </row>
    <row r="8335" spans="1:7" x14ac:dyDescent="0.3">
      <c r="A8335" t="s">
        <v>37</v>
      </c>
      <c r="B8335" t="s">
        <v>2276</v>
      </c>
      <c r="C8335">
        <v>48</v>
      </c>
      <c r="D8335" t="s">
        <v>226</v>
      </c>
      <c r="E8335" t="s">
        <v>99</v>
      </c>
      <c r="F8335" t="s">
        <v>474</v>
      </c>
      <c r="G8335" t="s">
        <v>128</v>
      </c>
    </row>
    <row r="8336" spans="1:7" x14ac:dyDescent="0.3">
      <c r="A8336" t="s">
        <v>37</v>
      </c>
      <c r="B8336" t="s">
        <v>2277</v>
      </c>
      <c r="C8336">
        <v>314</v>
      </c>
      <c r="D8336" t="s">
        <v>384</v>
      </c>
      <c r="E8336" t="s">
        <v>99</v>
      </c>
      <c r="F8336" t="s">
        <v>105</v>
      </c>
      <c r="G8336" t="s">
        <v>99</v>
      </c>
    </row>
    <row r="8337" spans="1:7" x14ac:dyDescent="0.3">
      <c r="A8337" t="s">
        <v>37</v>
      </c>
      <c r="B8337" t="s">
        <v>2278</v>
      </c>
      <c r="C8337">
        <v>330</v>
      </c>
      <c r="D8337" t="s">
        <v>466</v>
      </c>
      <c r="E8337" t="s">
        <v>99</v>
      </c>
      <c r="F8337" t="s">
        <v>120</v>
      </c>
      <c r="G8337" t="s">
        <v>99</v>
      </c>
    </row>
    <row r="8338" spans="1:7" x14ac:dyDescent="0.3">
      <c r="A8338" t="s">
        <v>37</v>
      </c>
      <c r="B8338" t="s">
        <v>2279</v>
      </c>
      <c r="C8338">
        <v>303</v>
      </c>
      <c r="D8338" t="s">
        <v>780</v>
      </c>
      <c r="E8338" t="s">
        <v>99</v>
      </c>
      <c r="F8338" t="s">
        <v>128</v>
      </c>
      <c r="G8338" t="s">
        <v>99</v>
      </c>
    </row>
    <row r="8339" spans="1:7" x14ac:dyDescent="0.3">
      <c r="A8339" t="s">
        <v>37</v>
      </c>
      <c r="B8339" t="s">
        <v>365</v>
      </c>
      <c r="C8339">
        <v>1</v>
      </c>
      <c r="D8339" t="s">
        <v>211</v>
      </c>
      <c r="E8339" t="s">
        <v>99</v>
      </c>
      <c r="F8339" t="s">
        <v>99</v>
      </c>
      <c r="G8339" t="s">
        <v>99</v>
      </c>
    </row>
    <row r="8340" spans="1:7" x14ac:dyDescent="0.3">
      <c r="A8340" t="s">
        <v>36</v>
      </c>
      <c r="B8340" t="s">
        <v>973</v>
      </c>
      <c r="C8340">
        <v>34</v>
      </c>
      <c r="D8340" t="s">
        <v>211</v>
      </c>
      <c r="E8340" t="s">
        <v>99</v>
      </c>
      <c r="F8340" t="s">
        <v>99</v>
      </c>
      <c r="G8340" t="s">
        <v>99</v>
      </c>
    </row>
    <row r="8341" spans="1:7" x14ac:dyDescent="0.3">
      <c r="A8341" t="s">
        <v>36</v>
      </c>
      <c r="B8341" t="s">
        <v>2268</v>
      </c>
      <c r="C8341">
        <v>48</v>
      </c>
      <c r="D8341" t="s">
        <v>778</v>
      </c>
      <c r="E8341" t="s">
        <v>99</v>
      </c>
      <c r="F8341" t="s">
        <v>277</v>
      </c>
      <c r="G8341" t="s">
        <v>99</v>
      </c>
    </row>
    <row r="8342" spans="1:7" x14ac:dyDescent="0.3">
      <c r="A8342" t="s">
        <v>36</v>
      </c>
      <c r="B8342" t="s">
        <v>2269</v>
      </c>
      <c r="C8342">
        <v>69</v>
      </c>
      <c r="D8342" t="s">
        <v>79</v>
      </c>
      <c r="E8342" t="s">
        <v>99</v>
      </c>
      <c r="F8342" t="s">
        <v>78</v>
      </c>
      <c r="G8342" t="s">
        <v>99</v>
      </c>
    </row>
    <row r="8343" spans="1:7" x14ac:dyDescent="0.3">
      <c r="A8343" t="s">
        <v>36</v>
      </c>
      <c r="B8343" t="s">
        <v>2270</v>
      </c>
      <c r="C8343">
        <v>46</v>
      </c>
      <c r="D8343" t="s">
        <v>999</v>
      </c>
      <c r="E8343" t="s">
        <v>99</v>
      </c>
      <c r="F8343" t="s">
        <v>101</v>
      </c>
      <c r="G8343" t="s">
        <v>99</v>
      </c>
    </row>
    <row r="8344" spans="1:7" x14ac:dyDescent="0.3">
      <c r="A8344" t="s">
        <v>36</v>
      </c>
      <c r="B8344" t="s">
        <v>2271</v>
      </c>
      <c r="C8344">
        <v>300</v>
      </c>
      <c r="D8344" t="s">
        <v>766</v>
      </c>
      <c r="E8344" t="s">
        <v>99</v>
      </c>
      <c r="F8344" t="s">
        <v>151</v>
      </c>
      <c r="G8344" t="s">
        <v>99</v>
      </c>
    </row>
    <row r="8345" spans="1:7" x14ac:dyDescent="0.3">
      <c r="A8345" t="s">
        <v>36</v>
      </c>
      <c r="B8345" t="s">
        <v>2272</v>
      </c>
      <c r="C8345">
        <v>288</v>
      </c>
      <c r="D8345" t="s">
        <v>978</v>
      </c>
      <c r="E8345" t="s">
        <v>99</v>
      </c>
      <c r="F8345" t="s">
        <v>152</v>
      </c>
      <c r="G8345" t="s">
        <v>99</v>
      </c>
    </row>
    <row r="8346" spans="1:7" x14ac:dyDescent="0.3">
      <c r="A8346" t="s">
        <v>36</v>
      </c>
      <c r="B8346" t="s">
        <v>2273</v>
      </c>
      <c r="C8346">
        <v>273</v>
      </c>
      <c r="D8346" t="s">
        <v>378</v>
      </c>
      <c r="E8346" t="s">
        <v>99</v>
      </c>
      <c r="F8346" t="s">
        <v>125</v>
      </c>
      <c r="G8346" t="s">
        <v>99</v>
      </c>
    </row>
    <row r="8347" spans="1:7" x14ac:dyDescent="0.3">
      <c r="A8347" t="s">
        <v>36</v>
      </c>
      <c r="B8347" t="s">
        <v>976</v>
      </c>
      <c r="C8347">
        <v>44</v>
      </c>
      <c r="D8347" t="s">
        <v>999</v>
      </c>
      <c r="E8347" t="s">
        <v>99</v>
      </c>
      <c r="F8347" t="s">
        <v>101</v>
      </c>
      <c r="G8347" t="s">
        <v>99</v>
      </c>
    </row>
    <row r="8348" spans="1:7" x14ac:dyDescent="0.3">
      <c r="A8348" t="s">
        <v>36</v>
      </c>
      <c r="B8348" t="s">
        <v>2274</v>
      </c>
      <c r="C8348">
        <v>53</v>
      </c>
      <c r="D8348" t="s">
        <v>385</v>
      </c>
      <c r="E8348" t="s">
        <v>99</v>
      </c>
      <c r="F8348" t="s">
        <v>121</v>
      </c>
      <c r="G8348" t="s">
        <v>99</v>
      </c>
    </row>
    <row r="8349" spans="1:7" x14ac:dyDescent="0.3">
      <c r="A8349" t="s">
        <v>36</v>
      </c>
      <c r="B8349" t="s">
        <v>2275</v>
      </c>
      <c r="C8349">
        <v>68</v>
      </c>
      <c r="D8349" t="s">
        <v>433</v>
      </c>
      <c r="E8349" t="s">
        <v>99</v>
      </c>
      <c r="F8349" t="s">
        <v>434</v>
      </c>
      <c r="G8349" t="s">
        <v>99</v>
      </c>
    </row>
    <row r="8350" spans="1:7" s="5" customFormat="1" x14ac:dyDescent="0.3">
      <c r="A8350" s="5" t="s">
        <v>36</v>
      </c>
      <c r="B8350" s="5" t="s">
        <v>2276</v>
      </c>
      <c r="C8350" s="5">
        <v>24</v>
      </c>
      <c r="D8350" s="5" t="s">
        <v>1022</v>
      </c>
      <c r="E8350" s="5" t="s">
        <v>99</v>
      </c>
      <c r="F8350" s="5" t="s">
        <v>108</v>
      </c>
      <c r="G8350" s="5" t="s">
        <v>99</v>
      </c>
    </row>
    <row r="8351" spans="1:7" x14ac:dyDescent="0.3">
      <c r="A8351" t="s">
        <v>36</v>
      </c>
      <c r="B8351" t="s">
        <v>2277</v>
      </c>
      <c r="C8351">
        <v>177</v>
      </c>
      <c r="D8351" t="s">
        <v>779</v>
      </c>
      <c r="E8351" t="s">
        <v>99</v>
      </c>
      <c r="F8351" t="s">
        <v>118</v>
      </c>
      <c r="G8351" t="s">
        <v>99</v>
      </c>
    </row>
    <row r="8352" spans="1:7" x14ac:dyDescent="0.3">
      <c r="A8352" t="s">
        <v>36</v>
      </c>
      <c r="B8352" t="s">
        <v>2278</v>
      </c>
      <c r="C8352">
        <v>174</v>
      </c>
      <c r="D8352" t="s">
        <v>333</v>
      </c>
      <c r="E8352" t="s">
        <v>99</v>
      </c>
      <c r="F8352" t="s">
        <v>134</v>
      </c>
      <c r="G8352" t="s">
        <v>99</v>
      </c>
    </row>
    <row r="8353" spans="1:7" x14ac:dyDescent="0.3">
      <c r="A8353" t="s">
        <v>36</v>
      </c>
      <c r="B8353" t="s">
        <v>2279</v>
      </c>
      <c r="C8353">
        <v>147</v>
      </c>
      <c r="D8353" t="s">
        <v>337</v>
      </c>
      <c r="E8353" t="s">
        <v>99</v>
      </c>
      <c r="F8353" t="s">
        <v>474</v>
      </c>
      <c r="G8353" t="s">
        <v>99</v>
      </c>
    </row>
    <row r="8354" spans="1:7" x14ac:dyDescent="0.3">
      <c r="A8354" t="s">
        <v>36</v>
      </c>
      <c r="B8354" t="s">
        <v>365</v>
      </c>
      <c r="C8354">
        <v>8</v>
      </c>
      <c r="D8354" t="s">
        <v>991</v>
      </c>
      <c r="E8354" t="s">
        <v>99</v>
      </c>
      <c r="F8354" t="s">
        <v>990</v>
      </c>
      <c r="G8354" t="s">
        <v>99</v>
      </c>
    </row>
    <row r="8355" spans="1:7" x14ac:dyDescent="0.3">
      <c r="A8355" t="s">
        <v>34</v>
      </c>
      <c r="B8355" t="s">
        <v>973</v>
      </c>
      <c r="C8355">
        <v>44</v>
      </c>
      <c r="D8355" t="s">
        <v>398</v>
      </c>
      <c r="E8355" t="s">
        <v>99</v>
      </c>
      <c r="F8355" t="s">
        <v>147</v>
      </c>
      <c r="G8355" t="s">
        <v>99</v>
      </c>
    </row>
    <row r="8356" spans="1:7" x14ac:dyDescent="0.3">
      <c r="A8356" t="s">
        <v>34</v>
      </c>
      <c r="B8356" t="s">
        <v>2268</v>
      </c>
      <c r="C8356">
        <v>51</v>
      </c>
      <c r="D8356" t="s">
        <v>211</v>
      </c>
      <c r="E8356" t="s">
        <v>99</v>
      </c>
      <c r="F8356" t="s">
        <v>99</v>
      </c>
      <c r="G8356" t="s">
        <v>99</v>
      </c>
    </row>
    <row r="8357" spans="1:7" x14ac:dyDescent="0.3">
      <c r="A8357" t="s">
        <v>34</v>
      </c>
      <c r="B8357" t="s">
        <v>2269</v>
      </c>
      <c r="C8357">
        <v>37</v>
      </c>
      <c r="D8357" t="s">
        <v>337</v>
      </c>
      <c r="E8357" t="s">
        <v>99</v>
      </c>
      <c r="F8357" t="s">
        <v>474</v>
      </c>
      <c r="G8357" t="s">
        <v>99</v>
      </c>
    </row>
    <row r="8358" spans="1:7" s="5" customFormat="1" x14ac:dyDescent="0.3">
      <c r="A8358" s="5" t="s">
        <v>34</v>
      </c>
      <c r="B8358" s="5" t="s">
        <v>2270</v>
      </c>
      <c r="C8358" s="5">
        <v>26</v>
      </c>
      <c r="D8358" s="5" t="s">
        <v>211</v>
      </c>
      <c r="E8358" s="5" t="s">
        <v>99</v>
      </c>
      <c r="F8358" s="5" t="s">
        <v>99</v>
      </c>
      <c r="G8358" s="5" t="s">
        <v>99</v>
      </c>
    </row>
    <row r="8359" spans="1:7" x14ac:dyDescent="0.3">
      <c r="A8359" t="s">
        <v>34</v>
      </c>
      <c r="B8359" t="s">
        <v>2271</v>
      </c>
      <c r="C8359">
        <v>246</v>
      </c>
      <c r="D8359" t="s">
        <v>758</v>
      </c>
      <c r="E8359" t="s">
        <v>99</v>
      </c>
      <c r="F8359" t="s">
        <v>124</v>
      </c>
      <c r="G8359" t="s">
        <v>99</v>
      </c>
    </row>
    <row r="8360" spans="1:7" x14ac:dyDescent="0.3">
      <c r="A8360" t="s">
        <v>34</v>
      </c>
      <c r="B8360" t="s">
        <v>2272</v>
      </c>
      <c r="C8360">
        <v>206</v>
      </c>
      <c r="D8360" t="s">
        <v>172</v>
      </c>
      <c r="E8360" t="s">
        <v>99</v>
      </c>
      <c r="F8360" t="s">
        <v>171</v>
      </c>
      <c r="G8360" t="s">
        <v>99</v>
      </c>
    </row>
    <row r="8361" spans="1:7" x14ac:dyDescent="0.3">
      <c r="A8361" t="s">
        <v>34</v>
      </c>
      <c r="B8361" t="s">
        <v>2273</v>
      </c>
      <c r="C8361">
        <v>209</v>
      </c>
      <c r="D8361" t="s">
        <v>419</v>
      </c>
      <c r="E8361" t="s">
        <v>99</v>
      </c>
      <c r="F8361" t="s">
        <v>353</v>
      </c>
      <c r="G8361" t="s">
        <v>99</v>
      </c>
    </row>
    <row r="8362" spans="1:7" x14ac:dyDescent="0.3">
      <c r="A8362" t="s">
        <v>34</v>
      </c>
      <c r="B8362" t="s">
        <v>976</v>
      </c>
      <c r="C8362">
        <v>44</v>
      </c>
      <c r="D8362" t="s">
        <v>998</v>
      </c>
      <c r="E8362" t="s">
        <v>99</v>
      </c>
      <c r="F8362" t="s">
        <v>107</v>
      </c>
      <c r="G8362" t="s">
        <v>99</v>
      </c>
    </row>
    <row r="8363" spans="1:7" x14ac:dyDescent="0.3">
      <c r="A8363" t="s">
        <v>34</v>
      </c>
      <c r="B8363" t="s">
        <v>2274</v>
      </c>
      <c r="C8363">
        <v>41</v>
      </c>
      <c r="D8363" t="s">
        <v>413</v>
      </c>
      <c r="E8363" t="s">
        <v>99</v>
      </c>
      <c r="F8363" t="s">
        <v>412</v>
      </c>
      <c r="G8363" t="s">
        <v>99</v>
      </c>
    </row>
    <row r="8364" spans="1:7" x14ac:dyDescent="0.3">
      <c r="A8364" t="s">
        <v>34</v>
      </c>
      <c r="B8364" t="s">
        <v>2275</v>
      </c>
      <c r="C8364">
        <v>44</v>
      </c>
      <c r="D8364" t="s">
        <v>211</v>
      </c>
      <c r="E8364" t="s">
        <v>99</v>
      </c>
      <c r="F8364" t="s">
        <v>99</v>
      </c>
      <c r="G8364" t="s">
        <v>99</v>
      </c>
    </row>
    <row r="8365" spans="1:7" s="5" customFormat="1" x14ac:dyDescent="0.3">
      <c r="A8365" s="5" t="s">
        <v>34</v>
      </c>
      <c r="B8365" s="5" t="s">
        <v>2276</v>
      </c>
      <c r="C8365" s="5">
        <v>23</v>
      </c>
      <c r="D8365" s="5" t="s">
        <v>857</v>
      </c>
      <c r="E8365" s="5" t="s">
        <v>332</v>
      </c>
      <c r="F8365" s="5" t="s">
        <v>204</v>
      </c>
      <c r="G8365" s="5" t="s">
        <v>99</v>
      </c>
    </row>
    <row r="8366" spans="1:7" x14ac:dyDescent="0.3">
      <c r="A8366" t="s">
        <v>34</v>
      </c>
      <c r="B8366" t="s">
        <v>2277</v>
      </c>
      <c r="C8366">
        <v>184</v>
      </c>
      <c r="D8366" t="s">
        <v>399</v>
      </c>
      <c r="E8366" t="s">
        <v>101</v>
      </c>
      <c r="F8366" t="s">
        <v>305</v>
      </c>
      <c r="G8366" t="s">
        <v>99</v>
      </c>
    </row>
    <row r="8367" spans="1:7" x14ac:dyDescent="0.3">
      <c r="A8367" t="s">
        <v>34</v>
      </c>
      <c r="B8367" t="s">
        <v>2278</v>
      </c>
      <c r="C8367">
        <v>128</v>
      </c>
      <c r="D8367" t="s">
        <v>417</v>
      </c>
      <c r="E8367" t="s">
        <v>99</v>
      </c>
      <c r="F8367" t="s">
        <v>289</v>
      </c>
      <c r="G8367" t="s">
        <v>99</v>
      </c>
    </row>
    <row r="8368" spans="1:7" x14ac:dyDescent="0.3">
      <c r="A8368" t="s">
        <v>34</v>
      </c>
      <c r="B8368" t="s">
        <v>2279</v>
      </c>
      <c r="C8368">
        <v>120</v>
      </c>
      <c r="D8368" t="s">
        <v>75</v>
      </c>
      <c r="E8368" t="s">
        <v>108</v>
      </c>
      <c r="F8368" t="s">
        <v>242</v>
      </c>
      <c r="G8368" t="s">
        <v>136</v>
      </c>
    </row>
    <row r="8369" spans="1:7" x14ac:dyDescent="0.3">
      <c r="A8369" t="s">
        <v>34</v>
      </c>
      <c r="B8369" t="s">
        <v>365</v>
      </c>
      <c r="C8369">
        <v>7</v>
      </c>
      <c r="D8369" t="s">
        <v>211</v>
      </c>
      <c r="E8369" t="s">
        <v>99</v>
      </c>
      <c r="F8369" t="s">
        <v>99</v>
      </c>
      <c r="G8369" t="s">
        <v>99</v>
      </c>
    </row>
    <row r="8370" spans="1:7" x14ac:dyDescent="0.3">
      <c r="A8370" t="s">
        <v>33</v>
      </c>
      <c r="B8370" t="s">
        <v>973</v>
      </c>
      <c r="C8370">
        <v>38</v>
      </c>
      <c r="D8370" t="s">
        <v>211</v>
      </c>
      <c r="E8370" t="s">
        <v>99</v>
      </c>
      <c r="F8370" t="s">
        <v>99</v>
      </c>
      <c r="G8370" t="s">
        <v>99</v>
      </c>
    </row>
    <row r="8371" spans="1:7" x14ac:dyDescent="0.3">
      <c r="A8371" t="s">
        <v>33</v>
      </c>
      <c r="B8371" t="s">
        <v>2268</v>
      </c>
      <c r="C8371">
        <v>49</v>
      </c>
      <c r="D8371" t="s">
        <v>211</v>
      </c>
      <c r="E8371" t="s">
        <v>99</v>
      </c>
      <c r="F8371" t="s">
        <v>99</v>
      </c>
      <c r="G8371" t="s">
        <v>99</v>
      </c>
    </row>
    <row r="8372" spans="1:7" x14ac:dyDescent="0.3">
      <c r="A8372" t="s">
        <v>33</v>
      </c>
      <c r="B8372" t="s">
        <v>2269</v>
      </c>
      <c r="C8372">
        <v>57</v>
      </c>
      <c r="D8372" t="s">
        <v>211</v>
      </c>
      <c r="E8372" t="s">
        <v>99</v>
      </c>
      <c r="F8372" t="s">
        <v>99</v>
      </c>
      <c r="G8372" t="s">
        <v>99</v>
      </c>
    </row>
    <row r="8373" spans="1:7" x14ac:dyDescent="0.3">
      <c r="A8373" t="s">
        <v>33</v>
      </c>
      <c r="B8373" t="s">
        <v>2270</v>
      </c>
      <c r="C8373">
        <v>48</v>
      </c>
      <c r="D8373" t="s">
        <v>211</v>
      </c>
      <c r="E8373" t="s">
        <v>99</v>
      </c>
      <c r="F8373" t="s">
        <v>99</v>
      </c>
      <c r="G8373" t="s">
        <v>99</v>
      </c>
    </row>
    <row r="8374" spans="1:7" x14ac:dyDescent="0.3">
      <c r="A8374" t="s">
        <v>33</v>
      </c>
      <c r="B8374" t="s">
        <v>2271</v>
      </c>
      <c r="C8374">
        <v>249</v>
      </c>
      <c r="D8374" t="s">
        <v>265</v>
      </c>
      <c r="E8374" t="s">
        <v>141</v>
      </c>
      <c r="F8374" t="s">
        <v>157</v>
      </c>
      <c r="G8374" t="s">
        <v>99</v>
      </c>
    </row>
    <row r="8375" spans="1:7" x14ac:dyDescent="0.3">
      <c r="A8375" t="s">
        <v>33</v>
      </c>
      <c r="B8375" t="s">
        <v>2272</v>
      </c>
      <c r="C8375">
        <v>221</v>
      </c>
      <c r="D8375" t="s">
        <v>780</v>
      </c>
      <c r="E8375" t="s">
        <v>99</v>
      </c>
      <c r="F8375" t="s">
        <v>128</v>
      </c>
      <c r="G8375" t="s">
        <v>99</v>
      </c>
    </row>
    <row r="8376" spans="1:7" x14ac:dyDescent="0.3">
      <c r="A8376" t="s">
        <v>33</v>
      </c>
      <c r="B8376" t="s">
        <v>2273</v>
      </c>
      <c r="C8376">
        <v>262</v>
      </c>
      <c r="D8376" t="s">
        <v>851</v>
      </c>
      <c r="E8376" t="s">
        <v>99</v>
      </c>
      <c r="F8376" t="s">
        <v>103</v>
      </c>
      <c r="G8376" t="s">
        <v>99</v>
      </c>
    </row>
    <row r="8377" spans="1:7" x14ac:dyDescent="0.3">
      <c r="A8377" t="s">
        <v>33</v>
      </c>
      <c r="B8377" t="s">
        <v>976</v>
      </c>
      <c r="C8377">
        <v>52</v>
      </c>
      <c r="D8377" t="s">
        <v>211</v>
      </c>
      <c r="E8377" t="s">
        <v>99</v>
      </c>
      <c r="F8377" t="s">
        <v>99</v>
      </c>
      <c r="G8377" t="s">
        <v>99</v>
      </c>
    </row>
    <row r="8378" spans="1:7" x14ac:dyDescent="0.3">
      <c r="A8378" t="s">
        <v>33</v>
      </c>
      <c r="B8378" t="s">
        <v>2274</v>
      </c>
      <c r="C8378">
        <v>45</v>
      </c>
      <c r="D8378" t="s">
        <v>211</v>
      </c>
      <c r="E8378" t="s">
        <v>99</v>
      </c>
      <c r="F8378" t="s">
        <v>99</v>
      </c>
      <c r="G8378" t="s">
        <v>99</v>
      </c>
    </row>
    <row r="8379" spans="1:7" x14ac:dyDescent="0.3">
      <c r="A8379" t="s">
        <v>33</v>
      </c>
      <c r="B8379" t="s">
        <v>2275</v>
      </c>
      <c r="C8379">
        <v>58</v>
      </c>
      <c r="D8379" t="s">
        <v>211</v>
      </c>
      <c r="E8379" t="s">
        <v>99</v>
      </c>
      <c r="F8379" t="s">
        <v>99</v>
      </c>
      <c r="G8379" t="s">
        <v>99</v>
      </c>
    </row>
    <row r="8380" spans="1:7" s="5" customFormat="1" x14ac:dyDescent="0.3">
      <c r="A8380" s="5" t="s">
        <v>33</v>
      </c>
      <c r="B8380" s="5" t="s">
        <v>2276</v>
      </c>
      <c r="C8380" s="5">
        <v>21</v>
      </c>
      <c r="D8380" s="5" t="s">
        <v>467</v>
      </c>
      <c r="E8380" s="5" t="s">
        <v>99</v>
      </c>
      <c r="F8380" s="5" t="s">
        <v>468</v>
      </c>
      <c r="G8380" s="5" t="s">
        <v>99</v>
      </c>
    </row>
    <row r="8381" spans="1:7" x14ac:dyDescent="0.3">
      <c r="A8381" t="s">
        <v>33</v>
      </c>
      <c r="B8381" t="s">
        <v>2277</v>
      </c>
      <c r="C8381">
        <v>153</v>
      </c>
      <c r="D8381" t="s">
        <v>996</v>
      </c>
      <c r="E8381" t="s">
        <v>99</v>
      </c>
      <c r="F8381" t="s">
        <v>115</v>
      </c>
      <c r="G8381" t="s">
        <v>99</v>
      </c>
    </row>
    <row r="8382" spans="1:7" x14ac:dyDescent="0.3">
      <c r="A8382" t="s">
        <v>33</v>
      </c>
      <c r="B8382" t="s">
        <v>2278</v>
      </c>
      <c r="C8382">
        <v>143</v>
      </c>
      <c r="D8382" t="s">
        <v>331</v>
      </c>
      <c r="E8382" t="s">
        <v>99</v>
      </c>
      <c r="F8382" t="s">
        <v>112</v>
      </c>
      <c r="G8382" t="s">
        <v>99</v>
      </c>
    </row>
    <row r="8383" spans="1:7" x14ac:dyDescent="0.3">
      <c r="A8383" t="s">
        <v>33</v>
      </c>
      <c r="B8383" t="s">
        <v>2279</v>
      </c>
      <c r="C8383">
        <v>138</v>
      </c>
      <c r="D8383" t="s">
        <v>414</v>
      </c>
      <c r="E8383" t="s">
        <v>99</v>
      </c>
      <c r="F8383" t="s">
        <v>254</v>
      </c>
      <c r="G8383" t="s">
        <v>99</v>
      </c>
    </row>
    <row r="8384" spans="1:7" x14ac:dyDescent="0.3">
      <c r="A8384" t="s">
        <v>33</v>
      </c>
      <c r="B8384" t="s">
        <v>365</v>
      </c>
      <c r="C8384">
        <v>1</v>
      </c>
      <c r="D8384" t="s">
        <v>211</v>
      </c>
      <c r="E8384" t="s">
        <v>99</v>
      </c>
      <c r="F8384" t="s">
        <v>99</v>
      </c>
      <c r="G8384" t="s">
        <v>99</v>
      </c>
    </row>
    <row r="8385" spans="1:7" x14ac:dyDescent="0.3">
      <c r="A8385" t="s">
        <v>49</v>
      </c>
      <c r="B8385" t="s">
        <v>973</v>
      </c>
      <c r="C8385">
        <v>284</v>
      </c>
      <c r="D8385" t="s">
        <v>766</v>
      </c>
      <c r="E8385" t="s">
        <v>99</v>
      </c>
      <c r="F8385" t="s">
        <v>151</v>
      </c>
      <c r="G8385" t="s">
        <v>99</v>
      </c>
    </row>
    <row r="8386" spans="1:7" x14ac:dyDescent="0.3">
      <c r="A8386" t="s">
        <v>49</v>
      </c>
      <c r="B8386" t="s">
        <v>2268</v>
      </c>
      <c r="C8386">
        <v>380</v>
      </c>
      <c r="D8386" t="s">
        <v>1022</v>
      </c>
      <c r="E8386" t="s">
        <v>99</v>
      </c>
      <c r="F8386" t="s">
        <v>108</v>
      </c>
      <c r="G8386" t="s">
        <v>99</v>
      </c>
    </row>
    <row r="8387" spans="1:7" x14ac:dyDescent="0.3">
      <c r="A8387" t="s">
        <v>49</v>
      </c>
      <c r="B8387" t="s">
        <v>2269</v>
      </c>
      <c r="C8387">
        <v>422</v>
      </c>
      <c r="D8387" t="s">
        <v>466</v>
      </c>
      <c r="E8387" t="s">
        <v>99</v>
      </c>
      <c r="F8387" t="s">
        <v>120</v>
      </c>
      <c r="G8387" t="s">
        <v>99</v>
      </c>
    </row>
    <row r="8388" spans="1:7" x14ac:dyDescent="0.3">
      <c r="A8388" t="s">
        <v>49</v>
      </c>
      <c r="B8388" t="s">
        <v>2270</v>
      </c>
      <c r="C8388">
        <v>269</v>
      </c>
      <c r="D8388" t="s">
        <v>1551</v>
      </c>
      <c r="E8388" t="s">
        <v>99</v>
      </c>
      <c r="F8388" t="s">
        <v>104</v>
      </c>
      <c r="G8388" t="s">
        <v>99</v>
      </c>
    </row>
    <row r="8389" spans="1:7" x14ac:dyDescent="0.3">
      <c r="A8389" t="s">
        <v>49</v>
      </c>
      <c r="B8389" t="s">
        <v>2271</v>
      </c>
      <c r="C8389">
        <v>1631</v>
      </c>
      <c r="D8389" t="s">
        <v>265</v>
      </c>
      <c r="E8389" t="s">
        <v>104</v>
      </c>
      <c r="F8389" t="s">
        <v>155</v>
      </c>
      <c r="G8389" t="s">
        <v>99</v>
      </c>
    </row>
    <row r="8390" spans="1:7" x14ac:dyDescent="0.3">
      <c r="A8390" t="s">
        <v>49</v>
      </c>
      <c r="B8390" t="s">
        <v>2272</v>
      </c>
      <c r="C8390">
        <v>1556</v>
      </c>
      <c r="D8390" t="s">
        <v>331</v>
      </c>
      <c r="E8390" t="s">
        <v>99</v>
      </c>
      <c r="F8390" t="s">
        <v>112</v>
      </c>
      <c r="G8390" t="s">
        <v>99</v>
      </c>
    </row>
    <row r="8391" spans="1:7" x14ac:dyDescent="0.3">
      <c r="A8391" t="s">
        <v>49</v>
      </c>
      <c r="B8391" t="s">
        <v>2273</v>
      </c>
      <c r="C8391">
        <v>1777</v>
      </c>
      <c r="D8391" t="s">
        <v>1017</v>
      </c>
      <c r="E8391" t="s">
        <v>104</v>
      </c>
      <c r="F8391" t="s">
        <v>130</v>
      </c>
      <c r="G8391" t="s">
        <v>104</v>
      </c>
    </row>
    <row r="8392" spans="1:7" x14ac:dyDescent="0.3">
      <c r="A8392" t="s">
        <v>49</v>
      </c>
      <c r="B8392" t="s">
        <v>976</v>
      </c>
      <c r="C8392">
        <v>327</v>
      </c>
      <c r="D8392" t="s">
        <v>237</v>
      </c>
      <c r="E8392" t="s">
        <v>99</v>
      </c>
      <c r="F8392" t="s">
        <v>123</v>
      </c>
      <c r="G8392" t="s">
        <v>111</v>
      </c>
    </row>
    <row r="8393" spans="1:7" x14ac:dyDescent="0.3">
      <c r="A8393" t="s">
        <v>49</v>
      </c>
      <c r="B8393" t="s">
        <v>2274</v>
      </c>
      <c r="C8393">
        <v>335</v>
      </c>
      <c r="D8393" t="s">
        <v>225</v>
      </c>
      <c r="E8393" t="s">
        <v>99</v>
      </c>
      <c r="F8393" t="s">
        <v>114</v>
      </c>
      <c r="G8393" t="s">
        <v>99</v>
      </c>
    </row>
    <row r="8394" spans="1:7" x14ac:dyDescent="0.3">
      <c r="A8394" t="s">
        <v>49</v>
      </c>
      <c r="B8394" t="s">
        <v>2275</v>
      </c>
      <c r="C8394">
        <v>449</v>
      </c>
      <c r="D8394" t="s">
        <v>996</v>
      </c>
      <c r="E8394" t="s">
        <v>99</v>
      </c>
      <c r="F8394" t="s">
        <v>115</v>
      </c>
      <c r="G8394" t="s">
        <v>99</v>
      </c>
    </row>
    <row r="8395" spans="1:7" x14ac:dyDescent="0.3">
      <c r="A8395" t="s">
        <v>49</v>
      </c>
      <c r="B8395" t="s">
        <v>2276</v>
      </c>
      <c r="C8395">
        <v>161</v>
      </c>
      <c r="D8395" t="s">
        <v>376</v>
      </c>
      <c r="E8395" t="s">
        <v>132</v>
      </c>
      <c r="F8395" t="s">
        <v>139</v>
      </c>
      <c r="G8395" t="s">
        <v>115</v>
      </c>
    </row>
    <row r="8396" spans="1:7" x14ac:dyDescent="0.3">
      <c r="A8396" t="s">
        <v>49</v>
      </c>
      <c r="B8396" t="s">
        <v>2277</v>
      </c>
      <c r="C8396">
        <v>1103</v>
      </c>
      <c r="D8396" t="s">
        <v>335</v>
      </c>
      <c r="E8396" t="s">
        <v>136</v>
      </c>
      <c r="F8396" t="s">
        <v>242</v>
      </c>
      <c r="G8396" t="s">
        <v>99</v>
      </c>
    </row>
    <row r="8397" spans="1:7" x14ac:dyDescent="0.3">
      <c r="A8397" t="s">
        <v>49</v>
      </c>
      <c r="B8397" t="s">
        <v>2278</v>
      </c>
      <c r="C8397">
        <v>1012</v>
      </c>
      <c r="D8397" t="s">
        <v>241</v>
      </c>
      <c r="E8397" t="s">
        <v>99</v>
      </c>
      <c r="F8397" t="s">
        <v>135</v>
      </c>
      <c r="G8397" t="s">
        <v>99</v>
      </c>
    </row>
    <row r="8398" spans="1:7" x14ac:dyDescent="0.3">
      <c r="A8398" t="s">
        <v>49</v>
      </c>
      <c r="B8398" t="s">
        <v>2279</v>
      </c>
      <c r="C8398">
        <v>940</v>
      </c>
      <c r="D8398" t="s">
        <v>337</v>
      </c>
      <c r="E8398" t="s">
        <v>104</v>
      </c>
      <c r="F8398" t="s">
        <v>434</v>
      </c>
      <c r="G8398" t="s">
        <v>104</v>
      </c>
    </row>
    <row r="8399" spans="1:7" x14ac:dyDescent="0.3">
      <c r="A8399" t="s">
        <v>49</v>
      </c>
      <c r="B8399" t="s">
        <v>365</v>
      </c>
      <c r="C8399">
        <v>25</v>
      </c>
      <c r="D8399" t="s">
        <v>998</v>
      </c>
      <c r="E8399" t="s">
        <v>99</v>
      </c>
      <c r="F8399" t="s">
        <v>107</v>
      </c>
      <c r="G8399" t="s">
        <v>99</v>
      </c>
    </row>
    <row r="8401" spans="1:7" x14ac:dyDescent="0.3">
      <c r="A8401" t="s">
        <v>2324</v>
      </c>
    </row>
    <row r="8402" spans="1:7" x14ac:dyDescent="0.3">
      <c r="A8402" t="s">
        <v>44</v>
      </c>
      <c r="B8402" t="s">
        <v>2281</v>
      </c>
      <c r="C8402" t="s">
        <v>32</v>
      </c>
      <c r="D8402" t="s">
        <v>66</v>
      </c>
      <c r="E8402" t="s">
        <v>67</v>
      </c>
      <c r="F8402" t="s">
        <v>352</v>
      </c>
      <c r="G8402" t="s">
        <v>193</v>
      </c>
    </row>
    <row r="8403" spans="1:7" x14ac:dyDescent="0.3">
      <c r="A8403" t="s">
        <v>35</v>
      </c>
      <c r="B8403" t="s">
        <v>2282</v>
      </c>
      <c r="C8403">
        <v>585</v>
      </c>
      <c r="D8403" t="s">
        <v>363</v>
      </c>
      <c r="E8403" t="s">
        <v>203</v>
      </c>
      <c r="F8403" t="s">
        <v>198</v>
      </c>
      <c r="G8403" t="s">
        <v>99</v>
      </c>
    </row>
    <row r="8404" spans="1:7" x14ac:dyDescent="0.3">
      <c r="A8404" t="s">
        <v>35</v>
      </c>
      <c r="B8404" t="s">
        <v>2283</v>
      </c>
      <c r="C8404">
        <v>1909</v>
      </c>
      <c r="D8404" t="s">
        <v>157</v>
      </c>
      <c r="E8404" t="s">
        <v>759</v>
      </c>
      <c r="F8404" t="s">
        <v>104</v>
      </c>
      <c r="G8404" t="s">
        <v>136</v>
      </c>
    </row>
    <row r="8405" spans="1:7" x14ac:dyDescent="0.3">
      <c r="A8405" t="s">
        <v>35</v>
      </c>
      <c r="B8405" t="s">
        <v>365</v>
      </c>
      <c r="C8405">
        <v>217</v>
      </c>
      <c r="D8405" t="s">
        <v>128</v>
      </c>
      <c r="E8405" t="s">
        <v>780</v>
      </c>
      <c r="F8405" t="s">
        <v>99</v>
      </c>
      <c r="G8405" t="s">
        <v>99</v>
      </c>
    </row>
    <row r="8406" spans="1:7" x14ac:dyDescent="0.3">
      <c r="A8406" t="s">
        <v>37</v>
      </c>
      <c r="B8406" t="s">
        <v>2282</v>
      </c>
      <c r="C8406">
        <v>731</v>
      </c>
      <c r="D8406" t="s">
        <v>134</v>
      </c>
      <c r="E8406" t="s">
        <v>779</v>
      </c>
      <c r="F8406" t="s">
        <v>104</v>
      </c>
      <c r="G8406" t="s">
        <v>99</v>
      </c>
    </row>
    <row r="8407" spans="1:7" x14ac:dyDescent="0.3">
      <c r="A8407" t="s">
        <v>37</v>
      </c>
      <c r="B8407" t="s">
        <v>2283</v>
      </c>
      <c r="C8407">
        <v>2253</v>
      </c>
      <c r="D8407" t="s">
        <v>121</v>
      </c>
      <c r="E8407" t="s">
        <v>999</v>
      </c>
      <c r="F8407" t="s">
        <v>99</v>
      </c>
      <c r="G8407" t="s">
        <v>104</v>
      </c>
    </row>
    <row r="8408" spans="1:7" x14ac:dyDescent="0.3">
      <c r="A8408" t="s">
        <v>37</v>
      </c>
      <c r="B8408" t="s">
        <v>365</v>
      </c>
      <c r="C8408">
        <v>278</v>
      </c>
      <c r="D8408" t="s">
        <v>115</v>
      </c>
      <c r="E8408" t="s">
        <v>996</v>
      </c>
      <c r="F8408" t="s">
        <v>99</v>
      </c>
      <c r="G8408" t="s">
        <v>99</v>
      </c>
    </row>
    <row r="8409" spans="1:7" x14ac:dyDescent="0.3">
      <c r="A8409" t="s">
        <v>36</v>
      </c>
      <c r="B8409" t="s">
        <v>2282</v>
      </c>
      <c r="C8409">
        <v>444</v>
      </c>
      <c r="D8409" t="s">
        <v>70</v>
      </c>
      <c r="E8409" t="s">
        <v>71</v>
      </c>
      <c r="F8409" t="s">
        <v>99</v>
      </c>
      <c r="G8409" t="s">
        <v>99</v>
      </c>
    </row>
    <row r="8410" spans="1:7" x14ac:dyDescent="0.3">
      <c r="A8410" t="s">
        <v>36</v>
      </c>
      <c r="B8410" t="s">
        <v>2283</v>
      </c>
      <c r="C8410">
        <v>1162</v>
      </c>
      <c r="D8410" t="s">
        <v>110</v>
      </c>
      <c r="E8410" t="s">
        <v>768</v>
      </c>
      <c r="F8410" t="s">
        <v>99</v>
      </c>
      <c r="G8410" t="s">
        <v>99</v>
      </c>
    </row>
    <row r="8411" spans="1:7" x14ac:dyDescent="0.3">
      <c r="A8411" t="s">
        <v>36</v>
      </c>
      <c r="B8411" t="s">
        <v>365</v>
      </c>
      <c r="C8411">
        <v>147</v>
      </c>
      <c r="D8411" t="s">
        <v>68</v>
      </c>
      <c r="E8411" t="s">
        <v>69</v>
      </c>
      <c r="F8411" t="s">
        <v>99</v>
      </c>
      <c r="G8411" t="s">
        <v>99</v>
      </c>
    </row>
    <row r="8412" spans="1:7" x14ac:dyDescent="0.3">
      <c r="A8412" t="s">
        <v>34</v>
      </c>
      <c r="B8412" t="s">
        <v>2282</v>
      </c>
      <c r="C8412">
        <v>318</v>
      </c>
      <c r="D8412" t="s">
        <v>289</v>
      </c>
      <c r="E8412" t="s">
        <v>854</v>
      </c>
      <c r="F8412" t="s">
        <v>141</v>
      </c>
      <c r="G8412" t="s">
        <v>104</v>
      </c>
    </row>
    <row r="8413" spans="1:7" x14ac:dyDescent="0.3">
      <c r="A8413" t="s">
        <v>34</v>
      </c>
      <c r="B8413" t="s">
        <v>2283</v>
      </c>
      <c r="C8413">
        <v>1011</v>
      </c>
      <c r="D8413" t="s">
        <v>684</v>
      </c>
      <c r="E8413" t="s">
        <v>505</v>
      </c>
      <c r="F8413" t="s">
        <v>198</v>
      </c>
      <c r="G8413" t="s">
        <v>99</v>
      </c>
    </row>
    <row r="8414" spans="1:7" x14ac:dyDescent="0.3">
      <c r="A8414" t="s">
        <v>34</v>
      </c>
      <c r="B8414" t="s">
        <v>365</v>
      </c>
      <c r="C8414">
        <v>81</v>
      </c>
      <c r="D8414" t="s">
        <v>129</v>
      </c>
      <c r="E8414" t="s">
        <v>782</v>
      </c>
      <c r="F8414" t="s">
        <v>99</v>
      </c>
      <c r="G8414" t="s">
        <v>99</v>
      </c>
    </row>
    <row r="8415" spans="1:7" x14ac:dyDescent="0.3">
      <c r="A8415" t="s">
        <v>33</v>
      </c>
      <c r="B8415" t="s">
        <v>2282</v>
      </c>
      <c r="C8415">
        <v>334</v>
      </c>
      <c r="D8415" t="s">
        <v>242</v>
      </c>
      <c r="E8415" t="s">
        <v>375</v>
      </c>
      <c r="F8415" t="s">
        <v>99</v>
      </c>
      <c r="G8415" t="s">
        <v>99</v>
      </c>
    </row>
    <row r="8416" spans="1:7" x14ac:dyDescent="0.3">
      <c r="A8416" t="s">
        <v>33</v>
      </c>
      <c r="B8416" t="s">
        <v>2283</v>
      </c>
      <c r="C8416">
        <v>1104</v>
      </c>
      <c r="D8416" t="s">
        <v>123</v>
      </c>
      <c r="E8416" t="s">
        <v>766</v>
      </c>
      <c r="F8416" t="s">
        <v>104</v>
      </c>
      <c r="G8416" t="s">
        <v>99</v>
      </c>
    </row>
    <row r="8417" spans="1:7" x14ac:dyDescent="0.3">
      <c r="A8417" t="s">
        <v>33</v>
      </c>
      <c r="B8417" t="s">
        <v>365</v>
      </c>
      <c r="C8417">
        <v>97</v>
      </c>
      <c r="D8417" t="s">
        <v>99</v>
      </c>
      <c r="E8417" t="s">
        <v>211</v>
      </c>
      <c r="F8417" t="s">
        <v>99</v>
      </c>
      <c r="G8417" t="s">
        <v>99</v>
      </c>
    </row>
    <row r="8418" spans="1:7" x14ac:dyDescent="0.3">
      <c r="A8418" t="s">
        <v>49</v>
      </c>
      <c r="B8418" t="s">
        <v>2282</v>
      </c>
      <c r="C8418">
        <v>2412</v>
      </c>
      <c r="D8418" t="s">
        <v>160</v>
      </c>
      <c r="E8418" t="s">
        <v>329</v>
      </c>
      <c r="F8418" t="s">
        <v>198</v>
      </c>
      <c r="G8418" t="s">
        <v>99</v>
      </c>
    </row>
    <row r="8419" spans="1:7" x14ac:dyDescent="0.3">
      <c r="A8419" t="s">
        <v>49</v>
      </c>
      <c r="B8419" t="s">
        <v>2283</v>
      </c>
      <c r="C8419">
        <v>7439</v>
      </c>
      <c r="D8419" t="s">
        <v>120</v>
      </c>
      <c r="E8419" t="s">
        <v>998</v>
      </c>
      <c r="F8419" t="s">
        <v>104</v>
      </c>
      <c r="G8419" t="s">
        <v>104</v>
      </c>
    </row>
    <row r="8420" spans="1:7" x14ac:dyDescent="0.3">
      <c r="A8420" t="s">
        <v>49</v>
      </c>
      <c r="B8420" t="s">
        <v>365</v>
      </c>
      <c r="C8420">
        <v>820</v>
      </c>
      <c r="D8420" t="s">
        <v>292</v>
      </c>
      <c r="E8420" t="s">
        <v>986</v>
      </c>
      <c r="F8420" t="s">
        <v>99</v>
      </c>
      <c r="G8420" t="s">
        <v>99</v>
      </c>
    </row>
    <row r="8422" spans="1:7" x14ac:dyDescent="0.3">
      <c r="A8422" t="s">
        <v>2325</v>
      </c>
    </row>
    <row r="8423" spans="1:7" x14ac:dyDescent="0.3">
      <c r="A8423" t="s">
        <v>44</v>
      </c>
      <c r="B8423" t="s">
        <v>235</v>
      </c>
      <c r="C8423" t="s">
        <v>32</v>
      </c>
      <c r="D8423" t="s">
        <v>66</v>
      </c>
      <c r="E8423" t="s">
        <v>67</v>
      </c>
      <c r="F8423" t="s">
        <v>352</v>
      </c>
      <c r="G8423" t="s">
        <v>193</v>
      </c>
    </row>
    <row r="8424" spans="1:7" x14ac:dyDescent="0.3">
      <c r="A8424" t="s">
        <v>35</v>
      </c>
      <c r="B8424" t="s">
        <v>236</v>
      </c>
      <c r="C8424">
        <v>1345</v>
      </c>
      <c r="D8424" t="s">
        <v>412</v>
      </c>
      <c r="E8424" t="s">
        <v>778</v>
      </c>
      <c r="F8424" t="s">
        <v>104</v>
      </c>
      <c r="G8424" t="s">
        <v>99</v>
      </c>
    </row>
    <row r="8425" spans="1:7" x14ac:dyDescent="0.3">
      <c r="A8425" t="s">
        <v>35</v>
      </c>
      <c r="B8425" t="s">
        <v>238</v>
      </c>
      <c r="C8425">
        <v>1366</v>
      </c>
      <c r="D8425" t="s">
        <v>110</v>
      </c>
      <c r="E8425" t="s">
        <v>337</v>
      </c>
      <c r="F8425" t="s">
        <v>104</v>
      </c>
      <c r="G8425" t="s">
        <v>207</v>
      </c>
    </row>
    <row r="8426" spans="1:7" x14ac:dyDescent="0.3">
      <c r="A8426" t="s">
        <v>37</v>
      </c>
      <c r="B8426" t="s">
        <v>236</v>
      </c>
      <c r="C8426">
        <v>1870</v>
      </c>
      <c r="D8426" t="s">
        <v>126</v>
      </c>
      <c r="E8426" t="s">
        <v>383</v>
      </c>
      <c r="F8426" t="s">
        <v>99</v>
      </c>
      <c r="G8426" t="s">
        <v>104</v>
      </c>
    </row>
    <row r="8427" spans="1:7" x14ac:dyDescent="0.3">
      <c r="A8427" t="s">
        <v>37</v>
      </c>
      <c r="B8427" t="s">
        <v>238</v>
      </c>
      <c r="C8427">
        <v>1392</v>
      </c>
      <c r="D8427" t="s">
        <v>151</v>
      </c>
      <c r="E8427" t="s">
        <v>766</v>
      </c>
      <c r="F8427" t="s">
        <v>99</v>
      </c>
      <c r="G8427" t="s">
        <v>99</v>
      </c>
    </row>
    <row r="8428" spans="1:7" x14ac:dyDescent="0.3">
      <c r="A8428" t="s">
        <v>36</v>
      </c>
      <c r="B8428" t="s">
        <v>236</v>
      </c>
      <c r="C8428">
        <v>1190</v>
      </c>
      <c r="D8428" t="s">
        <v>144</v>
      </c>
      <c r="E8428" t="s">
        <v>376</v>
      </c>
      <c r="F8428" t="s">
        <v>99</v>
      </c>
      <c r="G8428" t="s">
        <v>99</v>
      </c>
    </row>
    <row r="8429" spans="1:7" x14ac:dyDescent="0.3">
      <c r="A8429" t="s">
        <v>36</v>
      </c>
      <c r="B8429" t="s">
        <v>238</v>
      </c>
      <c r="C8429">
        <v>563</v>
      </c>
      <c r="D8429" t="s">
        <v>129</v>
      </c>
      <c r="E8429" t="s">
        <v>782</v>
      </c>
      <c r="F8429" t="s">
        <v>99</v>
      </c>
      <c r="G8429" t="s">
        <v>99</v>
      </c>
    </row>
    <row r="8430" spans="1:7" x14ac:dyDescent="0.3">
      <c r="A8430" t="s">
        <v>34</v>
      </c>
      <c r="B8430" t="s">
        <v>236</v>
      </c>
      <c r="C8430">
        <v>425</v>
      </c>
      <c r="D8430" t="s">
        <v>204</v>
      </c>
      <c r="E8430" t="s">
        <v>414</v>
      </c>
      <c r="F8430" t="s">
        <v>253</v>
      </c>
      <c r="G8430" t="s">
        <v>99</v>
      </c>
    </row>
    <row r="8431" spans="1:7" x14ac:dyDescent="0.3">
      <c r="A8431" t="s">
        <v>34</v>
      </c>
      <c r="B8431" t="s">
        <v>238</v>
      </c>
      <c r="C8431">
        <v>985</v>
      </c>
      <c r="D8431" t="s">
        <v>160</v>
      </c>
      <c r="E8431" t="s">
        <v>185</v>
      </c>
      <c r="F8431" t="s">
        <v>198</v>
      </c>
      <c r="G8431" t="s">
        <v>99</v>
      </c>
    </row>
    <row r="8432" spans="1:7" x14ac:dyDescent="0.3">
      <c r="A8432" t="s">
        <v>33</v>
      </c>
      <c r="B8432" t="s">
        <v>236</v>
      </c>
      <c r="C8432">
        <v>812</v>
      </c>
      <c r="D8432" t="s">
        <v>117</v>
      </c>
      <c r="E8432" t="s">
        <v>476</v>
      </c>
      <c r="F8432" t="s">
        <v>99</v>
      </c>
      <c r="G8432" t="s">
        <v>99</v>
      </c>
    </row>
    <row r="8433" spans="1:7" x14ac:dyDescent="0.3">
      <c r="A8433" t="s">
        <v>33</v>
      </c>
      <c r="B8433" t="s">
        <v>238</v>
      </c>
      <c r="C8433">
        <v>723</v>
      </c>
      <c r="D8433" t="s">
        <v>117</v>
      </c>
      <c r="E8433" t="s">
        <v>851</v>
      </c>
      <c r="F8433" t="s">
        <v>104</v>
      </c>
      <c r="G8433" t="s">
        <v>99</v>
      </c>
    </row>
    <row r="8434" spans="1:7" x14ac:dyDescent="0.3">
      <c r="A8434" t="s">
        <v>49</v>
      </c>
      <c r="B8434" t="s">
        <v>236</v>
      </c>
      <c r="C8434">
        <v>5642</v>
      </c>
      <c r="D8434" t="s">
        <v>155</v>
      </c>
      <c r="E8434" t="s">
        <v>265</v>
      </c>
      <c r="F8434" t="s">
        <v>104</v>
      </c>
      <c r="G8434" t="s">
        <v>99</v>
      </c>
    </row>
    <row r="8435" spans="1:7" x14ac:dyDescent="0.3">
      <c r="A8435" t="s">
        <v>49</v>
      </c>
      <c r="B8435" t="s">
        <v>238</v>
      </c>
      <c r="C8435">
        <v>5029</v>
      </c>
      <c r="D8435" t="s">
        <v>129</v>
      </c>
      <c r="E8435" t="s">
        <v>433</v>
      </c>
      <c r="F8435" t="s">
        <v>104</v>
      </c>
      <c r="G8435" t="s">
        <v>104</v>
      </c>
    </row>
    <row r="8437" spans="1:7" x14ac:dyDescent="0.3">
      <c r="A8437" t="s">
        <v>2326</v>
      </c>
    </row>
    <row r="8438" spans="1:7" x14ac:dyDescent="0.3">
      <c r="A8438" t="s">
        <v>44</v>
      </c>
      <c r="B8438" t="s">
        <v>879</v>
      </c>
      <c r="C8438" t="s">
        <v>32</v>
      </c>
      <c r="D8438" t="s">
        <v>352</v>
      </c>
      <c r="E8438" t="s">
        <v>66</v>
      </c>
      <c r="F8438" t="s">
        <v>67</v>
      </c>
      <c r="G8438" t="s">
        <v>193</v>
      </c>
    </row>
    <row r="8439" spans="1:7" x14ac:dyDescent="0.3">
      <c r="A8439" t="s">
        <v>35</v>
      </c>
      <c r="B8439" t="s">
        <v>880</v>
      </c>
      <c r="C8439">
        <v>262</v>
      </c>
      <c r="D8439" t="s">
        <v>99</v>
      </c>
      <c r="E8439" t="s">
        <v>145</v>
      </c>
      <c r="F8439" t="s">
        <v>334</v>
      </c>
      <c r="G8439" t="s">
        <v>99</v>
      </c>
    </row>
    <row r="8440" spans="1:7" x14ac:dyDescent="0.3">
      <c r="A8440" t="s">
        <v>35</v>
      </c>
      <c r="B8440" t="s">
        <v>881</v>
      </c>
      <c r="C8440">
        <v>847</v>
      </c>
      <c r="D8440" t="s">
        <v>198</v>
      </c>
      <c r="E8440" t="s">
        <v>122</v>
      </c>
      <c r="F8440" t="s">
        <v>71</v>
      </c>
      <c r="G8440" t="s">
        <v>198</v>
      </c>
    </row>
    <row r="8441" spans="1:7" x14ac:dyDescent="0.3">
      <c r="A8441" t="s">
        <v>35</v>
      </c>
      <c r="B8441" t="s">
        <v>882</v>
      </c>
      <c r="C8441">
        <v>1602</v>
      </c>
      <c r="D8441" t="s">
        <v>104</v>
      </c>
      <c r="E8441" t="s">
        <v>103</v>
      </c>
      <c r="F8441" t="s">
        <v>398</v>
      </c>
      <c r="G8441" t="s">
        <v>207</v>
      </c>
    </row>
    <row r="8442" spans="1:7" x14ac:dyDescent="0.3">
      <c r="A8442" t="s">
        <v>37</v>
      </c>
      <c r="B8442" t="s">
        <v>880</v>
      </c>
      <c r="C8442">
        <v>294</v>
      </c>
      <c r="D8442" t="s">
        <v>99</v>
      </c>
      <c r="E8442" t="s">
        <v>141</v>
      </c>
      <c r="F8442" t="s">
        <v>970</v>
      </c>
      <c r="G8442" t="s">
        <v>99</v>
      </c>
    </row>
    <row r="8443" spans="1:7" x14ac:dyDescent="0.3">
      <c r="A8443" t="s">
        <v>37</v>
      </c>
      <c r="B8443" t="s">
        <v>881</v>
      </c>
      <c r="C8443">
        <v>1002</v>
      </c>
      <c r="D8443" t="s">
        <v>104</v>
      </c>
      <c r="E8443" t="s">
        <v>332</v>
      </c>
      <c r="F8443" t="s">
        <v>265</v>
      </c>
      <c r="G8443" t="s">
        <v>99</v>
      </c>
    </row>
    <row r="8444" spans="1:7" x14ac:dyDescent="0.3">
      <c r="A8444" t="s">
        <v>37</v>
      </c>
      <c r="B8444" t="s">
        <v>882</v>
      </c>
      <c r="C8444">
        <v>1966</v>
      </c>
      <c r="D8444" t="s">
        <v>99</v>
      </c>
      <c r="E8444" t="s">
        <v>114</v>
      </c>
      <c r="F8444" t="s">
        <v>982</v>
      </c>
      <c r="G8444" t="s">
        <v>104</v>
      </c>
    </row>
    <row r="8445" spans="1:7" x14ac:dyDescent="0.3">
      <c r="A8445" t="s">
        <v>36</v>
      </c>
      <c r="B8445" t="s">
        <v>880</v>
      </c>
      <c r="C8445">
        <v>174</v>
      </c>
      <c r="D8445" t="s">
        <v>99</v>
      </c>
      <c r="E8445" t="s">
        <v>110</v>
      </c>
      <c r="F8445" t="s">
        <v>768</v>
      </c>
      <c r="G8445" t="s">
        <v>99</v>
      </c>
    </row>
    <row r="8446" spans="1:7" x14ac:dyDescent="0.3">
      <c r="A8446" t="s">
        <v>36</v>
      </c>
      <c r="B8446" t="s">
        <v>881</v>
      </c>
      <c r="C8446">
        <v>593</v>
      </c>
      <c r="D8446" t="s">
        <v>99</v>
      </c>
      <c r="E8446" t="s">
        <v>379</v>
      </c>
      <c r="F8446" t="s">
        <v>1276</v>
      </c>
      <c r="G8446" t="s">
        <v>99</v>
      </c>
    </row>
    <row r="8447" spans="1:7" x14ac:dyDescent="0.3">
      <c r="A8447" t="s">
        <v>36</v>
      </c>
      <c r="B8447" t="s">
        <v>882</v>
      </c>
      <c r="C8447">
        <v>986</v>
      </c>
      <c r="D8447" t="s">
        <v>99</v>
      </c>
      <c r="E8447" t="s">
        <v>120</v>
      </c>
      <c r="F8447" t="s">
        <v>466</v>
      </c>
      <c r="G8447" t="s">
        <v>99</v>
      </c>
    </row>
    <row r="8448" spans="1:7" x14ac:dyDescent="0.3">
      <c r="A8448" t="s">
        <v>34</v>
      </c>
      <c r="B8448" t="s">
        <v>880</v>
      </c>
      <c r="C8448">
        <v>149</v>
      </c>
      <c r="D8448" t="s">
        <v>99</v>
      </c>
      <c r="E8448" t="s">
        <v>141</v>
      </c>
      <c r="F8448" t="s">
        <v>970</v>
      </c>
      <c r="G8448" t="s">
        <v>99</v>
      </c>
    </row>
    <row r="8449" spans="1:7" x14ac:dyDescent="0.3">
      <c r="A8449" t="s">
        <v>34</v>
      </c>
      <c r="B8449" t="s">
        <v>881</v>
      </c>
      <c r="C8449">
        <v>496</v>
      </c>
      <c r="D8449" t="s">
        <v>136</v>
      </c>
      <c r="E8449" t="s">
        <v>142</v>
      </c>
      <c r="F8449" t="s">
        <v>293</v>
      </c>
      <c r="G8449" t="s">
        <v>104</v>
      </c>
    </row>
    <row r="8450" spans="1:7" x14ac:dyDescent="0.3">
      <c r="A8450" t="s">
        <v>34</v>
      </c>
      <c r="B8450" t="s">
        <v>882</v>
      </c>
      <c r="C8450">
        <v>765</v>
      </c>
      <c r="D8450" t="s">
        <v>207</v>
      </c>
      <c r="E8450" t="s">
        <v>145</v>
      </c>
      <c r="F8450" t="s">
        <v>771</v>
      </c>
      <c r="G8450" t="s">
        <v>99</v>
      </c>
    </row>
    <row r="8451" spans="1:7" x14ac:dyDescent="0.3">
      <c r="A8451" t="s">
        <v>33</v>
      </c>
      <c r="B8451" t="s">
        <v>880</v>
      </c>
      <c r="C8451">
        <v>179</v>
      </c>
      <c r="D8451" t="s">
        <v>115</v>
      </c>
      <c r="E8451" t="s">
        <v>151</v>
      </c>
      <c r="F8451" t="s">
        <v>249</v>
      </c>
      <c r="G8451" t="s">
        <v>99</v>
      </c>
    </row>
    <row r="8452" spans="1:7" x14ac:dyDescent="0.3">
      <c r="A8452" t="s">
        <v>33</v>
      </c>
      <c r="B8452" t="s">
        <v>881</v>
      </c>
      <c r="C8452">
        <v>474</v>
      </c>
      <c r="D8452" t="s">
        <v>99</v>
      </c>
      <c r="E8452" t="s">
        <v>110</v>
      </c>
      <c r="F8452" t="s">
        <v>768</v>
      </c>
      <c r="G8452" t="s">
        <v>99</v>
      </c>
    </row>
    <row r="8453" spans="1:7" x14ac:dyDescent="0.3">
      <c r="A8453" t="s">
        <v>33</v>
      </c>
      <c r="B8453" t="s">
        <v>882</v>
      </c>
      <c r="C8453">
        <v>882</v>
      </c>
      <c r="D8453" t="s">
        <v>99</v>
      </c>
      <c r="E8453" t="s">
        <v>215</v>
      </c>
      <c r="F8453" t="s">
        <v>383</v>
      </c>
      <c r="G8453" t="s">
        <v>99</v>
      </c>
    </row>
    <row r="8454" spans="1:7" x14ac:dyDescent="0.3">
      <c r="A8454" t="s">
        <v>49</v>
      </c>
      <c r="B8454" t="s">
        <v>880</v>
      </c>
      <c r="C8454">
        <v>1058</v>
      </c>
      <c r="D8454" t="s">
        <v>104</v>
      </c>
      <c r="E8454" t="s">
        <v>105</v>
      </c>
      <c r="F8454" t="s">
        <v>336</v>
      </c>
      <c r="G8454" t="s">
        <v>99</v>
      </c>
    </row>
    <row r="8455" spans="1:7" x14ac:dyDescent="0.3">
      <c r="A8455" t="s">
        <v>49</v>
      </c>
      <c r="B8455" t="s">
        <v>881</v>
      </c>
      <c r="C8455">
        <v>3412</v>
      </c>
      <c r="D8455" t="s">
        <v>198</v>
      </c>
      <c r="E8455" t="s">
        <v>74</v>
      </c>
      <c r="F8455" t="s">
        <v>391</v>
      </c>
      <c r="G8455" t="s">
        <v>104</v>
      </c>
    </row>
    <row r="8456" spans="1:7" x14ac:dyDescent="0.3">
      <c r="A8456" t="s">
        <v>49</v>
      </c>
      <c r="B8456" t="s">
        <v>882</v>
      </c>
      <c r="C8456">
        <v>6201</v>
      </c>
      <c r="D8456" t="s">
        <v>104</v>
      </c>
      <c r="E8456" t="s">
        <v>316</v>
      </c>
      <c r="F8456" t="s">
        <v>466</v>
      </c>
      <c r="G8456" t="s">
        <v>104</v>
      </c>
    </row>
    <row r="8458" spans="1:7" x14ac:dyDescent="0.3">
      <c r="A8458" t="s">
        <v>2327</v>
      </c>
    </row>
    <row r="8459" spans="1:7" x14ac:dyDescent="0.3">
      <c r="A8459" t="s">
        <v>44</v>
      </c>
      <c r="B8459" t="s">
        <v>2252</v>
      </c>
      <c r="C8459" t="s">
        <v>32</v>
      </c>
      <c r="D8459" t="s">
        <v>66</v>
      </c>
      <c r="E8459" t="s">
        <v>67</v>
      </c>
      <c r="F8459" t="s">
        <v>352</v>
      </c>
      <c r="G8459" t="s">
        <v>193</v>
      </c>
    </row>
    <row r="8460" spans="1:7" x14ac:dyDescent="0.3">
      <c r="A8460" t="s">
        <v>35</v>
      </c>
      <c r="B8460" t="s">
        <v>2253</v>
      </c>
      <c r="C8460">
        <v>1330</v>
      </c>
      <c r="D8460" t="s">
        <v>110</v>
      </c>
      <c r="E8460" t="s">
        <v>1017</v>
      </c>
      <c r="F8460" t="s">
        <v>198</v>
      </c>
      <c r="G8460" t="s">
        <v>104</v>
      </c>
    </row>
    <row r="8461" spans="1:7" x14ac:dyDescent="0.3">
      <c r="A8461" t="s">
        <v>35</v>
      </c>
      <c r="B8461" t="s">
        <v>2254</v>
      </c>
      <c r="C8461">
        <v>1369</v>
      </c>
      <c r="D8461" t="s">
        <v>474</v>
      </c>
      <c r="E8461" t="s">
        <v>69</v>
      </c>
      <c r="F8461" t="s">
        <v>99</v>
      </c>
      <c r="G8461" t="s">
        <v>136</v>
      </c>
    </row>
    <row r="8462" spans="1:7" x14ac:dyDescent="0.3">
      <c r="A8462" t="s">
        <v>35</v>
      </c>
      <c r="B8462" t="s">
        <v>365</v>
      </c>
      <c r="C8462">
        <v>12</v>
      </c>
      <c r="D8462" t="s">
        <v>123</v>
      </c>
      <c r="E8462" t="s">
        <v>438</v>
      </c>
      <c r="F8462" t="s">
        <v>99</v>
      </c>
      <c r="G8462" t="s">
        <v>99</v>
      </c>
    </row>
    <row r="8463" spans="1:7" x14ac:dyDescent="0.3">
      <c r="A8463" t="s">
        <v>37</v>
      </c>
      <c r="B8463" t="s">
        <v>2253</v>
      </c>
      <c r="C8463">
        <v>1738</v>
      </c>
      <c r="D8463" t="s">
        <v>292</v>
      </c>
      <c r="E8463" t="s">
        <v>986</v>
      </c>
      <c r="F8463" t="s">
        <v>104</v>
      </c>
      <c r="G8463" t="s">
        <v>99</v>
      </c>
    </row>
    <row r="8464" spans="1:7" x14ac:dyDescent="0.3">
      <c r="A8464" t="s">
        <v>37</v>
      </c>
      <c r="B8464" t="s">
        <v>2254</v>
      </c>
      <c r="C8464">
        <v>1519</v>
      </c>
      <c r="D8464" t="s">
        <v>101</v>
      </c>
      <c r="E8464" t="s">
        <v>483</v>
      </c>
      <c r="F8464" t="s">
        <v>99</v>
      </c>
      <c r="G8464" t="s">
        <v>104</v>
      </c>
    </row>
    <row r="8465" spans="1:7" x14ac:dyDescent="0.3">
      <c r="A8465" t="s">
        <v>37</v>
      </c>
      <c r="B8465" t="s">
        <v>365</v>
      </c>
      <c r="C8465">
        <v>5</v>
      </c>
      <c r="D8465" t="s">
        <v>99</v>
      </c>
      <c r="E8465" t="s">
        <v>211</v>
      </c>
      <c r="F8465" t="s">
        <v>99</v>
      </c>
      <c r="G8465" t="s">
        <v>99</v>
      </c>
    </row>
    <row r="8466" spans="1:7" x14ac:dyDescent="0.3">
      <c r="A8466" t="s">
        <v>36</v>
      </c>
      <c r="B8466" t="s">
        <v>2253</v>
      </c>
      <c r="C8466">
        <v>837</v>
      </c>
      <c r="D8466" t="s">
        <v>204</v>
      </c>
      <c r="E8466" t="s">
        <v>415</v>
      </c>
      <c r="F8466" t="s">
        <v>99</v>
      </c>
      <c r="G8466" t="s">
        <v>99</v>
      </c>
    </row>
    <row r="8467" spans="1:7" x14ac:dyDescent="0.3">
      <c r="A8467" t="s">
        <v>36</v>
      </c>
      <c r="B8467" t="s">
        <v>2254</v>
      </c>
      <c r="C8467">
        <v>904</v>
      </c>
      <c r="D8467" t="s">
        <v>130</v>
      </c>
      <c r="E8467" t="s">
        <v>237</v>
      </c>
      <c r="F8467" t="s">
        <v>99</v>
      </c>
      <c r="G8467" t="s">
        <v>99</v>
      </c>
    </row>
    <row r="8468" spans="1:7" x14ac:dyDescent="0.3">
      <c r="A8468" t="s">
        <v>36</v>
      </c>
      <c r="B8468" t="s">
        <v>365</v>
      </c>
      <c r="C8468">
        <v>12</v>
      </c>
      <c r="D8468" t="s">
        <v>108</v>
      </c>
      <c r="E8468" t="s">
        <v>1022</v>
      </c>
      <c r="F8468" t="s">
        <v>99</v>
      </c>
      <c r="G8468" t="s">
        <v>99</v>
      </c>
    </row>
    <row r="8469" spans="1:7" x14ac:dyDescent="0.3">
      <c r="A8469" t="s">
        <v>34</v>
      </c>
      <c r="B8469" t="s">
        <v>2253</v>
      </c>
      <c r="C8469">
        <v>657</v>
      </c>
      <c r="D8469" t="s">
        <v>664</v>
      </c>
      <c r="E8469" t="s">
        <v>324</v>
      </c>
      <c r="F8469" t="s">
        <v>104</v>
      </c>
      <c r="G8469" t="s">
        <v>104</v>
      </c>
    </row>
    <row r="8470" spans="1:7" x14ac:dyDescent="0.3">
      <c r="A8470" t="s">
        <v>34</v>
      </c>
      <c r="B8470" t="s">
        <v>2254</v>
      </c>
      <c r="C8470">
        <v>746</v>
      </c>
      <c r="D8470" t="s">
        <v>254</v>
      </c>
      <c r="E8470" t="s">
        <v>978</v>
      </c>
      <c r="F8470" t="s">
        <v>136</v>
      </c>
      <c r="G8470" t="s">
        <v>99</v>
      </c>
    </row>
    <row r="8471" spans="1:7" x14ac:dyDescent="0.3">
      <c r="A8471" t="s">
        <v>34</v>
      </c>
      <c r="B8471" t="s">
        <v>365</v>
      </c>
      <c r="C8471">
        <v>7</v>
      </c>
      <c r="D8471" t="s">
        <v>99</v>
      </c>
      <c r="E8471" t="s">
        <v>211</v>
      </c>
      <c r="F8471" t="s">
        <v>99</v>
      </c>
      <c r="G8471" t="s">
        <v>99</v>
      </c>
    </row>
    <row r="8472" spans="1:7" x14ac:dyDescent="0.3">
      <c r="A8472" t="s">
        <v>33</v>
      </c>
      <c r="B8472" t="s">
        <v>2253</v>
      </c>
      <c r="C8472">
        <v>718</v>
      </c>
      <c r="D8472" t="s">
        <v>129</v>
      </c>
      <c r="E8472" t="s">
        <v>782</v>
      </c>
      <c r="F8472" t="s">
        <v>99</v>
      </c>
      <c r="G8472" t="s">
        <v>99</v>
      </c>
    </row>
    <row r="8473" spans="1:7" x14ac:dyDescent="0.3">
      <c r="A8473" t="s">
        <v>33</v>
      </c>
      <c r="B8473" t="s">
        <v>2254</v>
      </c>
      <c r="C8473">
        <v>816</v>
      </c>
      <c r="D8473" t="s">
        <v>114</v>
      </c>
      <c r="E8473" t="s">
        <v>385</v>
      </c>
      <c r="F8473" t="s">
        <v>104</v>
      </c>
      <c r="G8473" t="s">
        <v>99</v>
      </c>
    </row>
    <row r="8474" spans="1:7" x14ac:dyDescent="0.3">
      <c r="A8474" t="s">
        <v>33</v>
      </c>
      <c r="B8474" t="s">
        <v>365</v>
      </c>
      <c r="C8474">
        <v>1</v>
      </c>
      <c r="D8474" t="s">
        <v>99</v>
      </c>
      <c r="E8474" t="s">
        <v>211</v>
      </c>
      <c r="F8474" t="s">
        <v>99</v>
      </c>
      <c r="G8474" t="s">
        <v>99</v>
      </c>
    </row>
    <row r="8475" spans="1:7" x14ac:dyDescent="0.3">
      <c r="A8475" t="s">
        <v>49</v>
      </c>
      <c r="B8475" t="s">
        <v>2253</v>
      </c>
      <c r="C8475">
        <v>5280</v>
      </c>
      <c r="D8475" t="s">
        <v>130</v>
      </c>
      <c r="E8475" t="s">
        <v>433</v>
      </c>
      <c r="F8475" t="s">
        <v>104</v>
      </c>
      <c r="G8475" t="s">
        <v>99</v>
      </c>
    </row>
    <row r="8476" spans="1:7" x14ac:dyDescent="0.3">
      <c r="A8476" t="s">
        <v>49</v>
      </c>
      <c r="B8476" t="s">
        <v>2254</v>
      </c>
      <c r="C8476">
        <v>5354</v>
      </c>
      <c r="D8476" t="s">
        <v>332</v>
      </c>
      <c r="E8476" t="s">
        <v>333</v>
      </c>
      <c r="F8476" t="s">
        <v>104</v>
      </c>
      <c r="G8476" t="s">
        <v>104</v>
      </c>
    </row>
    <row r="8477" spans="1:7" x14ac:dyDescent="0.3">
      <c r="A8477" t="s">
        <v>49</v>
      </c>
      <c r="B8477" t="s">
        <v>365</v>
      </c>
      <c r="C8477">
        <v>37</v>
      </c>
      <c r="D8477" t="s">
        <v>108</v>
      </c>
      <c r="E8477" t="s">
        <v>1022</v>
      </c>
      <c r="F8477" t="s">
        <v>99</v>
      </c>
      <c r="G8477" t="s">
        <v>99</v>
      </c>
    </row>
    <row r="8479" spans="1:7" x14ac:dyDescent="0.3">
      <c r="A8479" t="s">
        <v>2328</v>
      </c>
    </row>
    <row r="8480" spans="1:7" x14ac:dyDescent="0.3">
      <c r="A8480" t="s">
        <v>44</v>
      </c>
      <c r="B8480" t="s">
        <v>361</v>
      </c>
      <c r="C8480" t="s">
        <v>32</v>
      </c>
      <c r="D8480" t="s">
        <v>66</v>
      </c>
      <c r="E8480" t="s">
        <v>67</v>
      </c>
      <c r="F8480" t="s">
        <v>352</v>
      </c>
      <c r="G8480" t="s">
        <v>193</v>
      </c>
    </row>
    <row r="8481" spans="1:7" x14ac:dyDescent="0.3">
      <c r="A8481" t="s">
        <v>35</v>
      </c>
      <c r="B8481" t="s">
        <v>339</v>
      </c>
      <c r="C8481">
        <v>955</v>
      </c>
      <c r="D8481" t="s">
        <v>109</v>
      </c>
      <c r="E8481" t="s">
        <v>79</v>
      </c>
      <c r="F8481" t="s">
        <v>207</v>
      </c>
      <c r="G8481" t="s">
        <v>253</v>
      </c>
    </row>
    <row r="8482" spans="1:7" x14ac:dyDescent="0.3">
      <c r="A8482" t="s">
        <v>35</v>
      </c>
      <c r="B8482" t="s">
        <v>340</v>
      </c>
      <c r="C8482">
        <v>1715</v>
      </c>
      <c r="D8482" t="s">
        <v>147</v>
      </c>
      <c r="E8482" t="s">
        <v>998</v>
      </c>
      <c r="F8482" t="s">
        <v>99</v>
      </c>
      <c r="G8482" t="s">
        <v>104</v>
      </c>
    </row>
    <row r="8483" spans="1:7" x14ac:dyDescent="0.3">
      <c r="A8483" t="s">
        <v>35</v>
      </c>
      <c r="B8483" t="s">
        <v>365</v>
      </c>
      <c r="C8483">
        <v>41</v>
      </c>
      <c r="D8483" t="s">
        <v>99</v>
      </c>
      <c r="E8483" t="s">
        <v>211</v>
      </c>
      <c r="F8483" t="s">
        <v>99</v>
      </c>
      <c r="G8483" t="s">
        <v>99</v>
      </c>
    </row>
    <row r="8484" spans="1:7" x14ac:dyDescent="0.3">
      <c r="A8484" t="s">
        <v>37</v>
      </c>
      <c r="B8484" t="s">
        <v>339</v>
      </c>
      <c r="C8484">
        <v>1184</v>
      </c>
      <c r="D8484" t="s">
        <v>107</v>
      </c>
      <c r="E8484" t="s">
        <v>998</v>
      </c>
      <c r="F8484" t="s">
        <v>104</v>
      </c>
      <c r="G8484" t="s">
        <v>99</v>
      </c>
    </row>
    <row r="8485" spans="1:7" x14ac:dyDescent="0.3">
      <c r="A8485" t="s">
        <v>37</v>
      </c>
      <c r="B8485" t="s">
        <v>340</v>
      </c>
      <c r="C8485">
        <v>2034</v>
      </c>
      <c r="D8485" t="s">
        <v>114</v>
      </c>
      <c r="E8485" t="s">
        <v>225</v>
      </c>
      <c r="F8485" t="s">
        <v>99</v>
      </c>
      <c r="G8485" t="s">
        <v>104</v>
      </c>
    </row>
    <row r="8486" spans="1:7" x14ac:dyDescent="0.3">
      <c r="A8486" t="s">
        <v>37</v>
      </c>
      <c r="B8486" t="s">
        <v>365</v>
      </c>
      <c r="C8486">
        <v>44</v>
      </c>
      <c r="D8486" t="s">
        <v>712</v>
      </c>
      <c r="E8486" t="s">
        <v>1017</v>
      </c>
      <c r="F8486" t="s">
        <v>99</v>
      </c>
      <c r="G8486" t="s">
        <v>99</v>
      </c>
    </row>
    <row r="8487" spans="1:7" x14ac:dyDescent="0.3">
      <c r="A8487" t="s">
        <v>36</v>
      </c>
      <c r="B8487" t="s">
        <v>339</v>
      </c>
      <c r="C8487">
        <v>685</v>
      </c>
      <c r="D8487" t="s">
        <v>675</v>
      </c>
      <c r="E8487" t="s">
        <v>391</v>
      </c>
      <c r="F8487" t="s">
        <v>99</v>
      </c>
      <c r="G8487" t="s">
        <v>99</v>
      </c>
    </row>
    <row r="8488" spans="1:7" x14ac:dyDescent="0.3">
      <c r="A8488" t="s">
        <v>36</v>
      </c>
      <c r="B8488" t="s">
        <v>340</v>
      </c>
      <c r="C8488">
        <v>1018</v>
      </c>
      <c r="D8488" t="s">
        <v>110</v>
      </c>
      <c r="E8488" t="s">
        <v>768</v>
      </c>
      <c r="F8488" t="s">
        <v>99</v>
      </c>
      <c r="G8488" t="s">
        <v>99</v>
      </c>
    </row>
    <row r="8489" spans="1:7" x14ac:dyDescent="0.3">
      <c r="A8489" t="s">
        <v>36</v>
      </c>
      <c r="B8489" t="s">
        <v>365</v>
      </c>
      <c r="C8489">
        <v>50</v>
      </c>
      <c r="D8489" t="s">
        <v>110</v>
      </c>
      <c r="E8489" t="s">
        <v>768</v>
      </c>
      <c r="F8489" t="s">
        <v>99</v>
      </c>
      <c r="G8489" t="s">
        <v>99</v>
      </c>
    </row>
    <row r="8490" spans="1:7" x14ac:dyDescent="0.3">
      <c r="A8490" t="s">
        <v>34</v>
      </c>
      <c r="B8490" t="s">
        <v>339</v>
      </c>
      <c r="C8490">
        <v>547</v>
      </c>
      <c r="D8490" t="s">
        <v>405</v>
      </c>
      <c r="E8490" t="s">
        <v>1276</v>
      </c>
      <c r="F8490" t="s">
        <v>207</v>
      </c>
      <c r="G8490" t="s">
        <v>104</v>
      </c>
    </row>
    <row r="8491" spans="1:7" x14ac:dyDescent="0.3">
      <c r="A8491" t="s">
        <v>34</v>
      </c>
      <c r="B8491" t="s">
        <v>340</v>
      </c>
      <c r="C8491">
        <v>837</v>
      </c>
      <c r="D8491" t="s">
        <v>129</v>
      </c>
      <c r="E8491" t="s">
        <v>337</v>
      </c>
      <c r="F8491" t="s">
        <v>207</v>
      </c>
      <c r="G8491" t="s">
        <v>99</v>
      </c>
    </row>
    <row r="8492" spans="1:7" x14ac:dyDescent="0.3">
      <c r="A8492" t="s">
        <v>34</v>
      </c>
      <c r="B8492" t="s">
        <v>365</v>
      </c>
      <c r="C8492">
        <v>26</v>
      </c>
      <c r="D8492" t="s">
        <v>125</v>
      </c>
      <c r="E8492" t="s">
        <v>378</v>
      </c>
      <c r="F8492" t="s">
        <v>99</v>
      </c>
      <c r="G8492" t="s">
        <v>99</v>
      </c>
    </row>
    <row r="8493" spans="1:7" x14ac:dyDescent="0.3">
      <c r="A8493" t="s">
        <v>33</v>
      </c>
      <c r="B8493" t="s">
        <v>339</v>
      </c>
      <c r="C8493">
        <v>519</v>
      </c>
      <c r="D8493" t="s">
        <v>110</v>
      </c>
      <c r="E8493" t="s">
        <v>768</v>
      </c>
      <c r="F8493" t="s">
        <v>99</v>
      </c>
      <c r="G8493" t="s">
        <v>99</v>
      </c>
    </row>
    <row r="8494" spans="1:7" x14ac:dyDescent="0.3">
      <c r="A8494" t="s">
        <v>33</v>
      </c>
      <c r="B8494" t="s">
        <v>340</v>
      </c>
      <c r="C8494">
        <v>998</v>
      </c>
      <c r="D8494" t="s">
        <v>382</v>
      </c>
      <c r="E8494" t="s">
        <v>1026</v>
      </c>
      <c r="F8494" t="s">
        <v>104</v>
      </c>
      <c r="G8494" t="s">
        <v>99</v>
      </c>
    </row>
    <row r="8495" spans="1:7" x14ac:dyDescent="0.3">
      <c r="A8495" t="s">
        <v>33</v>
      </c>
      <c r="B8495" t="s">
        <v>365</v>
      </c>
      <c r="C8495">
        <v>18</v>
      </c>
      <c r="D8495" t="s">
        <v>99</v>
      </c>
      <c r="E8495" t="s">
        <v>211</v>
      </c>
      <c r="F8495" t="s">
        <v>99</v>
      </c>
      <c r="G8495" t="s">
        <v>99</v>
      </c>
    </row>
    <row r="8496" spans="1:7" x14ac:dyDescent="0.3">
      <c r="A8496" t="s">
        <v>49</v>
      </c>
      <c r="B8496" t="s">
        <v>339</v>
      </c>
      <c r="C8496">
        <v>3890</v>
      </c>
      <c r="D8496" t="s">
        <v>144</v>
      </c>
      <c r="E8496" t="s">
        <v>414</v>
      </c>
      <c r="F8496" t="s">
        <v>198</v>
      </c>
      <c r="G8496" t="s">
        <v>198</v>
      </c>
    </row>
    <row r="8497" spans="1:7" x14ac:dyDescent="0.3">
      <c r="A8497" t="s">
        <v>49</v>
      </c>
      <c r="B8497" t="s">
        <v>340</v>
      </c>
      <c r="C8497">
        <v>6602</v>
      </c>
      <c r="D8497" t="s">
        <v>117</v>
      </c>
      <c r="E8497" t="s">
        <v>851</v>
      </c>
      <c r="F8497" t="s">
        <v>104</v>
      </c>
      <c r="G8497" t="s">
        <v>99</v>
      </c>
    </row>
    <row r="8498" spans="1:7" x14ac:dyDescent="0.3">
      <c r="A8498" t="s">
        <v>49</v>
      </c>
      <c r="B8498" t="s">
        <v>365</v>
      </c>
      <c r="C8498">
        <v>179</v>
      </c>
      <c r="D8498" t="s">
        <v>138</v>
      </c>
      <c r="E8498" t="s">
        <v>336</v>
      </c>
      <c r="F8498" t="s">
        <v>99</v>
      </c>
      <c r="G8498" t="s">
        <v>99</v>
      </c>
    </row>
    <row r="8500" spans="1:7" x14ac:dyDescent="0.3">
      <c r="A8500" t="s">
        <v>2329</v>
      </c>
    </row>
    <row r="8501" spans="1:7" x14ac:dyDescent="0.3">
      <c r="A8501" t="s">
        <v>44</v>
      </c>
      <c r="B8501" t="s">
        <v>257</v>
      </c>
      <c r="C8501" t="s">
        <v>32</v>
      </c>
      <c r="D8501" t="s">
        <v>352</v>
      </c>
      <c r="E8501" t="s">
        <v>66</v>
      </c>
      <c r="F8501" t="s">
        <v>67</v>
      </c>
      <c r="G8501" t="s">
        <v>193</v>
      </c>
    </row>
    <row r="8502" spans="1:7" x14ac:dyDescent="0.3">
      <c r="A8502" t="s">
        <v>35</v>
      </c>
      <c r="B8502" t="s">
        <v>258</v>
      </c>
      <c r="C8502">
        <v>2430</v>
      </c>
      <c r="D8502" t="s">
        <v>99</v>
      </c>
      <c r="E8502" t="s">
        <v>434</v>
      </c>
      <c r="F8502" t="s">
        <v>337</v>
      </c>
      <c r="G8502" t="s">
        <v>198</v>
      </c>
    </row>
    <row r="8503" spans="1:7" x14ac:dyDescent="0.3">
      <c r="A8503" t="s">
        <v>35</v>
      </c>
      <c r="B8503" t="s">
        <v>260</v>
      </c>
      <c r="C8503">
        <v>281</v>
      </c>
      <c r="D8503" t="s">
        <v>132</v>
      </c>
      <c r="E8503" t="s">
        <v>474</v>
      </c>
      <c r="F8503" t="s">
        <v>467</v>
      </c>
      <c r="G8503" t="s">
        <v>136</v>
      </c>
    </row>
    <row r="8504" spans="1:7" x14ac:dyDescent="0.3">
      <c r="A8504" t="s">
        <v>37</v>
      </c>
      <c r="B8504" t="s">
        <v>258</v>
      </c>
      <c r="C8504">
        <v>3262</v>
      </c>
      <c r="D8504" t="s">
        <v>99</v>
      </c>
      <c r="E8504" t="s">
        <v>215</v>
      </c>
      <c r="F8504" t="s">
        <v>1026</v>
      </c>
      <c r="G8504" t="s">
        <v>99</v>
      </c>
    </row>
    <row r="8505" spans="1:7" x14ac:dyDescent="0.3">
      <c r="A8505" t="s">
        <v>36</v>
      </c>
      <c r="B8505" t="s">
        <v>258</v>
      </c>
      <c r="C8505">
        <v>1533</v>
      </c>
      <c r="D8505" t="s">
        <v>99</v>
      </c>
      <c r="E8505" t="s">
        <v>242</v>
      </c>
      <c r="F8505" t="s">
        <v>375</v>
      </c>
      <c r="G8505" t="s">
        <v>99</v>
      </c>
    </row>
    <row r="8506" spans="1:7" x14ac:dyDescent="0.3">
      <c r="A8506" t="s">
        <v>36</v>
      </c>
      <c r="B8506" t="s">
        <v>260</v>
      </c>
      <c r="C8506">
        <v>220</v>
      </c>
      <c r="D8506" t="s">
        <v>141</v>
      </c>
      <c r="E8506" t="s">
        <v>122</v>
      </c>
      <c r="F8506" t="s">
        <v>79</v>
      </c>
      <c r="G8506" t="s">
        <v>99</v>
      </c>
    </row>
    <row r="8507" spans="1:7" x14ac:dyDescent="0.3">
      <c r="A8507" t="s">
        <v>34</v>
      </c>
      <c r="B8507" t="s">
        <v>258</v>
      </c>
      <c r="C8507">
        <v>584</v>
      </c>
      <c r="D8507" t="s">
        <v>99</v>
      </c>
      <c r="E8507" t="s">
        <v>115</v>
      </c>
      <c r="F8507" t="s">
        <v>996</v>
      </c>
      <c r="G8507" t="s">
        <v>99</v>
      </c>
    </row>
    <row r="8508" spans="1:7" x14ac:dyDescent="0.3">
      <c r="A8508" t="s">
        <v>34</v>
      </c>
      <c r="B8508" t="s">
        <v>260</v>
      </c>
      <c r="C8508">
        <v>826</v>
      </c>
      <c r="D8508" t="s">
        <v>136</v>
      </c>
      <c r="E8508" t="s">
        <v>113</v>
      </c>
      <c r="F8508" t="s">
        <v>403</v>
      </c>
      <c r="G8508" t="s">
        <v>99</v>
      </c>
    </row>
    <row r="8509" spans="1:7" x14ac:dyDescent="0.3">
      <c r="A8509" t="s">
        <v>33</v>
      </c>
      <c r="B8509" t="s">
        <v>258</v>
      </c>
      <c r="C8509">
        <v>1535</v>
      </c>
      <c r="D8509" t="s">
        <v>104</v>
      </c>
      <c r="E8509" t="s">
        <v>117</v>
      </c>
      <c r="F8509" t="s">
        <v>851</v>
      </c>
      <c r="G8509" t="s">
        <v>99</v>
      </c>
    </row>
    <row r="8510" spans="1:7" x14ac:dyDescent="0.3">
      <c r="A8510" t="s">
        <v>49</v>
      </c>
      <c r="B8510" t="s">
        <v>258</v>
      </c>
      <c r="C8510">
        <v>9344</v>
      </c>
      <c r="D8510" t="s">
        <v>99</v>
      </c>
      <c r="E8510" t="s">
        <v>147</v>
      </c>
      <c r="F8510" t="s">
        <v>404</v>
      </c>
      <c r="G8510" t="s">
        <v>104</v>
      </c>
    </row>
    <row r="8511" spans="1:7" x14ac:dyDescent="0.3">
      <c r="A8511" t="s">
        <v>49</v>
      </c>
      <c r="B8511" t="s">
        <v>260</v>
      </c>
      <c r="C8511">
        <v>1327</v>
      </c>
      <c r="D8511" t="s">
        <v>141</v>
      </c>
      <c r="E8511" t="s">
        <v>679</v>
      </c>
      <c r="F8511" t="s">
        <v>354</v>
      </c>
      <c r="G8511" t="s">
        <v>104</v>
      </c>
    </row>
    <row r="8513" spans="1:7" x14ac:dyDescent="0.3">
      <c r="A8513" t="s">
        <v>2330</v>
      </c>
    </row>
    <row r="8514" spans="1:7" x14ac:dyDescent="0.3">
      <c r="A8514" t="s">
        <v>44</v>
      </c>
      <c r="B8514" t="s">
        <v>1590</v>
      </c>
      <c r="C8514" t="s">
        <v>32</v>
      </c>
      <c r="D8514" t="s">
        <v>352</v>
      </c>
      <c r="E8514" t="s">
        <v>66</v>
      </c>
      <c r="F8514" t="s">
        <v>67</v>
      </c>
      <c r="G8514" t="s">
        <v>193</v>
      </c>
    </row>
    <row r="8515" spans="1:7" x14ac:dyDescent="0.3">
      <c r="A8515" t="s">
        <v>35</v>
      </c>
      <c r="B8515" t="s">
        <v>1591</v>
      </c>
      <c r="C8515">
        <v>1456</v>
      </c>
      <c r="D8515" t="s">
        <v>99</v>
      </c>
      <c r="E8515" t="s">
        <v>144</v>
      </c>
      <c r="F8515" t="s">
        <v>414</v>
      </c>
      <c r="G8515" t="s">
        <v>136</v>
      </c>
    </row>
    <row r="8516" spans="1:7" x14ac:dyDescent="0.3">
      <c r="A8516" t="s">
        <v>35</v>
      </c>
      <c r="B8516" t="s">
        <v>1592</v>
      </c>
      <c r="C8516">
        <v>1223</v>
      </c>
      <c r="D8516" t="s">
        <v>104</v>
      </c>
      <c r="E8516" t="s">
        <v>117</v>
      </c>
      <c r="F8516" t="s">
        <v>249</v>
      </c>
      <c r="G8516" t="s">
        <v>104</v>
      </c>
    </row>
    <row r="8517" spans="1:7" x14ac:dyDescent="0.3">
      <c r="A8517" t="s">
        <v>35</v>
      </c>
      <c r="B8517" t="s">
        <v>365</v>
      </c>
      <c r="C8517">
        <v>32</v>
      </c>
      <c r="D8517" t="s">
        <v>145</v>
      </c>
      <c r="E8517" t="s">
        <v>99</v>
      </c>
      <c r="F8517" t="s">
        <v>334</v>
      </c>
      <c r="G8517" t="s">
        <v>99</v>
      </c>
    </row>
    <row r="8518" spans="1:7" x14ac:dyDescent="0.3">
      <c r="A8518" t="s">
        <v>37</v>
      </c>
      <c r="B8518" t="s">
        <v>1591</v>
      </c>
      <c r="C8518">
        <v>1625</v>
      </c>
      <c r="D8518" t="s">
        <v>104</v>
      </c>
      <c r="E8518" t="s">
        <v>147</v>
      </c>
      <c r="F8518" t="s">
        <v>404</v>
      </c>
      <c r="G8518" t="s">
        <v>104</v>
      </c>
    </row>
    <row r="8519" spans="1:7" x14ac:dyDescent="0.3">
      <c r="A8519" t="s">
        <v>37</v>
      </c>
      <c r="B8519" t="s">
        <v>1592</v>
      </c>
      <c r="C8519">
        <v>1584</v>
      </c>
      <c r="D8519" t="s">
        <v>99</v>
      </c>
      <c r="E8519" t="s">
        <v>253</v>
      </c>
      <c r="F8519" t="s">
        <v>980</v>
      </c>
      <c r="G8519" t="s">
        <v>99</v>
      </c>
    </row>
    <row r="8520" spans="1:7" x14ac:dyDescent="0.3">
      <c r="A8520" t="s">
        <v>37</v>
      </c>
      <c r="B8520" t="s">
        <v>365</v>
      </c>
      <c r="C8520">
        <v>53</v>
      </c>
      <c r="D8520" t="s">
        <v>99</v>
      </c>
      <c r="E8520" t="s">
        <v>99</v>
      </c>
      <c r="F8520" t="s">
        <v>211</v>
      </c>
      <c r="G8520" t="s">
        <v>99</v>
      </c>
    </row>
    <row r="8521" spans="1:7" x14ac:dyDescent="0.3">
      <c r="A8521" t="s">
        <v>36</v>
      </c>
      <c r="B8521" t="s">
        <v>1591</v>
      </c>
      <c r="C8521">
        <v>1210</v>
      </c>
      <c r="D8521" t="s">
        <v>99</v>
      </c>
      <c r="E8521" t="s">
        <v>663</v>
      </c>
      <c r="F8521" t="s">
        <v>771</v>
      </c>
      <c r="G8521" t="s">
        <v>99</v>
      </c>
    </row>
    <row r="8522" spans="1:7" x14ac:dyDescent="0.3">
      <c r="A8522" t="s">
        <v>36</v>
      </c>
      <c r="B8522" t="s">
        <v>1592</v>
      </c>
      <c r="C8522">
        <v>523</v>
      </c>
      <c r="D8522" t="s">
        <v>99</v>
      </c>
      <c r="E8522" t="s">
        <v>151</v>
      </c>
      <c r="F8522" t="s">
        <v>766</v>
      </c>
      <c r="G8522" t="s">
        <v>99</v>
      </c>
    </row>
    <row r="8523" spans="1:7" x14ac:dyDescent="0.3">
      <c r="A8523" t="s">
        <v>36</v>
      </c>
      <c r="B8523" t="s">
        <v>365</v>
      </c>
      <c r="C8523">
        <v>20</v>
      </c>
      <c r="D8523" t="s">
        <v>99</v>
      </c>
      <c r="E8523" t="s">
        <v>113</v>
      </c>
      <c r="F8523" t="s">
        <v>323</v>
      </c>
      <c r="G8523" t="s">
        <v>99</v>
      </c>
    </row>
    <row r="8524" spans="1:7" x14ac:dyDescent="0.3">
      <c r="A8524" t="s">
        <v>34</v>
      </c>
      <c r="B8524" t="s">
        <v>1591</v>
      </c>
      <c r="C8524">
        <v>749</v>
      </c>
      <c r="D8524" t="s">
        <v>141</v>
      </c>
      <c r="E8524" t="s">
        <v>420</v>
      </c>
      <c r="F8524" t="s">
        <v>183</v>
      </c>
      <c r="G8524" t="s">
        <v>99</v>
      </c>
    </row>
    <row r="8525" spans="1:7" x14ac:dyDescent="0.3">
      <c r="A8525" t="s">
        <v>34</v>
      </c>
      <c r="B8525" t="s">
        <v>1592</v>
      </c>
      <c r="C8525">
        <v>624</v>
      </c>
      <c r="D8525" t="s">
        <v>99</v>
      </c>
      <c r="E8525" t="s">
        <v>118</v>
      </c>
      <c r="F8525" t="s">
        <v>779</v>
      </c>
      <c r="G8525" t="s">
        <v>99</v>
      </c>
    </row>
    <row r="8526" spans="1:7" x14ac:dyDescent="0.3">
      <c r="A8526" t="s">
        <v>34</v>
      </c>
      <c r="B8526" t="s">
        <v>365</v>
      </c>
      <c r="C8526">
        <v>37</v>
      </c>
      <c r="D8526" t="s">
        <v>99</v>
      </c>
      <c r="E8526" t="s">
        <v>201</v>
      </c>
      <c r="F8526" t="s">
        <v>200</v>
      </c>
      <c r="G8526" t="s">
        <v>99</v>
      </c>
    </row>
    <row r="8527" spans="1:7" x14ac:dyDescent="0.3">
      <c r="A8527" t="s">
        <v>33</v>
      </c>
      <c r="B8527" t="s">
        <v>1591</v>
      </c>
      <c r="C8527">
        <v>596</v>
      </c>
      <c r="D8527" t="s">
        <v>198</v>
      </c>
      <c r="E8527" t="s">
        <v>130</v>
      </c>
      <c r="F8527" t="s">
        <v>1017</v>
      </c>
      <c r="G8527" t="s">
        <v>99</v>
      </c>
    </row>
    <row r="8528" spans="1:7" x14ac:dyDescent="0.3">
      <c r="A8528" t="s">
        <v>33</v>
      </c>
      <c r="B8528" t="s">
        <v>1592</v>
      </c>
      <c r="C8528">
        <v>925</v>
      </c>
      <c r="D8528" t="s">
        <v>99</v>
      </c>
      <c r="E8528" t="s">
        <v>101</v>
      </c>
      <c r="F8528" t="s">
        <v>999</v>
      </c>
      <c r="G8528" t="s">
        <v>99</v>
      </c>
    </row>
    <row r="8529" spans="1:19" x14ac:dyDescent="0.3">
      <c r="A8529" t="s">
        <v>33</v>
      </c>
      <c r="B8529" t="s">
        <v>365</v>
      </c>
      <c r="C8529">
        <v>14</v>
      </c>
      <c r="D8529" t="s">
        <v>99</v>
      </c>
      <c r="E8529" t="s">
        <v>99</v>
      </c>
      <c r="F8529" t="s">
        <v>211</v>
      </c>
      <c r="G8529" t="s">
        <v>99</v>
      </c>
    </row>
    <row r="8530" spans="1:19" x14ac:dyDescent="0.3">
      <c r="A8530" t="s">
        <v>49</v>
      </c>
      <c r="B8530" t="s">
        <v>1591</v>
      </c>
      <c r="C8530">
        <v>5636</v>
      </c>
      <c r="D8530" t="s">
        <v>104</v>
      </c>
      <c r="E8530" t="s">
        <v>124</v>
      </c>
      <c r="F8530" t="s">
        <v>327</v>
      </c>
      <c r="G8530" t="s">
        <v>198</v>
      </c>
    </row>
    <row r="8531" spans="1:19" x14ac:dyDescent="0.3">
      <c r="A8531" t="s">
        <v>49</v>
      </c>
      <c r="B8531" t="s">
        <v>1592</v>
      </c>
      <c r="C8531">
        <v>4879</v>
      </c>
      <c r="D8531" t="s">
        <v>99</v>
      </c>
      <c r="E8531" t="s">
        <v>123</v>
      </c>
      <c r="F8531" t="s">
        <v>438</v>
      </c>
      <c r="G8531" t="s">
        <v>99</v>
      </c>
    </row>
    <row r="8532" spans="1:19" x14ac:dyDescent="0.3">
      <c r="A8532" t="s">
        <v>49</v>
      </c>
      <c r="B8532" t="s">
        <v>365</v>
      </c>
      <c r="C8532">
        <v>156</v>
      </c>
      <c r="D8532" t="s">
        <v>114</v>
      </c>
      <c r="E8532" t="s">
        <v>204</v>
      </c>
      <c r="F8532" t="s">
        <v>226</v>
      </c>
      <c r="G8532" t="s">
        <v>99</v>
      </c>
    </row>
    <row r="8534" spans="1:19" x14ac:dyDescent="0.3">
      <c r="A8534" t="s">
        <v>2331</v>
      </c>
    </row>
    <row r="8535" spans="1:19" x14ac:dyDescent="0.3">
      <c r="A8535" t="s">
        <v>44</v>
      </c>
      <c r="B8535" t="s">
        <v>32</v>
      </c>
      <c r="C8535" t="s">
        <v>2332</v>
      </c>
      <c r="D8535" t="s">
        <v>2333</v>
      </c>
      <c r="E8535" t="s">
        <v>2334</v>
      </c>
      <c r="F8535" t="s">
        <v>2335</v>
      </c>
      <c r="G8535" t="s">
        <v>2336</v>
      </c>
      <c r="H8535" t="s">
        <v>2337</v>
      </c>
      <c r="I8535" t="s">
        <v>2338</v>
      </c>
      <c r="J8535" t="s">
        <v>2339</v>
      </c>
      <c r="K8535" t="s">
        <v>2340</v>
      </c>
      <c r="L8535" t="s">
        <v>2341</v>
      </c>
      <c r="M8535" t="s">
        <v>2342</v>
      </c>
      <c r="N8535" t="s">
        <v>2343</v>
      </c>
      <c r="O8535" t="s">
        <v>2344</v>
      </c>
      <c r="P8535" t="s">
        <v>1275</v>
      </c>
      <c r="Q8535" t="s">
        <v>83</v>
      </c>
      <c r="R8535" t="s">
        <v>193</v>
      </c>
    </row>
    <row r="8536" spans="1:19" x14ac:dyDescent="0.3">
      <c r="A8536" t="s">
        <v>35</v>
      </c>
      <c r="B8536">
        <v>2710</v>
      </c>
      <c r="C8536" t="s">
        <v>1400</v>
      </c>
      <c r="D8536" t="s">
        <v>139</v>
      </c>
      <c r="E8536" t="s">
        <v>114</v>
      </c>
      <c r="F8536" t="s">
        <v>149</v>
      </c>
      <c r="G8536" t="s">
        <v>721</v>
      </c>
      <c r="H8536" t="s">
        <v>121</v>
      </c>
      <c r="I8536" t="s">
        <v>132</v>
      </c>
      <c r="J8536" t="s">
        <v>132</v>
      </c>
      <c r="K8536" t="s">
        <v>253</v>
      </c>
      <c r="L8536" t="s">
        <v>198</v>
      </c>
      <c r="M8536" t="s">
        <v>128</v>
      </c>
      <c r="N8536" t="s">
        <v>292</v>
      </c>
      <c r="O8536" t="s">
        <v>132</v>
      </c>
      <c r="P8536" t="s">
        <v>99</v>
      </c>
      <c r="Q8536" t="s">
        <v>198</v>
      </c>
      <c r="R8536" t="s">
        <v>99</v>
      </c>
    </row>
    <row r="8537" spans="1:19" x14ac:dyDescent="0.3">
      <c r="A8537" t="s">
        <v>37</v>
      </c>
      <c r="B8537">
        <v>3262</v>
      </c>
      <c r="C8537" t="s">
        <v>317</v>
      </c>
      <c r="D8537" t="s">
        <v>112</v>
      </c>
      <c r="E8537" t="s">
        <v>114</v>
      </c>
      <c r="F8537" t="s">
        <v>684</v>
      </c>
      <c r="G8537" t="s">
        <v>420</v>
      </c>
      <c r="H8537" t="s">
        <v>108</v>
      </c>
      <c r="I8537" t="s">
        <v>253</v>
      </c>
      <c r="J8537" t="s">
        <v>114</v>
      </c>
      <c r="K8537" t="s">
        <v>136</v>
      </c>
      <c r="L8537" t="s">
        <v>104</v>
      </c>
      <c r="M8537" t="s">
        <v>157</v>
      </c>
      <c r="N8537" t="s">
        <v>268</v>
      </c>
      <c r="O8537" t="s">
        <v>207</v>
      </c>
      <c r="P8537" t="s">
        <v>99</v>
      </c>
      <c r="Q8537" t="s">
        <v>99</v>
      </c>
      <c r="R8537" t="s">
        <v>99</v>
      </c>
    </row>
    <row r="8538" spans="1:19" x14ac:dyDescent="0.3">
      <c r="A8538" t="s">
        <v>36</v>
      </c>
      <c r="B8538">
        <v>1752</v>
      </c>
      <c r="C8538" t="s">
        <v>1403</v>
      </c>
      <c r="D8538" t="s">
        <v>78</v>
      </c>
      <c r="E8538" t="s">
        <v>268</v>
      </c>
      <c r="F8538" t="s">
        <v>144</v>
      </c>
      <c r="G8538" t="s">
        <v>201</v>
      </c>
      <c r="H8538" t="s">
        <v>107</v>
      </c>
      <c r="I8538" t="s">
        <v>292</v>
      </c>
      <c r="J8538" t="s">
        <v>319</v>
      </c>
      <c r="K8538" t="s">
        <v>101</v>
      </c>
      <c r="L8538" t="s">
        <v>108</v>
      </c>
      <c r="M8538" t="s">
        <v>111</v>
      </c>
      <c r="N8538" t="s">
        <v>215</v>
      </c>
      <c r="O8538" t="s">
        <v>132</v>
      </c>
      <c r="P8538" t="s">
        <v>207</v>
      </c>
      <c r="Q8538" t="s">
        <v>104</v>
      </c>
      <c r="R8538" t="s">
        <v>99</v>
      </c>
    </row>
    <row r="8539" spans="1:19" x14ac:dyDescent="0.3">
      <c r="A8539" t="s">
        <v>34</v>
      </c>
      <c r="B8539">
        <v>1409</v>
      </c>
      <c r="C8539" t="s">
        <v>767</v>
      </c>
      <c r="D8539" t="s">
        <v>684</v>
      </c>
      <c r="E8539" t="s">
        <v>105</v>
      </c>
      <c r="F8539" t="s">
        <v>147</v>
      </c>
      <c r="G8539" t="s">
        <v>416</v>
      </c>
      <c r="H8539" t="s">
        <v>215</v>
      </c>
      <c r="I8539" t="s">
        <v>136</v>
      </c>
      <c r="J8539" t="s">
        <v>141</v>
      </c>
      <c r="K8539" t="s">
        <v>121</v>
      </c>
      <c r="L8539" t="s">
        <v>215</v>
      </c>
      <c r="M8539" t="s">
        <v>157</v>
      </c>
      <c r="N8539" t="s">
        <v>100</v>
      </c>
      <c r="O8539" t="s">
        <v>207</v>
      </c>
      <c r="P8539" t="s">
        <v>198</v>
      </c>
      <c r="Q8539" t="s">
        <v>198</v>
      </c>
      <c r="R8539" t="s">
        <v>207</v>
      </c>
    </row>
    <row r="8540" spans="1:19" x14ac:dyDescent="0.3">
      <c r="A8540" t="s">
        <v>33</v>
      </c>
      <c r="B8540">
        <v>1535</v>
      </c>
      <c r="C8540" t="s">
        <v>537</v>
      </c>
      <c r="D8540" t="s">
        <v>109</v>
      </c>
      <c r="E8540" t="s">
        <v>253</v>
      </c>
      <c r="F8540" t="s">
        <v>292</v>
      </c>
      <c r="G8540" t="s">
        <v>74</v>
      </c>
      <c r="H8540" t="s">
        <v>100</v>
      </c>
      <c r="I8540" t="s">
        <v>207</v>
      </c>
      <c r="J8540" t="s">
        <v>104</v>
      </c>
      <c r="K8540" t="s">
        <v>99</v>
      </c>
      <c r="L8540" t="s">
        <v>104</v>
      </c>
      <c r="M8540" t="s">
        <v>100</v>
      </c>
      <c r="N8540" t="s">
        <v>115</v>
      </c>
      <c r="O8540" t="s">
        <v>99</v>
      </c>
      <c r="P8540" t="s">
        <v>99</v>
      </c>
      <c r="Q8540" t="s">
        <v>99</v>
      </c>
      <c r="R8540" t="s">
        <v>99</v>
      </c>
    </row>
    <row r="8541" spans="1:19" x14ac:dyDescent="0.3">
      <c r="A8541" t="s">
        <v>49</v>
      </c>
      <c r="B8541">
        <v>10668</v>
      </c>
      <c r="C8541" t="s">
        <v>859</v>
      </c>
      <c r="D8541" t="s">
        <v>158</v>
      </c>
      <c r="E8541" t="s">
        <v>319</v>
      </c>
      <c r="F8541" t="s">
        <v>434</v>
      </c>
      <c r="G8541" t="s">
        <v>716</v>
      </c>
      <c r="H8541" t="s">
        <v>101</v>
      </c>
      <c r="I8541" t="s">
        <v>115</v>
      </c>
      <c r="J8541" t="s">
        <v>132</v>
      </c>
      <c r="K8541" t="s">
        <v>253</v>
      </c>
      <c r="L8541" t="s">
        <v>141</v>
      </c>
      <c r="M8541" t="s">
        <v>316</v>
      </c>
      <c r="N8541" t="s">
        <v>215</v>
      </c>
      <c r="O8541" t="s">
        <v>136</v>
      </c>
      <c r="P8541" t="s">
        <v>104</v>
      </c>
      <c r="Q8541" t="s">
        <v>104</v>
      </c>
      <c r="R8541" t="s">
        <v>104</v>
      </c>
    </row>
    <row r="8543" spans="1:19" x14ac:dyDescent="0.3">
      <c r="A8543" t="s">
        <v>2345</v>
      </c>
    </row>
    <row r="8544" spans="1:19" x14ac:dyDescent="0.3">
      <c r="A8544" t="s">
        <v>44</v>
      </c>
      <c r="B8544" t="s">
        <v>2267</v>
      </c>
      <c r="C8544" t="s">
        <v>32</v>
      </c>
      <c r="D8544" t="s">
        <v>2332</v>
      </c>
      <c r="E8544" t="s">
        <v>2333</v>
      </c>
      <c r="F8544" t="s">
        <v>2334</v>
      </c>
      <c r="G8544" t="s">
        <v>2335</v>
      </c>
      <c r="H8544" t="s">
        <v>2336</v>
      </c>
      <c r="I8544" t="s">
        <v>2337</v>
      </c>
      <c r="J8544" t="s">
        <v>2338</v>
      </c>
      <c r="K8544" t="s">
        <v>2339</v>
      </c>
      <c r="L8544" t="s">
        <v>2340</v>
      </c>
      <c r="M8544" t="s">
        <v>2341</v>
      </c>
      <c r="N8544" t="s">
        <v>2342</v>
      </c>
      <c r="O8544" t="s">
        <v>2343</v>
      </c>
      <c r="P8544" t="s">
        <v>2344</v>
      </c>
      <c r="Q8544" t="s">
        <v>1275</v>
      </c>
      <c r="R8544" t="s">
        <v>83</v>
      </c>
      <c r="S8544" t="s">
        <v>193</v>
      </c>
    </row>
    <row r="8545" spans="1:19" x14ac:dyDescent="0.3">
      <c r="A8545" t="s">
        <v>35</v>
      </c>
      <c r="B8545" t="s">
        <v>973</v>
      </c>
      <c r="C8545">
        <v>75</v>
      </c>
      <c r="D8545" t="s">
        <v>189</v>
      </c>
      <c r="E8545" t="s">
        <v>139</v>
      </c>
      <c r="F8545" t="s">
        <v>126</v>
      </c>
      <c r="G8545" t="s">
        <v>122</v>
      </c>
      <c r="H8545" t="s">
        <v>716</v>
      </c>
      <c r="I8545" t="s">
        <v>136</v>
      </c>
      <c r="J8545" t="s">
        <v>151</v>
      </c>
      <c r="K8545" t="s">
        <v>99</v>
      </c>
      <c r="L8545" t="s">
        <v>99</v>
      </c>
      <c r="M8545" t="s">
        <v>382</v>
      </c>
      <c r="N8545" t="s">
        <v>115</v>
      </c>
      <c r="O8545" t="s">
        <v>99</v>
      </c>
      <c r="P8545" t="s">
        <v>99</v>
      </c>
      <c r="Q8545" t="s">
        <v>99</v>
      </c>
      <c r="R8545" t="s">
        <v>99</v>
      </c>
      <c r="S8545" t="s">
        <v>99</v>
      </c>
    </row>
    <row r="8546" spans="1:19" x14ac:dyDescent="0.3">
      <c r="A8546" t="s">
        <v>35</v>
      </c>
      <c r="B8546" t="s">
        <v>2268</v>
      </c>
      <c r="C8546">
        <v>109</v>
      </c>
      <c r="D8546" t="s">
        <v>203</v>
      </c>
      <c r="E8546" t="s">
        <v>215</v>
      </c>
      <c r="F8546" t="s">
        <v>136</v>
      </c>
      <c r="G8546" t="s">
        <v>242</v>
      </c>
      <c r="H8546" t="s">
        <v>100</v>
      </c>
      <c r="I8546" t="s">
        <v>207</v>
      </c>
      <c r="J8546" t="s">
        <v>99</v>
      </c>
      <c r="K8546" t="s">
        <v>99</v>
      </c>
      <c r="L8546" t="s">
        <v>99</v>
      </c>
      <c r="M8546" t="s">
        <v>99</v>
      </c>
      <c r="N8546" t="s">
        <v>141</v>
      </c>
      <c r="O8546" t="s">
        <v>242</v>
      </c>
      <c r="P8546" t="s">
        <v>99</v>
      </c>
      <c r="Q8546" t="s">
        <v>99</v>
      </c>
      <c r="R8546" t="s">
        <v>99</v>
      </c>
      <c r="S8546" t="s">
        <v>99</v>
      </c>
    </row>
    <row r="8547" spans="1:19" x14ac:dyDescent="0.3">
      <c r="A8547" t="s">
        <v>35</v>
      </c>
      <c r="B8547" t="s">
        <v>2269</v>
      </c>
      <c r="C8547">
        <v>111</v>
      </c>
      <c r="D8547" t="s">
        <v>854</v>
      </c>
      <c r="E8547" t="s">
        <v>115</v>
      </c>
      <c r="F8547" t="s">
        <v>253</v>
      </c>
      <c r="G8547" t="s">
        <v>220</v>
      </c>
      <c r="H8547" t="s">
        <v>136</v>
      </c>
      <c r="I8547" t="s">
        <v>99</v>
      </c>
      <c r="J8547" t="s">
        <v>99</v>
      </c>
      <c r="K8547" t="s">
        <v>99</v>
      </c>
      <c r="L8547" t="s">
        <v>99</v>
      </c>
      <c r="M8547" t="s">
        <v>99</v>
      </c>
      <c r="N8547" t="s">
        <v>382</v>
      </c>
      <c r="O8547" t="s">
        <v>136</v>
      </c>
      <c r="P8547" t="s">
        <v>136</v>
      </c>
      <c r="Q8547" t="s">
        <v>99</v>
      </c>
      <c r="R8547" t="s">
        <v>99</v>
      </c>
      <c r="S8547" t="s">
        <v>99</v>
      </c>
    </row>
    <row r="8548" spans="1:19" x14ac:dyDescent="0.3">
      <c r="A8548" t="s">
        <v>35</v>
      </c>
      <c r="B8548" t="s">
        <v>2270</v>
      </c>
      <c r="C8548">
        <v>66</v>
      </c>
      <c r="D8548" t="s">
        <v>293</v>
      </c>
      <c r="E8548" t="s">
        <v>277</v>
      </c>
      <c r="F8548" t="s">
        <v>215</v>
      </c>
      <c r="G8548" t="s">
        <v>132</v>
      </c>
      <c r="H8548" t="s">
        <v>120</v>
      </c>
      <c r="I8548" t="s">
        <v>136</v>
      </c>
      <c r="J8548" t="s">
        <v>99</v>
      </c>
      <c r="K8548" t="s">
        <v>207</v>
      </c>
      <c r="L8548" t="s">
        <v>99</v>
      </c>
      <c r="M8548" t="s">
        <v>99</v>
      </c>
      <c r="N8548" t="s">
        <v>292</v>
      </c>
      <c r="O8548" t="s">
        <v>99</v>
      </c>
      <c r="P8548" t="s">
        <v>99</v>
      </c>
      <c r="Q8548" t="s">
        <v>99</v>
      </c>
      <c r="R8548" t="s">
        <v>99</v>
      </c>
      <c r="S8548" t="s">
        <v>99</v>
      </c>
    </row>
    <row r="8549" spans="1:19" x14ac:dyDescent="0.3">
      <c r="A8549" t="s">
        <v>35</v>
      </c>
      <c r="B8549" t="s">
        <v>2271</v>
      </c>
      <c r="C8549">
        <v>397</v>
      </c>
      <c r="D8549" t="s">
        <v>912</v>
      </c>
      <c r="E8549" t="s">
        <v>112</v>
      </c>
      <c r="F8549" t="s">
        <v>101</v>
      </c>
      <c r="G8549" t="s">
        <v>105</v>
      </c>
      <c r="H8549" t="s">
        <v>804</v>
      </c>
      <c r="I8549" t="s">
        <v>108</v>
      </c>
      <c r="J8549" t="s">
        <v>115</v>
      </c>
      <c r="K8549" t="s">
        <v>207</v>
      </c>
      <c r="L8549" t="s">
        <v>319</v>
      </c>
      <c r="M8549" t="s">
        <v>104</v>
      </c>
      <c r="N8549" t="s">
        <v>292</v>
      </c>
      <c r="O8549" t="s">
        <v>215</v>
      </c>
      <c r="P8549" t="s">
        <v>126</v>
      </c>
      <c r="Q8549" t="s">
        <v>99</v>
      </c>
      <c r="R8549" t="s">
        <v>101</v>
      </c>
      <c r="S8549" t="s">
        <v>99</v>
      </c>
    </row>
    <row r="8550" spans="1:19" x14ac:dyDescent="0.3">
      <c r="A8550" t="s">
        <v>35</v>
      </c>
      <c r="B8550" t="s">
        <v>2272</v>
      </c>
      <c r="C8550">
        <v>402</v>
      </c>
      <c r="D8550" t="s">
        <v>1230</v>
      </c>
      <c r="E8550" t="s">
        <v>434</v>
      </c>
      <c r="F8550" t="s">
        <v>215</v>
      </c>
      <c r="G8550" t="s">
        <v>277</v>
      </c>
      <c r="H8550" t="s">
        <v>437</v>
      </c>
      <c r="I8550" t="s">
        <v>128</v>
      </c>
      <c r="J8550" t="s">
        <v>132</v>
      </c>
      <c r="K8550" t="s">
        <v>115</v>
      </c>
      <c r="L8550" t="s">
        <v>198</v>
      </c>
      <c r="M8550" t="s">
        <v>141</v>
      </c>
      <c r="N8550" t="s">
        <v>138</v>
      </c>
      <c r="O8550" t="s">
        <v>151</v>
      </c>
      <c r="P8550" t="s">
        <v>126</v>
      </c>
      <c r="Q8550" t="s">
        <v>104</v>
      </c>
      <c r="R8550" t="s">
        <v>99</v>
      </c>
      <c r="S8550" t="s">
        <v>99</v>
      </c>
    </row>
    <row r="8551" spans="1:19" x14ac:dyDescent="0.3">
      <c r="A8551" t="s">
        <v>35</v>
      </c>
      <c r="B8551" t="s">
        <v>2273</v>
      </c>
      <c r="C8551">
        <v>458</v>
      </c>
      <c r="D8551" t="s">
        <v>1151</v>
      </c>
      <c r="E8551" t="s">
        <v>363</v>
      </c>
      <c r="F8551" t="s">
        <v>108</v>
      </c>
      <c r="G8551" t="s">
        <v>248</v>
      </c>
      <c r="H8551" t="s">
        <v>451</v>
      </c>
      <c r="I8551" t="s">
        <v>111</v>
      </c>
      <c r="J8551" t="s">
        <v>103</v>
      </c>
      <c r="K8551" t="s">
        <v>105</v>
      </c>
      <c r="L8551" t="s">
        <v>382</v>
      </c>
      <c r="M8551" t="s">
        <v>207</v>
      </c>
      <c r="N8551" t="s">
        <v>139</v>
      </c>
      <c r="O8551" t="s">
        <v>292</v>
      </c>
      <c r="P8551" t="s">
        <v>207</v>
      </c>
      <c r="Q8551" t="s">
        <v>99</v>
      </c>
      <c r="R8551" t="s">
        <v>99</v>
      </c>
      <c r="S8551" t="s">
        <v>99</v>
      </c>
    </row>
    <row r="8552" spans="1:19" x14ac:dyDescent="0.3">
      <c r="A8552" t="s">
        <v>35</v>
      </c>
      <c r="B8552" t="s">
        <v>976</v>
      </c>
      <c r="C8552">
        <v>90</v>
      </c>
      <c r="D8552" t="s">
        <v>475</v>
      </c>
      <c r="E8552" t="s">
        <v>664</v>
      </c>
      <c r="F8552" t="s">
        <v>100</v>
      </c>
      <c r="G8552" t="s">
        <v>242</v>
      </c>
      <c r="H8552" t="s">
        <v>122</v>
      </c>
      <c r="I8552" t="s">
        <v>136</v>
      </c>
      <c r="J8552" t="s">
        <v>99</v>
      </c>
      <c r="K8552" t="s">
        <v>99</v>
      </c>
      <c r="L8552" t="s">
        <v>100</v>
      </c>
      <c r="M8552" t="s">
        <v>99</v>
      </c>
      <c r="N8552" t="s">
        <v>292</v>
      </c>
      <c r="O8552" t="s">
        <v>99</v>
      </c>
      <c r="P8552" t="s">
        <v>99</v>
      </c>
      <c r="Q8552" t="s">
        <v>99</v>
      </c>
      <c r="R8552" t="s">
        <v>99</v>
      </c>
      <c r="S8552" t="s">
        <v>99</v>
      </c>
    </row>
    <row r="8553" spans="1:19" x14ac:dyDescent="0.3">
      <c r="A8553" t="s">
        <v>35</v>
      </c>
      <c r="B8553" t="s">
        <v>2274</v>
      </c>
      <c r="C8553">
        <v>88</v>
      </c>
      <c r="D8553" t="s">
        <v>467</v>
      </c>
      <c r="E8553" t="s">
        <v>68</v>
      </c>
      <c r="F8553" t="s">
        <v>99</v>
      </c>
      <c r="G8553" t="s">
        <v>207</v>
      </c>
      <c r="H8553" t="s">
        <v>105</v>
      </c>
      <c r="I8553" t="s">
        <v>99</v>
      </c>
      <c r="J8553" t="s">
        <v>99</v>
      </c>
      <c r="K8553" t="s">
        <v>99</v>
      </c>
      <c r="L8553" t="s">
        <v>99</v>
      </c>
      <c r="M8553" t="s">
        <v>207</v>
      </c>
      <c r="N8553" t="s">
        <v>114</v>
      </c>
      <c r="O8553" t="s">
        <v>114</v>
      </c>
      <c r="P8553" t="s">
        <v>99</v>
      </c>
      <c r="Q8553" t="s">
        <v>99</v>
      </c>
      <c r="R8553" t="s">
        <v>99</v>
      </c>
      <c r="S8553" t="s">
        <v>99</v>
      </c>
    </row>
    <row r="8554" spans="1:19" x14ac:dyDescent="0.3">
      <c r="A8554" t="s">
        <v>35</v>
      </c>
      <c r="B8554" t="s">
        <v>2275</v>
      </c>
      <c r="C8554">
        <v>118</v>
      </c>
      <c r="D8554" t="s">
        <v>1308</v>
      </c>
      <c r="E8554" t="s">
        <v>316</v>
      </c>
      <c r="F8554" t="s">
        <v>198</v>
      </c>
      <c r="G8554" t="s">
        <v>101</v>
      </c>
      <c r="H8554" t="s">
        <v>99</v>
      </c>
      <c r="I8554" t="s">
        <v>253</v>
      </c>
      <c r="J8554" t="s">
        <v>99</v>
      </c>
      <c r="K8554" t="s">
        <v>99</v>
      </c>
      <c r="L8554" t="s">
        <v>99</v>
      </c>
      <c r="M8554" t="s">
        <v>99</v>
      </c>
      <c r="N8554" t="s">
        <v>325</v>
      </c>
      <c r="O8554" t="s">
        <v>198</v>
      </c>
      <c r="P8554" t="s">
        <v>99</v>
      </c>
      <c r="Q8554" t="s">
        <v>99</v>
      </c>
      <c r="R8554" t="s">
        <v>99</v>
      </c>
      <c r="S8554" t="s">
        <v>99</v>
      </c>
    </row>
    <row r="8555" spans="1:19" x14ac:dyDescent="0.3">
      <c r="A8555" t="s">
        <v>35</v>
      </c>
      <c r="B8555" t="s">
        <v>2276</v>
      </c>
      <c r="C8555">
        <v>45</v>
      </c>
      <c r="D8555" t="s">
        <v>1075</v>
      </c>
      <c r="E8555" t="s">
        <v>100</v>
      </c>
      <c r="F8555" t="s">
        <v>99</v>
      </c>
      <c r="G8555" t="s">
        <v>204</v>
      </c>
      <c r="H8555" t="s">
        <v>129</v>
      </c>
      <c r="I8555" t="s">
        <v>99</v>
      </c>
      <c r="J8555" t="s">
        <v>99</v>
      </c>
      <c r="K8555" t="s">
        <v>99</v>
      </c>
      <c r="L8555" t="s">
        <v>99</v>
      </c>
      <c r="M8555" t="s">
        <v>99</v>
      </c>
      <c r="N8555" t="s">
        <v>147</v>
      </c>
      <c r="O8555" t="s">
        <v>700</v>
      </c>
      <c r="P8555" t="s">
        <v>99</v>
      </c>
      <c r="Q8555" t="s">
        <v>99</v>
      </c>
      <c r="R8555" t="s">
        <v>99</v>
      </c>
      <c r="S8555" t="s">
        <v>99</v>
      </c>
    </row>
    <row r="8556" spans="1:19" x14ac:dyDescent="0.3">
      <c r="A8556" t="s">
        <v>35</v>
      </c>
      <c r="B8556" t="s">
        <v>2277</v>
      </c>
      <c r="C8556">
        <v>274</v>
      </c>
      <c r="D8556" t="s">
        <v>547</v>
      </c>
      <c r="E8556" t="s">
        <v>316</v>
      </c>
      <c r="F8556" t="s">
        <v>253</v>
      </c>
      <c r="G8556" t="s">
        <v>138</v>
      </c>
      <c r="H8556" t="s">
        <v>233</v>
      </c>
      <c r="I8556" t="s">
        <v>141</v>
      </c>
      <c r="J8556" t="s">
        <v>141</v>
      </c>
      <c r="K8556" t="s">
        <v>136</v>
      </c>
      <c r="L8556" t="s">
        <v>115</v>
      </c>
      <c r="M8556" t="s">
        <v>207</v>
      </c>
      <c r="N8556" t="s">
        <v>100</v>
      </c>
      <c r="O8556" t="s">
        <v>268</v>
      </c>
      <c r="P8556" t="s">
        <v>292</v>
      </c>
      <c r="Q8556" t="s">
        <v>99</v>
      </c>
      <c r="R8556" t="s">
        <v>104</v>
      </c>
      <c r="S8556" t="s">
        <v>104</v>
      </c>
    </row>
    <row r="8557" spans="1:19" x14ac:dyDescent="0.3">
      <c r="A8557" t="s">
        <v>35</v>
      </c>
      <c r="B8557" t="s">
        <v>2278</v>
      </c>
      <c r="C8557">
        <v>237</v>
      </c>
      <c r="D8557" t="s">
        <v>869</v>
      </c>
      <c r="E8557" t="s">
        <v>412</v>
      </c>
      <c r="F8557" t="s">
        <v>108</v>
      </c>
      <c r="G8557" t="s">
        <v>412</v>
      </c>
      <c r="H8557" t="s">
        <v>372</v>
      </c>
      <c r="I8557" t="s">
        <v>100</v>
      </c>
      <c r="J8557" t="s">
        <v>136</v>
      </c>
      <c r="K8557" t="s">
        <v>132</v>
      </c>
      <c r="L8557" t="s">
        <v>198</v>
      </c>
      <c r="M8557" t="s">
        <v>104</v>
      </c>
      <c r="N8557" t="s">
        <v>110</v>
      </c>
      <c r="O8557" t="s">
        <v>128</v>
      </c>
      <c r="P8557" t="s">
        <v>99</v>
      </c>
      <c r="Q8557" t="s">
        <v>99</v>
      </c>
      <c r="R8557" t="s">
        <v>99</v>
      </c>
      <c r="S8557" t="s">
        <v>99</v>
      </c>
    </row>
    <row r="8558" spans="1:19" x14ac:dyDescent="0.3">
      <c r="A8558" t="s">
        <v>35</v>
      </c>
      <c r="B8558" t="s">
        <v>2279</v>
      </c>
      <c r="C8558">
        <v>232</v>
      </c>
      <c r="D8558" t="s">
        <v>869</v>
      </c>
      <c r="E8558" t="s">
        <v>143</v>
      </c>
      <c r="F8558" t="s">
        <v>132</v>
      </c>
      <c r="G8558" t="s">
        <v>316</v>
      </c>
      <c r="H8558" t="s">
        <v>798</v>
      </c>
      <c r="I8558" t="s">
        <v>123</v>
      </c>
      <c r="J8558" t="s">
        <v>207</v>
      </c>
      <c r="K8558" t="s">
        <v>319</v>
      </c>
      <c r="L8558" t="s">
        <v>99</v>
      </c>
      <c r="M8558" t="s">
        <v>99</v>
      </c>
      <c r="N8558" t="s">
        <v>121</v>
      </c>
      <c r="O8558" t="s">
        <v>107</v>
      </c>
      <c r="P8558" t="s">
        <v>132</v>
      </c>
      <c r="Q8558" t="s">
        <v>99</v>
      </c>
      <c r="R8558" t="s">
        <v>99</v>
      </c>
      <c r="S8558" t="s">
        <v>99</v>
      </c>
    </row>
    <row r="8559" spans="1:19" x14ac:dyDescent="0.3">
      <c r="A8559" t="s">
        <v>35</v>
      </c>
      <c r="B8559" t="s">
        <v>365</v>
      </c>
      <c r="C8559">
        <v>8</v>
      </c>
      <c r="D8559" t="s">
        <v>958</v>
      </c>
      <c r="E8559" t="s">
        <v>99</v>
      </c>
      <c r="F8559" t="s">
        <v>474</v>
      </c>
      <c r="G8559" t="s">
        <v>463</v>
      </c>
      <c r="H8559" t="s">
        <v>307</v>
      </c>
      <c r="I8559" t="s">
        <v>99</v>
      </c>
      <c r="J8559" t="s">
        <v>99</v>
      </c>
      <c r="K8559" t="s">
        <v>99</v>
      </c>
      <c r="L8559" t="s">
        <v>99</v>
      </c>
      <c r="M8559" t="s">
        <v>99</v>
      </c>
      <c r="N8559" t="s">
        <v>99</v>
      </c>
      <c r="O8559" t="s">
        <v>99</v>
      </c>
      <c r="P8559" t="s">
        <v>99</v>
      </c>
      <c r="Q8559" t="s">
        <v>99</v>
      </c>
      <c r="R8559" t="s">
        <v>99</v>
      </c>
      <c r="S8559" t="s">
        <v>99</v>
      </c>
    </row>
    <row r="8560" spans="1:19" x14ac:dyDescent="0.3">
      <c r="A8560" t="s">
        <v>37</v>
      </c>
      <c r="B8560" t="s">
        <v>973</v>
      </c>
      <c r="C8560">
        <v>93</v>
      </c>
      <c r="D8560" t="s">
        <v>326</v>
      </c>
      <c r="E8560" t="s">
        <v>108</v>
      </c>
      <c r="F8560" t="s">
        <v>114</v>
      </c>
      <c r="G8560" t="s">
        <v>108</v>
      </c>
      <c r="H8560" t="s">
        <v>99</v>
      </c>
      <c r="I8560" t="s">
        <v>99</v>
      </c>
      <c r="J8560" t="s">
        <v>99</v>
      </c>
      <c r="K8560" t="s">
        <v>114</v>
      </c>
      <c r="L8560" t="s">
        <v>114</v>
      </c>
      <c r="M8560" t="s">
        <v>114</v>
      </c>
      <c r="N8560" t="s">
        <v>151</v>
      </c>
      <c r="O8560" t="s">
        <v>99</v>
      </c>
      <c r="P8560" t="s">
        <v>99</v>
      </c>
      <c r="Q8560" t="s">
        <v>99</v>
      </c>
      <c r="R8560" t="s">
        <v>114</v>
      </c>
      <c r="S8560" t="s">
        <v>99</v>
      </c>
    </row>
    <row r="8561" spans="1:19" x14ac:dyDescent="0.3">
      <c r="A8561" t="s">
        <v>37</v>
      </c>
      <c r="B8561" t="s">
        <v>2268</v>
      </c>
      <c r="C8561">
        <v>123</v>
      </c>
      <c r="D8561" t="s">
        <v>422</v>
      </c>
      <c r="E8561" t="s">
        <v>242</v>
      </c>
      <c r="F8561" t="s">
        <v>151</v>
      </c>
      <c r="G8561" t="s">
        <v>253</v>
      </c>
      <c r="H8561" t="s">
        <v>105</v>
      </c>
      <c r="I8561" t="s">
        <v>100</v>
      </c>
      <c r="J8561" t="s">
        <v>99</v>
      </c>
      <c r="K8561" t="s">
        <v>99</v>
      </c>
      <c r="L8561" t="s">
        <v>99</v>
      </c>
      <c r="M8561" t="s">
        <v>99</v>
      </c>
      <c r="N8561" t="s">
        <v>332</v>
      </c>
      <c r="O8561" t="s">
        <v>127</v>
      </c>
      <c r="P8561" t="s">
        <v>99</v>
      </c>
      <c r="Q8561" t="s">
        <v>99</v>
      </c>
      <c r="R8561" t="s">
        <v>99</v>
      </c>
      <c r="S8561" t="s">
        <v>99</v>
      </c>
    </row>
    <row r="8562" spans="1:19" x14ac:dyDescent="0.3">
      <c r="A8562" t="s">
        <v>37</v>
      </c>
      <c r="B8562" t="s">
        <v>2269</v>
      </c>
      <c r="C8562">
        <v>148</v>
      </c>
      <c r="D8562" t="s">
        <v>331</v>
      </c>
      <c r="E8562" t="s">
        <v>138</v>
      </c>
      <c r="F8562" t="s">
        <v>99</v>
      </c>
      <c r="G8562" t="s">
        <v>253</v>
      </c>
      <c r="H8562" t="s">
        <v>99</v>
      </c>
      <c r="I8562" t="s">
        <v>99</v>
      </c>
      <c r="J8562" t="s">
        <v>99</v>
      </c>
      <c r="K8562" t="s">
        <v>99</v>
      </c>
      <c r="L8562" t="s">
        <v>99</v>
      </c>
      <c r="M8562" t="s">
        <v>99</v>
      </c>
      <c r="N8562" t="s">
        <v>121</v>
      </c>
      <c r="O8562" t="s">
        <v>99</v>
      </c>
      <c r="P8562" t="s">
        <v>99</v>
      </c>
      <c r="Q8562" t="s">
        <v>99</v>
      </c>
      <c r="R8562" t="s">
        <v>99</v>
      </c>
      <c r="S8562" t="s">
        <v>99</v>
      </c>
    </row>
    <row r="8563" spans="1:19" x14ac:dyDescent="0.3">
      <c r="A8563" t="s">
        <v>37</v>
      </c>
      <c r="B8563" t="s">
        <v>2270</v>
      </c>
      <c r="C8563">
        <v>83</v>
      </c>
      <c r="D8563" t="s">
        <v>443</v>
      </c>
      <c r="E8563" t="s">
        <v>268</v>
      </c>
      <c r="F8563" t="s">
        <v>99</v>
      </c>
      <c r="G8563" t="s">
        <v>328</v>
      </c>
      <c r="H8563" t="s">
        <v>468</v>
      </c>
      <c r="I8563" t="s">
        <v>99</v>
      </c>
      <c r="J8563" t="s">
        <v>99</v>
      </c>
      <c r="K8563" t="s">
        <v>319</v>
      </c>
      <c r="L8563" t="s">
        <v>99</v>
      </c>
      <c r="M8563" t="s">
        <v>99</v>
      </c>
      <c r="N8563" t="s">
        <v>134</v>
      </c>
      <c r="O8563" t="s">
        <v>319</v>
      </c>
      <c r="P8563" t="s">
        <v>99</v>
      </c>
      <c r="Q8563" t="s">
        <v>99</v>
      </c>
      <c r="R8563" t="s">
        <v>99</v>
      </c>
      <c r="S8563" t="s">
        <v>99</v>
      </c>
    </row>
    <row r="8564" spans="1:19" x14ac:dyDescent="0.3">
      <c r="A8564" t="s">
        <v>37</v>
      </c>
      <c r="B8564" t="s">
        <v>2271</v>
      </c>
      <c r="C8564">
        <v>439</v>
      </c>
      <c r="D8564" t="s">
        <v>168</v>
      </c>
      <c r="E8564" t="s">
        <v>268</v>
      </c>
      <c r="F8564" t="s">
        <v>198</v>
      </c>
      <c r="G8564" t="s">
        <v>675</v>
      </c>
      <c r="H8564" t="s">
        <v>675</v>
      </c>
      <c r="I8564" t="s">
        <v>136</v>
      </c>
      <c r="J8564" t="s">
        <v>104</v>
      </c>
      <c r="K8564" t="s">
        <v>141</v>
      </c>
      <c r="L8564" t="s">
        <v>198</v>
      </c>
      <c r="M8564" t="s">
        <v>99</v>
      </c>
      <c r="N8564" t="s">
        <v>117</v>
      </c>
      <c r="O8564" t="s">
        <v>107</v>
      </c>
      <c r="P8564" t="s">
        <v>104</v>
      </c>
      <c r="Q8564" t="s">
        <v>99</v>
      </c>
      <c r="R8564" t="s">
        <v>99</v>
      </c>
      <c r="S8564" t="s">
        <v>99</v>
      </c>
    </row>
    <row r="8565" spans="1:19" x14ac:dyDescent="0.3">
      <c r="A8565" t="s">
        <v>37</v>
      </c>
      <c r="B8565" t="s">
        <v>2272</v>
      </c>
      <c r="C8565">
        <v>439</v>
      </c>
      <c r="D8565" t="s">
        <v>1012</v>
      </c>
      <c r="E8565" t="s">
        <v>124</v>
      </c>
      <c r="F8565" t="s">
        <v>123</v>
      </c>
      <c r="G8565" t="s">
        <v>254</v>
      </c>
      <c r="H8565" t="s">
        <v>708</v>
      </c>
      <c r="I8565" t="s">
        <v>101</v>
      </c>
      <c r="J8565" t="s">
        <v>115</v>
      </c>
      <c r="K8565" t="s">
        <v>104</v>
      </c>
      <c r="L8565" t="s">
        <v>207</v>
      </c>
      <c r="M8565" t="s">
        <v>99</v>
      </c>
      <c r="N8565" t="s">
        <v>147</v>
      </c>
      <c r="O8565" t="s">
        <v>107</v>
      </c>
      <c r="P8565" t="s">
        <v>136</v>
      </c>
      <c r="Q8565" t="s">
        <v>99</v>
      </c>
      <c r="R8565" t="s">
        <v>99</v>
      </c>
      <c r="S8565" t="s">
        <v>99</v>
      </c>
    </row>
    <row r="8566" spans="1:19" x14ac:dyDescent="0.3">
      <c r="A8566" t="s">
        <v>37</v>
      </c>
      <c r="B8566" t="s">
        <v>2273</v>
      </c>
      <c r="C8566">
        <v>575</v>
      </c>
      <c r="D8566" t="s">
        <v>1405</v>
      </c>
      <c r="E8566" t="s">
        <v>70</v>
      </c>
      <c r="F8566" t="s">
        <v>207</v>
      </c>
      <c r="G8566" t="s">
        <v>468</v>
      </c>
      <c r="H8566" t="s">
        <v>311</v>
      </c>
      <c r="I8566" t="s">
        <v>292</v>
      </c>
      <c r="J8566" t="s">
        <v>108</v>
      </c>
      <c r="K8566" t="s">
        <v>127</v>
      </c>
      <c r="L8566" t="s">
        <v>99</v>
      </c>
      <c r="M8566" t="s">
        <v>99</v>
      </c>
      <c r="N8566" t="s">
        <v>149</v>
      </c>
      <c r="O8566" t="s">
        <v>215</v>
      </c>
      <c r="P8566" t="s">
        <v>198</v>
      </c>
      <c r="Q8566" t="s">
        <v>99</v>
      </c>
      <c r="R8566" t="s">
        <v>104</v>
      </c>
      <c r="S8566" t="s">
        <v>104</v>
      </c>
    </row>
    <row r="8567" spans="1:19" x14ac:dyDescent="0.3">
      <c r="A8567" t="s">
        <v>37</v>
      </c>
      <c r="B8567" t="s">
        <v>976</v>
      </c>
      <c r="C8567">
        <v>97</v>
      </c>
      <c r="D8567" t="s">
        <v>1308</v>
      </c>
      <c r="E8567" t="s">
        <v>105</v>
      </c>
      <c r="F8567" t="s">
        <v>103</v>
      </c>
      <c r="G8567" t="s">
        <v>101</v>
      </c>
      <c r="H8567" t="s">
        <v>242</v>
      </c>
      <c r="I8567" t="s">
        <v>99</v>
      </c>
      <c r="J8567" t="s">
        <v>99</v>
      </c>
      <c r="K8567" t="s">
        <v>101</v>
      </c>
      <c r="L8567" t="s">
        <v>99</v>
      </c>
      <c r="M8567" t="s">
        <v>99</v>
      </c>
      <c r="N8567" t="s">
        <v>138</v>
      </c>
      <c r="O8567" t="s">
        <v>99</v>
      </c>
      <c r="P8567" t="s">
        <v>99</v>
      </c>
      <c r="Q8567" t="s">
        <v>99</v>
      </c>
      <c r="R8567" t="s">
        <v>99</v>
      </c>
      <c r="S8567" t="s">
        <v>99</v>
      </c>
    </row>
    <row r="8568" spans="1:19" x14ac:dyDescent="0.3">
      <c r="A8568" t="s">
        <v>37</v>
      </c>
      <c r="B8568" t="s">
        <v>2274</v>
      </c>
      <c r="C8568">
        <v>108</v>
      </c>
      <c r="D8568" t="s">
        <v>354</v>
      </c>
      <c r="E8568" t="s">
        <v>204</v>
      </c>
      <c r="F8568" t="s">
        <v>108</v>
      </c>
      <c r="G8568" t="s">
        <v>121</v>
      </c>
      <c r="H8568" t="s">
        <v>115</v>
      </c>
      <c r="I8568" t="s">
        <v>99</v>
      </c>
      <c r="J8568" t="s">
        <v>99</v>
      </c>
      <c r="K8568" t="s">
        <v>99</v>
      </c>
      <c r="L8568" t="s">
        <v>99</v>
      </c>
      <c r="M8568" t="s">
        <v>99</v>
      </c>
      <c r="N8568" t="s">
        <v>99</v>
      </c>
      <c r="O8568" t="s">
        <v>99</v>
      </c>
      <c r="P8568" t="s">
        <v>99</v>
      </c>
      <c r="Q8568" t="s">
        <v>99</v>
      </c>
      <c r="R8568" t="s">
        <v>99</v>
      </c>
      <c r="S8568" t="s">
        <v>99</v>
      </c>
    </row>
    <row r="8569" spans="1:19" x14ac:dyDescent="0.3">
      <c r="A8569" t="s">
        <v>37</v>
      </c>
      <c r="B8569" t="s">
        <v>2275</v>
      </c>
      <c r="C8569">
        <v>161</v>
      </c>
      <c r="D8569" t="s">
        <v>172</v>
      </c>
      <c r="E8569" t="s">
        <v>332</v>
      </c>
      <c r="F8569" t="s">
        <v>101</v>
      </c>
      <c r="G8569" t="s">
        <v>129</v>
      </c>
      <c r="H8569" t="s">
        <v>319</v>
      </c>
      <c r="I8569" t="s">
        <v>99</v>
      </c>
      <c r="J8569" t="s">
        <v>141</v>
      </c>
      <c r="K8569" t="s">
        <v>99</v>
      </c>
      <c r="L8569" t="s">
        <v>99</v>
      </c>
      <c r="M8569" t="s">
        <v>99</v>
      </c>
      <c r="N8569" t="s">
        <v>319</v>
      </c>
      <c r="O8569" t="s">
        <v>332</v>
      </c>
      <c r="P8569" t="s">
        <v>99</v>
      </c>
      <c r="Q8569" t="s">
        <v>99</v>
      </c>
      <c r="R8569" t="s">
        <v>99</v>
      </c>
      <c r="S8569" t="s">
        <v>99</v>
      </c>
    </row>
    <row r="8570" spans="1:19" x14ac:dyDescent="0.3">
      <c r="A8570" t="s">
        <v>37</v>
      </c>
      <c r="B8570" t="s">
        <v>2276</v>
      </c>
      <c r="C8570">
        <v>48</v>
      </c>
      <c r="D8570" t="s">
        <v>164</v>
      </c>
      <c r="E8570" t="s">
        <v>99</v>
      </c>
      <c r="F8570" t="s">
        <v>474</v>
      </c>
      <c r="G8570" t="s">
        <v>99</v>
      </c>
      <c r="H8570" t="s">
        <v>305</v>
      </c>
      <c r="I8570" t="s">
        <v>99</v>
      </c>
      <c r="J8570" t="s">
        <v>99</v>
      </c>
      <c r="K8570" t="s">
        <v>99</v>
      </c>
      <c r="L8570" t="s">
        <v>99</v>
      </c>
      <c r="M8570" t="s">
        <v>99</v>
      </c>
      <c r="N8570" t="s">
        <v>158</v>
      </c>
      <c r="O8570" t="s">
        <v>99</v>
      </c>
      <c r="P8570" t="s">
        <v>99</v>
      </c>
      <c r="Q8570" t="s">
        <v>99</v>
      </c>
      <c r="R8570" t="s">
        <v>99</v>
      </c>
      <c r="S8570" t="s">
        <v>99</v>
      </c>
    </row>
    <row r="8571" spans="1:19" x14ac:dyDescent="0.3">
      <c r="A8571" t="s">
        <v>37</v>
      </c>
      <c r="B8571" t="s">
        <v>2277</v>
      </c>
      <c r="C8571">
        <v>314</v>
      </c>
      <c r="D8571" t="s">
        <v>462</v>
      </c>
      <c r="E8571" t="s">
        <v>268</v>
      </c>
      <c r="F8571" t="s">
        <v>114</v>
      </c>
      <c r="G8571" t="s">
        <v>299</v>
      </c>
      <c r="H8571" t="s">
        <v>461</v>
      </c>
      <c r="I8571" t="s">
        <v>99</v>
      </c>
      <c r="J8571" t="s">
        <v>253</v>
      </c>
      <c r="K8571" t="s">
        <v>253</v>
      </c>
      <c r="L8571" t="s">
        <v>132</v>
      </c>
      <c r="M8571" t="s">
        <v>207</v>
      </c>
      <c r="N8571" t="s">
        <v>107</v>
      </c>
      <c r="O8571" t="s">
        <v>130</v>
      </c>
      <c r="P8571" t="s">
        <v>141</v>
      </c>
      <c r="Q8571" t="s">
        <v>99</v>
      </c>
      <c r="R8571" t="s">
        <v>99</v>
      </c>
      <c r="S8571" t="s">
        <v>99</v>
      </c>
    </row>
    <row r="8572" spans="1:19" x14ac:dyDescent="0.3">
      <c r="A8572" t="s">
        <v>37</v>
      </c>
      <c r="B8572" t="s">
        <v>2278</v>
      </c>
      <c r="C8572">
        <v>330</v>
      </c>
      <c r="D8572" t="s">
        <v>424</v>
      </c>
      <c r="E8572" t="s">
        <v>143</v>
      </c>
      <c r="F8572" t="s">
        <v>103</v>
      </c>
      <c r="G8572" t="s">
        <v>98</v>
      </c>
      <c r="H8572" t="s">
        <v>315</v>
      </c>
      <c r="I8572" t="s">
        <v>215</v>
      </c>
      <c r="J8572" t="s">
        <v>108</v>
      </c>
      <c r="K8572" t="s">
        <v>100</v>
      </c>
      <c r="L8572" t="s">
        <v>100</v>
      </c>
      <c r="M8572" t="s">
        <v>99</v>
      </c>
      <c r="N8572" t="s">
        <v>130</v>
      </c>
      <c r="O8572" t="s">
        <v>157</v>
      </c>
      <c r="P8572" t="s">
        <v>319</v>
      </c>
      <c r="Q8572" t="s">
        <v>99</v>
      </c>
      <c r="R8572" t="s">
        <v>99</v>
      </c>
      <c r="S8572" t="s">
        <v>99</v>
      </c>
    </row>
    <row r="8573" spans="1:19" x14ac:dyDescent="0.3">
      <c r="A8573" t="s">
        <v>37</v>
      </c>
      <c r="B8573" t="s">
        <v>2279</v>
      </c>
      <c r="C8573">
        <v>303</v>
      </c>
      <c r="D8573" t="s">
        <v>568</v>
      </c>
      <c r="E8573" t="s">
        <v>68</v>
      </c>
      <c r="F8573" t="s">
        <v>99</v>
      </c>
      <c r="G8573" t="s">
        <v>325</v>
      </c>
      <c r="H8573" t="s">
        <v>704</v>
      </c>
      <c r="I8573" t="s">
        <v>121</v>
      </c>
      <c r="J8573" t="s">
        <v>123</v>
      </c>
      <c r="K8573" t="s">
        <v>138</v>
      </c>
      <c r="L8573" t="s">
        <v>132</v>
      </c>
      <c r="M8573" t="s">
        <v>99</v>
      </c>
      <c r="N8573" t="s">
        <v>120</v>
      </c>
      <c r="O8573" t="s">
        <v>319</v>
      </c>
      <c r="P8573" t="s">
        <v>99</v>
      </c>
      <c r="Q8573" t="s">
        <v>99</v>
      </c>
      <c r="R8573" t="s">
        <v>99</v>
      </c>
      <c r="S8573" t="s">
        <v>99</v>
      </c>
    </row>
    <row r="8574" spans="1:19" x14ac:dyDescent="0.3">
      <c r="A8574" t="s">
        <v>37</v>
      </c>
      <c r="B8574" t="s">
        <v>365</v>
      </c>
      <c r="C8574">
        <v>1</v>
      </c>
      <c r="D8574" t="s">
        <v>211</v>
      </c>
      <c r="E8574" t="s">
        <v>99</v>
      </c>
      <c r="F8574" t="s">
        <v>99</v>
      </c>
      <c r="G8574" t="s">
        <v>99</v>
      </c>
      <c r="H8574" t="s">
        <v>99</v>
      </c>
      <c r="I8574" t="s">
        <v>99</v>
      </c>
      <c r="J8574" t="s">
        <v>99</v>
      </c>
      <c r="K8574" t="s">
        <v>99</v>
      </c>
      <c r="L8574" t="s">
        <v>99</v>
      </c>
      <c r="M8574" t="s">
        <v>99</v>
      </c>
      <c r="N8574" t="s">
        <v>99</v>
      </c>
      <c r="O8574" t="s">
        <v>99</v>
      </c>
      <c r="P8574" t="s">
        <v>99</v>
      </c>
      <c r="Q8574" t="s">
        <v>99</v>
      </c>
      <c r="R8574" t="s">
        <v>99</v>
      </c>
      <c r="S8574" t="s">
        <v>99</v>
      </c>
    </row>
    <row r="8575" spans="1:19" x14ac:dyDescent="0.3">
      <c r="A8575" t="s">
        <v>36</v>
      </c>
      <c r="B8575" t="s">
        <v>973</v>
      </c>
      <c r="C8575">
        <v>34</v>
      </c>
      <c r="D8575" t="s">
        <v>601</v>
      </c>
      <c r="E8575" t="s">
        <v>233</v>
      </c>
      <c r="F8575" t="s">
        <v>671</v>
      </c>
      <c r="G8575" t="s">
        <v>155</v>
      </c>
      <c r="H8575" t="s">
        <v>246</v>
      </c>
      <c r="I8575" t="s">
        <v>99</v>
      </c>
      <c r="J8575" t="s">
        <v>99</v>
      </c>
      <c r="K8575" t="s">
        <v>99</v>
      </c>
      <c r="L8575" t="s">
        <v>99</v>
      </c>
      <c r="M8575" t="s">
        <v>99</v>
      </c>
      <c r="N8575" t="s">
        <v>207</v>
      </c>
      <c r="O8575" t="s">
        <v>99</v>
      </c>
      <c r="P8575" t="s">
        <v>741</v>
      </c>
      <c r="Q8575" t="s">
        <v>99</v>
      </c>
      <c r="R8575" t="s">
        <v>99</v>
      </c>
      <c r="S8575" t="s">
        <v>99</v>
      </c>
    </row>
    <row r="8576" spans="1:19" x14ac:dyDescent="0.3">
      <c r="A8576" t="s">
        <v>36</v>
      </c>
      <c r="B8576" t="s">
        <v>2268</v>
      </c>
      <c r="C8576">
        <v>48</v>
      </c>
      <c r="D8576" t="s">
        <v>486</v>
      </c>
      <c r="E8576" t="s">
        <v>103</v>
      </c>
      <c r="F8576" t="s">
        <v>248</v>
      </c>
      <c r="G8576" t="s">
        <v>328</v>
      </c>
      <c r="H8576" t="s">
        <v>141</v>
      </c>
      <c r="I8576" t="s">
        <v>99</v>
      </c>
      <c r="J8576" t="s">
        <v>253</v>
      </c>
      <c r="K8576" t="s">
        <v>132</v>
      </c>
      <c r="L8576" t="s">
        <v>206</v>
      </c>
      <c r="M8576" t="s">
        <v>355</v>
      </c>
      <c r="N8576" t="s">
        <v>129</v>
      </c>
      <c r="O8576" t="s">
        <v>294</v>
      </c>
      <c r="P8576" t="s">
        <v>99</v>
      </c>
      <c r="Q8576" t="s">
        <v>99</v>
      </c>
      <c r="R8576" t="s">
        <v>99</v>
      </c>
      <c r="S8576" t="s">
        <v>99</v>
      </c>
    </row>
    <row r="8577" spans="1:19" x14ac:dyDescent="0.3">
      <c r="A8577" t="s">
        <v>36</v>
      </c>
      <c r="B8577" t="s">
        <v>2269</v>
      </c>
      <c r="C8577">
        <v>69</v>
      </c>
      <c r="D8577" t="s">
        <v>1476</v>
      </c>
      <c r="E8577" t="s">
        <v>151</v>
      </c>
      <c r="F8577" t="s">
        <v>115</v>
      </c>
      <c r="G8577" t="s">
        <v>296</v>
      </c>
      <c r="H8577" t="s">
        <v>461</v>
      </c>
      <c r="I8577" t="s">
        <v>126</v>
      </c>
      <c r="J8577" t="s">
        <v>104</v>
      </c>
      <c r="K8577" t="s">
        <v>99</v>
      </c>
      <c r="L8577" t="s">
        <v>99</v>
      </c>
      <c r="M8577" t="s">
        <v>99</v>
      </c>
      <c r="N8577" t="s">
        <v>99</v>
      </c>
      <c r="O8577" t="s">
        <v>132</v>
      </c>
      <c r="P8577" t="s">
        <v>99</v>
      </c>
      <c r="Q8577" t="s">
        <v>99</v>
      </c>
      <c r="R8577" t="s">
        <v>99</v>
      </c>
      <c r="S8577" t="s">
        <v>99</v>
      </c>
    </row>
    <row r="8578" spans="1:19" x14ac:dyDescent="0.3">
      <c r="A8578" t="s">
        <v>36</v>
      </c>
      <c r="B8578" t="s">
        <v>2270</v>
      </c>
      <c r="C8578">
        <v>46</v>
      </c>
      <c r="D8578" t="s">
        <v>543</v>
      </c>
      <c r="E8578" t="s">
        <v>129</v>
      </c>
      <c r="F8578" t="s">
        <v>101</v>
      </c>
      <c r="G8578" t="s">
        <v>101</v>
      </c>
      <c r="H8578" t="s">
        <v>289</v>
      </c>
      <c r="I8578" t="s">
        <v>382</v>
      </c>
      <c r="J8578" t="s">
        <v>99</v>
      </c>
      <c r="K8578" t="s">
        <v>99</v>
      </c>
      <c r="L8578" t="s">
        <v>253</v>
      </c>
      <c r="M8578" t="s">
        <v>99</v>
      </c>
      <c r="N8578" t="s">
        <v>123</v>
      </c>
      <c r="O8578" t="s">
        <v>253</v>
      </c>
      <c r="P8578" t="s">
        <v>99</v>
      </c>
      <c r="Q8578" t="s">
        <v>99</v>
      </c>
      <c r="R8578" t="s">
        <v>99</v>
      </c>
      <c r="S8578" t="s">
        <v>99</v>
      </c>
    </row>
    <row r="8579" spans="1:19" x14ac:dyDescent="0.3">
      <c r="A8579" t="s">
        <v>36</v>
      </c>
      <c r="B8579" t="s">
        <v>2271</v>
      </c>
      <c r="C8579">
        <v>299</v>
      </c>
      <c r="D8579" t="s">
        <v>874</v>
      </c>
      <c r="E8579" t="s">
        <v>663</v>
      </c>
      <c r="F8579" t="s">
        <v>198</v>
      </c>
      <c r="G8579" t="s">
        <v>204</v>
      </c>
      <c r="H8579" t="s">
        <v>688</v>
      </c>
      <c r="I8579" t="s">
        <v>319</v>
      </c>
      <c r="J8579" t="s">
        <v>126</v>
      </c>
      <c r="K8579" t="s">
        <v>99</v>
      </c>
      <c r="L8579" t="s">
        <v>128</v>
      </c>
      <c r="M8579" t="s">
        <v>253</v>
      </c>
      <c r="N8579" t="s">
        <v>129</v>
      </c>
      <c r="O8579" t="s">
        <v>434</v>
      </c>
      <c r="P8579" t="s">
        <v>104</v>
      </c>
      <c r="Q8579" t="s">
        <v>99</v>
      </c>
      <c r="R8579" t="s">
        <v>104</v>
      </c>
      <c r="S8579" t="s">
        <v>99</v>
      </c>
    </row>
    <row r="8580" spans="1:19" x14ac:dyDescent="0.3">
      <c r="A8580" t="s">
        <v>36</v>
      </c>
      <c r="B8580" t="s">
        <v>2272</v>
      </c>
      <c r="C8580">
        <v>288</v>
      </c>
      <c r="D8580" t="s">
        <v>1237</v>
      </c>
      <c r="E8580" t="s">
        <v>133</v>
      </c>
      <c r="F8580" t="s">
        <v>124</v>
      </c>
      <c r="G8580" t="s">
        <v>663</v>
      </c>
      <c r="H8580" t="s">
        <v>499</v>
      </c>
      <c r="I8580" t="s">
        <v>129</v>
      </c>
      <c r="J8580" t="s">
        <v>154</v>
      </c>
      <c r="K8580" t="s">
        <v>268</v>
      </c>
      <c r="L8580" t="s">
        <v>253</v>
      </c>
      <c r="M8580" t="s">
        <v>132</v>
      </c>
      <c r="N8580" t="s">
        <v>121</v>
      </c>
      <c r="O8580" t="s">
        <v>136</v>
      </c>
      <c r="P8580" t="s">
        <v>117</v>
      </c>
      <c r="Q8580" t="s">
        <v>99</v>
      </c>
      <c r="R8580" t="s">
        <v>99</v>
      </c>
      <c r="S8580" t="s">
        <v>104</v>
      </c>
    </row>
    <row r="8581" spans="1:19" x14ac:dyDescent="0.3">
      <c r="A8581" t="s">
        <v>36</v>
      </c>
      <c r="B8581" t="s">
        <v>2273</v>
      </c>
      <c r="C8581">
        <v>273</v>
      </c>
      <c r="D8581" t="s">
        <v>1257</v>
      </c>
      <c r="E8581" t="s">
        <v>206</v>
      </c>
      <c r="F8581" t="s">
        <v>151</v>
      </c>
      <c r="G8581" t="s">
        <v>143</v>
      </c>
      <c r="H8581" t="s">
        <v>739</v>
      </c>
      <c r="I8581" t="s">
        <v>663</v>
      </c>
      <c r="J8581" t="s">
        <v>242</v>
      </c>
      <c r="K8581" t="s">
        <v>154</v>
      </c>
      <c r="L8581" t="s">
        <v>198</v>
      </c>
      <c r="M8581" t="s">
        <v>99</v>
      </c>
      <c r="N8581" t="s">
        <v>157</v>
      </c>
      <c r="O8581" t="s">
        <v>136</v>
      </c>
      <c r="P8581" t="s">
        <v>99</v>
      </c>
      <c r="Q8581" t="s">
        <v>99</v>
      </c>
      <c r="R8581" t="s">
        <v>99</v>
      </c>
      <c r="S8581" t="s">
        <v>99</v>
      </c>
    </row>
    <row r="8582" spans="1:19" x14ac:dyDescent="0.3">
      <c r="A8582" t="s">
        <v>36</v>
      </c>
      <c r="B8582" t="s">
        <v>976</v>
      </c>
      <c r="C8582">
        <v>44</v>
      </c>
      <c r="D8582" t="s">
        <v>1186</v>
      </c>
      <c r="E8582" t="s">
        <v>254</v>
      </c>
      <c r="F8582" t="s">
        <v>99</v>
      </c>
      <c r="G8582" t="s">
        <v>737</v>
      </c>
      <c r="H8582" t="s">
        <v>99</v>
      </c>
      <c r="I8582" t="s">
        <v>115</v>
      </c>
      <c r="J8582" t="s">
        <v>99</v>
      </c>
      <c r="K8582" t="s">
        <v>99</v>
      </c>
      <c r="L8582" t="s">
        <v>110</v>
      </c>
      <c r="M8582" t="s">
        <v>110</v>
      </c>
      <c r="N8582" t="s">
        <v>101</v>
      </c>
      <c r="O8582" t="s">
        <v>99</v>
      </c>
      <c r="P8582" t="s">
        <v>99</v>
      </c>
      <c r="Q8582" t="s">
        <v>99</v>
      </c>
      <c r="R8582" t="s">
        <v>99</v>
      </c>
      <c r="S8582" t="s">
        <v>99</v>
      </c>
    </row>
    <row r="8583" spans="1:19" x14ac:dyDescent="0.3">
      <c r="A8583" t="s">
        <v>36</v>
      </c>
      <c r="B8583" t="s">
        <v>2274</v>
      </c>
      <c r="C8583">
        <v>53</v>
      </c>
      <c r="D8583" t="s">
        <v>394</v>
      </c>
      <c r="E8583" t="s">
        <v>254</v>
      </c>
      <c r="F8583" t="s">
        <v>215</v>
      </c>
      <c r="G8583" t="s">
        <v>132</v>
      </c>
      <c r="H8583" t="s">
        <v>722</v>
      </c>
      <c r="I8583" t="s">
        <v>121</v>
      </c>
      <c r="J8583" t="s">
        <v>99</v>
      </c>
      <c r="K8583" t="s">
        <v>99</v>
      </c>
      <c r="L8583" t="s">
        <v>99</v>
      </c>
      <c r="M8583" t="s">
        <v>99</v>
      </c>
      <c r="N8583" t="s">
        <v>132</v>
      </c>
      <c r="O8583" t="s">
        <v>99</v>
      </c>
      <c r="P8583" t="s">
        <v>99</v>
      </c>
      <c r="Q8583" t="s">
        <v>99</v>
      </c>
      <c r="R8583" t="s">
        <v>99</v>
      </c>
      <c r="S8583" t="s">
        <v>99</v>
      </c>
    </row>
    <row r="8584" spans="1:19" x14ac:dyDescent="0.3">
      <c r="A8584" t="s">
        <v>36</v>
      </c>
      <c r="B8584" t="s">
        <v>2275</v>
      </c>
      <c r="C8584">
        <v>68</v>
      </c>
      <c r="D8584" t="s">
        <v>250</v>
      </c>
      <c r="E8584" t="s">
        <v>325</v>
      </c>
      <c r="F8584" t="s">
        <v>141</v>
      </c>
      <c r="G8584" t="s">
        <v>101</v>
      </c>
      <c r="H8584" t="s">
        <v>114</v>
      </c>
      <c r="I8584" t="s">
        <v>108</v>
      </c>
      <c r="J8584" t="s">
        <v>123</v>
      </c>
      <c r="K8584" t="s">
        <v>99</v>
      </c>
      <c r="L8584" t="s">
        <v>136</v>
      </c>
      <c r="M8584" t="s">
        <v>99</v>
      </c>
      <c r="N8584" t="s">
        <v>108</v>
      </c>
      <c r="O8584" t="s">
        <v>99</v>
      </c>
      <c r="P8584" t="s">
        <v>136</v>
      </c>
      <c r="Q8584" t="s">
        <v>316</v>
      </c>
      <c r="R8584" t="s">
        <v>99</v>
      </c>
      <c r="S8584" t="s">
        <v>99</v>
      </c>
    </row>
    <row r="8585" spans="1:19" s="5" customFormat="1" x14ac:dyDescent="0.3">
      <c r="A8585" s="5" t="s">
        <v>36</v>
      </c>
      <c r="B8585" s="5" t="s">
        <v>2276</v>
      </c>
      <c r="C8585" s="5">
        <v>24</v>
      </c>
      <c r="D8585" s="5" t="s">
        <v>611</v>
      </c>
      <c r="E8585" s="5" t="s">
        <v>268</v>
      </c>
      <c r="F8585" s="5" t="s">
        <v>108</v>
      </c>
      <c r="G8585" s="5" t="s">
        <v>151</v>
      </c>
      <c r="H8585" s="5" t="s">
        <v>602</v>
      </c>
      <c r="I8585" s="5" t="s">
        <v>100</v>
      </c>
      <c r="J8585" s="5" t="s">
        <v>121</v>
      </c>
      <c r="K8585" s="5" t="s">
        <v>99</v>
      </c>
      <c r="L8585" s="5" t="s">
        <v>99</v>
      </c>
      <c r="M8585" s="5" t="s">
        <v>99</v>
      </c>
      <c r="N8585" s="5" t="s">
        <v>108</v>
      </c>
      <c r="O8585" s="5" t="s">
        <v>108</v>
      </c>
      <c r="P8585" s="5" t="s">
        <v>99</v>
      </c>
      <c r="Q8585" s="5" t="s">
        <v>99</v>
      </c>
      <c r="R8585" s="5" t="s">
        <v>99</v>
      </c>
      <c r="S8585" s="5" t="s">
        <v>99</v>
      </c>
    </row>
    <row r="8586" spans="1:19" x14ac:dyDescent="0.3">
      <c r="A8586" t="s">
        <v>36</v>
      </c>
      <c r="B8586" t="s">
        <v>2277</v>
      </c>
      <c r="C8586">
        <v>177</v>
      </c>
      <c r="D8586" t="s">
        <v>245</v>
      </c>
      <c r="E8586" t="s">
        <v>158</v>
      </c>
      <c r="F8586" t="s">
        <v>130</v>
      </c>
      <c r="G8586" t="s">
        <v>434</v>
      </c>
      <c r="H8586" t="s">
        <v>41</v>
      </c>
      <c r="I8586" t="s">
        <v>292</v>
      </c>
      <c r="J8586" t="s">
        <v>126</v>
      </c>
      <c r="K8586" t="s">
        <v>292</v>
      </c>
      <c r="L8586" t="s">
        <v>101</v>
      </c>
      <c r="M8586" t="s">
        <v>126</v>
      </c>
      <c r="N8586" t="s">
        <v>107</v>
      </c>
      <c r="O8586" t="s">
        <v>104</v>
      </c>
      <c r="P8586" t="s">
        <v>198</v>
      </c>
      <c r="Q8586" t="s">
        <v>100</v>
      </c>
      <c r="R8586" t="s">
        <v>104</v>
      </c>
      <c r="S8586" t="s">
        <v>99</v>
      </c>
    </row>
    <row r="8587" spans="1:19" x14ac:dyDescent="0.3">
      <c r="A8587" t="s">
        <v>36</v>
      </c>
      <c r="B8587" t="s">
        <v>2278</v>
      </c>
      <c r="C8587">
        <v>174</v>
      </c>
      <c r="D8587" t="s">
        <v>546</v>
      </c>
      <c r="E8587" t="s">
        <v>401</v>
      </c>
      <c r="F8587" t="s">
        <v>207</v>
      </c>
      <c r="G8587" t="s">
        <v>671</v>
      </c>
      <c r="H8587" t="s">
        <v>798</v>
      </c>
      <c r="I8587" t="s">
        <v>103</v>
      </c>
      <c r="J8587" t="s">
        <v>114</v>
      </c>
      <c r="K8587" t="s">
        <v>132</v>
      </c>
      <c r="L8587" t="s">
        <v>198</v>
      </c>
      <c r="M8587" t="s">
        <v>99</v>
      </c>
      <c r="N8587" t="s">
        <v>115</v>
      </c>
      <c r="O8587" t="s">
        <v>118</v>
      </c>
      <c r="P8587" t="s">
        <v>99</v>
      </c>
      <c r="Q8587" t="s">
        <v>99</v>
      </c>
      <c r="R8587" t="s">
        <v>207</v>
      </c>
      <c r="S8587" t="s">
        <v>99</v>
      </c>
    </row>
    <row r="8588" spans="1:19" x14ac:dyDescent="0.3">
      <c r="A8588" t="s">
        <v>36</v>
      </c>
      <c r="B8588" t="s">
        <v>2279</v>
      </c>
      <c r="C8588">
        <v>147</v>
      </c>
      <c r="D8588" t="s">
        <v>275</v>
      </c>
      <c r="E8588" t="s">
        <v>182</v>
      </c>
      <c r="F8588" t="s">
        <v>132</v>
      </c>
      <c r="G8588" t="s">
        <v>254</v>
      </c>
      <c r="H8588" t="s">
        <v>463</v>
      </c>
      <c r="I8588" t="s">
        <v>112</v>
      </c>
      <c r="J8588" t="s">
        <v>253</v>
      </c>
      <c r="K8588" t="s">
        <v>292</v>
      </c>
      <c r="L8588" t="s">
        <v>136</v>
      </c>
      <c r="M8588" t="s">
        <v>253</v>
      </c>
      <c r="N8588" t="s">
        <v>127</v>
      </c>
      <c r="O8588" t="s">
        <v>141</v>
      </c>
      <c r="P8588" t="s">
        <v>99</v>
      </c>
      <c r="Q8588" t="s">
        <v>141</v>
      </c>
      <c r="R8588" t="s">
        <v>198</v>
      </c>
      <c r="S8588" t="s">
        <v>99</v>
      </c>
    </row>
    <row r="8589" spans="1:19" x14ac:dyDescent="0.3">
      <c r="A8589" t="s">
        <v>36</v>
      </c>
      <c r="B8589" t="s">
        <v>365</v>
      </c>
      <c r="C8589">
        <v>8</v>
      </c>
      <c r="D8589" t="s">
        <v>1291</v>
      </c>
      <c r="E8589" t="s">
        <v>99</v>
      </c>
      <c r="F8589" t="s">
        <v>108</v>
      </c>
      <c r="G8589" t="s">
        <v>99</v>
      </c>
      <c r="H8589" t="s">
        <v>600</v>
      </c>
      <c r="I8589" t="s">
        <v>99</v>
      </c>
      <c r="J8589" t="s">
        <v>99</v>
      </c>
      <c r="K8589" t="s">
        <v>99</v>
      </c>
      <c r="L8589" t="s">
        <v>99</v>
      </c>
      <c r="M8589" t="s">
        <v>99</v>
      </c>
      <c r="N8589" t="s">
        <v>99</v>
      </c>
      <c r="O8589" t="s">
        <v>108</v>
      </c>
      <c r="P8589" t="s">
        <v>99</v>
      </c>
      <c r="Q8589" t="s">
        <v>99</v>
      </c>
      <c r="R8589" t="s">
        <v>99</v>
      </c>
      <c r="S8589" t="s">
        <v>99</v>
      </c>
    </row>
    <row r="8590" spans="1:19" x14ac:dyDescent="0.3">
      <c r="A8590" t="s">
        <v>34</v>
      </c>
      <c r="B8590" t="s">
        <v>973</v>
      </c>
      <c r="C8590">
        <v>44</v>
      </c>
      <c r="D8590" t="s">
        <v>450</v>
      </c>
      <c r="E8590" t="s">
        <v>134</v>
      </c>
      <c r="F8590" t="s">
        <v>98</v>
      </c>
      <c r="G8590" t="s">
        <v>99</v>
      </c>
      <c r="H8590" t="s">
        <v>147</v>
      </c>
      <c r="I8590" t="s">
        <v>99</v>
      </c>
      <c r="J8590" t="s">
        <v>99</v>
      </c>
      <c r="K8590" t="s">
        <v>99</v>
      </c>
      <c r="L8590" t="s">
        <v>99</v>
      </c>
      <c r="M8590" t="s">
        <v>99</v>
      </c>
      <c r="N8590" t="s">
        <v>124</v>
      </c>
      <c r="O8590" t="s">
        <v>99</v>
      </c>
      <c r="P8590" t="s">
        <v>99</v>
      </c>
      <c r="Q8590" t="s">
        <v>99</v>
      </c>
      <c r="R8590" t="s">
        <v>99</v>
      </c>
      <c r="S8590" t="s">
        <v>108</v>
      </c>
    </row>
    <row r="8591" spans="1:19" x14ac:dyDescent="0.3">
      <c r="A8591" t="s">
        <v>34</v>
      </c>
      <c r="B8591" t="s">
        <v>2268</v>
      </c>
      <c r="C8591">
        <v>51</v>
      </c>
      <c r="D8591" t="s">
        <v>367</v>
      </c>
      <c r="E8591" t="s">
        <v>110</v>
      </c>
      <c r="F8591" t="s">
        <v>99</v>
      </c>
      <c r="G8591" t="s">
        <v>99</v>
      </c>
      <c r="H8591" t="s">
        <v>99</v>
      </c>
      <c r="I8591" t="s">
        <v>99</v>
      </c>
      <c r="J8591" t="s">
        <v>99</v>
      </c>
      <c r="K8591" t="s">
        <v>99</v>
      </c>
      <c r="L8591" t="s">
        <v>132</v>
      </c>
      <c r="M8591" t="s">
        <v>157</v>
      </c>
      <c r="N8591" t="s">
        <v>141</v>
      </c>
      <c r="O8591" t="s">
        <v>157</v>
      </c>
      <c r="P8591" t="s">
        <v>99</v>
      </c>
      <c r="Q8591" t="s">
        <v>99</v>
      </c>
      <c r="R8591" t="s">
        <v>99</v>
      </c>
      <c r="S8591" t="s">
        <v>99</v>
      </c>
    </row>
    <row r="8592" spans="1:19" x14ac:dyDescent="0.3">
      <c r="A8592" t="s">
        <v>34</v>
      </c>
      <c r="B8592" t="s">
        <v>2269</v>
      </c>
      <c r="C8592">
        <v>37</v>
      </c>
      <c r="D8592" t="s">
        <v>217</v>
      </c>
      <c r="E8592" t="s">
        <v>99</v>
      </c>
      <c r="F8592" t="s">
        <v>99</v>
      </c>
      <c r="G8592" t="s">
        <v>99</v>
      </c>
      <c r="H8592" t="s">
        <v>150</v>
      </c>
      <c r="I8592" t="s">
        <v>99</v>
      </c>
      <c r="J8592" t="s">
        <v>99</v>
      </c>
      <c r="K8592" t="s">
        <v>99</v>
      </c>
      <c r="L8592" t="s">
        <v>99</v>
      </c>
      <c r="M8592" t="s">
        <v>99</v>
      </c>
      <c r="N8592" t="s">
        <v>325</v>
      </c>
      <c r="O8592" t="s">
        <v>99</v>
      </c>
      <c r="P8592" t="s">
        <v>99</v>
      </c>
      <c r="Q8592" t="s">
        <v>99</v>
      </c>
      <c r="R8592" t="s">
        <v>99</v>
      </c>
      <c r="S8592" t="s">
        <v>99</v>
      </c>
    </row>
    <row r="8593" spans="1:19" s="5" customFormat="1" x14ac:dyDescent="0.3">
      <c r="A8593" s="5" t="s">
        <v>34</v>
      </c>
      <c r="B8593" s="5" t="s">
        <v>2270</v>
      </c>
      <c r="C8593" s="5">
        <v>26</v>
      </c>
      <c r="D8593" s="5" t="s">
        <v>855</v>
      </c>
      <c r="E8593" s="5" t="s">
        <v>99</v>
      </c>
      <c r="F8593" s="5" t="s">
        <v>99</v>
      </c>
      <c r="G8593" s="5" t="s">
        <v>99</v>
      </c>
      <c r="H8593" s="5" t="s">
        <v>41</v>
      </c>
      <c r="I8593" s="5" t="s">
        <v>277</v>
      </c>
      <c r="J8593" s="5" t="s">
        <v>99</v>
      </c>
      <c r="K8593" s="5" t="s">
        <v>99</v>
      </c>
      <c r="L8593" s="5" t="s">
        <v>99</v>
      </c>
      <c r="M8593" s="5" t="s">
        <v>99</v>
      </c>
      <c r="N8593" s="5" t="s">
        <v>99</v>
      </c>
      <c r="O8593" s="5" t="s">
        <v>99</v>
      </c>
      <c r="P8593" s="5" t="s">
        <v>99</v>
      </c>
      <c r="Q8593" s="5" t="s">
        <v>99</v>
      </c>
      <c r="R8593" s="5" t="s">
        <v>99</v>
      </c>
      <c r="S8593" s="5" t="s">
        <v>99</v>
      </c>
    </row>
    <row r="8594" spans="1:19" x14ac:dyDescent="0.3">
      <c r="A8594" t="s">
        <v>34</v>
      </c>
      <c r="B8594" t="s">
        <v>2271</v>
      </c>
      <c r="C8594">
        <v>246</v>
      </c>
      <c r="D8594" t="s">
        <v>530</v>
      </c>
      <c r="E8594" t="s">
        <v>98</v>
      </c>
      <c r="F8594" t="s">
        <v>120</v>
      </c>
      <c r="G8594" t="s">
        <v>292</v>
      </c>
      <c r="H8594" t="s">
        <v>814</v>
      </c>
      <c r="I8594" t="s">
        <v>316</v>
      </c>
      <c r="J8594" t="s">
        <v>99</v>
      </c>
      <c r="K8594" t="s">
        <v>99</v>
      </c>
      <c r="L8594" t="s">
        <v>253</v>
      </c>
      <c r="M8594" t="s">
        <v>147</v>
      </c>
      <c r="N8594" t="s">
        <v>111</v>
      </c>
      <c r="O8594" t="s">
        <v>268</v>
      </c>
      <c r="P8594" t="s">
        <v>99</v>
      </c>
      <c r="Q8594" t="s">
        <v>99</v>
      </c>
      <c r="R8594" t="s">
        <v>99</v>
      </c>
      <c r="S8594" t="s">
        <v>99</v>
      </c>
    </row>
    <row r="8595" spans="1:19" x14ac:dyDescent="0.3">
      <c r="A8595" t="s">
        <v>34</v>
      </c>
      <c r="B8595" t="s">
        <v>2272</v>
      </c>
      <c r="C8595">
        <v>206</v>
      </c>
      <c r="D8595" t="s">
        <v>223</v>
      </c>
      <c r="E8595" t="s">
        <v>158</v>
      </c>
      <c r="F8595" t="s">
        <v>145</v>
      </c>
      <c r="G8595" t="s">
        <v>316</v>
      </c>
      <c r="H8595" t="s">
        <v>721</v>
      </c>
      <c r="I8595" t="s">
        <v>115</v>
      </c>
      <c r="J8595" t="s">
        <v>115</v>
      </c>
      <c r="K8595" t="s">
        <v>198</v>
      </c>
      <c r="L8595" t="s">
        <v>100</v>
      </c>
      <c r="M8595" t="s">
        <v>115</v>
      </c>
      <c r="N8595" t="s">
        <v>328</v>
      </c>
      <c r="O8595" t="s">
        <v>99</v>
      </c>
      <c r="P8595" t="s">
        <v>99</v>
      </c>
      <c r="Q8595" t="s">
        <v>99</v>
      </c>
      <c r="R8595" t="s">
        <v>99</v>
      </c>
      <c r="S8595" t="s">
        <v>126</v>
      </c>
    </row>
    <row r="8596" spans="1:19" x14ac:dyDescent="0.3">
      <c r="A8596" t="s">
        <v>34</v>
      </c>
      <c r="B8596" t="s">
        <v>2273</v>
      </c>
      <c r="C8596">
        <v>209</v>
      </c>
      <c r="D8596" t="s">
        <v>1337</v>
      </c>
      <c r="E8596" t="s">
        <v>412</v>
      </c>
      <c r="F8596" t="s">
        <v>147</v>
      </c>
      <c r="G8596" t="s">
        <v>149</v>
      </c>
      <c r="H8596" t="s">
        <v>294</v>
      </c>
      <c r="I8596" t="s">
        <v>111</v>
      </c>
      <c r="J8596" t="s">
        <v>127</v>
      </c>
      <c r="K8596" t="s">
        <v>121</v>
      </c>
      <c r="L8596" t="s">
        <v>100</v>
      </c>
      <c r="M8596" t="s">
        <v>108</v>
      </c>
      <c r="N8596" t="s">
        <v>117</v>
      </c>
      <c r="O8596" t="s">
        <v>268</v>
      </c>
      <c r="P8596" t="s">
        <v>99</v>
      </c>
      <c r="Q8596" t="s">
        <v>99</v>
      </c>
      <c r="R8596" t="s">
        <v>99</v>
      </c>
      <c r="S8596" t="s">
        <v>198</v>
      </c>
    </row>
    <row r="8597" spans="1:19" x14ac:dyDescent="0.3">
      <c r="A8597" t="s">
        <v>34</v>
      </c>
      <c r="B8597" t="s">
        <v>976</v>
      </c>
      <c r="C8597">
        <v>44</v>
      </c>
      <c r="D8597" t="s">
        <v>858</v>
      </c>
      <c r="E8597" t="s">
        <v>105</v>
      </c>
      <c r="F8597" t="s">
        <v>99</v>
      </c>
      <c r="G8597" t="s">
        <v>107</v>
      </c>
      <c r="H8597" t="s">
        <v>158</v>
      </c>
      <c r="I8597" t="s">
        <v>99</v>
      </c>
      <c r="J8597" t="s">
        <v>99</v>
      </c>
      <c r="K8597" t="s">
        <v>99</v>
      </c>
      <c r="L8597" t="s">
        <v>107</v>
      </c>
      <c r="M8597" t="s">
        <v>107</v>
      </c>
      <c r="N8597" t="s">
        <v>127</v>
      </c>
      <c r="O8597" t="s">
        <v>99</v>
      </c>
      <c r="P8597" t="s">
        <v>99</v>
      </c>
      <c r="Q8597" t="s">
        <v>99</v>
      </c>
      <c r="R8597" t="s">
        <v>99</v>
      </c>
      <c r="S8597" t="s">
        <v>99</v>
      </c>
    </row>
    <row r="8598" spans="1:19" x14ac:dyDescent="0.3">
      <c r="A8598" t="s">
        <v>34</v>
      </c>
      <c r="B8598" t="s">
        <v>2274</v>
      </c>
      <c r="C8598">
        <v>41</v>
      </c>
      <c r="D8598" t="s">
        <v>230</v>
      </c>
      <c r="E8598" t="s">
        <v>113</v>
      </c>
      <c r="F8598" t="s">
        <v>412</v>
      </c>
      <c r="G8598" t="s">
        <v>99</v>
      </c>
      <c r="H8598" t="s">
        <v>150</v>
      </c>
      <c r="I8598" t="s">
        <v>99</v>
      </c>
      <c r="J8598" t="s">
        <v>105</v>
      </c>
      <c r="K8598" t="s">
        <v>99</v>
      </c>
      <c r="L8598" t="s">
        <v>412</v>
      </c>
      <c r="M8598" t="s">
        <v>412</v>
      </c>
      <c r="N8598" t="s">
        <v>99</v>
      </c>
      <c r="O8598" t="s">
        <v>99</v>
      </c>
      <c r="P8598" t="s">
        <v>99</v>
      </c>
      <c r="Q8598" t="s">
        <v>99</v>
      </c>
      <c r="R8598" t="s">
        <v>99</v>
      </c>
      <c r="S8598" t="s">
        <v>99</v>
      </c>
    </row>
    <row r="8599" spans="1:19" x14ac:dyDescent="0.3">
      <c r="A8599" t="s">
        <v>34</v>
      </c>
      <c r="B8599" t="s">
        <v>2275</v>
      </c>
      <c r="C8599">
        <v>44</v>
      </c>
      <c r="D8599" t="s">
        <v>380</v>
      </c>
      <c r="E8599" t="s">
        <v>277</v>
      </c>
      <c r="F8599" t="s">
        <v>99</v>
      </c>
      <c r="G8599" t="s">
        <v>110</v>
      </c>
      <c r="H8599" t="s">
        <v>184</v>
      </c>
      <c r="I8599" t="s">
        <v>99</v>
      </c>
      <c r="J8599" t="s">
        <v>99</v>
      </c>
      <c r="K8599" t="s">
        <v>99</v>
      </c>
      <c r="L8599" t="s">
        <v>110</v>
      </c>
      <c r="M8599" t="s">
        <v>110</v>
      </c>
      <c r="N8599" t="s">
        <v>253</v>
      </c>
      <c r="O8599" t="s">
        <v>99</v>
      </c>
      <c r="P8599" t="s">
        <v>99</v>
      </c>
      <c r="Q8599" t="s">
        <v>99</v>
      </c>
      <c r="R8599" t="s">
        <v>99</v>
      </c>
      <c r="S8599" t="s">
        <v>99</v>
      </c>
    </row>
    <row r="8600" spans="1:19" s="5" customFormat="1" x14ac:dyDescent="0.3">
      <c r="A8600" s="5" t="s">
        <v>34</v>
      </c>
      <c r="B8600" s="5" t="s">
        <v>2276</v>
      </c>
      <c r="C8600" s="5">
        <v>23</v>
      </c>
      <c r="D8600" s="5" t="s">
        <v>219</v>
      </c>
      <c r="E8600" s="5" t="s">
        <v>253</v>
      </c>
      <c r="F8600" s="5" t="s">
        <v>204</v>
      </c>
      <c r="G8600" s="5" t="s">
        <v>126</v>
      </c>
      <c r="H8600" s="5" t="s">
        <v>99</v>
      </c>
      <c r="I8600" s="5" t="s">
        <v>204</v>
      </c>
      <c r="J8600" s="5" t="s">
        <v>99</v>
      </c>
      <c r="K8600" s="5" t="s">
        <v>99</v>
      </c>
      <c r="L8600" s="5" t="s">
        <v>99</v>
      </c>
      <c r="M8600" s="5" t="s">
        <v>99</v>
      </c>
      <c r="N8600" s="5" t="s">
        <v>165</v>
      </c>
      <c r="O8600" s="5" t="s">
        <v>332</v>
      </c>
      <c r="P8600" s="5" t="s">
        <v>332</v>
      </c>
      <c r="Q8600" s="5" t="s">
        <v>99</v>
      </c>
      <c r="R8600" s="5" t="s">
        <v>99</v>
      </c>
      <c r="S8600" s="5" t="s">
        <v>99</v>
      </c>
    </row>
    <row r="8601" spans="1:19" x14ac:dyDescent="0.3">
      <c r="A8601" t="s">
        <v>34</v>
      </c>
      <c r="B8601" t="s">
        <v>2277</v>
      </c>
      <c r="C8601">
        <v>184</v>
      </c>
      <c r="D8601" t="s">
        <v>962</v>
      </c>
      <c r="E8601" t="s">
        <v>113</v>
      </c>
      <c r="F8601" t="s">
        <v>130</v>
      </c>
      <c r="G8601" t="s">
        <v>305</v>
      </c>
      <c r="H8601" t="s">
        <v>700</v>
      </c>
      <c r="I8601" t="s">
        <v>101</v>
      </c>
      <c r="J8601" t="s">
        <v>99</v>
      </c>
      <c r="K8601" t="s">
        <v>114</v>
      </c>
      <c r="L8601" t="s">
        <v>198</v>
      </c>
      <c r="M8601" t="s">
        <v>117</v>
      </c>
      <c r="N8601" t="s">
        <v>434</v>
      </c>
      <c r="O8601" t="s">
        <v>108</v>
      </c>
      <c r="P8601" t="s">
        <v>108</v>
      </c>
      <c r="Q8601" t="s">
        <v>215</v>
      </c>
      <c r="R8601" t="s">
        <v>101</v>
      </c>
      <c r="S8601" t="s">
        <v>99</v>
      </c>
    </row>
    <row r="8602" spans="1:19" x14ac:dyDescent="0.3">
      <c r="A8602" t="s">
        <v>34</v>
      </c>
      <c r="B8602" t="s">
        <v>2278</v>
      </c>
      <c r="C8602">
        <v>127</v>
      </c>
      <c r="D8602" t="s">
        <v>59</v>
      </c>
      <c r="E8602" t="s">
        <v>143</v>
      </c>
      <c r="F8602" t="s">
        <v>128</v>
      </c>
      <c r="G8602" t="s">
        <v>253</v>
      </c>
      <c r="H8602" t="s">
        <v>687</v>
      </c>
      <c r="I8602" t="s">
        <v>132</v>
      </c>
      <c r="J8602" t="s">
        <v>99</v>
      </c>
      <c r="K8602" t="s">
        <v>99</v>
      </c>
      <c r="L8602" t="s">
        <v>215</v>
      </c>
      <c r="M8602" t="s">
        <v>215</v>
      </c>
      <c r="N8602" t="s">
        <v>147</v>
      </c>
      <c r="O8602" t="s">
        <v>100</v>
      </c>
      <c r="P8602" t="s">
        <v>100</v>
      </c>
      <c r="Q8602" t="s">
        <v>99</v>
      </c>
      <c r="R8602" t="s">
        <v>99</v>
      </c>
      <c r="S8602" t="s">
        <v>253</v>
      </c>
    </row>
    <row r="8603" spans="1:19" x14ac:dyDescent="0.3">
      <c r="A8603" t="s">
        <v>34</v>
      </c>
      <c r="B8603" t="s">
        <v>2279</v>
      </c>
      <c r="C8603">
        <v>120</v>
      </c>
      <c r="D8603" t="s">
        <v>397</v>
      </c>
      <c r="E8603" t="s">
        <v>147</v>
      </c>
      <c r="F8603" t="s">
        <v>117</v>
      </c>
      <c r="G8603" t="s">
        <v>268</v>
      </c>
      <c r="H8603" t="s">
        <v>184</v>
      </c>
      <c r="I8603" t="s">
        <v>412</v>
      </c>
      <c r="J8603" t="s">
        <v>99</v>
      </c>
      <c r="K8603" t="s">
        <v>155</v>
      </c>
      <c r="L8603" t="s">
        <v>117</v>
      </c>
      <c r="M8603" t="s">
        <v>99</v>
      </c>
      <c r="N8603" t="s">
        <v>132</v>
      </c>
      <c r="O8603" t="s">
        <v>99</v>
      </c>
      <c r="P8603" t="s">
        <v>99</v>
      </c>
      <c r="Q8603" t="s">
        <v>99</v>
      </c>
      <c r="R8603" t="s">
        <v>99</v>
      </c>
      <c r="S8603" t="s">
        <v>99</v>
      </c>
    </row>
    <row r="8604" spans="1:19" x14ac:dyDescent="0.3">
      <c r="A8604" t="s">
        <v>34</v>
      </c>
      <c r="B8604" t="s">
        <v>365</v>
      </c>
      <c r="C8604">
        <v>7</v>
      </c>
      <c r="D8604" t="s">
        <v>845</v>
      </c>
      <c r="E8604" t="s">
        <v>721</v>
      </c>
      <c r="F8604" t="s">
        <v>99</v>
      </c>
      <c r="G8604" t="s">
        <v>99</v>
      </c>
      <c r="H8604" t="s">
        <v>99</v>
      </c>
      <c r="I8604" t="s">
        <v>99</v>
      </c>
      <c r="J8604" t="s">
        <v>99</v>
      </c>
      <c r="K8604" t="s">
        <v>99</v>
      </c>
      <c r="L8604" t="s">
        <v>99</v>
      </c>
      <c r="M8604" t="s">
        <v>99</v>
      </c>
      <c r="N8604" t="s">
        <v>99</v>
      </c>
      <c r="O8604" t="s">
        <v>99</v>
      </c>
      <c r="P8604" t="s">
        <v>99</v>
      </c>
      <c r="Q8604" t="s">
        <v>99</v>
      </c>
      <c r="R8604" t="s">
        <v>99</v>
      </c>
      <c r="S8604" t="s">
        <v>99</v>
      </c>
    </row>
    <row r="8605" spans="1:19" x14ac:dyDescent="0.3">
      <c r="A8605" t="s">
        <v>33</v>
      </c>
      <c r="B8605" t="s">
        <v>973</v>
      </c>
      <c r="C8605">
        <v>38</v>
      </c>
      <c r="D8605" t="s">
        <v>986</v>
      </c>
      <c r="E8605" t="s">
        <v>292</v>
      </c>
      <c r="F8605" t="s">
        <v>99</v>
      </c>
      <c r="G8605" t="s">
        <v>99</v>
      </c>
      <c r="H8605" t="s">
        <v>99</v>
      </c>
      <c r="I8605" t="s">
        <v>99</v>
      </c>
      <c r="J8605" t="s">
        <v>99</v>
      </c>
      <c r="K8605" t="s">
        <v>99</v>
      </c>
      <c r="L8605" t="s">
        <v>99</v>
      </c>
      <c r="M8605" t="s">
        <v>99</v>
      </c>
      <c r="N8605" t="s">
        <v>99</v>
      </c>
      <c r="O8605" t="s">
        <v>99</v>
      </c>
      <c r="P8605" t="s">
        <v>99</v>
      </c>
      <c r="Q8605" t="s">
        <v>99</v>
      </c>
      <c r="R8605" t="s">
        <v>99</v>
      </c>
      <c r="S8605" t="s">
        <v>99</v>
      </c>
    </row>
    <row r="8606" spans="1:19" x14ac:dyDescent="0.3">
      <c r="A8606" t="s">
        <v>33</v>
      </c>
      <c r="B8606" t="s">
        <v>2268</v>
      </c>
      <c r="C8606">
        <v>49</v>
      </c>
      <c r="D8606" t="s">
        <v>430</v>
      </c>
      <c r="E8606" t="s">
        <v>41</v>
      </c>
      <c r="F8606" t="s">
        <v>99</v>
      </c>
      <c r="G8606" t="s">
        <v>316</v>
      </c>
      <c r="H8606" t="s">
        <v>99</v>
      </c>
      <c r="I8606" t="s">
        <v>99</v>
      </c>
      <c r="J8606" t="s">
        <v>99</v>
      </c>
      <c r="K8606" t="s">
        <v>99</v>
      </c>
      <c r="L8606" t="s">
        <v>99</v>
      </c>
      <c r="M8606" t="s">
        <v>99</v>
      </c>
      <c r="N8606" t="s">
        <v>111</v>
      </c>
      <c r="O8606" t="s">
        <v>99</v>
      </c>
      <c r="P8606" t="s">
        <v>99</v>
      </c>
      <c r="Q8606" t="s">
        <v>99</v>
      </c>
      <c r="R8606" t="s">
        <v>99</v>
      </c>
      <c r="S8606" t="s">
        <v>99</v>
      </c>
    </row>
    <row r="8607" spans="1:19" x14ac:dyDescent="0.3">
      <c r="A8607" t="s">
        <v>33</v>
      </c>
      <c r="B8607" t="s">
        <v>2269</v>
      </c>
      <c r="C8607">
        <v>57</v>
      </c>
      <c r="D8607" t="s">
        <v>778</v>
      </c>
      <c r="E8607" t="s">
        <v>277</v>
      </c>
      <c r="F8607" t="s">
        <v>99</v>
      </c>
      <c r="G8607" t="s">
        <v>99</v>
      </c>
      <c r="H8607" t="s">
        <v>99</v>
      </c>
      <c r="I8607" t="s">
        <v>99</v>
      </c>
      <c r="J8607" t="s">
        <v>99</v>
      </c>
      <c r="K8607" t="s">
        <v>99</v>
      </c>
      <c r="L8607" t="s">
        <v>99</v>
      </c>
      <c r="M8607" t="s">
        <v>99</v>
      </c>
      <c r="N8607" t="s">
        <v>99</v>
      </c>
      <c r="O8607" t="s">
        <v>99</v>
      </c>
      <c r="P8607" t="s">
        <v>99</v>
      </c>
      <c r="Q8607" t="s">
        <v>99</v>
      </c>
      <c r="R8607" t="s">
        <v>99</v>
      </c>
      <c r="S8607" t="s">
        <v>99</v>
      </c>
    </row>
    <row r="8608" spans="1:19" x14ac:dyDescent="0.3">
      <c r="A8608" t="s">
        <v>33</v>
      </c>
      <c r="B8608" t="s">
        <v>2270</v>
      </c>
      <c r="C8608">
        <v>48</v>
      </c>
      <c r="D8608" t="s">
        <v>364</v>
      </c>
      <c r="E8608" t="s">
        <v>134</v>
      </c>
      <c r="F8608" t="s">
        <v>99</v>
      </c>
      <c r="G8608" t="s">
        <v>99</v>
      </c>
      <c r="H8608" t="s">
        <v>112</v>
      </c>
      <c r="I8608" t="s">
        <v>99</v>
      </c>
      <c r="J8608" t="s">
        <v>99</v>
      </c>
      <c r="K8608" t="s">
        <v>99</v>
      </c>
      <c r="L8608" t="s">
        <v>99</v>
      </c>
      <c r="M8608" t="s">
        <v>99</v>
      </c>
      <c r="N8608" t="s">
        <v>99</v>
      </c>
      <c r="O8608" t="s">
        <v>99</v>
      </c>
      <c r="P8608" t="s">
        <v>99</v>
      </c>
      <c r="Q8608" t="s">
        <v>99</v>
      </c>
      <c r="R8608" t="s">
        <v>99</v>
      </c>
      <c r="S8608" t="s">
        <v>99</v>
      </c>
    </row>
    <row r="8609" spans="1:19" x14ac:dyDescent="0.3">
      <c r="A8609" t="s">
        <v>33</v>
      </c>
      <c r="B8609" t="s">
        <v>2271</v>
      </c>
      <c r="C8609">
        <v>249</v>
      </c>
      <c r="D8609" t="s">
        <v>230</v>
      </c>
      <c r="E8609" t="s">
        <v>160</v>
      </c>
      <c r="F8609" t="s">
        <v>136</v>
      </c>
      <c r="G8609" t="s">
        <v>151</v>
      </c>
      <c r="H8609" t="s">
        <v>112</v>
      </c>
      <c r="I8609" t="s">
        <v>115</v>
      </c>
      <c r="J8609" t="s">
        <v>99</v>
      </c>
      <c r="K8609" t="s">
        <v>99</v>
      </c>
      <c r="L8609" t="s">
        <v>99</v>
      </c>
      <c r="M8609" t="s">
        <v>99</v>
      </c>
      <c r="N8609" t="s">
        <v>268</v>
      </c>
      <c r="O8609" t="s">
        <v>151</v>
      </c>
      <c r="P8609" t="s">
        <v>99</v>
      </c>
      <c r="Q8609" t="s">
        <v>99</v>
      </c>
      <c r="R8609" t="s">
        <v>99</v>
      </c>
      <c r="S8609" t="s">
        <v>99</v>
      </c>
    </row>
    <row r="8610" spans="1:19" x14ac:dyDescent="0.3">
      <c r="A8610" t="s">
        <v>33</v>
      </c>
      <c r="B8610" t="s">
        <v>2272</v>
      </c>
      <c r="C8610">
        <v>221</v>
      </c>
      <c r="D8610" t="s">
        <v>187</v>
      </c>
      <c r="E8610" t="s">
        <v>242</v>
      </c>
      <c r="F8610" t="s">
        <v>319</v>
      </c>
      <c r="G8610" t="s">
        <v>147</v>
      </c>
      <c r="H8610" t="s">
        <v>135</v>
      </c>
      <c r="I8610" t="s">
        <v>101</v>
      </c>
      <c r="J8610" t="s">
        <v>99</v>
      </c>
      <c r="K8610" t="s">
        <v>136</v>
      </c>
      <c r="L8610" t="s">
        <v>99</v>
      </c>
      <c r="M8610" t="s">
        <v>136</v>
      </c>
      <c r="N8610" t="s">
        <v>136</v>
      </c>
      <c r="O8610" t="s">
        <v>100</v>
      </c>
      <c r="P8610" t="s">
        <v>99</v>
      </c>
      <c r="Q8610" t="s">
        <v>99</v>
      </c>
      <c r="R8610" t="s">
        <v>99</v>
      </c>
      <c r="S8610" t="s">
        <v>99</v>
      </c>
    </row>
    <row r="8611" spans="1:19" x14ac:dyDescent="0.3">
      <c r="A8611" t="s">
        <v>33</v>
      </c>
      <c r="B8611" t="s">
        <v>2273</v>
      </c>
      <c r="C8611">
        <v>262</v>
      </c>
      <c r="D8611" t="s">
        <v>196</v>
      </c>
      <c r="E8611" t="s">
        <v>125</v>
      </c>
      <c r="F8611" t="s">
        <v>136</v>
      </c>
      <c r="G8611" t="s">
        <v>120</v>
      </c>
      <c r="H8611" t="s">
        <v>804</v>
      </c>
      <c r="I8611" t="s">
        <v>316</v>
      </c>
      <c r="J8611" t="s">
        <v>132</v>
      </c>
      <c r="K8611" t="s">
        <v>99</v>
      </c>
      <c r="L8611" t="s">
        <v>99</v>
      </c>
      <c r="M8611" t="s">
        <v>207</v>
      </c>
      <c r="N8611" t="s">
        <v>121</v>
      </c>
      <c r="O8611" t="s">
        <v>132</v>
      </c>
      <c r="P8611" t="s">
        <v>99</v>
      </c>
      <c r="Q8611" t="s">
        <v>99</v>
      </c>
      <c r="R8611" t="s">
        <v>99</v>
      </c>
      <c r="S8611" t="s">
        <v>99</v>
      </c>
    </row>
    <row r="8612" spans="1:19" x14ac:dyDescent="0.3">
      <c r="A8612" t="s">
        <v>33</v>
      </c>
      <c r="B8612" t="s">
        <v>976</v>
      </c>
      <c r="C8612">
        <v>52</v>
      </c>
      <c r="D8612" t="s">
        <v>380</v>
      </c>
      <c r="E8612" t="s">
        <v>113</v>
      </c>
      <c r="F8612" t="s">
        <v>99</v>
      </c>
      <c r="G8612" t="s">
        <v>382</v>
      </c>
      <c r="H8612" t="s">
        <v>99</v>
      </c>
      <c r="I8612" t="s">
        <v>99</v>
      </c>
      <c r="J8612" t="s">
        <v>99</v>
      </c>
      <c r="K8612" t="s">
        <v>99</v>
      </c>
      <c r="L8612" t="s">
        <v>99</v>
      </c>
      <c r="M8612" t="s">
        <v>99</v>
      </c>
      <c r="N8612" t="s">
        <v>151</v>
      </c>
      <c r="O8612" t="s">
        <v>99</v>
      </c>
      <c r="P8612" t="s">
        <v>99</v>
      </c>
      <c r="Q8612" t="s">
        <v>99</v>
      </c>
      <c r="R8612" t="s">
        <v>99</v>
      </c>
      <c r="S8612" t="s">
        <v>99</v>
      </c>
    </row>
    <row r="8613" spans="1:19" x14ac:dyDescent="0.3">
      <c r="A8613" t="s">
        <v>33</v>
      </c>
      <c r="B8613" t="s">
        <v>2274</v>
      </c>
      <c r="C8613">
        <v>45</v>
      </c>
      <c r="D8613" t="s">
        <v>202</v>
      </c>
      <c r="E8613" t="s">
        <v>111</v>
      </c>
      <c r="F8613" t="s">
        <v>99</v>
      </c>
      <c r="G8613" t="s">
        <v>99</v>
      </c>
      <c r="H8613" t="s">
        <v>99</v>
      </c>
      <c r="I8613" t="s">
        <v>99</v>
      </c>
      <c r="J8613" t="s">
        <v>99</v>
      </c>
      <c r="K8613" t="s">
        <v>99</v>
      </c>
      <c r="L8613" t="s">
        <v>99</v>
      </c>
      <c r="M8613" t="s">
        <v>99</v>
      </c>
      <c r="N8613" t="s">
        <v>99</v>
      </c>
      <c r="O8613" t="s">
        <v>99</v>
      </c>
      <c r="P8613" t="s">
        <v>99</v>
      </c>
      <c r="Q8613" t="s">
        <v>99</v>
      </c>
      <c r="R8613" t="s">
        <v>99</v>
      </c>
      <c r="S8613" t="s">
        <v>99</v>
      </c>
    </row>
    <row r="8614" spans="1:19" x14ac:dyDescent="0.3">
      <c r="A8614" t="s">
        <v>33</v>
      </c>
      <c r="B8614" t="s">
        <v>2275</v>
      </c>
      <c r="C8614">
        <v>58</v>
      </c>
      <c r="D8614" t="s">
        <v>873</v>
      </c>
      <c r="E8614" t="s">
        <v>74</v>
      </c>
      <c r="F8614" t="s">
        <v>99</v>
      </c>
      <c r="G8614" t="s">
        <v>111</v>
      </c>
      <c r="H8614" t="s">
        <v>111</v>
      </c>
      <c r="I8614" t="s">
        <v>99</v>
      </c>
      <c r="J8614" t="s">
        <v>99</v>
      </c>
      <c r="K8614" t="s">
        <v>99</v>
      </c>
      <c r="L8614" t="s">
        <v>99</v>
      </c>
      <c r="M8614" t="s">
        <v>99</v>
      </c>
      <c r="N8614" t="s">
        <v>99</v>
      </c>
      <c r="O8614" t="s">
        <v>99</v>
      </c>
      <c r="P8614" t="s">
        <v>99</v>
      </c>
      <c r="Q8614" t="s">
        <v>99</v>
      </c>
      <c r="R8614" t="s">
        <v>99</v>
      </c>
      <c r="S8614" t="s">
        <v>99</v>
      </c>
    </row>
    <row r="8615" spans="1:19" s="5" customFormat="1" x14ac:dyDescent="0.3">
      <c r="A8615" s="5" t="s">
        <v>33</v>
      </c>
      <c r="B8615" s="5" t="s">
        <v>2276</v>
      </c>
      <c r="C8615" s="5">
        <v>21</v>
      </c>
      <c r="D8615" s="5" t="s">
        <v>392</v>
      </c>
      <c r="E8615" s="5" t="s">
        <v>99</v>
      </c>
      <c r="F8615" s="5" t="s">
        <v>468</v>
      </c>
      <c r="G8615" s="5" t="s">
        <v>99</v>
      </c>
      <c r="H8615" s="5" t="s">
        <v>112</v>
      </c>
      <c r="I8615" s="5" t="s">
        <v>99</v>
      </c>
      <c r="J8615" s="5" t="s">
        <v>99</v>
      </c>
      <c r="K8615" s="5" t="s">
        <v>99</v>
      </c>
      <c r="L8615" s="5" t="s">
        <v>99</v>
      </c>
      <c r="M8615" s="5" t="s">
        <v>99</v>
      </c>
      <c r="N8615" s="5" t="s">
        <v>99</v>
      </c>
      <c r="O8615" s="5" t="s">
        <v>99</v>
      </c>
      <c r="P8615" s="5" t="s">
        <v>99</v>
      </c>
      <c r="Q8615" s="5" t="s">
        <v>99</v>
      </c>
      <c r="R8615" s="5" t="s">
        <v>99</v>
      </c>
      <c r="S8615" s="5" t="s">
        <v>99</v>
      </c>
    </row>
    <row r="8616" spans="1:19" x14ac:dyDescent="0.3">
      <c r="A8616" t="s">
        <v>33</v>
      </c>
      <c r="B8616" t="s">
        <v>2277</v>
      </c>
      <c r="C8616">
        <v>153</v>
      </c>
      <c r="D8616" t="s">
        <v>164</v>
      </c>
      <c r="E8616" t="s">
        <v>474</v>
      </c>
      <c r="F8616" t="s">
        <v>99</v>
      </c>
      <c r="G8616" t="s">
        <v>215</v>
      </c>
      <c r="H8616" t="s">
        <v>474</v>
      </c>
      <c r="I8616" t="s">
        <v>115</v>
      </c>
      <c r="J8616" t="s">
        <v>99</v>
      </c>
      <c r="K8616" t="s">
        <v>99</v>
      </c>
      <c r="L8616" t="s">
        <v>99</v>
      </c>
      <c r="M8616" t="s">
        <v>99</v>
      </c>
      <c r="N8616" t="s">
        <v>99</v>
      </c>
      <c r="O8616" t="s">
        <v>136</v>
      </c>
      <c r="P8616" t="s">
        <v>99</v>
      </c>
      <c r="Q8616" t="s">
        <v>99</v>
      </c>
      <c r="R8616" t="s">
        <v>99</v>
      </c>
      <c r="S8616" t="s">
        <v>99</v>
      </c>
    </row>
    <row r="8617" spans="1:19" x14ac:dyDescent="0.3">
      <c r="A8617" t="s">
        <v>33</v>
      </c>
      <c r="B8617" t="s">
        <v>2278</v>
      </c>
      <c r="C8617">
        <v>143</v>
      </c>
      <c r="D8617" t="s">
        <v>411</v>
      </c>
      <c r="E8617" t="s">
        <v>461</v>
      </c>
      <c r="F8617" t="s">
        <v>127</v>
      </c>
      <c r="G8617" t="s">
        <v>127</v>
      </c>
      <c r="H8617" t="s">
        <v>671</v>
      </c>
      <c r="I8617" t="s">
        <v>99</v>
      </c>
      <c r="J8617" t="s">
        <v>99</v>
      </c>
      <c r="K8617" t="s">
        <v>99</v>
      </c>
      <c r="L8617" t="s">
        <v>99</v>
      </c>
      <c r="M8617" t="s">
        <v>99</v>
      </c>
      <c r="N8617" t="s">
        <v>132</v>
      </c>
      <c r="O8617" t="s">
        <v>141</v>
      </c>
      <c r="P8617" t="s">
        <v>99</v>
      </c>
      <c r="Q8617" t="s">
        <v>99</v>
      </c>
      <c r="R8617" t="s">
        <v>99</v>
      </c>
      <c r="S8617" t="s">
        <v>99</v>
      </c>
    </row>
    <row r="8618" spans="1:19" x14ac:dyDescent="0.3">
      <c r="A8618" t="s">
        <v>33</v>
      </c>
      <c r="B8618" t="s">
        <v>2279</v>
      </c>
      <c r="C8618">
        <v>138</v>
      </c>
      <c r="D8618" t="s">
        <v>874</v>
      </c>
      <c r="E8618" t="s">
        <v>379</v>
      </c>
      <c r="F8618" t="s">
        <v>99</v>
      </c>
      <c r="G8618" t="s">
        <v>155</v>
      </c>
      <c r="H8618" t="s">
        <v>255</v>
      </c>
      <c r="I8618" t="s">
        <v>107</v>
      </c>
      <c r="J8618" t="s">
        <v>117</v>
      </c>
      <c r="K8618" t="s">
        <v>114</v>
      </c>
      <c r="L8618" t="s">
        <v>99</v>
      </c>
      <c r="M8618" t="s">
        <v>99</v>
      </c>
      <c r="N8618" t="s">
        <v>117</v>
      </c>
      <c r="O8618" t="s">
        <v>99</v>
      </c>
      <c r="P8618" t="s">
        <v>99</v>
      </c>
      <c r="Q8618" t="s">
        <v>99</v>
      </c>
      <c r="R8618" t="s">
        <v>99</v>
      </c>
      <c r="S8618" t="s">
        <v>99</v>
      </c>
    </row>
    <row r="8619" spans="1:19" x14ac:dyDescent="0.3">
      <c r="A8619" t="s">
        <v>33</v>
      </c>
      <c r="B8619" t="s">
        <v>365</v>
      </c>
      <c r="C8619">
        <v>1</v>
      </c>
      <c r="D8619" t="s">
        <v>211</v>
      </c>
      <c r="E8619" t="s">
        <v>99</v>
      </c>
      <c r="F8619" t="s">
        <v>99</v>
      </c>
      <c r="G8619" t="s">
        <v>99</v>
      </c>
      <c r="H8619" t="s">
        <v>99</v>
      </c>
      <c r="I8619" t="s">
        <v>99</v>
      </c>
      <c r="J8619" t="s">
        <v>99</v>
      </c>
      <c r="K8619" t="s">
        <v>99</v>
      </c>
      <c r="L8619" t="s">
        <v>99</v>
      </c>
      <c r="M8619" t="s">
        <v>99</v>
      </c>
      <c r="N8619" t="s">
        <v>99</v>
      </c>
      <c r="O8619" t="s">
        <v>99</v>
      </c>
      <c r="P8619" t="s">
        <v>99</v>
      </c>
      <c r="Q8619" t="s">
        <v>99</v>
      </c>
      <c r="R8619" t="s">
        <v>99</v>
      </c>
      <c r="S8619" t="s">
        <v>99</v>
      </c>
    </row>
    <row r="8620" spans="1:19" x14ac:dyDescent="0.3">
      <c r="A8620" t="s">
        <v>49</v>
      </c>
      <c r="B8620" t="s">
        <v>973</v>
      </c>
      <c r="C8620">
        <v>284</v>
      </c>
      <c r="D8620" t="s">
        <v>875</v>
      </c>
      <c r="E8620" t="s">
        <v>138</v>
      </c>
      <c r="F8620" t="s">
        <v>268</v>
      </c>
      <c r="G8620" t="s">
        <v>147</v>
      </c>
      <c r="H8620" t="s">
        <v>684</v>
      </c>
      <c r="I8620" t="s">
        <v>104</v>
      </c>
      <c r="J8620" t="s">
        <v>115</v>
      </c>
      <c r="K8620" t="s">
        <v>207</v>
      </c>
      <c r="L8620" t="s">
        <v>207</v>
      </c>
      <c r="M8620" t="s">
        <v>132</v>
      </c>
      <c r="N8620" t="s">
        <v>151</v>
      </c>
      <c r="O8620" t="s">
        <v>99</v>
      </c>
      <c r="P8620" t="s">
        <v>114</v>
      </c>
      <c r="Q8620" t="s">
        <v>99</v>
      </c>
      <c r="R8620" t="s">
        <v>207</v>
      </c>
      <c r="S8620" t="s">
        <v>198</v>
      </c>
    </row>
    <row r="8621" spans="1:19" x14ac:dyDescent="0.3">
      <c r="A8621" t="s">
        <v>49</v>
      </c>
      <c r="B8621" t="s">
        <v>2268</v>
      </c>
      <c r="C8621">
        <v>380</v>
      </c>
      <c r="D8621" t="s">
        <v>250</v>
      </c>
      <c r="E8621" t="s">
        <v>129</v>
      </c>
      <c r="F8621" t="s">
        <v>121</v>
      </c>
      <c r="G8621" t="s">
        <v>316</v>
      </c>
      <c r="H8621" t="s">
        <v>101</v>
      </c>
      <c r="I8621" t="s">
        <v>136</v>
      </c>
      <c r="J8621" t="s">
        <v>99</v>
      </c>
      <c r="K8621" t="s">
        <v>99</v>
      </c>
      <c r="L8621" t="s">
        <v>108</v>
      </c>
      <c r="M8621" t="s">
        <v>101</v>
      </c>
      <c r="N8621" t="s">
        <v>127</v>
      </c>
      <c r="O8621" t="s">
        <v>332</v>
      </c>
      <c r="P8621" t="s">
        <v>99</v>
      </c>
      <c r="Q8621" t="s">
        <v>99</v>
      </c>
      <c r="R8621" t="s">
        <v>99</v>
      </c>
      <c r="S8621" t="s">
        <v>99</v>
      </c>
    </row>
    <row r="8622" spans="1:19" x14ac:dyDescent="0.3">
      <c r="A8622" t="s">
        <v>49</v>
      </c>
      <c r="B8622" t="s">
        <v>2269</v>
      </c>
      <c r="C8622">
        <v>422</v>
      </c>
      <c r="D8622" t="s">
        <v>961</v>
      </c>
      <c r="E8622" t="s">
        <v>111</v>
      </c>
      <c r="F8622" t="s">
        <v>207</v>
      </c>
      <c r="G8622" t="s">
        <v>712</v>
      </c>
      <c r="H8622" t="s">
        <v>382</v>
      </c>
      <c r="I8622" t="s">
        <v>104</v>
      </c>
      <c r="J8622" t="s">
        <v>99</v>
      </c>
      <c r="K8622" t="s">
        <v>99</v>
      </c>
      <c r="L8622" t="s">
        <v>99</v>
      </c>
      <c r="M8622" t="s">
        <v>99</v>
      </c>
      <c r="N8622" t="s">
        <v>126</v>
      </c>
      <c r="O8622" t="s">
        <v>198</v>
      </c>
      <c r="P8622" t="s">
        <v>104</v>
      </c>
      <c r="Q8622" t="s">
        <v>99</v>
      </c>
      <c r="R8622" t="s">
        <v>99</v>
      </c>
      <c r="S8622" t="s">
        <v>99</v>
      </c>
    </row>
    <row r="8623" spans="1:19" x14ac:dyDescent="0.3">
      <c r="A8623" t="s">
        <v>49</v>
      </c>
      <c r="B8623" t="s">
        <v>2270</v>
      </c>
      <c r="C8623">
        <v>269</v>
      </c>
      <c r="D8623" t="s">
        <v>762</v>
      </c>
      <c r="E8623" t="s">
        <v>138</v>
      </c>
      <c r="F8623" t="s">
        <v>115</v>
      </c>
      <c r="G8623" t="s">
        <v>127</v>
      </c>
      <c r="H8623" t="s">
        <v>124</v>
      </c>
      <c r="I8623" t="s">
        <v>114</v>
      </c>
      <c r="J8623" t="s">
        <v>99</v>
      </c>
      <c r="K8623" t="s">
        <v>141</v>
      </c>
      <c r="L8623" t="s">
        <v>99</v>
      </c>
      <c r="M8623" t="s">
        <v>99</v>
      </c>
      <c r="N8623" t="s">
        <v>127</v>
      </c>
      <c r="O8623" t="s">
        <v>136</v>
      </c>
      <c r="P8623" t="s">
        <v>99</v>
      </c>
      <c r="Q8623" t="s">
        <v>99</v>
      </c>
      <c r="R8623" t="s">
        <v>99</v>
      </c>
      <c r="S8623" t="s">
        <v>99</v>
      </c>
    </row>
    <row r="8624" spans="1:19" x14ac:dyDescent="0.3">
      <c r="A8624" t="s">
        <v>49</v>
      </c>
      <c r="B8624" t="s">
        <v>2271</v>
      </c>
      <c r="C8624">
        <v>1630</v>
      </c>
      <c r="D8624" t="s">
        <v>774</v>
      </c>
      <c r="E8624" t="s">
        <v>149</v>
      </c>
      <c r="F8624" t="s">
        <v>100</v>
      </c>
      <c r="G8624" t="s">
        <v>118</v>
      </c>
      <c r="H8624" t="s">
        <v>671</v>
      </c>
      <c r="I8624" t="s">
        <v>121</v>
      </c>
      <c r="J8624" t="s">
        <v>136</v>
      </c>
      <c r="K8624" t="s">
        <v>198</v>
      </c>
      <c r="L8624" t="s">
        <v>132</v>
      </c>
      <c r="M8624" t="s">
        <v>115</v>
      </c>
      <c r="N8624" t="s">
        <v>117</v>
      </c>
      <c r="O8624" t="s">
        <v>117</v>
      </c>
      <c r="P8624" t="s">
        <v>141</v>
      </c>
      <c r="Q8624" t="s">
        <v>99</v>
      </c>
      <c r="R8624" t="s">
        <v>136</v>
      </c>
      <c r="S8624" t="s">
        <v>99</v>
      </c>
    </row>
    <row r="8625" spans="1:19" x14ac:dyDescent="0.3">
      <c r="A8625" t="s">
        <v>49</v>
      </c>
      <c r="B8625" t="s">
        <v>2272</v>
      </c>
      <c r="C8625">
        <v>1556</v>
      </c>
      <c r="D8625" t="s">
        <v>1047</v>
      </c>
      <c r="E8625" t="s">
        <v>158</v>
      </c>
      <c r="F8625" t="s">
        <v>147</v>
      </c>
      <c r="G8625" t="s">
        <v>68</v>
      </c>
      <c r="H8625" t="s">
        <v>701</v>
      </c>
      <c r="I8625" t="s">
        <v>123</v>
      </c>
      <c r="J8625" t="s">
        <v>108</v>
      </c>
      <c r="K8625" t="s">
        <v>253</v>
      </c>
      <c r="L8625" t="s">
        <v>136</v>
      </c>
      <c r="M8625" t="s">
        <v>136</v>
      </c>
      <c r="N8625" t="s">
        <v>107</v>
      </c>
      <c r="O8625" t="s">
        <v>382</v>
      </c>
      <c r="P8625" t="s">
        <v>132</v>
      </c>
      <c r="Q8625" t="s">
        <v>99</v>
      </c>
      <c r="R8625" t="s">
        <v>99</v>
      </c>
      <c r="S8625" t="s">
        <v>207</v>
      </c>
    </row>
    <row r="8626" spans="1:19" x14ac:dyDescent="0.3">
      <c r="A8626" t="s">
        <v>49</v>
      </c>
      <c r="B8626" t="s">
        <v>2273</v>
      </c>
      <c r="C8626">
        <v>1777</v>
      </c>
      <c r="D8626" t="s">
        <v>770</v>
      </c>
      <c r="E8626" t="s">
        <v>299</v>
      </c>
      <c r="F8626" t="s">
        <v>114</v>
      </c>
      <c r="G8626" t="s">
        <v>328</v>
      </c>
      <c r="H8626" t="s">
        <v>186</v>
      </c>
      <c r="I8626" t="s">
        <v>316</v>
      </c>
      <c r="J8626" t="s">
        <v>127</v>
      </c>
      <c r="K8626" t="s">
        <v>151</v>
      </c>
      <c r="L8626" t="s">
        <v>115</v>
      </c>
      <c r="M8626" t="s">
        <v>207</v>
      </c>
      <c r="N8626" t="s">
        <v>154</v>
      </c>
      <c r="O8626" t="s">
        <v>382</v>
      </c>
      <c r="P8626" t="s">
        <v>198</v>
      </c>
      <c r="Q8626" t="s">
        <v>99</v>
      </c>
      <c r="R8626" t="s">
        <v>99</v>
      </c>
      <c r="S8626" t="s">
        <v>104</v>
      </c>
    </row>
    <row r="8627" spans="1:19" x14ac:dyDescent="0.3">
      <c r="A8627" t="s">
        <v>49</v>
      </c>
      <c r="B8627" t="s">
        <v>976</v>
      </c>
      <c r="C8627">
        <v>327</v>
      </c>
      <c r="D8627" t="s">
        <v>176</v>
      </c>
      <c r="E8627" t="s">
        <v>124</v>
      </c>
      <c r="F8627" t="s">
        <v>114</v>
      </c>
      <c r="G8627" t="s">
        <v>154</v>
      </c>
      <c r="H8627" t="s">
        <v>112</v>
      </c>
      <c r="I8627" t="s">
        <v>198</v>
      </c>
      <c r="J8627" t="s">
        <v>99</v>
      </c>
      <c r="K8627" t="s">
        <v>207</v>
      </c>
      <c r="L8627" t="s">
        <v>121</v>
      </c>
      <c r="M8627" t="s">
        <v>108</v>
      </c>
      <c r="N8627" t="s">
        <v>268</v>
      </c>
      <c r="O8627" t="s">
        <v>99</v>
      </c>
      <c r="P8627" t="s">
        <v>99</v>
      </c>
      <c r="Q8627" t="s">
        <v>99</v>
      </c>
      <c r="R8627" t="s">
        <v>99</v>
      </c>
      <c r="S8627" t="s">
        <v>99</v>
      </c>
    </row>
    <row r="8628" spans="1:19" x14ac:dyDescent="0.3">
      <c r="A8628" t="s">
        <v>49</v>
      </c>
      <c r="B8628" t="s">
        <v>2274</v>
      </c>
      <c r="C8628">
        <v>335</v>
      </c>
      <c r="D8628" t="s">
        <v>400</v>
      </c>
      <c r="E8628" t="s">
        <v>124</v>
      </c>
      <c r="F8628" t="s">
        <v>101</v>
      </c>
      <c r="G8628" t="s">
        <v>141</v>
      </c>
      <c r="H8628" t="s">
        <v>157</v>
      </c>
      <c r="I8628" t="s">
        <v>104</v>
      </c>
      <c r="J8628" t="s">
        <v>253</v>
      </c>
      <c r="K8628" t="s">
        <v>99</v>
      </c>
      <c r="L8628" t="s">
        <v>114</v>
      </c>
      <c r="M8628" t="s">
        <v>100</v>
      </c>
      <c r="N8628" t="s">
        <v>136</v>
      </c>
      <c r="O8628" t="s">
        <v>207</v>
      </c>
      <c r="P8628" t="s">
        <v>99</v>
      </c>
      <c r="Q8628" t="s">
        <v>99</v>
      </c>
      <c r="R8628" t="s">
        <v>99</v>
      </c>
      <c r="S8628" t="s">
        <v>99</v>
      </c>
    </row>
    <row r="8629" spans="1:19" x14ac:dyDescent="0.3">
      <c r="A8629" t="s">
        <v>49</v>
      </c>
      <c r="B8629" t="s">
        <v>2275</v>
      </c>
      <c r="C8629">
        <v>449</v>
      </c>
      <c r="D8629" t="s">
        <v>250</v>
      </c>
      <c r="E8629" t="s">
        <v>110</v>
      </c>
      <c r="F8629" t="s">
        <v>141</v>
      </c>
      <c r="G8629" t="s">
        <v>316</v>
      </c>
      <c r="H8629" t="s">
        <v>215</v>
      </c>
      <c r="I8629" t="s">
        <v>207</v>
      </c>
      <c r="J8629" t="s">
        <v>207</v>
      </c>
      <c r="K8629" t="s">
        <v>99</v>
      </c>
      <c r="L8629" t="s">
        <v>141</v>
      </c>
      <c r="M8629" t="s">
        <v>136</v>
      </c>
      <c r="N8629" t="s">
        <v>316</v>
      </c>
      <c r="O8629" t="s">
        <v>121</v>
      </c>
      <c r="P8629" t="s">
        <v>99</v>
      </c>
      <c r="Q8629" t="s">
        <v>198</v>
      </c>
      <c r="R8629" t="s">
        <v>99</v>
      </c>
      <c r="S8629" t="s">
        <v>99</v>
      </c>
    </row>
    <row r="8630" spans="1:19" x14ac:dyDescent="0.3">
      <c r="A8630" t="s">
        <v>49</v>
      </c>
      <c r="B8630" t="s">
        <v>2276</v>
      </c>
      <c r="C8630">
        <v>161</v>
      </c>
      <c r="D8630" t="s">
        <v>1476</v>
      </c>
      <c r="E8630" t="s">
        <v>115</v>
      </c>
      <c r="F8630" t="s">
        <v>105</v>
      </c>
      <c r="G8630" t="s">
        <v>268</v>
      </c>
      <c r="H8630" t="s">
        <v>420</v>
      </c>
      <c r="I8630" t="s">
        <v>319</v>
      </c>
      <c r="J8630" t="s">
        <v>104</v>
      </c>
      <c r="K8630" t="s">
        <v>99</v>
      </c>
      <c r="L8630" t="s">
        <v>99</v>
      </c>
      <c r="M8630" t="s">
        <v>99</v>
      </c>
      <c r="N8630" t="s">
        <v>139</v>
      </c>
      <c r="O8630" t="s">
        <v>204</v>
      </c>
      <c r="P8630" t="s">
        <v>132</v>
      </c>
      <c r="Q8630" t="s">
        <v>99</v>
      </c>
      <c r="R8630" t="s">
        <v>99</v>
      </c>
      <c r="S8630" t="s">
        <v>99</v>
      </c>
    </row>
    <row r="8631" spans="1:19" x14ac:dyDescent="0.3">
      <c r="A8631" t="s">
        <v>49</v>
      </c>
      <c r="B8631" t="s">
        <v>2277</v>
      </c>
      <c r="C8631">
        <v>1102</v>
      </c>
      <c r="D8631" t="s">
        <v>865</v>
      </c>
      <c r="E8631" t="s">
        <v>130</v>
      </c>
      <c r="F8631" t="s">
        <v>382</v>
      </c>
      <c r="G8631" t="s">
        <v>98</v>
      </c>
      <c r="H8631" t="s">
        <v>262</v>
      </c>
      <c r="I8631" t="s">
        <v>115</v>
      </c>
      <c r="J8631" t="s">
        <v>136</v>
      </c>
      <c r="K8631" t="s">
        <v>253</v>
      </c>
      <c r="L8631" t="s">
        <v>253</v>
      </c>
      <c r="M8631" t="s">
        <v>115</v>
      </c>
      <c r="N8631" t="s">
        <v>111</v>
      </c>
      <c r="O8631" t="s">
        <v>292</v>
      </c>
      <c r="P8631" t="s">
        <v>114</v>
      </c>
      <c r="Q8631" t="s">
        <v>136</v>
      </c>
      <c r="R8631" t="s">
        <v>207</v>
      </c>
      <c r="S8631" t="s">
        <v>99</v>
      </c>
    </row>
    <row r="8632" spans="1:19" x14ac:dyDescent="0.3">
      <c r="A8632" t="s">
        <v>49</v>
      </c>
      <c r="B8632" t="s">
        <v>2278</v>
      </c>
      <c r="C8632">
        <v>1011</v>
      </c>
      <c r="D8632" t="s">
        <v>775</v>
      </c>
      <c r="E8632" t="s">
        <v>145</v>
      </c>
      <c r="F8632" t="s">
        <v>127</v>
      </c>
      <c r="G8632" t="s">
        <v>130</v>
      </c>
      <c r="H8632" t="s">
        <v>368</v>
      </c>
      <c r="I8632" t="s">
        <v>121</v>
      </c>
      <c r="J8632" t="s">
        <v>141</v>
      </c>
      <c r="K8632" t="s">
        <v>253</v>
      </c>
      <c r="L8632" t="s">
        <v>115</v>
      </c>
      <c r="M8632" t="s">
        <v>136</v>
      </c>
      <c r="N8632" t="s">
        <v>107</v>
      </c>
      <c r="O8632" t="s">
        <v>268</v>
      </c>
      <c r="P8632" t="s">
        <v>253</v>
      </c>
      <c r="Q8632" t="s">
        <v>99</v>
      </c>
      <c r="R8632" t="s">
        <v>99</v>
      </c>
      <c r="S8632" t="s">
        <v>104</v>
      </c>
    </row>
    <row r="8633" spans="1:19" x14ac:dyDescent="0.3">
      <c r="A8633" t="s">
        <v>49</v>
      </c>
      <c r="B8633" t="s">
        <v>2279</v>
      </c>
      <c r="C8633">
        <v>940</v>
      </c>
      <c r="D8633" t="s">
        <v>1235</v>
      </c>
      <c r="E8633" t="s">
        <v>143</v>
      </c>
      <c r="F8633" t="s">
        <v>253</v>
      </c>
      <c r="G8633" t="s">
        <v>130</v>
      </c>
      <c r="H8633" t="s">
        <v>76</v>
      </c>
      <c r="I8633" t="s">
        <v>316</v>
      </c>
      <c r="J8633" t="s">
        <v>121</v>
      </c>
      <c r="K8633" t="s">
        <v>268</v>
      </c>
      <c r="L8633" t="s">
        <v>115</v>
      </c>
      <c r="M8633" t="s">
        <v>99</v>
      </c>
      <c r="N8633" t="s">
        <v>123</v>
      </c>
      <c r="O8633" t="s">
        <v>101</v>
      </c>
      <c r="P8633" t="s">
        <v>198</v>
      </c>
      <c r="Q8633" t="s">
        <v>99</v>
      </c>
      <c r="R8633" t="s">
        <v>99</v>
      </c>
      <c r="S8633" t="s">
        <v>99</v>
      </c>
    </row>
    <row r="8634" spans="1:19" x14ac:dyDescent="0.3">
      <c r="A8634" t="s">
        <v>49</v>
      </c>
      <c r="B8634" t="s">
        <v>365</v>
      </c>
      <c r="C8634">
        <v>25</v>
      </c>
      <c r="D8634" t="s">
        <v>568</v>
      </c>
      <c r="E8634" t="s">
        <v>135</v>
      </c>
      <c r="F8634" t="s">
        <v>101</v>
      </c>
      <c r="G8634" t="s">
        <v>242</v>
      </c>
      <c r="H8634" t="s">
        <v>710</v>
      </c>
      <c r="I8634" t="s">
        <v>99</v>
      </c>
      <c r="J8634" t="s">
        <v>99</v>
      </c>
      <c r="K8634" t="s">
        <v>99</v>
      </c>
      <c r="L8634" t="s">
        <v>99</v>
      </c>
      <c r="M8634" t="s">
        <v>99</v>
      </c>
      <c r="N8634" t="s">
        <v>99</v>
      </c>
      <c r="O8634" t="s">
        <v>104</v>
      </c>
      <c r="P8634" t="s">
        <v>99</v>
      </c>
      <c r="Q8634" t="s">
        <v>99</v>
      </c>
      <c r="R8634" t="s">
        <v>99</v>
      </c>
      <c r="S8634" t="s">
        <v>99</v>
      </c>
    </row>
    <row r="8636" spans="1:19" x14ac:dyDescent="0.3">
      <c r="A8636" t="s">
        <v>2346</v>
      </c>
    </row>
    <row r="8637" spans="1:19" x14ac:dyDescent="0.3">
      <c r="A8637" t="s">
        <v>44</v>
      </c>
      <c r="B8637" t="s">
        <v>2281</v>
      </c>
      <c r="C8637" t="s">
        <v>32</v>
      </c>
      <c r="D8637" t="s">
        <v>2332</v>
      </c>
      <c r="E8637" t="s">
        <v>2333</v>
      </c>
      <c r="F8637" t="s">
        <v>2334</v>
      </c>
      <c r="G8637" t="s">
        <v>2335</v>
      </c>
      <c r="H8637" t="s">
        <v>2336</v>
      </c>
      <c r="I8637" t="s">
        <v>2337</v>
      </c>
      <c r="J8637" t="s">
        <v>2338</v>
      </c>
      <c r="K8637" t="s">
        <v>2339</v>
      </c>
      <c r="L8637" t="s">
        <v>2340</v>
      </c>
      <c r="M8637" t="s">
        <v>2341</v>
      </c>
      <c r="N8637" t="s">
        <v>2342</v>
      </c>
      <c r="O8637" t="s">
        <v>2343</v>
      </c>
      <c r="P8637" t="s">
        <v>2344</v>
      </c>
      <c r="Q8637" t="s">
        <v>1275</v>
      </c>
      <c r="R8637" t="s">
        <v>83</v>
      </c>
      <c r="S8637" t="s">
        <v>193</v>
      </c>
    </row>
    <row r="8638" spans="1:19" x14ac:dyDescent="0.3">
      <c r="A8638" t="s">
        <v>35</v>
      </c>
      <c r="B8638" t="s">
        <v>2282</v>
      </c>
      <c r="C8638">
        <v>584</v>
      </c>
      <c r="D8638" t="s">
        <v>1163</v>
      </c>
      <c r="E8638" t="s">
        <v>242</v>
      </c>
      <c r="F8638" t="s">
        <v>123</v>
      </c>
      <c r="G8638" t="s">
        <v>401</v>
      </c>
      <c r="H8638" t="s">
        <v>429</v>
      </c>
      <c r="I8638" t="s">
        <v>107</v>
      </c>
      <c r="J8638" t="s">
        <v>316</v>
      </c>
      <c r="K8638" t="s">
        <v>332</v>
      </c>
      <c r="L8638" t="s">
        <v>104</v>
      </c>
      <c r="M8638" t="s">
        <v>198</v>
      </c>
      <c r="N8638" t="s">
        <v>474</v>
      </c>
      <c r="O8638" t="s">
        <v>114</v>
      </c>
      <c r="P8638" t="s">
        <v>207</v>
      </c>
      <c r="Q8638" t="s">
        <v>99</v>
      </c>
      <c r="R8638" t="s">
        <v>99</v>
      </c>
      <c r="S8638" t="s">
        <v>99</v>
      </c>
    </row>
    <row r="8639" spans="1:19" x14ac:dyDescent="0.3">
      <c r="A8639" t="s">
        <v>35</v>
      </c>
      <c r="B8639" t="s">
        <v>2283</v>
      </c>
      <c r="C8639">
        <v>1909</v>
      </c>
      <c r="D8639" t="s">
        <v>371</v>
      </c>
      <c r="E8639" t="s">
        <v>242</v>
      </c>
      <c r="F8639" t="s">
        <v>115</v>
      </c>
      <c r="G8639" t="s">
        <v>155</v>
      </c>
      <c r="H8639" t="s">
        <v>142</v>
      </c>
      <c r="I8639" t="s">
        <v>132</v>
      </c>
      <c r="J8639" t="s">
        <v>207</v>
      </c>
      <c r="K8639" t="s">
        <v>104</v>
      </c>
      <c r="L8639" t="s">
        <v>108</v>
      </c>
      <c r="M8639" t="s">
        <v>207</v>
      </c>
      <c r="N8639" t="s">
        <v>123</v>
      </c>
      <c r="O8639" t="s">
        <v>128</v>
      </c>
      <c r="P8639" t="s">
        <v>100</v>
      </c>
      <c r="Q8639" t="s">
        <v>99</v>
      </c>
      <c r="R8639" t="s">
        <v>207</v>
      </c>
      <c r="S8639" t="s">
        <v>99</v>
      </c>
    </row>
    <row r="8640" spans="1:19" x14ac:dyDescent="0.3">
      <c r="A8640" t="s">
        <v>35</v>
      </c>
      <c r="B8640" t="s">
        <v>365</v>
      </c>
      <c r="C8640">
        <v>217</v>
      </c>
      <c r="D8640" t="s">
        <v>219</v>
      </c>
      <c r="E8640" t="s">
        <v>127</v>
      </c>
      <c r="F8640" t="s">
        <v>253</v>
      </c>
      <c r="G8640" t="s">
        <v>143</v>
      </c>
      <c r="H8640" t="s">
        <v>207</v>
      </c>
      <c r="I8640" t="s">
        <v>198</v>
      </c>
      <c r="J8640" t="s">
        <v>99</v>
      </c>
      <c r="K8640" t="s">
        <v>99</v>
      </c>
      <c r="L8640" t="s">
        <v>99</v>
      </c>
      <c r="M8640" t="s">
        <v>99</v>
      </c>
      <c r="N8640" t="s">
        <v>110</v>
      </c>
      <c r="O8640" t="s">
        <v>104</v>
      </c>
      <c r="P8640" t="s">
        <v>99</v>
      </c>
      <c r="Q8640" t="s">
        <v>99</v>
      </c>
      <c r="R8640" t="s">
        <v>99</v>
      </c>
      <c r="S8640" t="s">
        <v>99</v>
      </c>
    </row>
    <row r="8641" spans="1:19" x14ac:dyDescent="0.3">
      <c r="A8641" t="s">
        <v>37</v>
      </c>
      <c r="B8641" t="s">
        <v>2282</v>
      </c>
      <c r="C8641">
        <v>731</v>
      </c>
      <c r="D8641" t="s">
        <v>997</v>
      </c>
      <c r="E8641" t="s">
        <v>125</v>
      </c>
      <c r="F8641" t="s">
        <v>215</v>
      </c>
      <c r="G8641" t="s">
        <v>144</v>
      </c>
      <c r="H8641" t="s">
        <v>186</v>
      </c>
      <c r="I8641" t="s">
        <v>111</v>
      </c>
      <c r="J8641" t="s">
        <v>151</v>
      </c>
      <c r="K8641" t="s">
        <v>110</v>
      </c>
      <c r="L8641" t="s">
        <v>136</v>
      </c>
      <c r="M8641" t="s">
        <v>99</v>
      </c>
      <c r="N8641" t="s">
        <v>112</v>
      </c>
      <c r="O8641" t="s">
        <v>107</v>
      </c>
      <c r="P8641" t="s">
        <v>198</v>
      </c>
      <c r="Q8641" t="s">
        <v>99</v>
      </c>
      <c r="R8641" t="s">
        <v>104</v>
      </c>
      <c r="S8641" t="s">
        <v>104</v>
      </c>
    </row>
    <row r="8642" spans="1:19" x14ac:dyDescent="0.3">
      <c r="A8642" t="s">
        <v>37</v>
      </c>
      <c r="B8642" t="s">
        <v>2283</v>
      </c>
      <c r="C8642">
        <v>2253</v>
      </c>
      <c r="D8642" t="s">
        <v>320</v>
      </c>
      <c r="E8642" t="s">
        <v>105</v>
      </c>
      <c r="F8642" t="s">
        <v>132</v>
      </c>
      <c r="G8642" t="s">
        <v>684</v>
      </c>
      <c r="H8642" t="s">
        <v>664</v>
      </c>
      <c r="I8642" t="s">
        <v>253</v>
      </c>
      <c r="J8642" t="s">
        <v>207</v>
      </c>
      <c r="K8642" t="s">
        <v>198</v>
      </c>
      <c r="L8642" t="s">
        <v>136</v>
      </c>
      <c r="M8642" t="s">
        <v>104</v>
      </c>
      <c r="N8642" t="s">
        <v>147</v>
      </c>
      <c r="O8642" t="s">
        <v>151</v>
      </c>
      <c r="P8642" t="s">
        <v>136</v>
      </c>
      <c r="Q8642" t="s">
        <v>99</v>
      </c>
      <c r="R8642" t="s">
        <v>99</v>
      </c>
      <c r="S8642" t="s">
        <v>99</v>
      </c>
    </row>
    <row r="8643" spans="1:19" x14ac:dyDescent="0.3">
      <c r="A8643" t="s">
        <v>37</v>
      </c>
      <c r="B8643" t="s">
        <v>365</v>
      </c>
      <c r="C8643">
        <v>278</v>
      </c>
      <c r="D8643" t="s">
        <v>354</v>
      </c>
      <c r="E8643" t="s">
        <v>118</v>
      </c>
      <c r="F8643" t="s">
        <v>114</v>
      </c>
      <c r="G8643" t="s">
        <v>157</v>
      </c>
      <c r="H8643" t="s">
        <v>115</v>
      </c>
      <c r="I8643" t="s">
        <v>99</v>
      </c>
      <c r="J8643" t="s">
        <v>207</v>
      </c>
      <c r="K8643" t="s">
        <v>99</v>
      </c>
      <c r="L8643" t="s">
        <v>99</v>
      </c>
      <c r="M8643" t="s">
        <v>99</v>
      </c>
      <c r="N8643" t="s">
        <v>100</v>
      </c>
      <c r="O8643" t="s">
        <v>151</v>
      </c>
      <c r="P8643" t="s">
        <v>99</v>
      </c>
      <c r="Q8643" t="s">
        <v>99</v>
      </c>
      <c r="R8643" t="s">
        <v>99</v>
      </c>
      <c r="S8643" t="s">
        <v>99</v>
      </c>
    </row>
    <row r="8644" spans="1:19" x14ac:dyDescent="0.3">
      <c r="A8644" t="s">
        <v>36</v>
      </c>
      <c r="B8644" t="s">
        <v>2282</v>
      </c>
      <c r="C8644">
        <v>443</v>
      </c>
      <c r="D8644" t="s">
        <v>1331</v>
      </c>
      <c r="E8644" t="s">
        <v>133</v>
      </c>
      <c r="F8644" t="s">
        <v>101</v>
      </c>
      <c r="G8644" t="s">
        <v>98</v>
      </c>
      <c r="H8644" t="s">
        <v>131</v>
      </c>
      <c r="I8644" t="s">
        <v>145</v>
      </c>
      <c r="J8644" t="s">
        <v>134</v>
      </c>
      <c r="K8644" t="s">
        <v>118</v>
      </c>
      <c r="L8644" t="s">
        <v>114</v>
      </c>
      <c r="M8644" t="s">
        <v>114</v>
      </c>
      <c r="N8644" t="s">
        <v>117</v>
      </c>
      <c r="O8644" t="s">
        <v>207</v>
      </c>
      <c r="P8644" t="s">
        <v>104</v>
      </c>
      <c r="Q8644" t="s">
        <v>104</v>
      </c>
      <c r="R8644" t="s">
        <v>104</v>
      </c>
      <c r="S8644" t="s">
        <v>99</v>
      </c>
    </row>
    <row r="8645" spans="1:19" x14ac:dyDescent="0.3">
      <c r="A8645" t="s">
        <v>36</v>
      </c>
      <c r="B8645" t="s">
        <v>2283</v>
      </c>
      <c r="C8645">
        <v>1162</v>
      </c>
      <c r="D8645" t="s">
        <v>57</v>
      </c>
      <c r="E8645" t="s">
        <v>248</v>
      </c>
      <c r="F8645" t="s">
        <v>117</v>
      </c>
      <c r="G8645" t="s">
        <v>254</v>
      </c>
      <c r="H8645" t="s">
        <v>294</v>
      </c>
      <c r="I8645" t="s">
        <v>151</v>
      </c>
      <c r="J8645" t="s">
        <v>382</v>
      </c>
      <c r="K8645" t="s">
        <v>198</v>
      </c>
      <c r="L8645" t="s">
        <v>126</v>
      </c>
      <c r="M8645" t="s">
        <v>108</v>
      </c>
      <c r="N8645" t="s">
        <v>268</v>
      </c>
      <c r="O8645" t="s">
        <v>117</v>
      </c>
      <c r="P8645" t="s">
        <v>100</v>
      </c>
      <c r="Q8645" t="s">
        <v>207</v>
      </c>
      <c r="R8645" t="s">
        <v>99</v>
      </c>
      <c r="S8645" t="s">
        <v>99</v>
      </c>
    </row>
    <row r="8646" spans="1:19" x14ac:dyDescent="0.3">
      <c r="A8646" t="s">
        <v>36</v>
      </c>
      <c r="B8646" t="s">
        <v>365</v>
      </c>
      <c r="C8646">
        <v>147</v>
      </c>
      <c r="D8646" t="s">
        <v>492</v>
      </c>
      <c r="E8646" t="s">
        <v>316</v>
      </c>
      <c r="F8646" t="s">
        <v>712</v>
      </c>
      <c r="G8646" t="s">
        <v>149</v>
      </c>
      <c r="H8646" t="s">
        <v>262</v>
      </c>
      <c r="I8646" t="s">
        <v>100</v>
      </c>
      <c r="J8646" t="s">
        <v>108</v>
      </c>
      <c r="K8646" t="s">
        <v>134</v>
      </c>
      <c r="L8646" t="s">
        <v>198</v>
      </c>
      <c r="M8646" t="s">
        <v>136</v>
      </c>
      <c r="N8646" t="s">
        <v>132</v>
      </c>
      <c r="O8646" t="s">
        <v>136</v>
      </c>
      <c r="P8646" t="s">
        <v>198</v>
      </c>
      <c r="Q8646" t="s">
        <v>99</v>
      </c>
      <c r="R8646" t="s">
        <v>207</v>
      </c>
      <c r="S8646" t="s">
        <v>99</v>
      </c>
    </row>
    <row r="8647" spans="1:19" x14ac:dyDescent="0.3">
      <c r="A8647" t="s">
        <v>34</v>
      </c>
      <c r="B8647" t="s">
        <v>2282</v>
      </c>
      <c r="C8647">
        <v>318</v>
      </c>
      <c r="D8647" t="s">
        <v>1160</v>
      </c>
      <c r="E8647" t="s">
        <v>204</v>
      </c>
      <c r="F8647" t="s">
        <v>118</v>
      </c>
      <c r="G8647" t="s">
        <v>154</v>
      </c>
      <c r="H8647" t="s">
        <v>689</v>
      </c>
      <c r="I8647" t="s">
        <v>126</v>
      </c>
      <c r="J8647" t="s">
        <v>99</v>
      </c>
      <c r="K8647" t="s">
        <v>292</v>
      </c>
      <c r="L8647" t="s">
        <v>103</v>
      </c>
      <c r="M8647" t="s">
        <v>126</v>
      </c>
      <c r="N8647" t="s">
        <v>157</v>
      </c>
      <c r="O8647" t="s">
        <v>127</v>
      </c>
      <c r="P8647" t="s">
        <v>207</v>
      </c>
      <c r="Q8647" t="s">
        <v>99</v>
      </c>
      <c r="R8647" t="s">
        <v>115</v>
      </c>
      <c r="S8647" t="s">
        <v>141</v>
      </c>
    </row>
    <row r="8648" spans="1:19" x14ac:dyDescent="0.3">
      <c r="A8648" t="s">
        <v>34</v>
      </c>
      <c r="B8648" t="s">
        <v>2283</v>
      </c>
      <c r="C8648">
        <v>1010</v>
      </c>
      <c r="D8648" t="s">
        <v>1079</v>
      </c>
      <c r="E8648" t="s">
        <v>412</v>
      </c>
      <c r="F8648" t="s">
        <v>138</v>
      </c>
      <c r="G8648" t="s">
        <v>128</v>
      </c>
      <c r="H8648" t="s">
        <v>133</v>
      </c>
      <c r="I8648" t="s">
        <v>123</v>
      </c>
      <c r="J8648" t="s">
        <v>253</v>
      </c>
      <c r="K8648" t="s">
        <v>99</v>
      </c>
      <c r="L8648" t="s">
        <v>253</v>
      </c>
      <c r="M8648" t="s">
        <v>127</v>
      </c>
      <c r="N8648" t="s">
        <v>107</v>
      </c>
      <c r="O8648" t="s">
        <v>114</v>
      </c>
      <c r="P8648" t="s">
        <v>207</v>
      </c>
      <c r="Q8648" t="s">
        <v>207</v>
      </c>
      <c r="R8648" t="s">
        <v>99</v>
      </c>
      <c r="S8648" t="s">
        <v>207</v>
      </c>
    </row>
    <row r="8649" spans="1:19" x14ac:dyDescent="0.3">
      <c r="A8649" t="s">
        <v>34</v>
      </c>
      <c r="B8649" t="s">
        <v>365</v>
      </c>
      <c r="C8649">
        <v>81</v>
      </c>
      <c r="D8649" t="s">
        <v>784</v>
      </c>
      <c r="E8649" t="s">
        <v>149</v>
      </c>
      <c r="F8649" t="s">
        <v>99</v>
      </c>
      <c r="G8649" t="s">
        <v>151</v>
      </c>
      <c r="H8649" t="s">
        <v>182</v>
      </c>
      <c r="I8649" t="s">
        <v>99</v>
      </c>
      <c r="J8649" t="s">
        <v>99</v>
      </c>
      <c r="K8649" t="s">
        <v>99</v>
      </c>
      <c r="L8649" t="s">
        <v>151</v>
      </c>
      <c r="M8649" t="s">
        <v>151</v>
      </c>
      <c r="N8649" t="s">
        <v>332</v>
      </c>
      <c r="O8649" t="s">
        <v>99</v>
      </c>
      <c r="P8649" t="s">
        <v>99</v>
      </c>
      <c r="Q8649" t="s">
        <v>99</v>
      </c>
      <c r="R8649" t="s">
        <v>99</v>
      </c>
      <c r="S8649" t="s">
        <v>99</v>
      </c>
    </row>
    <row r="8650" spans="1:19" x14ac:dyDescent="0.3">
      <c r="A8650" t="s">
        <v>33</v>
      </c>
      <c r="B8650" t="s">
        <v>2282</v>
      </c>
      <c r="C8650">
        <v>334</v>
      </c>
      <c r="D8650" t="s">
        <v>1480</v>
      </c>
      <c r="E8650" t="s">
        <v>251</v>
      </c>
      <c r="F8650" t="s">
        <v>215</v>
      </c>
      <c r="G8650" t="s">
        <v>107</v>
      </c>
      <c r="H8650" t="s">
        <v>677</v>
      </c>
      <c r="I8650" t="s">
        <v>316</v>
      </c>
      <c r="J8650" t="s">
        <v>253</v>
      </c>
      <c r="K8650" t="s">
        <v>115</v>
      </c>
      <c r="L8650" t="s">
        <v>99</v>
      </c>
      <c r="M8650" t="s">
        <v>198</v>
      </c>
      <c r="N8650" t="s">
        <v>127</v>
      </c>
      <c r="O8650" t="s">
        <v>115</v>
      </c>
      <c r="P8650" t="s">
        <v>99</v>
      </c>
      <c r="Q8650" t="s">
        <v>99</v>
      </c>
      <c r="R8650" t="s">
        <v>99</v>
      </c>
      <c r="S8650" t="s">
        <v>99</v>
      </c>
    </row>
    <row r="8651" spans="1:19" x14ac:dyDescent="0.3">
      <c r="A8651" t="s">
        <v>33</v>
      </c>
      <c r="B8651" t="s">
        <v>2283</v>
      </c>
      <c r="C8651">
        <v>1104</v>
      </c>
      <c r="D8651" t="s">
        <v>875</v>
      </c>
      <c r="E8651" t="s">
        <v>325</v>
      </c>
      <c r="F8651" t="s">
        <v>207</v>
      </c>
      <c r="G8651" t="s">
        <v>127</v>
      </c>
      <c r="H8651" t="s">
        <v>112</v>
      </c>
      <c r="I8651" t="s">
        <v>253</v>
      </c>
      <c r="J8651" t="s">
        <v>198</v>
      </c>
      <c r="K8651" t="s">
        <v>99</v>
      </c>
      <c r="L8651" t="s">
        <v>99</v>
      </c>
      <c r="M8651" t="s">
        <v>104</v>
      </c>
      <c r="N8651" t="s">
        <v>108</v>
      </c>
      <c r="O8651" t="s">
        <v>115</v>
      </c>
      <c r="P8651" t="s">
        <v>99</v>
      </c>
      <c r="Q8651" t="s">
        <v>99</v>
      </c>
      <c r="R8651" t="s">
        <v>99</v>
      </c>
      <c r="S8651" t="s">
        <v>99</v>
      </c>
    </row>
    <row r="8652" spans="1:19" x14ac:dyDescent="0.3">
      <c r="A8652" t="s">
        <v>33</v>
      </c>
      <c r="B8652" t="s">
        <v>365</v>
      </c>
      <c r="C8652">
        <v>97</v>
      </c>
      <c r="D8652" t="s">
        <v>889</v>
      </c>
      <c r="E8652" t="s">
        <v>663</v>
      </c>
      <c r="F8652" t="s">
        <v>99</v>
      </c>
      <c r="G8652" t="s">
        <v>101</v>
      </c>
      <c r="H8652" t="s">
        <v>268</v>
      </c>
      <c r="I8652" t="s">
        <v>114</v>
      </c>
      <c r="J8652" t="s">
        <v>114</v>
      </c>
      <c r="K8652" t="s">
        <v>99</v>
      </c>
      <c r="L8652" t="s">
        <v>99</v>
      </c>
      <c r="M8652" t="s">
        <v>99</v>
      </c>
      <c r="N8652" t="s">
        <v>99</v>
      </c>
      <c r="O8652" t="s">
        <v>99</v>
      </c>
      <c r="P8652" t="s">
        <v>99</v>
      </c>
      <c r="Q8652" t="s">
        <v>99</v>
      </c>
      <c r="R8652" t="s">
        <v>99</v>
      </c>
      <c r="S8652" t="s">
        <v>99</v>
      </c>
    </row>
    <row r="8653" spans="1:19" x14ac:dyDescent="0.3">
      <c r="A8653" t="s">
        <v>49</v>
      </c>
      <c r="B8653" t="s">
        <v>2282</v>
      </c>
      <c r="C8653">
        <v>2410</v>
      </c>
      <c r="D8653" t="s">
        <v>1103</v>
      </c>
      <c r="E8653" t="s">
        <v>122</v>
      </c>
      <c r="F8653" t="s">
        <v>292</v>
      </c>
      <c r="G8653" t="s">
        <v>468</v>
      </c>
      <c r="H8653" t="s">
        <v>309</v>
      </c>
      <c r="I8653" t="s">
        <v>128</v>
      </c>
      <c r="J8653" t="s">
        <v>215</v>
      </c>
      <c r="K8653" t="s">
        <v>147</v>
      </c>
      <c r="L8653" t="s">
        <v>115</v>
      </c>
      <c r="M8653" t="s">
        <v>141</v>
      </c>
      <c r="N8653" t="s">
        <v>154</v>
      </c>
      <c r="O8653" t="s">
        <v>382</v>
      </c>
      <c r="P8653" t="s">
        <v>198</v>
      </c>
      <c r="Q8653" t="s">
        <v>99</v>
      </c>
      <c r="R8653" t="s">
        <v>198</v>
      </c>
      <c r="S8653" t="s">
        <v>104</v>
      </c>
    </row>
    <row r="8654" spans="1:19" x14ac:dyDescent="0.3">
      <c r="A8654" t="s">
        <v>49</v>
      </c>
      <c r="B8654" t="s">
        <v>2283</v>
      </c>
      <c r="C8654">
        <v>7438</v>
      </c>
      <c r="D8654" t="s">
        <v>547</v>
      </c>
      <c r="E8654" t="s">
        <v>68</v>
      </c>
      <c r="F8654" t="s">
        <v>101</v>
      </c>
      <c r="G8654" t="s">
        <v>134</v>
      </c>
      <c r="H8654" t="s">
        <v>363</v>
      </c>
      <c r="I8654" t="s">
        <v>114</v>
      </c>
      <c r="J8654" t="s">
        <v>136</v>
      </c>
      <c r="K8654" t="s">
        <v>104</v>
      </c>
      <c r="L8654" t="s">
        <v>253</v>
      </c>
      <c r="M8654" t="s">
        <v>141</v>
      </c>
      <c r="N8654" t="s">
        <v>268</v>
      </c>
      <c r="O8654" t="s">
        <v>123</v>
      </c>
      <c r="P8654" t="s">
        <v>253</v>
      </c>
      <c r="Q8654" t="s">
        <v>104</v>
      </c>
      <c r="R8654" t="s">
        <v>104</v>
      </c>
      <c r="S8654" t="s">
        <v>104</v>
      </c>
    </row>
    <row r="8655" spans="1:19" x14ac:dyDescent="0.3">
      <c r="A8655" t="s">
        <v>49</v>
      </c>
      <c r="B8655" t="s">
        <v>365</v>
      </c>
      <c r="C8655">
        <v>820</v>
      </c>
      <c r="D8655" t="s">
        <v>448</v>
      </c>
      <c r="E8655" t="s">
        <v>332</v>
      </c>
      <c r="F8655" t="s">
        <v>108</v>
      </c>
      <c r="G8655" t="s">
        <v>110</v>
      </c>
      <c r="H8655" t="s">
        <v>128</v>
      </c>
      <c r="I8655" t="s">
        <v>207</v>
      </c>
      <c r="J8655" t="s">
        <v>207</v>
      </c>
      <c r="K8655" t="s">
        <v>207</v>
      </c>
      <c r="L8655" t="s">
        <v>207</v>
      </c>
      <c r="M8655" t="s">
        <v>207</v>
      </c>
      <c r="N8655" t="s">
        <v>111</v>
      </c>
      <c r="O8655" t="s">
        <v>115</v>
      </c>
      <c r="P8655" t="s">
        <v>99</v>
      </c>
      <c r="Q8655" t="s">
        <v>99</v>
      </c>
      <c r="R8655" t="s">
        <v>99</v>
      </c>
      <c r="S8655" t="s">
        <v>99</v>
      </c>
    </row>
    <row r="8657" spans="1:19" x14ac:dyDescent="0.3">
      <c r="A8657" t="s">
        <v>2347</v>
      </c>
    </row>
    <row r="8658" spans="1:19" x14ac:dyDescent="0.3">
      <c r="A8658" t="s">
        <v>44</v>
      </c>
      <c r="B8658" t="s">
        <v>235</v>
      </c>
      <c r="C8658" t="s">
        <v>32</v>
      </c>
      <c r="D8658" t="s">
        <v>2332</v>
      </c>
      <c r="E8658" t="s">
        <v>2333</v>
      </c>
      <c r="F8658" t="s">
        <v>2334</v>
      </c>
      <c r="G8658" t="s">
        <v>2335</v>
      </c>
      <c r="H8658" t="s">
        <v>2336</v>
      </c>
      <c r="I8658" t="s">
        <v>2337</v>
      </c>
      <c r="J8658" t="s">
        <v>2338</v>
      </c>
      <c r="K8658" t="s">
        <v>2339</v>
      </c>
      <c r="L8658" t="s">
        <v>2340</v>
      </c>
      <c r="M8658" t="s">
        <v>2341</v>
      </c>
      <c r="N8658" t="s">
        <v>2342</v>
      </c>
      <c r="O8658" t="s">
        <v>2343</v>
      </c>
      <c r="P8658" t="s">
        <v>2344</v>
      </c>
      <c r="Q8658" t="s">
        <v>1275</v>
      </c>
      <c r="R8658" t="s">
        <v>83</v>
      </c>
      <c r="S8658" t="s">
        <v>193</v>
      </c>
    </row>
    <row r="8659" spans="1:19" x14ac:dyDescent="0.3">
      <c r="A8659" t="s">
        <v>35</v>
      </c>
      <c r="B8659" t="s">
        <v>236</v>
      </c>
      <c r="C8659">
        <v>1344</v>
      </c>
      <c r="D8659" t="s">
        <v>1405</v>
      </c>
      <c r="E8659" t="s">
        <v>737</v>
      </c>
      <c r="F8659" t="s">
        <v>103</v>
      </c>
      <c r="G8659" t="s">
        <v>107</v>
      </c>
      <c r="H8659" t="s">
        <v>70</v>
      </c>
      <c r="I8659" t="s">
        <v>147</v>
      </c>
      <c r="J8659" t="s">
        <v>126</v>
      </c>
      <c r="K8659" t="s">
        <v>115</v>
      </c>
      <c r="L8659" t="s">
        <v>136</v>
      </c>
      <c r="M8659" t="s">
        <v>207</v>
      </c>
      <c r="N8659" t="s">
        <v>332</v>
      </c>
      <c r="O8659" t="s">
        <v>114</v>
      </c>
      <c r="P8659" t="s">
        <v>198</v>
      </c>
      <c r="Q8659" t="s">
        <v>99</v>
      </c>
      <c r="R8659" t="s">
        <v>99</v>
      </c>
      <c r="S8659" t="s">
        <v>99</v>
      </c>
    </row>
    <row r="8660" spans="1:19" x14ac:dyDescent="0.3">
      <c r="A8660" t="s">
        <v>35</v>
      </c>
      <c r="B8660" t="s">
        <v>238</v>
      </c>
      <c r="C8660">
        <v>1366</v>
      </c>
      <c r="D8660" t="s">
        <v>1400</v>
      </c>
      <c r="E8660" t="s">
        <v>123</v>
      </c>
      <c r="F8660" t="s">
        <v>141</v>
      </c>
      <c r="G8660" t="s">
        <v>158</v>
      </c>
      <c r="H8660" t="s">
        <v>798</v>
      </c>
      <c r="I8660" t="s">
        <v>115</v>
      </c>
      <c r="J8660" t="s">
        <v>253</v>
      </c>
      <c r="K8660" t="s">
        <v>108</v>
      </c>
      <c r="L8660" t="s">
        <v>115</v>
      </c>
      <c r="M8660" t="s">
        <v>198</v>
      </c>
      <c r="N8660" t="s">
        <v>117</v>
      </c>
      <c r="O8660" t="s">
        <v>103</v>
      </c>
      <c r="P8660" t="s">
        <v>114</v>
      </c>
      <c r="Q8660" t="s">
        <v>99</v>
      </c>
      <c r="R8660" t="s">
        <v>207</v>
      </c>
      <c r="S8660" t="s">
        <v>99</v>
      </c>
    </row>
    <row r="8661" spans="1:19" x14ac:dyDescent="0.3">
      <c r="A8661" t="s">
        <v>37</v>
      </c>
      <c r="B8661" t="s">
        <v>236</v>
      </c>
      <c r="C8661">
        <v>1870</v>
      </c>
      <c r="D8661" t="s">
        <v>426</v>
      </c>
      <c r="E8661" t="s">
        <v>109</v>
      </c>
      <c r="F8661" t="s">
        <v>101</v>
      </c>
      <c r="G8661" t="s">
        <v>130</v>
      </c>
      <c r="H8661" t="s">
        <v>405</v>
      </c>
      <c r="I8661" t="s">
        <v>126</v>
      </c>
      <c r="J8661" t="s">
        <v>253</v>
      </c>
      <c r="K8661" t="s">
        <v>100</v>
      </c>
      <c r="L8661" t="s">
        <v>104</v>
      </c>
      <c r="M8661" t="s">
        <v>104</v>
      </c>
      <c r="N8661" t="s">
        <v>138</v>
      </c>
      <c r="O8661" t="s">
        <v>215</v>
      </c>
      <c r="P8661" t="s">
        <v>207</v>
      </c>
      <c r="Q8661" t="s">
        <v>99</v>
      </c>
      <c r="R8661" t="s">
        <v>99</v>
      </c>
      <c r="S8661" t="s">
        <v>99</v>
      </c>
    </row>
    <row r="8662" spans="1:19" x14ac:dyDescent="0.3">
      <c r="A8662" t="s">
        <v>37</v>
      </c>
      <c r="B8662" t="s">
        <v>238</v>
      </c>
      <c r="C8662">
        <v>1392</v>
      </c>
      <c r="D8662" t="s">
        <v>394</v>
      </c>
      <c r="E8662" t="s">
        <v>319</v>
      </c>
      <c r="F8662" t="s">
        <v>115</v>
      </c>
      <c r="G8662" t="s">
        <v>663</v>
      </c>
      <c r="H8662" t="s">
        <v>152</v>
      </c>
      <c r="I8662" t="s">
        <v>198</v>
      </c>
      <c r="J8662" t="s">
        <v>115</v>
      </c>
      <c r="K8662" t="s">
        <v>132</v>
      </c>
      <c r="L8662" t="s">
        <v>115</v>
      </c>
      <c r="M8662" t="s">
        <v>99</v>
      </c>
      <c r="N8662" t="s">
        <v>147</v>
      </c>
      <c r="O8662" t="s">
        <v>107</v>
      </c>
      <c r="P8662" t="s">
        <v>207</v>
      </c>
      <c r="Q8662" t="s">
        <v>99</v>
      </c>
      <c r="R8662" t="s">
        <v>104</v>
      </c>
      <c r="S8662" t="s">
        <v>99</v>
      </c>
    </row>
    <row r="8663" spans="1:19" x14ac:dyDescent="0.3">
      <c r="A8663" t="s">
        <v>36</v>
      </c>
      <c r="B8663" t="s">
        <v>236</v>
      </c>
      <c r="C8663">
        <v>1190</v>
      </c>
      <c r="D8663" t="s">
        <v>648</v>
      </c>
      <c r="E8663" t="s">
        <v>672</v>
      </c>
      <c r="F8663" t="s">
        <v>316</v>
      </c>
      <c r="G8663" t="s">
        <v>68</v>
      </c>
      <c r="H8663" t="s">
        <v>678</v>
      </c>
      <c r="I8663" t="s">
        <v>712</v>
      </c>
      <c r="J8663" t="s">
        <v>107</v>
      </c>
      <c r="K8663" t="s">
        <v>114</v>
      </c>
      <c r="L8663" t="s">
        <v>114</v>
      </c>
      <c r="M8663" t="s">
        <v>104</v>
      </c>
      <c r="N8663" t="s">
        <v>126</v>
      </c>
      <c r="O8663" t="s">
        <v>100</v>
      </c>
      <c r="P8663" t="s">
        <v>108</v>
      </c>
      <c r="Q8663" t="s">
        <v>104</v>
      </c>
      <c r="R8663" t="s">
        <v>104</v>
      </c>
      <c r="S8663" t="s">
        <v>99</v>
      </c>
    </row>
    <row r="8664" spans="1:19" x14ac:dyDescent="0.3">
      <c r="A8664" t="s">
        <v>36</v>
      </c>
      <c r="B8664" t="s">
        <v>238</v>
      </c>
      <c r="C8664">
        <v>562</v>
      </c>
      <c r="D8664" t="s">
        <v>245</v>
      </c>
      <c r="E8664" t="s">
        <v>103</v>
      </c>
      <c r="F8664" t="s">
        <v>151</v>
      </c>
      <c r="G8664" t="s">
        <v>150</v>
      </c>
      <c r="H8664" t="s">
        <v>714</v>
      </c>
      <c r="I8664" t="s">
        <v>123</v>
      </c>
      <c r="J8664" t="s">
        <v>319</v>
      </c>
      <c r="K8664" t="s">
        <v>127</v>
      </c>
      <c r="L8664" t="s">
        <v>126</v>
      </c>
      <c r="M8664" t="s">
        <v>382</v>
      </c>
      <c r="N8664" t="s">
        <v>128</v>
      </c>
      <c r="O8664" t="s">
        <v>111</v>
      </c>
      <c r="P8664" t="s">
        <v>115</v>
      </c>
      <c r="Q8664" t="s">
        <v>136</v>
      </c>
      <c r="R8664" t="s">
        <v>99</v>
      </c>
      <c r="S8664" t="s">
        <v>99</v>
      </c>
    </row>
    <row r="8665" spans="1:19" x14ac:dyDescent="0.3">
      <c r="A8665" t="s">
        <v>34</v>
      </c>
      <c r="B8665" t="s">
        <v>236</v>
      </c>
      <c r="C8665">
        <v>425</v>
      </c>
      <c r="D8665" t="s">
        <v>1325</v>
      </c>
      <c r="E8665" t="s">
        <v>262</v>
      </c>
      <c r="F8665" t="s">
        <v>155</v>
      </c>
      <c r="G8665" t="s">
        <v>292</v>
      </c>
      <c r="H8665" t="s">
        <v>171</v>
      </c>
      <c r="I8665" t="s">
        <v>154</v>
      </c>
      <c r="J8665" t="s">
        <v>136</v>
      </c>
      <c r="K8665" t="s">
        <v>115</v>
      </c>
      <c r="L8665" t="s">
        <v>215</v>
      </c>
      <c r="M8665" t="s">
        <v>215</v>
      </c>
      <c r="N8665" t="s">
        <v>382</v>
      </c>
      <c r="O8665" t="s">
        <v>126</v>
      </c>
      <c r="P8665" t="s">
        <v>99</v>
      </c>
      <c r="Q8665" t="s">
        <v>99</v>
      </c>
      <c r="R8665" t="s">
        <v>99</v>
      </c>
      <c r="S8665" t="s">
        <v>99</v>
      </c>
    </row>
    <row r="8666" spans="1:19" x14ac:dyDescent="0.3">
      <c r="A8666" t="s">
        <v>34</v>
      </c>
      <c r="B8666" t="s">
        <v>238</v>
      </c>
      <c r="C8666">
        <v>984</v>
      </c>
      <c r="D8666" t="s">
        <v>1235</v>
      </c>
      <c r="E8666" t="s">
        <v>107</v>
      </c>
      <c r="F8666" t="s">
        <v>105</v>
      </c>
      <c r="G8666" t="s">
        <v>138</v>
      </c>
      <c r="H8666" t="s">
        <v>710</v>
      </c>
      <c r="I8666" t="s">
        <v>108</v>
      </c>
      <c r="J8666" t="s">
        <v>141</v>
      </c>
      <c r="K8666" t="s">
        <v>136</v>
      </c>
      <c r="L8666" t="s">
        <v>114</v>
      </c>
      <c r="M8666" t="s">
        <v>127</v>
      </c>
      <c r="N8666" t="s">
        <v>134</v>
      </c>
      <c r="O8666" t="s">
        <v>114</v>
      </c>
      <c r="P8666" t="s">
        <v>136</v>
      </c>
      <c r="Q8666" t="s">
        <v>207</v>
      </c>
      <c r="R8666" t="s">
        <v>198</v>
      </c>
      <c r="S8666" t="s">
        <v>141</v>
      </c>
    </row>
    <row r="8667" spans="1:19" x14ac:dyDescent="0.3">
      <c r="A8667" t="s">
        <v>33</v>
      </c>
      <c r="B8667" t="s">
        <v>236</v>
      </c>
      <c r="C8667">
        <v>812</v>
      </c>
      <c r="D8667" t="s">
        <v>1023</v>
      </c>
      <c r="E8667" t="s">
        <v>680</v>
      </c>
      <c r="F8667" t="s">
        <v>115</v>
      </c>
      <c r="G8667" t="s">
        <v>101</v>
      </c>
      <c r="H8667" t="s">
        <v>144</v>
      </c>
      <c r="I8667" t="s">
        <v>292</v>
      </c>
      <c r="J8667" t="s">
        <v>253</v>
      </c>
      <c r="K8667" t="s">
        <v>104</v>
      </c>
      <c r="L8667" t="s">
        <v>99</v>
      </c>
      <c r="M8667" t="s">
        <v>104</v>
      </c>
      <c r="N8667" t="s">
        <v>100</v>
      </c>
      <c r="O8667" t="s">
        <v>108</v>
      </c>
      <c r="P8667" t="s">
        <v>99</v>
      </c>
      <c r="Q8667" t="s">
        <v>99</v>
      </c>
      <c r="R8667" t="s">
        <v>99</v>
      </c>
      <c r="S8667" t="s">
        <v>99</v>
      </c>
    </row>
    <row r="8668" spans="1:19" x14ac:dyDescent="0.3">
      <c r="A8668" t="s">
        <v>33</v>
      </c>
      <c r="B8668" t="s">
        <v>238</v>
      </c>
      <c r="C8668">
        <v>723</v>
      </c>
      <c r="D8668" t="s">
        <v>762</v>
      </c>
      <c r="E8668" t="s">
        <v>111</v>
      </c>
      <c r="F8668" t="s">
        <v>136</v>
      </c>
      <c r="G8668" t="s">
        <v>120</v>
      </c>
      <c r="H8668" t="s">
        <v>254</v>
      </c>
      <c r="I8668" t="s">
        <v>104</v>
      </c>
      <c r="J8668" t="s">
        <v>104</v>
      </c>
      <c r="K8668" t="s">
        <v>198</v>
      </c>
      <c r="L8668" t="s">
        <v>99</v>
      </c>
      <c r="M8668" t="s">
        <v>104</v>
      </c>
      <c r="N8668" t="s">
        <v>114</v>
      </c>
      <c r="O8668" t="s">
        <v>141</v>
      </c>
      <c r="P8668" t="s">
        <v>99</v>
      </c>
      <c r="Q8668" t="s">
        <v>99</v>
      </c>
      <c r="R8668" t="s">
        <v>99</v>
      </c>
      <c r="S8668" t="s">
        <v>99</v>
      </c>
    </row>
    <row r="8669" spans="1:19" x14ac:dyDescent="0.3">
      <c r="A8669" t="s">
        <v>49</v>
      </c>
      <c r="B8669" t="s">
        <v>236</v>
      </c>
      <c r="C8669">
        <v>5641</v>
      </c>
      <c r="D8669" t="s">
        <v>1020</v>
      </c>
      <c r="E8669" t="s">
        <v>251</v>
      </c>
      <c r="F8669" t="s">
        <v>127</v>
      </c>
      <c r="G8669" t="s">
        <v>105</v>
      </c>
      <c r="H8669" t="s">
        <v>142</v>
      </c>
      <c r="I8669" t="s">
        <v>117</v>
      </c>
      <c r="J8669" t="s">
        <v>114</v>
      </c>
      <c r="K8669" t="s">
        <v>132</v>
      </c>
      <c r="L8669" t="s">
        <v>136</v>
      </c>
      <c r="M8669" t="s">
        <v>207</v>
      </c>
      <c r="N8669" t="s">
        <v>103</v>
      </c>
      <c r="O8669" t="s">
        <v>101</v>
      </c>
      <c r="P8669" t="s">
        <v>198</v>
      </c>
      <c r="Q8669" t="s">
        <v>99</v>
      </c>
      <c r="R8669" t="s">
        <v>99</v>
      </c>
      <c r="S8669" t="s">
        <v>99</v>
      </c>
    </row>
    <row r="8670" spans="1:19" x14ac:dyDescent="0.3">
      <c r="A8670" t="s">
        <v>49</v>
      </c>
      <c r="B8670" t="s">
        <v>238</v>
      </c>
      <c r="C8670">
        <v>5027</v>
      </c>
      <c r="D8670" t="s">
        <v>509</v>
      </c>
      <c r="E8670" t="s">
        <v>292</v>
      </c>
      <c r="F8670" t="s">
        <v>121</v>
      </c>
      <c r="G8670" t="s">
        <v>242</v>
      </c>
      <c r="H8670" t="s">
        <v>315</v>
      </c>
      <c r="I8670" t="s">
        <v>253</v>
      </c>
      <c r="J8670" t="s">
        <v>253</v>
      </c>
      <c r="K8670" t="s">
        <v>132</v>
      </c>
      <c r="L8670" t="s">
        <v>115</v>
      </c>
      <c r="M8670" t="s">
        <v>253</v>
      </c>
      <c r="N8670" t="s">
        <v>316</v>
      </c>
      <c r="O8670" t="s">
        <v>151</v>
      </c>
      <c r="P8670" t="s">
        <v>253</v>
      </c>
      <c r="Q8670" t="s">
        <v>104</v>
      </c>
      <c r="R8670" t="s">
        <v>198</v>
      </c>
      <c r="S8670" t="s">
        <v>104</v>
      </c>
    </row>
    <row r="8672" spans="1:19" x14ac:dyDescent="0.3">
      <c r="A8672" t="s">
        <v>2348</v>
      </c>
    </row>
    <row r="8673" spans="1:19" x14ac:dyDescent="0.3">
      <c r="A8673" t="s">
        <v>44</v>
      </c>
      <c r="B8673" t="s">
        <v>879</v>
      </c>
      <c r="C8673" t="s">
        <v>32</v>
      </c>
      <c r="D8673" t="s">
        <v>2332</v>
      </c>
      <c r="E8673" t="s">
        <v>2333</v>
      </c>
      <c r="F8673" t="s">
        <v>2334</v>
      </c>
      <c r="G8673" t="s">
        <v>2335</v>
      </c>
      <c r="H8673" t="s">
        <v>2336</v>
      </c>
      <c r="I8673" t="s">
        <v>2337</v>
      </c>
      <c r="J8673" t="s">
        <v>2338</v>
      </c>
      <c r="K8673" t="s">
        <v>2339</v>
      </c>
      <c r="L8673" t="s">
        <v>2340</v>
      </c>
      <c r="M8673" t="s">
        <v>2341</v>
      </c>
      <c r="N8673" t="s">
        <v>2342</v>
      </c>
      <c r="O8673" t="s">
        <v>2343</v>
      </c>
      <c r="P8673" t="s">
        <v>2344</v>
      </c>
      <c r="Q8673" t="s">
        <v>1275</v>
      </c>
      <c r="R8673" t="s">
        <v>83</v>
      </c>
      <c r="S8673" t="s">
        <v>193</v>
      </c>
    </row>
    <row r="8674" spans="1:19" x14ac:dyDescent="0.3">
      <c r="A8674" t="s">
        <v>35</v>
      </c>
      <c r="B8674" t="s">
        <v>880</v>
      </c>
      <c r="C8674">
        <v>262</v>
      </c>
      <c r="D8674" t="s">
        <v>280</v>
      </c>
      <c r="E8674" t="s">
        <v>155</v>
      </c>
      <c r="F8674" t="s">
        <v>319</v>
      </c>
      <c r="G8674" t="s">
        <v>155</v>
      </c>
      <c r="H8674" t="s">
        <v>726</v>
      </c>
      <c r="I8674" t="s">
        <v>99</v>
      </c>
      <c r="J8674" t="s">
        <v>99</v>
      </c>
      <c r="K8674" t="s">
        <v>99</v>
      </c>
      <c r="L8674" t="s">
        <v>382</v>
      </c>
      <c r="M8674" t="s">
        <v>99</v>
      </c>
      <c r="N8674" t="s">
        <v>242</v>
      </c>
      <c r="O8674" t="s">
        <v>204</v>
      </c>
      <c r="P8674" t="s">
        <v>105</v>
      </c>
      <c r="Q8674" t="s">
        <v>99</v>
      </c>
      <c r="R8674" t="s">
        <v>99</v>
      </c>
      <c r="S8674" t="s">
        <v>99</v>
      </c>
    </row>
    <row r="8675" spans="1:19" x14ac:dyDescent="0.3">
      <c r="A8675" t="s">
        <v>35</v>
      </c>
      <c r="B8675" t="s">
        <v>881</v>
      </c>
      <c r="C8675">
        <v>846</v>
      </c>
      <c r="D8675" t="s">
        <v>635</v>
      </c>
      <c r="E8675" t="s">
        <v>125</v>
      </c>
      <c r="F8675" t="s">
        <v>319</v>
      </c>
      <c r="G8675" t="s">
        <v>184</v>
      </c>
      <c r="H8675" t="s">
        <v>805</v>
      </c>
      <c r="I8675" t="s">
        <v>128</v>
      </c>
      <c r="J8675" t="s">
        <v>123</v>
      </c>
      <c r="K8675" t="s">
        <v>316</v>
      </c>
      <c r="L8675" t="s">
        <v>121</v>
      </c>
      <c r="M8675" t="s">
        <v>253</v>
      </c>
      <c r="N8675" t="s">
        <v>112</v>
      </c>
      <c r="O8675" t="s">
        <v>103</v>
      </c>
      <c r="P8675" t="s">
        <v>136</v>
      </c>
      <c r="Q8675" t="s">
        <v>99</v>
      </c>
      <c r="R8675" t="s">
        <v>99</v>
      </c>
      <c r="S8675" t="s">
        <v>99</v>
      </c>
    </row>
    <row r="8676" spans="1:19" x14ac:dyDescent="0.3">
      <c r="A8676" t="s">
        <v>35</v>
      </c>
      <c r="B8676" t="s">
        <v>882</v>
      </c>
      <c r="C8676">
        <v>1602</v>
      </c>
      <c r="D8676" t="s">
        <v>168</v>
      </c>
      <c r="E8676" t="s">
        <v>107</v>
      </c>
      <c r="F8676" t="s">
        <v>115</v>
      </c>
      <c r="G8676" t="s">
        <v>118</v>
      </c>
      <c r="H8676" t="s">
        <v>299</v>
      </c>
      <c r="I8676" t="s">
        <v>108</v>
      </c>
      <c r="J8676" t="s">
        <v>141</v>
      </c>
      <c r="K8676" t="s">
        <v>207</v>
      </c>
      <c r="L8676" t="s">
        <v>198</v>
      </c>
      <c r="M8676" t="s">
        <v>104</v>
      </c>
      <c r="N8676" t="s">
        <v>319</v>
      </c>
      <c r="O8676" t="s">
        <v>100</v>
      </c>
      <c r="P8676" t="s">
        <v>141</v>
      </c>
      <c r="Q8676" t="s">
        <v>99</v>
      </c>
      <c r="R8676" t="s">
        <v>136</v>
      </c>
      <c r="S8676" t="s">
        <v>99</v>
      </c>
    </row>
    <row r="8677" spans="1:19" x14ac:dyDescent="0.3">
      <c r="A8677" t="s">
        <v>37</v>
      </c>
      <c r="B8677" t="s">
        <v>880</v>
      </c>
      <c r="C8677">
        <v>294</v>
      </c>
      <c r="D8677" t="s">
        <v>317</v>
      </c>
      <c r="E8677" t="s">
        <v>316</v>
      </c>
      <c r="F8677" t="s">
        <v>100</v>
      </c>
      <c r="G8677" t="s">
        <v>150</v>
      </c>
      <c r="H8677" t="s">
        <v>129</v>
      </c>
      <c r="I8677" t="s">
        <v>132</v>
      </c>
      <c r="J8677" t="s">
        <v>99</v>
      </c>
      <c r="K8677" t="s">
        <v>136</v>
      </c>
      <c r="L8677" t="s">
        <v>114</v>
      </c>
      <c r="M8677" t="s">
        <v>99</v>
      </c>
      <c r="N8677" t="s">
        <v>712</v>
      </c>
      <c r="O8677" t="s">
        <v>412</v>
      </c>
      <c r="P8677" t="s">
        <v>198</v>
      </c>
      <c r="Q8677" t="s">
        <v>99</v>
      </c>
      <c r="R8677" t="s">
        <v>99</v>
      </c>
      <c r="S8677" t="s">
        <v>99</v>
      </c>
    </row>
    <row r="8678" spans="1:19" x14ac:dyDescent="0.3">
      <c r="A8678" t="s">
        <v>37</v>
      </c>
      <c r="B8678" t="s">
        <v>881</v>
      </c>
      <c r="C8678">
        <v>1002</v>
      </c>
      <c r="D8678" t="s">
        <v>1337</v>
      </c>
      <c r="E8678" t="s">
        <v>664</v>
      </c>
      <c r="F8678" t="s">
        <v>319</v>
      </c>
      <c r="G8678" t="s">
        <v>664</v>
      </c>
      <c r="H8678" t="s">
        <v>705</v>
      </c>
      <c r="I8678" t="s">
        <v>111</v>
      </c>
      <c r="J8678" t="s">
        <v>215</v>
      </c>
      <c r="K8678" t="s">
        <v>127</v>
      </c>
      <c r="L8678" t="s">
        <v>104</v>
      </c>
      <c r="M8678" t="s">
        <v>99</v>
      </c>
      <c r="N8678" t="s">
        <v>130</v>
      </c>
      <c r="O8678" t="s">
        <v>151</v>
      </c>
      <c r="P8678" t="s">
        <v>132</v>
      </c>
      <c r="Q8678" t="s">
        <v>99</v>
      </c>
      <c r="R8678" t="s">
        <v>104</v>
      </c>
      <c r="S8678" t="s">
        <v>104</v>
      </c>
    </row>
    <row r="8679" spans="1:19" x14ac:dyDescent="0.3">
      <c r="A8679" t="s">
        <v>37</v>
      </c>
      <c r="B8679" t="s">
        <v>882</v>
      </c>
      <c r="C8679">
        <v>1966</v>
      </c>
      <c r="D8679" t="s">
        <v>866</v>
      </c>
      <c r="E8679" t="s">
        <v>155</v>
      </c>
      <c r="F8679" t="s">
        <v>132</v>
      </c>
      <c r="G8679" t="s">
        <v>110</v>
      </c>
      <c r="H8679" t="s">
        <v>242</v>
      </c>
      <c r="I8679" t="s">
        <v>207</v>
      </c>
      <c r="J8679" t="s">
        <v>198</v>
      </c>
      <c r="K8679" t="s">
        <v>253</v>
      </c>
      <c r="L8679" t="s">
        <v>136</v>
      </c>
      <c r="M8679" t="s">
        <v>104</v>
      </c>
      <c r="N8679" t="s">
        <v>117</v>
      </c>
      <c r="O8679" t="s">
        <v>151</v>
      </c>
      <c r="P8679" t="s">
        <v>104</v>
      </c>
      <c r="Q8679" t="s">
        <v>99</v>
      </c>
      <c r="R8679" t="s">
        <v>99</v>
      </c>
      <c r="S8679" t="s">
        <v>99</v>
      </c>
    </row>
    <row r="8680" spans="1:19" x14ac:dyDescent="0.3">
      <c r="A8680" t="s">
        <v>36</v>
      </c>
      <c r="B8680" t="s">
        <v>880</v>
      </c>
      <c r="C8680">
        <v>174</v>
      </c>
      <c r="D8680" t="s">
        <v>533</v>
      </c>
      <c r="E8680" t="s">
        <v>78</v>
      </c>
      <c r="F8680" t="s">
        <v>319</v>
      </c>
      <c r="G8680" t="s">
        <v>242</v>
      </c>
      <c r="H8680" t="s">
        <v>156</v>
      </c>
      <c r="I8680" t="s">
        <v>107</v>
      </c>
      <c r="J8680" t="s">
        <v>207</v>
      </c>
      <c r="K8680" t="s">
        <v>99</v>
      </c>
      <c r="L8680" t="s">
        <v>104</v>
      </c>
      <c r="M8680" t="s">
        <v>99</v>
      </c>
      <c r="N8680" t="s">
        <v>157</v>
      </c>
      <c r="O8680" t="s">
        <v>117</v>
      </c>
      <c r="P8680" t="s">
        <v>104</v>
      </c>
      <c r="Q8680" t="s">
        <v>99</v>
      </c>
      <c r="R8680" t="s">
        <v>198</v>
      </c>
      <c r="S8680" t="s">
        <v>99</v>
      </c>
    </row>
    <row r="8681" spans="1:19" x14ac:dyDescent="0.3">
      <c r="A8681" t="s">
        <v>36</v>
      </c>
      <c r="B8681" t="s">
        <v>881</v>
      </c>
      <c r="C8681">
        <v>592</v>
      </c>
      <c r="D8681" t="s">
        <v>1153</v>
      </c>
      <c r="E8681" t="s">
        <v>708</v>
      </c>
      <c r="F8681" t="s">
        <v>136</v>
      </c>
      <c r="G8681" t="s">
        <v>468</v>
      </c>
      <c r="H8681" t="s">
        <v>357</v>
      </c>
      <c r="I8681" t="s">
        <v>122</v>
      </c>
      <c r="J8681" t="s">
        <v>149</v>
      </c>
      <c r="K8681" t="s">
        <v>147</v>
      </c>
      <c r="L8681" t="s">
        <v>136</v>
      </c>
      <c r="M8681" t="s">
        <v>104</v>
      </c>
      <c r="N8681" t="s">
        <v>147</v>
      </c>
      <c r="O8681" t="s">
        <v>253</v>
      </c>
      <c r="P8681" t="s">
        <v>198</v>
      </c>
      <c r="Q8681" t="s">
        <v>136</v>
      </c>
      <c r="R8681" t="s">
        <v>104</v>
      </c>
      <c r="S8681" t="s">
        <v>104</v>
      </c>
    </row>
    <row r="8682" spans="1:19" x14ac:dyDescent="0.3">
      <c r="A8682" t="s">
        <v>36</v>
      </c>
      <c r="B8682" t="s">
        <v>882</v>
      </c>
      <c r="C8682">
        <v>986</v>
      </c>
      <c r="D8682" t="s">
        <v>1235</v>
      </c>
      <c r="E8682" t="s">
        <v>124</v>
      </c>
      <c r="F8682" t="s">
        <v>155</v>
      </c>
      <c r="G8682" t="s">
        <v>254</v>
      </c>
      <c r="H8682" t="s">
        <v>251</v>
      </c>
      <c r="I8682" t="s">
        <v>114</v>
      </c>
      <c r="J8682" t="s">
        <v>319</v>
      </c>
      <c r="K8682" t="s">
        <v>121</v>
      </c>
      <c r="L8682" t="s">
        <v>151</v>
      </c>
      <c r="M8682" t="s">
        <v>126</v>
      </c>
      <c r="N8682" t="s">
        <v>382</v>
      </c>
      <c r="O8682" t="s">
        <v>151</v>
      </c>
      <c r="P8682" t="s">
        <v>121</v>
      </c>
      <c r="Q8682" t="s">
        <v>198</v>
      </c>
      <c r="R8682" t="s">
        <v>99</v>
      </c>
      <c r="S8682" t="s">
        <v>99</v>
      </c>
    </row>
    <row r="8683" spans="1:19" x14ac:dyDescent="0.3">
      <c r="A8683" t="s">
        <v>34</v>
      </c>
      <c r="B8683" t="s">
        <v>880</v>
      </c>
      <c r="C8683">
        <v>148</v>
      </c>
      <c r="D8683" t="s">
        <v>1132</v>
      </c>
      <c r="E8683" t="s">
        <v>434</v>
      </c>
      <c r="F8683" t="s">
        <v>104</v>
      </c>
      <c r="G8683" t="s">
        <v>664</v>
      </c>
      <c r="H8683" t="s">
        <v>675</v>
      </c>
      <c r="I8683" t="s">
        <v>123</v>
      </c>
      <c r="J8683" t="s">
        <v>99</v>
      </c>
      <c r="K8683" t="s">
        <v>99</v>
      </c>
      <c r="L8683" t="s">
        <v>99</v>
      </c>
      <c r="M8683" t="s">
        <v>126</v>
      </c>
      <c r="N8683" t="s">
        <v>129</v>
      </c>
      <c r="O8683" t="s">
        <v>99</v>
      </c>
      <c r="P8683" t="s">
        <v>99</v>
      </c>
      <c r="Q8683" t="s">
        <v>99</v>
      </c>
      <c r="R8683" t="s">
        <v>99</v>
      </c>
      <c r="S8683" t="s">
        <v>99</v>
      </c>
    </row>
    <row r="8684" spans="1:19" x14ac:dyDescent="0.3">
      <c r="A8684" t="s">
        <v>34</v>
      </c>
      <c r="B8684" t="s">
        <v>881</v>
      </c>
      <c r="C8684">
        <v>496</v>
      </c>
      <c r="D8684" t="s">
        <v>1047</v>
      </c>
      <c r="E8684" t="s">
        <v>98</v>
      </c>
      <c r="F8684" t="s">
        <v>143</v>
      </c>
      <c r="G8684" t="s">
        <v>292</v>
      </c>
      <c r="H8684" t="s">
        <v>222</v>
      </c>
      <c r="I8684" t="s">
        <v>292</v>
      </c>
      <c r="J8684" t="s">
        <v>115</v>
      </c>
      <c r="K8684" t="s">
        <v>141</v>
      </c>
      <c r="L8684" t="s">
        <v>123</v>
      </c>
      <c r="M8684" t="s">
        <v>319</v>
      </c>
      <c r="N8684" t="s">
        <v>154</v>
      </c>
      <c r="O8684" t="s">
        <v>115</v>
      </c>
      <c r="P8684" t="s">
        <v>198</v>
      </c>
      <c r="Q8684" t="s">
        <v>207</v>
      </c>
      <c r="R8684" t="s">
        <v>99</v>
      </c>
      <c r="S8684" t="s">
        <v>141</v>
      </c>
    </row>
    <row r="8685" spans="1:19" x14ac:dyDescent="0.3">
      <c r="A8685" t="s">
        <v>34</v>
      </c>
      <c r="B8685" t="s">
        <v>882</v>
      </c>
      <c r="C8685">
        <v>765</v>
      </c>
      <c r="D8685" t="s">
        <v>1333</v>
      </c>
      <c r="E8685" t="s">
        <v>158</v>
      </c>
      <c r="F8685" t="s">
        <v>111</v>
      </c>
      <c r="G8685" t="s">
        <v>128</v>
      </c>
      <c r="H8685" t="s">
        <v>449</v>
      </c>
      <c r="I8685" t="s">
        <v>126</v>
      </c>
      <c r="J8685" t="s">
        <v>136</v>
      </c>
      <c r="K8685" t="s">
        <v>115</v>
      </c>
      <c r="L8685" t="s">
        <v>114</v>
      </c>
      <c r="M8685" t="s">
        <v>151</v>
      </c>
      <c r="N8685" t="s">
        <v>316</v>
      </c>
      <c r="O8685" t="s">
        <v>126</v>
      </c>
      <c r="P8685" t="s">
        <v>136</v>
      </c>
      <c r="Q8685" t="s">
        <v>198</v>
      </c>
      <c r="R8685" t="s">
        <v>207</v>
      </c>
      <c r="S8685" t="s">
        <v>207</v>
      </c>
    </row>
    <row r="8686" spans="1:19" x14ac:dyDescent="0.3">
      <c r="A8686" t="s">
        <v>33</v>
      </c>
      <c r="B8686" t="s">
        <v>880</v>
      </c>
      <c r="C8686">
        <v>179</v>
      </c>
      <c r="D8686" t="s">
        <v>199</v>
      </c>
      <c r="E8686" t="s">
        <v>112</v>
      </c>
      <c r="F8686" t="s">
        <v>132</v>
      </c>
      <c r="G8686" t="s">
        <v>319</v>
      </c>
      <c r="H8686" t="s">
        <v>68</v>
      </c>
      <c r="I8686" t="s">
        <v>99</v>
      </c>
      <c r="J8686" t="s">
        <v>99</v>
      </c>
      <c r="K8686" t="s">
        <v>99</v>
      </c>
      <c r="L8686" t="s">
        <v>99</v>
      </c>
      <c r="M8686" t="s">
        <v>99</v>
      </c>
      <c r="N8686" t="s">
        <v>99</v>
      </c>
      <c r="O8686" t="s">
        <v>141</v>
      </c>
      <c r="P8686" t="s">
        <v>99</v>
      </c>
      <c r="Q8686" t="s">
        <v>99</v>
      </c>
      <c r="R8686" t="s">
        <v>99</v>
      </c>
      <c r="S8686" t="s">
        <v>99</v>
      </c>
    </row>
    <row r="8687" spans="1:19" x14ac:dyDescent="0.3">
      <c r="A8687" t="s">
        <v>33</v>
      </c>
      <c r="B8687" t="s">
        <v>881</v>
      </c>
      <c r="C8687">
        <v>474</v>
      </c>
      <c r="D8687" t="s">
        <v>861</v>
      </c>
      <c r="E8687" t="s">
        <v>251</v>
      </c>
      <c r="F8687" t="s">
        <v>108</v>
      </c>
      <c r="G8687" t="s">
        <v>128</v>
      </c>
      <c r="H8687" t="s">
        <v>737</v>
      </c>
      <c r="I8687" t="s">
        <v>128</v>
      </c>
      <c r="J8687" t="s">
        <v>100</v>
      </c>
      <c r="K8687" t="s">
        <v>141</v>
      </c>
      <c r="L8687" t="s">
        <v>99</v>
      </c>
      <c r="M8687" t="s">
        <v>207</v>
      </c>
      <c r="N8687" t="s">
        <v>101</v>
      </c>
      <c r="O8687" t="s">
        <v>141</v>
      </c>
      <c r="P8687" t="s">
        <v>99</v>
      </c>
      <c r="Q8687" t="s">
        <v>99</v>
      </c>
      <c r="R8687" t="s">
        <v>99</v>
      </c>
      <c r="S8687" t="s">
        <v>99</v>
      </c>
    </row>
    <row r="8688" spans="1:19" x14ac:dyDescent="0.3">
      <c r="A8688" t="s">
        <v>33</v>
      </c>
      <c r="B8688" t="s">
        <v>882</v>
      </c>
      <c r="C8688">
        <v>882</v>
      </c>
      <c r="D8688" t="s">
        <v>417</v>
      </c>
      <c r="E8688" t="s">
        <v>124</v>
      </c>
      <c r="F8688" t="s">
        <v>207</v>
      </c>
      <c r="G8688" t="s">
        <v>127</v>
      </c>
      <c r="H8688" t="s">
        <v>157</v>
      </c>
      <c r="I8688" t="s">
        <v>136</v>
      </c>
      <c r="J8688" t="s">
        <v>99</v>
      </c>
      <c r="K8688" t="s">
        <v>99</v>
      </c>
      <c r="L8688" t="s">
        <v>99</v>
      </c>
      <c r="M8688" t="s">
        <v>99</v>
      </c>
      <c r="N8688" t="s">
        <v>100</v>
      </c>
      <c r="O8688" t="s">
        <v>132</v>
      </c>
      <c r="P8688" t="s">
        <v>99</v>
      </c>
      <c r="Q8688" t="s">
        <v>99</v>
      </c>
      <c r="R8688" t="s">
        <v>99</v>
      </c>
      <c r="S8688" t="s">
        <v>99</v>
      </c>
    </row>
    <row r="8689" spans="1:19" x14ac:dyDescent="0.3">
      <c r="A8689" t="s">
        <v>49</v>
      </c>
      <c r="B8689" t="s">
        <v>880</v>
      </c>
      <c r="C8689">
        <v>1057</v>
      </c>
      <c r="D8689" t="s">
        <v>1360</v>
      </c>
      <c r="E8689" t="s">
        <v>129</v>
      </c>
      <c r="F8689" t="s">
        <v>114</v>
      </c>
      <c r="G8689" t="s">
        <v>139</v>
      </c>
      <c r="H8689" t="s">
        <v>311</v>
      </c>
      <c r="I8689" t="s">
        <v>132</v>
      </c>
      <c r="J8689" t="s">
        <v>99</v>
      </c>
      <c r="K8689" t="s">
        <v>104</v>
      </c>
      <c r="L8689" t="s">
        <v>132</v>
      </c>
      <c r="M8689" t="s">
        <v>198</v>
      </c>
      <c r="N8689" t="s">
        <v>154</v>
      </c>
      <c r="O8689" t="s">
        <v>154</v>
      </c>
      <c r="P8689" t="s">
        <v>101</v>
      </c>
      <c r="Q8689" t="s">
        <v>99</v>
      </c>
      <c r="R8689" t="s">
        <v>99</v>
      </c>
      <c r="S8689" t="s">
        <v>99</v>
      </c>
    </row>
    <row r="8690" spans="1:19" x14ac:dyDescent="0.3">
      <c r="A8690" t="s">
        <v>49</v>
      </c>
      <c r="B8690" t="s">
        <v>881</v>
      </c>
      <c r="C8690">
        <v>3410</v>
      </c>
      <c r="D8690" t="s">
        <v>275</v>
      </c>
      <c r="E8690" t="s">
        <v>363</v>
      </c>
      <c r="F8690" t="s">
        <v>111</v>
      </c>
      <c r="G8690" t="s">
        <v>98</v>
      </c>
      <c r="H8690" t="s">
        <v>678</v>
      </c>
      <c r="I8690" t="s">
        <v>120</v>
      </c>
      <c r="J8690" t="s">
        <v>215</v>
      </c>
      <c r="K8690" t="s">
        <v>382</v>
      </c>
      <c r="L8690" t="s">
        <v>132</v>
      </c>
      <c r="M8690" t="s">
        <v>141</v>
      </c>
      <c r="N8690" t="s">
        <v>154</v>
      </c>
      <c r="O8690" t="s">
        <v>382</v>
      </c>
      <c r="P8690" t="s">
        <v>136</v>
      </c>
      <c r="Q8690" t="s">
        <v>104</v>
      </c>
      <c r="R8690" t="s">
        <v>99</v>
      </c>
      <c r="S8690" t="s">
        <v>104</v>
      </c>
    </row>
    <row r="8691" spans="1:19" x14ac:dyDescent="0.3">
      <c r="A8691" t="s">
        <v>49</v>
      </c>
      <c r="B8691" t="s">
        <v>882</v>
      </c>
      <c r="C8691">
        <v>6201</v>
      </c>
      <c r="D8691" t="s">
        <v>784</v>
      </c>
      <c r="E8691" t="s">
        <v>130</v>
      </c>
      <c r="F8691" t="s">
        <v>121</v>
      </c>
      <c r="G8691" t="s">
        <v>154</v>
      </c>
      <c r="H8691" t="s">
        <v>664</v>
      </c>
      <c r="I8691" t="s">
        <v>132</v>
      </c>
      <c r="J8691" t="s">
        <v>136</v>
      </c>
      <c r="K8691" t="s">
        <v>141</v>
      </c>
      <c r="L8691" t="s">
        <v>141</v>
      </c>
      <c r="M8691" t="s">
        <v>141</v>
      </c>
      <c r="N8691" t="s">
        <v>123</v>
      </c>
      <c r="O8691" t="s">
        <v>319</v>
      </c>
      <c r="P8691" t="s">
        <v>207</v>
      </c>
      <c r="Q8691" t="s">
        <v>104</v>
      </c>
      <c r="R8691" t="s">
        <v>198</v>
      </c>
      <c r="S8691" t="s">
        <v>104</v>
      </c>
    </row>
    <row r="8693" spans="1:19" x14ac:dyDescent="0.3">
      <c r="A8693" t="s">
        <v>2349</v>
      </c>
    </row>
    <row r="8694" spans="1:19" x14ac:dyDescent="0.3">
      <c r="A8694" t="s">
        <v>44</v>
      </c>
      <c r="B8694" t="s">
        <v>2252</v>
      </c>
      <c r="C8694" t="s">
        <v>32</v>
      </c>
      <c r="D8694" t="s">
        <v>2332</v>
      </c>
      <c r="E8694" t="s">
        <v>2333</v>
      </c>
      <c r="F8694" t="s">
        <v>2334</v>
      </c>
      <c r="G8694" t="s">
        <v>2335</v>
      </c>
      <c r="H8694" t="s">
        <v>2336</v>
      </c>
      <c r="I8694" t="s">
        <v>2337</v>
      </c>
      <c r="J8694" t="s">
        <v>2338</v>
      </c>
      <c r="K8694" t="s">
        <v>2339</v>
      </c>
      <c r="L8694" t="s">
        <v>2340</v>
      </c>
      <c r="M8694" t="s">
        <v>2341</v>
      </c>
      <c r="N8694" t="s">
        <v>2342</v>
      </c>
      <c r="O8694" t="s">
        <v>2343</v>
      </c>
      <c r="P8694" t="s">
        <v>2344</v>
      </c>
      <c r="Q8694" t="s">
        <v>1275</v>
      </c>
      <c r="R8694" t="s">
        <v>83</v>
      </c>
      <c r="S8694" t="s">
        <v>193</v>
      </c>
    </row>
    <row r="8695" spans="1:19" x14ac:dyDescent="0.3">
      <c r="A8695" t="s">
        <v>35</v>
      </c>
      <c r="B8695" t="s">
        <v>2253</v>
      </c>
      <c r="C8695">
        <v>1329</v>
      </c>
      <c r="D8695" t="s">
        <v>1196</v>
      </c>
      <c r="E8695" t="s">
        <v>145</v>
      </c>
      <c r="F8695" t="s">
        <v>108</v>
      </c>
      <c r="G8695" t="s">
        <v>242</v>
      </c>
      <c r="H8695" t="s">
        <v>740</v>
      </c>
      <c r="I8695" t="s">
        <v>268</v>
      </c>
      <c r="J8695" t="s">
        <v>319</v>
      </c>
      <c r="K8695" t="s">
        <v>215</v>
      </c>
      <c r="L8695" t="s">
        <v>132</v>
      </c>
      <c r="M8695" t="s">
        <v>207</v>
      </c>
      <c r="N8695" t="s">
        <v>128</v>
      </c>
      <c r="O8695" t="s">
        <v>319</v>
      </c>
      <c r="P8695" t="s">
        <v>207</v>
      </c>
      <c r="Q8695" t="s">
        <v>99</v>
      </c>
      <c r="R8695" t="s">
        <v>99</v>
      </c>
      <c r="S8695" t="s">
        <v>99</v>
      </c>
    </row>
    <row r="8696" spans="1:19" x14ac:dyDescent="0.3">
      <c r="A8696" t="s">
        <v>35</v>
      </c>
      <c r="B8696" t="s">
        <v>2254</v>
      </c>
      <c r="C8696">
        <v>1369</v>
      </c>
      <c r="D8696" t="s">
        <v>502</v>
      </c>
      <c r="E8696" t="s">
        <v>155</v>
      </c>
      <c r="F8696" t="s">
        <v>100</v>
      </c>
      <c r="G8696" t="s">
        <v>129</v>
      </c>
      <c r="H8696" t="s">
        <v>420</v>
      </c>
      <c r="I8696" t="s">
        <v>141</v>
      </c>
      <c r="J8696" t="s">
        <v>136</v>
      </c>
      <c r="K8696" t="s">
        <v>207</v>
      </c>
      <c r="L8696" t="s">
        <v>141</v>
      </c>
      <c r="M8696" t="s">
        <v>198</v>
      </c>
      <c r="N8696" t="s">
        <v>316</v>
      </c>
      <c r="O8696" t="s">
        <v>111</v>
      </c>
      <c r="P8696" t="s">
        <v>121</v>
      </c>
      <c r="Q8696" t="s">
        <v>99</v>
      </c>
      <c r="R8696" t="s">
        <v>136</v>
      </c>
      <c r="S8696" t="s">
        <v>99</v>
      </c>
    </row>
    <row r="8697" spans="1:19" x14ac:dyDescent="0.3">
      <c r="A8697" t="s">
        <v>35</v>
      </c>
      <c r="B8697" t="s">
        <v>365</v>
      </c>
      <c r="C8697">
        <v>12</v>
      </c>
      <c r="D8697" t="s">
        <v>584</v>
      </c>
      <c r="E8697" t="s">
        <v>99</v>
      </c>
      <c r="F8697" t="s">
        <v>99</v>
      </c>
      <c r="G8697" t="s">
        <v>1006</v>
      </c>
      <c r="H8697" t="s">
        <v>123</v>
      </c>
      <c r="I8697" t="s">
        <v>99</v>
      </c>
      <c r="J8697" t="s">
        <v>99</v>
      </c>
      <c r="K8697" t="s">
        <v>99</v>
      </c>
      <c r="L8697" t="s">
        <v>99</v>
      </c>
      <c r="M8697" t="s">
        <v>99</v>
      </c>
      <c r="N8697" t="s">
        <v>299</v>
      </c>
      <c r="O8697" t="s">
        <v>1148</v>
      </c>
      <c r="P8697" t="s">
        <v>99</v>
      </c>
      <c r="Q8697" t="s">
        <v>99</v>
      </c>
      <c r="R8697" t="s">
        <v>99</v>
      </c>
      <c r="S8697" t="s">
        <v>99</v>
      </c>
    </row>
    <row r="8698" spans="1:19" x14ac:dyDescent="0.3">
      <c r="A8698" t="s">
        <v>37</v>
      </c>
      <c r="B8698" t="s">
        <v>2253</v>
      </c>
      <c r="C8698">
        <v>1738</v>
      </c>
      <c r="D8698" t="s">
        <v>912</v>
      </c>
      <c r="E8698" t="s">
        <v>468</v>
      </c>
      <c r="F8698" t="s">
        <v>100</v>
      </c>
      <c r="G8698" t="s">
        <v>412</v>
      </c>
      <c r="H8698" t="s">
        <v>311</v>
      </c>
      <c r="I8698" t="s">
        <v>126</v>
      </c>
      <c r="J8698" t="s">
        <v>114</v>
      </c>
      <c r="K8698" t="s">
        <v>382</v>
      </c>
      <c r="L8698" t="s">
        <v>198</v>
      </c>
      <c r="M8698" t="s">
        <v>99</v>
      </c>
      <c r="N8698" t="s">
        <v>138</v>
      </c>
      <c r="O8698" t="s">
        <v>123</v>
      </c>
      <c r="P8698" t="s">
        <v>198</v>
      </c>
      <c r="Q8698" t="s">
        <v>99</v>
      </c>
      <c r="R8698" t="s">
        <v>104</v>
      </c>
      <c r="S8698" t="s">
        <v>99</v>
      </c>
    </row>
    <row r="8699" spans="1:19" x14ac:dyDescent="0.3">
      <c r="A8699" t="s">
        <v>37</v>
      </c>
      <c r="B8699" t="s">
        <v>2254</v>
      </c>
      <c r="C8699">
        <v>1519</v>
      </c>
      <c r="D8699" t="s">
        <v>883</v>
      </c>
      <c r="E8699" t="s">
        <v>138</v>
      </c>
      <c r="F8699" t="s">
        <v>108</v>
      </c>
      <c r="G8699" t="s">
        <v>98</v>
      </c>
      <c r="H8699" t="s">
        <v>325</v>
      </c>
      <c r="I8699" t="s">
        <v>198</v>
      </c>
      <c r="J8699" t="s">
        <v>207</v>
      </c>
      <c r="K8699" t="s">
        <v>207</v>
      </c>
      <c r="L8699" t="s">
        <v>141</v>
      </c>
      <c r="M8699" t="s">
        <v>104</v>
      </c>
      <c r="N8699" t="s">
        <v>147</v>
      </c>
      <c r="O8699" t="s">
        <v>128</v>
      </c>
      <c r="P8699" t="s">
        <v>141</v>
      </c>
      <c r="Q8699" t="s">
        <v>99</v>
      </c>
      <c r="R8699" t="s">
        <v>99</v>
      </c>
      <c r="S8699" t="s">
        <v>99</v>
      </c>
    </row>
    <row r="8700" spans="1:19" x14ac:dyDescent="0.3">
      <c r="A8700" t="s">
        <v>37</v>
      </c>
      <c r="B8700" t="s">
        <v>365</v>
      </c>
      <c r="C8700">
        <v>5</v>
      </c>
      <c r="D8700" t="s">
        <v>411</v>
      </c>
      <c r="E8700" t="s">
        <v>740</v>
      </c>
      <c r="F8700" t="s">
        <v>99</v>
      </c>
      <c r="G8700" t="s">
        <v>99</v>
      </c>
      <c r="H8700" t="s">
        <v>99</v>
      </c>
      <c r="I8700" t="s">
        <v>740</v>
      </c>
      <c r="J8700" t="s">
        <v>99</v>
      </c>
      <c r="K8700" t="s">
        <v>99</v>
      </c>
      <c r="L8700" t="s">
        <v>99</v>
      </c>
      <c r="M8700" t="s">
        <v>99</v>
      </c>
      <c r="N8700" t="s">
        <v>99</v>
      </c>
      <c r="O8700" t="s">
        <v>99</v>
      </c>
      <c r="P8700" t="s">
        <v>99</v>
      </c>
      <c r="Q8700" t="s">
        <v>99</v>
      </c>
      <c r="R8700" t="s">
        <v>99</v>
      </c>
      <c r="S8700" t="s">
        <v>99</v>
      </c>
    </row>
    <row r="8701" spans="1:19" x14ac:dyDescent="0.3">
      <c r="A8701" t="s">
        <v>36</v>
      </c>
      <c r="B8701" t="s">
        <v>2253</v>
      </c>
      <c r="C8701">
        <v>837</v>
      </c>
      <c r="D8701" t="s">
        <v>593</v>
      </c>
      <c r="E8701" t="s">
        <v>220</v>
      </c>
      <c r="F8701" t="s">
        <v>111</v>
      </c>
      <c r="G8701" t="s">
        <v>663</v>
      </c>
      <c r="H8701" t="s">
        <v>264</v>
      </c>
      <c r="I8701" t="s">
        <v>118</v>
      </c>
      <c r="J8701" t="s">
        <v>147</v>
      </c>
      <c r="K8701" t="s">
        <v>151</v>
      </c>
      <c r="L8701" t="s">
        <v>100</v>
      </c>
      <c r="M8701" t="s">
        <v>121</v>
      </c>
      <c r="N8701" t="s">
        <v>123</v>
      </c>
      <c r="O8701" t="s">
        <v>127</v>
      </c>
      <c r="P8701" t="s">
        <v>132</v>
      </c>
      <c r="Q8701" t="s">
        <v>207</v>
      </c>
      <c r="R8701" t="s">
        <v>104</v>
      </c>
      <c r="S8701" t="s">
        <v>99</v>
      </c>
    </row>
    <row r="8702" spans="1:19" x14ac:dyDescent="0.3">
      <c r="A8702" t="s">
        <v>36</v>
      </c>
      <c r="B8702" t="s">
        <v>2254</v>
      </c>
      <c r="C8702">
        <v>903</v>
      </c>
      <c r="D8702" t="s">
        <v>1480</v>
      </c>
      <c r="E8702" t="s">
        <v>143</v>
      </c>
      <c r="F8702" t="s">
        <v>268</v>
      </c>
      <c r="G8702" t="s">
        <v>124</v>
      </c>
      <c r="H8702" t="s">
        <v>726</v>
      </c>
      <c r="I8702" t="s">
        <v>268</v>
      </c>
      <c r="J8702" t="s">
        <v>319</v>
      </c>
      <c r="K8702" t="s">
        <v>114</v>
      </c>
      <c r="L8702" t="s">
        <v>319</v>
      </c>
      <c r="M8702" t="s">
        <v>115</v>
      </c>
      <c r="N8702" t="s">
        <v>117</v>
      </c>
      <c r="O8702" t="s">
        <v>382</v>
      </c>
      <c r="P8702" t="s">
        <v>115</v>
      </c>
      <c r="Q8702" t="s">
        <v>198</v>
      </c>
      <c r="R8702" t="s">
        <v>99</v>
      </c>
      <c r="S8702" t="s">
        <v>99</v>
      </c>
    </row>
    <row r="8703" spans="1:19" x14ac:dyDescent="0.3">
      <c r="A8703" t="s">
        <v>36</v>
      </c>
      <c r="B8703" t="s">
        <v>365</v>
      </c>
      <c r="C8703">
        <v>12</v>
      </c>
      <c r="D8703" t="s">
        <v>348</v>
      </c>
      <c r="E8703" t="s">
        <v>108</v>
      </c>
      <c r="F8703" t="s">
        <v>123</v>
      </c>
      <c r="G8703" t="s">
        <v>99</v>
      </c>
      <c r="H8703" t="s">
        <v>665</v>
      </c>
      <c r="I8703" t="s">
        <v>99</v>
      </c>
      <c r="J8703" t="s">
        <v>99</v>
      </c>
      <c r="K8703" t="s">
        <v>99</v>
      </c>
      <c r="L8703" t="s">
        <v>99</v>
      </c>
      <c r="M8703" t="s">
        <v>99</v>
      </c>
      <c r="N8703" t="s">
        <v>99</v>
      </c>
      <c r="O8703" t="s">
        <v>108</v>
      </c>
      <c r="P8703" t="s">
        <v>99</v>
      </c>
      <c r="Q8703" t="s">
        <v>99</v>
      </c>
      <c r="R8703" t="s">
        <v>99</v>
      </c>
      <c r="S8703" t="s">
        <v>99</v>
      </c>
    </row>
    <row r="8704" spans="1:19" x14ac:dyDescent="0.3">
      <c r="A8704" t="s">
        <v>34</v>
      </c>
      <c r="B8704" t="s">
        <v>2253</v>
      </c>
      <c r="C8704">
        <v>657</v>
      </c>
      <c r="D8704" t="s">
        <v>530</v>
      </c>
      <c r="E8704" t="s">
        <v>474</v>
      </c>
      <c r="F8704" t="s">
        <v>105</v>
      </c>
      <c r="G8704" t="s">
        <v>151</v>
      </c>
      <c r="H8704" t="s">
        <v>287</v>
      </c>
      <c r="I8704" t="s">
        <v>123</v>
      </c>
      <c r="J8704" t="s">
        <v>141</v>
      </c>
      <c r="K8704" t="s">
        <v>108</v>
      </c>
      <c r="L8704" t="s">
        <v>126</v>
      </c>
      <c r="M8704" t="s">
        <v>108</v>
      </c>
      <c r="N8704" t="s">
        <v>128</v>
      </c>
      <c r="O8704" t="s">
        <v>108</v>
      </c>
      <c r="P8704" t="s">
        <v>99</v>
      </c>
      <c r="Q8704" t="s">
        <v>99</v>
      </c>
      <c r="R8704" t="s">
        <v>136</v>
      </c>
      <c r="S8704" t="s">
        <v>132</v>
      </c>
    </row>
    <row r="8705" spans="1:19" x14ac:dyDescent="0.3">
      <c r="A8705" t="s">
        <v>34</v>
      </c>
      <c r="B8705" t="s">
        <v>2254</v>
      </c>
      <c r="C8705">
        <v>745</v>
      </c>
      <c r="D8705" t="s">
        <v>869</v>
      </c>
      <c r="E8705" t="s">
        <v>325</v>
      </c>
      <c r="F8705" t="s">
        <v>138</v>
      </c>
      <c r="G8705" t="s">
        <v>134</v>
      </c>
      <c r="H8705" t="s">
        <v>714</v>
      </c>
      <c r="I8705" t="s">
        <v>382</v>
      </c>
      <c r="J8705" t="s">
        <v>136</v>
      </c>
      <c r="K8705" t="s">
        <v>198</v>
      </c>
      <c r="L8705" t="s">
        <v>114</v>
      </c>
      <c r="M8705" t="s">
        <v>103</v>
      </c>
      <c r="N8705" t="s">
        <v>155</v>
      </c>
      <c r="O8705" t="s">
        <v>101</v>
      </c>
      <c r="P8705" t="s">
        <v>141</v>
      </c>
      <c r="Q8705" t="s">
        <v>136</v>
      </c>
      <c r="R8705" t="s">
        <v>99</v>
      </c>
      <c r="S8705" t="s">
        <v>99</v>
      </c>
    </row>
    <row r="8706" spans="1:19" x14ac:dyDescent="0.3">
      <c r="A8706" t="s">
        <v>34</v>
      </c>
      <c r="B8706" t="s">
        <v>365</v>
      </c>
      <c r="C8706">
        <v>7</v>
      </c>
      <c r="D8706" t="s">
        <v>870</v>
      </c>
      <c r="E8706" t="s">
        <v>76</v>
      </c>
      <c r="F8706" t="s">
        <v>99</v>
      </c>
      <c r="G8706" t="s">
        <v>99</v>
      </c>
      <c r="H8706" t="s">
        <v>332</v>
      </c>
      <c r="I8706" t="s">
        <v>99</v>
      </c>
      <c r="J8706" t="s">
        <v>99</v>
      </c>
      <c r="K8706" t="s">
        <v>99</v>
      </c>
      <c r="L8706" t="s">
        <v>99</v>
      </c>
      <c r="M8706" t="s">
        <v>99</v>
      </c>
      <c r="N8706" t="s">
        <v>99</v>
      </c>
      <c r="O8706" t="s">
        <v>99</v>
      </c>
      <c r="P8706" t="s">
        <v>99</v>
      </c>
      <c r="Q8706" t="s">
        <v>99</v>
      </c>
      <c r="R8706" t="s">
        <v>99</v>
      </c>
      <c r="S8706" t="s">
        <v>99</v>
      </c>
    </row>
    <row r="8707" spans="1:19" x14ac:dyDescent="0.3">
      <c r="A8707" t="s">
        <v>33</v>
      </c>
      <c r="B8707" t="s">
        <v>2253</v>
      </c>
      <c r="C8707">
        <v>718</v>
      </c>
      <c r="D8707" t="s">
        <v>774</v>
      </c>
      <c r="E8707" t="s">
        <v>420</v>
      </c>
      <c r="F8707" t="s">
        <v>114</v>
      </c>
      <c r="G8707" t="s">
        <v>117</v>
      </c>
      <c r="H8707" t="s">
        <v>133</v>
      </c>
      <c r="I8707" t="s">
        <v>382</v>
      </c>
      <c r="J8707" t="s">
        <v>115</v>
      </c>
      <c r="K8707" t="s">
        <v>198</v>
      </c>
      <c r="L8707" t="s">
        <v>99</v>
      </c>
      <c r="M8707" t="s">
        <v>104</v>
      </c>
      <c r="N8707" t="s">
        <v>121</v>
      </c>
      <c r="O8707" t="s">
        <v>141</v>
      </c>
      <c r="P8707" t="s">
        <v>99</v>
      </c>
      <c r="Q8707" t="s">
        <v>99</v>
      </c>
      <c r="R8707" t="s">
        <v>99</v>
      </c>
      <c r="S8707" t="s">
        <v>99</v>
      </c>
    </row>
    <row r="8708" spans="1:19" x14ac:dyDescent="0.3">
      <c r="A8708" t="s">
        <v>33</v>
      </c>
      <c r="B8708" t="s">
        <v>2254</v>
      </c>
      <c r="C8708">
        <v>816</v>
      </c>
      <c r="D8708" t="s">
        <v>380</v>
      </c>
      <c r="E8708" t="s">
        <v>158</v>
      </c>
      <c r="F8708" t="s">
        <v>198</v>
      </c>
      <c r="G8708" t="s">
        <v>127</v>
      </c>
      <c r="H8708" t="s">
        <v>154</v>
      </c>
      <c r="I8708" t="s">
        <v>253</v>
      </c>
      <c r="J8708" t="s">
        <v>99</v>
      </c>
      <c r="K8708" t="s">
        <v>104</v>
      </c>
      <c r="L8708" t="s">
        <v>99</v>
      </c>
      <c r="M8708" t="s">
        <v>104</v>
      </c>
      <c r="N8708" t="s">
        <v>108</v>
      </c>
      <c r="O8708" t="s">
        <v>132</v>
      </c>
      <c r="P8708" t="s">
        <v>99</v>
      </c>
      <c r="Q8708" t="s">
        <v>99</v>
      </c>
      <c r="R8708" t="s">
        <v>99</v>
      </c>
      <c r="S8708" t="s">
        <v>99</v>
      </c>
    </row>
    <row r="8709" spans="1:19" x14ac:dyDescent="0.3">
      <c r="A8709" t="s">
        <v>33</v>
      </c>
      <c r="B8709" t="s">
        <v>365</v>
      </c>
      <c r="C8709">
        <v>1</v>
      </c>
      <c r="D8709" t="s">
        <v>211</v>
      </c>
      <c r="E8709" t="s">
        <v>99</v>
      </c>
      <c r="F8709" t="s">
        <v>99</v>
      </c>
      <c r="G8709" t="s">
        <v>99</v>
      </c>
      <c r="H8709" t="s">
        <v>99</v>
      </c>
      <c r="I8709" t="s">
        <v>99</v>
      </c>
      <c r="J8709" t="s">
        <v>99</v>
      </c>
      <c r="K8709" t="s">
        <v>99</v>
      </c>
      <c r="L8709" t="s">
        <v>99</v>
      </c>
      <c r="M8709" t="s">
        <v>99</v>
      </c>
      <c r="N8709" t="s">
        <v>99</v>
      </c>
      <c r="O8709" t="s">
        <v>99</v>
      </c>
      <c r="P8709" t="s">
        <v>99</v>
      </c>
      <c r="Q8709" t="s">
        <v>99</v>
      </c>
      <c r="R8709" t="s">
        <v>99</v>
      </c>
      <c r="S8709" t="s">
        <v>99</v>
      </c>
    </row>
    <row r="8710" spans="1:19" x14ac:dyDescent="0.3">
      <c r="A8710" t="s">
        <v>49</v>
      </c>
      <c r="B8710" t="s">
        <v>2253</v>
      </c>
      <c r="C8710">
        <v>5279</v>
      </c>
      <c r="D8710" t="s">
        <v>775</v>
      </c>
      <c r="E8710" t="s">
        <v>254</v>
      </c>
      <c r="F8710" t="s">
        <v>126</v>
      </c>
      <c r="G8710" t="s">
        <v>434</v>
      </c>
      <c r="H8710" t="s">
        <v>368</v>
      </c>
      <c r="I8710" t="s">
        <v>151</v>
      </c>
      <c r="J8710" t="s">
        <v>100</v>
      </c>
      <c r="K8710" t="s">
        <v>101</v>
      </c>
      <c r="L8710" t="s">
        <v>253</v>
      </c>
      <c r="M8710" t="s">
        <v>207</v>
      </c>
      <c r="N8710" t="s">
        <v>316</v>
      </c>
      <c r="O8710" t="s">
        <v>319</v>
      </c>
      <c r="P8710" t="s">
        <v>198</v>
      </c>
      <c r="Q8710" t="s">
        <v>99</v>
      </c>
      <c r="R8710" t="s">
        <v>104</v>
      </c>
      <c r="S8710" t="s">
        <v>104</v>
      </c>
    </row>
    <row r="8711" spans="1:19" x14ac:dyDescent="0.3">
      <c r="A8711" t="s">
        <v>49</v>
      </c>
      <c r="B8711" t="s">
        <v>2254</v>
      </c>
      <c r="C8711">
        <v>5352</v>
      </c>
      <c r="D8711" t="s">
        <v>1510</v>
      </c>
      <c r="E8711" t="s">
        <v>712</v>
      </c>
      <c r="F8711" t="s">
        <v>319</v>
      </c>
      <c r="G8711" t="s">
        <v>130</v>
      </c>
      <c r="H8711" t="s">
        <v>363</v>
      </c>
      <c r="I8711" t="s">
        <v>132</v>
      </c>
      <c r="J8711" t="s">
        <v>136</v>
      </c>
      <c r="K8711" t="s">
        <v>207</v>
      </c>
      <c r="L8711" t="s">
        <v>253</v>
      </c>
      <c r="M8711" t="s">
        <v>253</v>
      </c>
      <c r="N8711" t="s">
        <v>103</v>
      </c>
      <c r="O8711" t="s">
        <v>123</v>
      </c>
      <c r="P8711" t="s">
        <v>115</v>
      </c>
      <c r="Q8711" t="s">
        <v>104</v>
      </c>
      <c r="R8711" t="s">
        <v>104</v>
      </c>
      <c r="S8711" t="s">
        <v>99</v>
      </c>
    </row>
    <row r="8712" spans="1:19" x14ac:dyDescent="0.3">
      <c r="A8712" t="s">
        <v>49</v>
      </c>
      <c r="B8712" t="s">
        <v>365</v>
      </c>
      <c r="C8712">
        <v>37</v>
      </c>
      <c r="D8712" t="s">
        <v>1329</v>
      </c>
      <c r="E8712" t="s">
        <v>135</v>
      </c>
      <c r="F8712" t="s">
        <v>198</v>
      </c>
      <c r="G8712" t="s">
        <v>534</v>
      </c>
      <c r="H8712" t="s">
        <v>149</v>
      </c>
      <c r="I8712" t="s">
        <v>123</v>
      </c>
      <c r="J8712" t="s">
        <v>99</v>
      </c>
      <c r="K8712" t="s">
        <v>99</v>
      </c>
      <c r="L8712" t="s">
        <v>99</v>
      </c>
      <c r="M8712" t="s">
        <v>99</v>
      </c>
      <c r="N8712" t="s">
        <v>332</v>
      </c>
      <c r="O8712" t="s">
        <v>687</v>
      </c>
      <c r="P8712" t="s">
        <v>99</v>
      </c>
      <c r="Q8712" t="s">
        <v>99</v>
      </c>
      <c r="R8712" t="s">
        <v>99</v>
      </c>
      <c r="S8712" t="s">
        <v>99</v>
      </c>
    </row>
    <row r="8714" spans="1:19" x14ac:dyDescent="0.3">
      <c r="A8714" t="s">
        <v>2350</v>
      </c>
    </row>
    <row r="8715" spans="1:19" x14ac:dyDescent="0.3">
      <c r="A8715" t="s">
        <v>44</v>
      </c>
      <c r="B8715" t="s">
        <v>361</v>
      </c>
      <c r="C8715" t="s">
        <v>32</v>
      </c>
      <c r="D8715" t="s">
        <v>2332</v>
      </c>
      <c r="E8715" t="s">
        <v>2333</v>
      </c>
      <c r="F8715" t="s">
        <v>2334</v>
      </c>
      <c r="G8715" t="s">
        <v>2335</v>
      </c>
      <c r="H8715" t="s">
        <v>2336</v>
      </c>
      <c r="I8715" t="s">
        <v>2337</v>
      </c>
      <c r="J8715" t="s">
        <v>2338</v>
      </c>
      <c r="K8715" t="s">
        <v>2339</v>
      </c>
      <c r="L8715" t="s">
        <v>2340</v>
      </c>
      <c r="M8715" t="s">
        <v>2341</v>
      </c>
      <c r="N8715" t="s">
        <v>2342</v>
      </c>
      <c r="O8715" t="s">
        <v>2343</v>
      </c>
      <c r="P8715" t="s">
        <v>2344</v>
      </c>
      <c r="Q8715" t="s">
        <v>1275</v>
      </c>
      <c r="R8715" t="s">
        <v>83</v>
      </c>
      <c r="S8715" t="s">
        <v>193</v>
      </c>
    </row>
    <row r="8716" spans="1:19" x14ac:dyDescent="0.3">
      <c r="A8716" t="s">
        <v>35</v>
      </c>
      <c r="B8716" t="s">
        <v>339</v>
      </c>
      <c r="C8716">
        <v>954</v>
      </c>
      <c r="D8716" t="s">
        <v>935</v>
      </c>
      <c r="E8716" t="s">
        <v>325</v>
      </c>
      <c r="F8716" t="s">
        <v>127</v>
      </c>
      <c r="G8716" t="s">
        <v>401</v>
      </c>
      <c r="H8716" t="s">
        <v>534</v>
      </c>
      <c r="I8716" t="s">
        <v>111</v>
      </c>
      <c r="J8716" t="s">
        <v>123</v>
      </c>
      <c r="K8716" t="s">
        <v>111</v>
      </c>
      <c r="L8716" t="s">
        <v>136</v>
      </c>
      <c r="M8716" t="s">
        <v>207</v>
      </c>
      <c r="N8716" t="s">
        <v>712</v>
      </c>
      <c r="O8716" t="s">
        <v>268</v>
      </c>
      <c r="P8716" t="s">
        <v>108</v>
      </c>
      <c r="Q8716" t="s">
        <v>99</v>
      </c>
      <c r="R8716" t="s">
        <v>99</v>
      </c>
      <c r="S8716" t="s">
        <v>99</v>
      </c>
    </row>
    <row r="8717" spans="1:19" x14ac:dyDescent="0.3">
      <c r="A8717" t="s">
        <v>35</v>
      </c>
      <c r="B8717" t="s">
        <v>340</v>
      </c>
      <c r="C8717">
        <v>1715</v>
      </c>
      <c r="D8717" t="s">
        <v>908</v>
      </c>
      <c r="E8717" t="s">
        <v>129</v>
      </c>
      <c r="F8717" t="s">
        <v>141</v>
      </c>
      <c r="G8717" t="s">
        <v>107</v>
      </c>
      <c r="H8717" t="s">
        <v>664</v>
      </c>
      <c r="I8717" t="s">
        <v>115</v>
      </c>
      <c r="J8717" t="s">
        <v>198</v>
      </c>
      <c r="K8717" t="s">
        <v>104</v>
      </c>
      <c r="L8717" t="s">
        <v>132</v>
      </c>
      <c r="M8717" t="s">
        <v>198</v>
      </c>
      <c r="N8717" t="s">
        <v>127</v>
      </c>
      <c r="O8717" t="s">
        <v>215</v>
      </c>
      <c r="P8717" t="s">
        <v>136</v>
      </c>
      <c r="Q8717" t="s">
        <v>99</v>
      </c>
      <c r="R8717" t="s">
        <v>207</v>
      </c>
      <c r="S8717" t="s">
        <v>99</v>
      </c>
    </row>
    <row r="8718" spans="1:19" x14ac:dyDescent="0.3">
      <c r="A8718" t="s">
        <v>35</v>
      </c>
      <c r="B8718" t="s">
        <v>365</v>
      </c>
      <c r="C8718">
        <v>41</v>
      </c>
      <c r="D8718" t="s">
        <v>436</v>
      </c>
      <c r="E8718" t="s">
        <v>110</v>
      </c>
      <c r="F8718" t="s">
        <v>132</v>
      </c>
      <c r="G8718" t="s">
        <v>99</v>
      </c>
      <c r="H8718" t="s">
        <v>121</v>
      </c>
      <c r="I8718" t="s">
        <v>99</v>
      </c>
      <c r="J8718" t="s">
        <v>99</v>
      </c>
      <c r="K8718" t="s">
        <v>99</v>
      </c>
      <c r="L8718" t="s">
        <v>99</v>
      </c>
      <c r="M8718" t="s">
        <v>99</v>
      </c>
      <c r="N8718" t="s">
        <v>132</v>
      </c>
      <c r="O8718" t="s">
        <v>38</v>
      </c>
      <c r="P8718" t="s">
        <v>38</v>
      </c>
      <c r="Q8718" t="s">
        <v>99</v>
      </c>
      <c r="R8718" t="s">
        <v>99</v>
      </c>
      <c r="S8718" t="s">
        <v>99</v>
      </c>
    </row>
    <row r="8719" spans="1:19" x14ac:dyDescent="0.3">
      <c r="A8719" t="s">
        <v>37</v>
      </c>
      <c r="B8719" t="s">
        <v>339</v>
      </c>
      <c r="C8719">
        <v>1184</v>
      </c>
      <c r="D8719" t="s">
        <v>775</v>
      </c>
      <c r="E8719" t="s">
        <v>663</v>
      </c>
      <c r="F8719" t="s">
        <v>382</v>
      </c>
      <c r="G8719" t="s">
        <v>68</v>
      </c>
      <c r="H8719" t="s">
        <v>731</v>
      </c>
      <c r="I8719" t="s">
        <v>319</v>
      </c>
      <c r="J8719" t="s">
        <v>101</v>
      </c>
      <c r="K8719" t="s">
        <v>117</v>
      </c>
      <c r="L8719" t="s">
        <v>207</v>
      </c>
      <c r="M8719" t="s">
        <v>99</v>
      </c>
      <c r="N8719" t="s">
        <v>130</v>
      </c>
      <c r="O8719" t="s">
        <v>117</v>
      </c>
      <c r="P8719" t="s">
        <v>104</v>
      </c>
      <c r="Q8719" t="s">
        <v>99</v>
      </c>
      <c r="R8719" t="s">
        <v>104</v>
      </c>
      <c r="S8719" t="s">
        <v>99</v>
      </c>
    </row>
    <row r="8720" spans="1:19" x14ac:dyDescent="0.3">
      <c r="A8720" t="s">
        <v>37</v>
      </c>
      <c r="B8720" t="s">
        <v>340</v>
      </c>
      <c r="C8720">
        <v>2034</v>
      </c>
      <c r="D8720" t="s">
        <v>885</v>
      </c>
      <c r="E8720" t="s">
        <v>155</v>
      </c>
      <c r="F8720" t="s">
        <v>115</v>
      </c>
      <c r="G8720" t="s">
        <v>98</v>
      </c>
      <c r="H8720" t="s">
        <v>144</v>
      </c>
      <c r="I8720" t="s">
        <v>115</v>
      </c>
      <c r="J8720" t="s">
        <v>207</v>
      </c>
      <c r="K8720" t="s">
        <v>198</v>
      </c>
      <c r="L8720" t="s">
        <v>136</v>
      </c>
      <c r="M8720" t="s">
        <v>104</v>
      </c>
      <c r="N8720" t="s">
        <v>103</v>
      </c>
      <c r="O8720" t="s">
        <v>111</v>
      </c>
      <c r="P8720" t="s">
        <v>136</v>
      </c>
      <c r="Q8720" t="s">
        <v>99</v>
      </c>
      <c r="R8720" t="s">
        <v>99</v>
      </c>
      <c r="S8720" t="s">
        <v>99</v>
      </c>
    </row>
    <row r="8721" spans="1:19" x14ac:dyDescent="0.3">
      <c r="A8721" t="s">
        <v>37</v>
      </c>
      <c r="B8721" t="s">
        <v>365</v>
      </c>
      <c r="C8721">
        <v>44</v>
      </c>
      <c r="D8721" t="s">
        <v>409</v>
      </c>
      <c r="E8721" t="s">
        <v>316</v>
      </c>
      <c r="F8721" t="s">
        <v>215</v>
      </c>
      <c r="G8721" t="s">
        <v>316</v>
      </c>
      <c r="H8721" t="s">
        <v>143</v>
      </c>
      <c r="I8721" t="s">
        <v>99</v>
      </c>
      <c r="J8721" t="s">
        <v>99</v>
      </c>
      <c r="K8721" t="s">
        <v>99</v>
      </c>
      <c r="L8721" t="s">
        <v>99</v>
      </c>
      <c r="M8721" t="s">
        <v>99</v>
      </c>
      <c r="N8721" t="s">
        <v>316</v>
      </c>
      <c r="O8721" t="s">
        <v>99</v>
      </c>
      <c r="P8721" t="s">
        <v>99</v>
      </c>
      <c r="Q8721" t="s">
        <v>99</v>
      </c>
      <c r="R8721" t="s">
        <v>99</v>
      </c>
      <c r="S8721" t="s">
        <v>99</v>
      </c>
    </row>
    <row r="8722" spans="1:19" x14ac:dyDescent="0.3">
      <c r="A8722" t="s">
        <v>36</v>
      </c>
      <c r="B8722" t="s">
        <v>339</v>
      </c>
      <c r="C8722">
        <v>684</v>
      </c>
      <c r="D8722" t="s">
        <v>928</v>
      </c>
      <c r="E8722" t="s">
        <v>804</v>
      </c>
      <c r="F8722" t="s">
        <v>138</v>
      </c>
      <c r="G8722" t="s">
        <v>130</v>
      </c>
      <c r="H8722" t="s">
        <v>670</v>
      </c>
      <c r="I8722" t="s">
        <v>149</v>
      </c>
      <c r="J8722" t="s">
        <v>110</v>
      </c>
      <c r="K8722" t="s">
        <v>155</v>
      </c>
      <c r="L8722" t="s">
        <v>121</v>
      </c>
      <c r="M8722" t="s">
        <v>121</v>
      </c>
      <c r="N8722" t="s">
        <v>127</v>
      </c>
      <c r="O8722" t="s">
        <v>100</v>
      </c>
      <c r="P8722" t="s">
        <v>198</v>
      </c>
      <c r="Q8722" t="s">
        <v>104</v>
      </c>
      <c r="R8722" t="s">
        <v>104</v>
      </c>
      <c r="S8722" t="s">
        <v>99</v>
      </c>
    </row>
    <row r="8723" spans="1:19" x14ac:dyDescent="0.3">
      <c r="A8723" t="s">
        <v>36</v>
      </c>
      <c r="B8723" t="s">
        <v>340</v>
      </c>
      <c r="C8723">
        <v>1018</v>
      </c>
      <c r="D8723" t="s">
        <v>1360</v>
      </c>
      <c r="E8723" t="s">
        <v>135</v>
      </c>
      <c r="F8723" t="s">
        <v>215</v>
      </c>
      <c r="G8723" t="s">
        <v>152</v>
      </c>
      <c r="H8723" t="s">
        <v>722</v>
      </c>
      <c r="I8723" t="s">
        <v>151</v>
      </c>
      <c r="J8723" t="s">
        <v>108</v>
      </c>
      <c r="K8723" t="s">
        <v>198</v>
      </c>
      <c r="L8723" t="s">
        <v>319</v>
      </c>
      <c r="M8723" t="s">
        <v>115</v>
      </c>
      <c r="N8723" t="s">
        <v>117</v>
      </c>
      <c r="O8723" t="s">
        <v>292</v>
      </c>
      <c r="P8723" t="s">
        <v>253</v>
      </c>
      <c r="Q8723" t="s">
        <v>136</v>
      </c>
      <c r="R8723" t="s">
        <v>99</v>
      </c>
      <c r="S8723" t="s">
        <v>99</v>
      </c>
    </row>
    <row r="8724" spans="1:19" x14ac:dyDescent="0.3">
      <c r="A8724" t="s">
        <v>36</v>
      </c>
      <c r="B8724" t="s">
        <v>365</v>
      </c>
      <c r="C8724">
        <v>50</v>
      </c>
      <c r="D8724" t="s">
        <v>1619</v>
      </c>
      <c r="E8724" t="s">
        <v>253</v>
      </c>
      <c r="F8724" t="s">
        <v>198</v>
      </c>
      <c r="G8724" t="s">
        <v>714</v>
      </c>
      <c r="H8724" t="s">
        <v>316</v>
      </c>
      <c r="I8724" t="s">
        <v>253</v>
      </c>
      <c r="J8724" t="s">
        <v>120</v>
      </c>
      <c r="K8724" t="s">
        <v>99</v>
      </c>
      <c r="L8724" t="s">
        <v>99</v>
      </c>
      <c r="M8724" t="s">
        <v>101</v>
      </c>
      <c r="N8724" t="s">
        <v>101</v>
      </c>
      <c r="O8724" t="s">
        <v>115</v>
      </c>
      <c r="P8724" t="s">
        <v>714</v>
      </c>
      <c r="Q8724" t="s">
        <v>99</v>
      </c>
      <c r="R8724" t="s">
        <v>100</v>
      </c>
      <c r="S8724" t="s">
        <v>99</v>
      </c>
    </row>
    <row r="8725" spans="1:19" x14ac:dyDescent="0.3">
      <c r="A8725" t="s">
        <v>34</v>
      </c>
      <c r="B8725" t="s">
        <v>339</v>
      </c>
      <c r="C8725">
        <v>547</v>
      </c>
      <c r="D8725" t="s">
        <v>280</v>
      </c>
      <c r="E8725" t="s">
        <v>204</v>
      </c>
      <c r="F8725" t="s">
        <v>112</v>
      </c>
      <c r="G8725" t="s">
        <v>268</v>
      </c>
      <c r="H8725" t="s">
        <v>393</v>
      </c>
      <c r="I8725" t="s">
        <v>292</v>
      </c>
      <c r="J8725" t="s">
        <v>141</v>
      </c>
      <c r="K8725" t="s">
        <v>121</v>
      </c>
      <c r="L8725" t="s">
        <v>123</v>
      </c>
      <c r="M8725" t="s">
        <v>382</v>
      </c>
      <c r="N8725" t="s">
        <v>154</v>
      </c>
      <c r="O8725" t="s">
        <v>127</v>
      </c>
      <c r="P8725" t="s">
        <v>136</v>
      </c>
      <c r="Q8725" t="s">
        <v>99</v>
      </c>
      <c r="R8725" t="s">
        <v>136</v>
      </c>
      <c r="S8725" t="s">
        <v>207</v>
      </c>
    </row>
    <row r="8726" spans="1:19" x14ac:dyDescent="0.3">
      <c r="A8726" t="s">
        <v>34</v>
      </c>
      <c r="B8726" t="s">
        <v>340</v>
      </c>
      <c r="C8726">
        <v>836</v>
      </c>
      <c r="D8726" t="s">
        <v>397</v>
      </c>
      <c r="E8726" t="s">
        <v>68</v>
      </c>
      <c r="F8726" t="s">
        <v>151</v>
      </c>
      <c r="G8726" t="s">
        <v>332</v>
      </c>
      <c r="H8726" t="s">
        <v>78</v>
      </c>
      <c r="I8726" t="s">
        <v>319</v>
      </c>
      <c r="J8726" t="s">
        <v>136</v>
      </c>
      <c r="K8726" t="s">
        <v>99</v>
      </c>
      <c r="L8726" t="s">
        <v>136</v>
      </c>
      <c r="M8726" t="s">
        <v>123</v>
      </c>
      <c r="N8726" t="s">
        <v>103</v>
      </c>
      <c r="O8726" t="s">
        <v>141</v>
      </c>
      <c r="P8726" t="s">
        <v>198</v>
      </c>
      <c r="Q8726" t="s">
        <v>198</v>
      </c>
      <c r="R8726" t="s">
        <v>99</v>
      </c>
      <c r="S8726" t="s">
        <v>207</v>
      </c>
    </row>
    <row r="8727" spans="1:19" x14ac:dyDescent="0.3">
      <c r="A8727" t="s">
        <v>34</v>
      </c>
      <c r="B8727" t="s">
        <v>365</v>
      </c>
      <c r="C8727">
        <v>26</v>
      </c>
      <c r="D8727" t="s">
        <v>1124</v>
      </c>
      <c r="E8727" t="s">
        <v>99</v>
      </c>
      <c r="F8727" t="s">
        <v>664</v>
      </c>
      <c r="G8727" t="s">
        <v>99</v>
      </c>
      <c r="H8727" t="s">
        <v>125</v>
      </c>
      <c r="I8727" t="s">
        <v>99</v>
      </c>
      <c r="J8727" t="s">
        <v>99</v>
      </c>
      <c r="K8727" t="s">
        <v>99</v>
      </c>
      <c r="L8727" t="s">
        <v>664</v>
      </c>
      <c r="M8727" t="s">
        <v>99</v>
      </c>
      <c r="N8727" t="s">
        <v>125</v>
      </c>
      <c r="O8727" t="s">
        <v>99</v>
      </c>
      <c r="P8727" t="s">
        <v>99</v>
      </c>
      <c r="Q8727" t="s">
        <v>664</v>
      </c>
      <c r="R8727" t="s">
        <v>99</v>
      </c>
      <c r="S8727" t="s">
        <v>127</v>
      </c>
    </row>
    <row r="8728" spans="1:19" x14ac:dyDescent="0.3">
      <c r="A8728" t="s">
        <v>33</v>
      </c>
      <c r="B8728" t="s">
        <v>339</v>
      </c>
      <c r="C8728">
        <v>519</v>
      </c>
      <c r="D8728" t="s">
        <v>974</v>
      </c>
      <c r="E8728" t="s">
        <v>353</v>
      </c>
      <c r="F8728" t="s">
        <v>101</v>
      </c>
      <c r="G8728" t="s">
        <v>268</v>
      </c>
      <c r="H8728" t="s">
        <v>163</v>
      </c>
      <c r="I8728" t="s">
        <v>123</v>
      </c>
      <c r="J8728" t="s">
        <v>253</v>
      </c>
      <c r="K8728" t="s">
        <v>136</v>
      </c>
      <c r="L8728" t="s">
        <v>99</v>
      </c>
      <c r="M8728" t="s">
        <v>104</v>
      </c>
      <c r="N8728" t="s">
        <v>215</v>
      </c>
      <c r="O8728" t="s">
        <v>141</v>
      </c>
      <c r="P8728" t="s">
        <v>99</v>
      </c>
      <c r="Q8728" t="s">
        <v>99</v>
      </c>
      <c r="R8728" t="s">
        <v>99</v>
      </c>
      <c r="S8728" t="s">
        <v>99</v>
      </c>
    </row>
    <row r="8729" spans="1:19" x14ac:dyDescent="0.3">
      <c r="A8729" t="s">
        <v>33</v>
      </c>
      <c r="B8729" t="s">
        <v>340</v>
      </c>
      <c r="C8729">
        <v>998</v>
      </c>
      <c r="D8729" t="s">
        <v>286</v>
      </c>
      <c r="E8729" t="s">
        <v>145</v>
      </c>
      <c r="F8729" t="s">
        <v>198</v>
      </c>
      <c r="G8729" t="s">
        <v>151</v>
      </c>
      <c r="H8729" t="s">
        <v>134</v>
      </c>
      <c r="I8729" t="s">
        <v>115</v>
      </c>
      <c r="J8729" t="s">
        <v>198</v>
      </c>
      <c r="K8729" t="s">
        <v>99</v>
      </c>
      <c r="L8729" t="s">
        <v>99</v>
      </c>
      <c r="M8729" t="s">
        <v>104</v>
      </c>
      <c r="N8729" t="s">
        <v>115</v>
      </c>
      <c r="O8729" t="s">
        <v>132</v>
      </c>
      <c r="P8729" t="s">
        <v>99</v>
      </c>
      <c r="Q8729" t="s">
        <v>99</v>
      </c>
      <c r="R8729" t="s">
        <v>99</v>
      </c>
      <c r="S8729" t="s">
        <v>99</v>
      </c>
    </row>
    <row r="8730" spans="1:19" x14ac:dyDescent="0.3">
      <c r="A8730" t="s">
        <v>33</v>
      </c>
      <c r="B8730" t="s">
        <v>365</v>
      </c>
      <c r="C8730">
        <v>18</v>
      </c>
      <c r="D8730" t="s">
        <v>211</v>
      </c>
      <c r="E8730" t="s">
        <v>99</v>
      </c>
      <c r="F8730" t="s">
        <v>99</v>
      </c>
      <c r="G8730" t="s">
        <v>99</v>
      </c>
      <c r="H8730" t="s">
        <v>99</v>
      </c>
      <c r="I8730" t="s">
        <v>99</v>
      </c>
      <c r="J8730" t="s">
        <v>99</v>
      </c>
      <c r="K8730" t="s">
        <v>99</v>
      </c>
      <c r="L8730" t="s">
        <v>99</v>
      </c>
      <c r="M8730" t="s">
        <v>99</v>
      </c>
      <c r="N8730" t="s">
        <v>99</v>
      </c>
      <c r="O8730" t="s">
        <v>99</v>
      </c>
      <c r="P8730" t="s">
        <v>99</v>
      </c>
      <c r="Q8730" t="s">
        <v>99</v>
      </c>
      <c r="R8730" t="s">
        <v>99</v>
      </c>
      <c r="S8730" t="s">
        <v>99</v>
      </c>
    </row>
    <row r="8731" spans="1:19" x14ac:dyDescent="0.3">
      <c r="A8731" t="s">
        <v>49</v>
      </c>
      <c r="B8731" t="s">
        <v>339</v>
      </c>
      <c r="C8731">
        <v>3888</v>
      </c>
      <c r="D8731" t="s">
        <v>455</v>
      </c>
      <c r="E8731" t="s">
        <v>663</v>
      </c>
      <c r="F8731" t="s">
        <v>117</v>
      </c>
      <c r="G8731" t="s">
        <v>68</v>
      </c>
      <c r="H8731" t="s">
        <v>177</v>
      </c>
      <c r="I8731" t="s">
        <v>292</v>
      </c>
      <c r="J8731" t="s">
        <v>319</v>
      </c>
      <c r="K8731" t="s">
        <v>123</v>
      </c>
      <c r="L8731" t="s">
        <v>115</v>
      </c>
      <c r="M8731" t="s">
        <v>253</v>
      </c>
      <c r="N8731" t="s">
        <v>332</v>
      </c>
      <c r="O8731" t="s">
        <v>123</v>
      </c>
      <c r="P8731" t="s">
        <v>136</v>
      </c>
      <c r="Q8731" t="s">
        <v>99</v>
      </c>
      <c r="R8731" t="s">
        <v>104</v>
      </c>
      <c r="S8731" t="s">
        <v>104</v>
      </c>
    </row>
    <row r="8732" spans="1:19" x14ac:dyDescent="0.3">
      <c r="A8732" t="s">
        <v>49</v>
      </c>
      <c r="B8732" t="s">
        <v>340</v>
      </c>
      <c r="C8732">
        <v>6601</v>
      </c>
      <c r="D8732" t="s">
        <v>469</v>
      </c>
      <c r="E8732" t="s">
        <v>112</v>
      </c>
      <c r="F8732" t="s">
        <v>132</v>
      </c>
      <c r="G8732" t="s">
        <v>110</v>
      </c>
      <c r="H8732" t="s">
        <v>675</v>
      </c>
      <c r="I8732" t="s">
        <v>108</v>
      </c>
      <c r="J8732" t="s">
        <v>207</v>
      </c>
      <c r="K8732" t="s">
        <v>104</v>
      </c>
      <c r="L8732" t="s">
        <v>141</v>
      </c>
      <c r="M8732" t="s">
        <v>136</v>
      </c>
      <c r="N8732" t="s">
        <v>151</v>
      </c>
      <c r="O8732" t="s">
        <v>382</v>
      </c>
      <c r="P8732" t="s">
        <v>207</v>
      </c>
      <c r="Q8732" t="s">
        <v>104</v>
      </c>
      <c r="R8732" t="s">
        <v>104</v>
      </c>
      <c r="S8732" t="s">
        <v>104</v>
      </c>
    </row>
    <row r="8733" spans="1:19" x14ac:dyDescent="0.3">
      <c r="A8733" t="s">
        <v>49</v>
      </c>
      <c r="B8733" t="s">
        <v>365</v>
      </c>
      <c r="C8733">
        <v>179</v>
      </c>
      <c r="D8733" t="s">
        <v>374</v>
      </c>
      <c r="E8733" t="s">
        <v>123</v>
      </c>
      <c r="F8733" t="s">
        <v>151</v>
      </c>
      <c r="G8733" t="s">
        <v>103</v>
      </c>
      <c r="H8733" t="s">
        <v>129</v>
      </c>
      <c r="I8733" t="s">
        <v>104</v>
      </c>
      <c r="J8733" t="s">
        <v>136</v>
      </c>
      <c r="K8733" t="s">
        <v>99</v>
      </c>
      <c r="L8733" t="s">
        <v>101</v>
      </c>
      <c r="M8733" t="s">
        <v>198</v>
      </c>
      <c r="N8733" t="s">
        <v>128</v>
      </c>
      <c r="O8733" t="s">
        <v>139</v>
      </c>
      <c r="P8733" t="s">
        <v>254</v>
      </c>
      <c r="Q8733" t="s">
        <v>101</v>
      </c>
      <c r="R8733" t="s">
        <v>198</v>
      </c>
      <c r="S8733" t="s">
        <v>207</v>
      </c>
    </row>
    <row r="8735" spans="1:19" x14ac:dyDescent="0.3">
      <c r="A8735" t="s">
        <v>2351</v>
      </c>
    </row>
    <row r="8736" spans="1:19" x14ac:dyDescent="0.3">
      <c r="A8736" t="s">
        <v>44</v>
      </c>
      <c r="B8736" t="s">
        <v>257</v>
      </c>
      <c r="C8736" t="s">
        <v>32</v>
      </c>
      <c r="D8736" t="s">
        <v>2332</v>
      </c>
      <c r="E8736" t="s">
        <v>2333</v>
      </c>
      <c r="F8736" t="s">
        <v>2334</v>
      </c>
      <c r="G8736" t="s">
        <v>2335</v>
      </c>
      <c r="H8736" t="s">
        <v>2336</v>
      </c>
      <c r="I8736" t="s">
        <v>2337</v>
      </c>
      <c r="J8736" t="s">
        <v>2338</v>
      </c>
      <c r="K8736" t="s">
        <v>2339</v>
      </c>
      <c r="L8736" t="s">
        <v>2340</v>
      </c>
      <c r="M8736" t="s">
        <v>2341</v>
      </c>
      <c r="N8736" t="s">
        <v>2342</v>
      </c>
      <c r="O8736" t="s">
        <v>2343</v>
      </c>
      <c r="P8736" t="s">
        <v>2344</v>
      </c>
      <c r="Q8736" t="s">
        <v>1275</v>
      </c>
      <c r="R8736" t="s">
        <v>83</v>
      </c>
      <c r="S8736" t="s">
        <v>193</v>
      </c>
    </row>
    <row r="8737" spans="1:19" x14ac:dyDescent="0.3">
      <c r="A8737" t="s">
        <v>35</v>
      </c>
      <c r="B8737" t="s">
        <v>258</v>
      </c>
      <c r="C8737">
        <v>2429</v>
      </c>
      <c r="D8737" t="s">
        <v>1333</v>
      </c>
      <c r="E8737" t="s">
        <v>712</v>
      </c>
      <c r="F8737" t="s">
        <v>108</v>
      </c>
      <c r="G8737" t="s">
        <v>149</v>
      </c>
      <c r="H8737" t="s">
        <v>218</v>
      </c>
      <c r="I8737" t="s">
        <v>100</v>
      </c>
      <c r="J8737" t="s">
        <v>115</v>
      </c>
      <c r="K8737" t="s">
        <v>108</v>
      </c>
      <c r="L8737" t="s">
        <v>253</v>
      </c>
      <c r="M8737" t="s">
        <v>104</v>
      </c>
      <c r="N8737" t="s">
        <v>103</v>
      </c>
      <c r="O8737" t="s">
        <v>292</v>
      </c>
      <c r="P8737" t="s">
        <v>132</v>
      </c>
      <c r="Q8737" t="s">
        <v>99</v>
      </c>
      <c r="R8737" t="s">
        <v>207</v>
      </c>
      <c r="S8737" t="s">
        <v>99</v>
      </c>
    </row>
    <row r="8738" spans="1:19" x14ac:dyDescent="0.3">
      <c r="A8738" t="s">
        <v>35</v>
      </c>
      <c r="B8738" t="s">
        <v>260</v>
      </c>
      <c r="C8738">
        <v>281</v>
      </c>
      <c r="D8738" t="s">
        <v>1124</v>
      </c>
      <c r="E8738" t="s">
        <v>663</v>
      </c>
      <c r="F8738" t="s">
        <v>126</v>
      </c>
      <c r="G8738" t="s">
        <v>712</v>
      </c>
      <c r="H8738" t="s">
        <v>726</v>
      </c>
      <c r="I8738" t="s">
        <v>123</v>
      </c>
      <c r="J8738" t="s">
        <v>319</v>
      </c>
      <c r="K8738" t="s">
        <v>136</v>
      </c>
      <c r="L8738" t="s">
        <v>108</v>
      </c>
      <c r="M8738" t="s">
        <v>319</v>
      </c>
      <c r="N8738" t="s">
        <v>434</v>
      </c>
      <c r="O8738" t="s">
        <v>151</v>
      </c>
      <c r="P8738" t="s">
        <v>115</v>
      </c>
      <c r="Q8738" t="s">
        <v>99</v>
      </c>
      <c r="R8738" t="s">
        <v>99</v>
      </c>
      <c r="S8738" t="s">
        <v>99</v>
      </c>
    </row>
    <row r="8739" spans="1:19" x14ac:dyDescent="0.3">
      <c r="A8739" t="s">
        <v>37</v>
      </c>
      <c r="B8739" t="s">
        <v>258</v>
      </c>
      <c r="C8739">
        <v>3262</v>
      </c>
      <c r="D8739" t="s">
        <v>317</v>
      </c>
      <c r="E8739" t="s">
        <v>112</v>
      </c>
      <c r="F8739" t="s">
        <v>114</v>
      </c>
      <c r="G8739" t="s">
        <v>684</v>
      </c>
      <c r="H8739" t="s">
        <v>420</v>
      </c>
      <c r="I8739" t="s">
        <v>108</v>
      </c>
      <c r="J8739" t="s">
        <v>253</v>
      </c>
      <c r="K8739" t="s">
        <v>114</v>
      </c>
      <c r="L8739" t="s">
        <v>136</v>
      </c>
      <c r="M8739" t="s">
        <v>104</v>
      </c>
      <c r="N8739" t="s">
        <v>157</v>
      </c>
      <c r="O8739" t="s">
        <v>268</v>
      </c>
      <c r="P8739" t="s">
        <v>207</v>
      </c>
      <c r="Q8739" t="s">
        <v>99</v>
      </c>
      <c r="R8739" t="s">
        <v>99</v>
      </c>
      <c r="S8739" t="s">
        <v>99</v>
      </c>
    </row>
    <row r="8740" spans="1:19" x14ac:dyDescent="0.3">
      <c r="A8740" t="s">
        <v>36</v>
      </c>
      <c r="B8740" t="s">
        <v>258</v>
      </c>
      <c r="C8740">
        <v>1532</v>
      </c>
      <c r="D8740" t="s">
        <v>1403</v>
      </c>
      <c r="E8740" t="s">
        <v>70</v>
      </c>
      <c r="F8740" t="s">
        <v>111</v>
      </c>
      <c r="G8740" t="s">
        <v>144</v>
      </c>
      <c r="H8740" t="s">
        <v>726</v>
      </c>
      <c r="I8740" t="s">
        <v>107</v>
      </c>
      <c r="J8740" t="s">
        <v>292</v>
      </c>
      <c r="K8740" t="s">
        <v>319</v>
      </c>
      <c r="L8740" t="s">
        <v>101</v>
      </c>
      <c r="M8740" t="s">
        <v>108</v>
      </c>
      <c r="N8740" t="s">
        <v>292</v>
      </c>
      <c r="O8740" t="s">
        <v>215</v>
      </c>
      <c r="P8740" t="s">
        <v>132</v>
      </c>
      <c r="Q8740" t="s">
        <v>198</v>
      </c>
      <c r="R8740" t="s">
        <v>99</v>
      </c>
      <c r="S8740" t="s">
        <v>99</v>
      </c>
    </row>
    <row r="8741" spans="1:19" x14ac:dyDescent="0.3">
      <c r="A8741" t="s">
        <v>36</v>
      </c>
      <c r="B8741" t="s">
        <v>260</v>
      </c>
      <c r="C8741">
        <v>220</v>
      </c>
      <c r="D8741" t="s">
        <v>63</v>
      </c>
      <c r="E8741" t="s">
        <v>294</v>
      </c>
      <c r="F8741" t="s">
        <v>254</v>
      </c>
      <c r="G8741" t="s">
        <v>128</v>
      </c>
      <c r="H8741" t="s">
        <v>78</v>
      </c>
      <c r="I8741" t="s">
        <v>105</v>
      </c>
      <c r="J8741" t="s">
        <v>268</v>
      </c>
      <c r="K8741" t="s">
        <v>108</v>
      </c>
      <c r="L8741" t="s">
        <v>99</v>
      </c>
      <c r="M8741" t="s">
        <v>108</v>
      </c>
      <c r="N8741" t="s">
        <v>122</v>
      </c>
      <c r="O8741" t="s">
        <v>127</v>
      </c>
      <c r="P8741" t="s">
        <v>99</v>
      </c>
      <c r="Q8741" t="s">
        <v>141</v>
      </c>
      <c r="R8741" t="s">
        <v>319</v>
      </c>
      <c r="S8741" t="s">
        <v>99</v>
      </c>
    </row>
    <row r="8742" spans="1:19" x14ac:dyDescent="0.3">
      <c r="A8742" t="s">
        <v>34</v>
      </c>
      <c r="B8742" t="s">
        <v>258</v>
      </c>
      <c r="C8742">
        <v>584</v>
      </c>
      <c r="D8742" t="s">
        <v>166</v>
      </c>
      <c r="E8742" t="s">
        <v>134</v>
      </c>
      <c r="F8742" t="s">
        <v>104</v>
      </c>
      <c r="G8742" t="s">
        <v>154</v>
      </c>
      <c r="H8742" t="s">
        <v>157</v>
      </c>
      <c r="I8742" t="s">
        <v>136</v>
      </c>
      <c r="J8742" t="s">
        <v>99</v>
      </c>
      <c r="K8742" t="s">
        <v>207</v>
      </c>
      <c r="L8742" t="s">
        <v>99</v>
      </c>
      <c r="M8742" t="s">
        <v>99</v>
      </c>
      <c r="N8742" t="s">
        <v>382</v>
      </c>
      <c r="O8742" t="s">
        <v>99</v>
      </c>
      <c r="P8742" t="s">
        <v>99</v>
      </c>
      <c r="Q8742" t="s">
        <v>99</v>
      </c>
      <c r="R8742" t="s">
        <v>99</v>
      </c>
      <c r="S8742" t="s">
        <v>99</v>
      </c>
    </row>
    <row r="8743" spans="1:19" x14ac:dyDescent="0.3">
      <c r="A8743" t="s">
        <v>34</v>
      </c>
      <c r="B8743" t="s">
        <v>260</v>
      </c>
      <c r="C8743">
        <v>825</v>
      </c>
      <c r="D8743" t="s">
        <v>1451</v>
      </c>
      <c r="E8743" t="s">
        <v>468</v>
      </c>
      <c r="F8743" t="s">
        <v>129</v>
      </c>
      <c r="G8743" t="s">
        <v>128</v>
      </c>
      <c r="H8743" t="s">
        <v>267</v>
      </c>
      <c r="I8743" t="s">
        <v>151</v>
      </c>
      <c r="J8743" t="s">
        <v>141</v>
      </c>
      <c r="K8743" t="s">
        <v>253</v>
      </c>
      <c r="L8743" t="s">
        <v>126</v>
      </c>
      <c r="M8743" t="s">
        <v>111</v>
      </c>
      <c r="N8743" t="s">
        <v>155</v>
      </c>
      <c r="O8743" t="s">
        <v>319</v>
      </c>
      <c r="P8743" t="s">
        <v>136</v>
      </c>
      <c r="Q8743" t="s">
        <v>207</v>
      </c>
      <c r="R8743" t="s">
        <v>198</v>
      </c>
      <c r="S8743" t="s">
        <v>136</v>
      </c>
    </row>
    <row r="8744" spans="1:19" x14ac:dyDescent="0.3">
      <c r="A8744" t="s">
        <v>33</v>
      </c>
      <c r="B8744" t="s">
        <v>258</v>
      </c>
      <c r="C8744">
        <v>1535</v>
      </c>
      <c r="D8744" t="s">
        <v>537</v>
      </c>
      <c r="E8744" t="s">
        <v>109</v>
      </c>
      <c r="F8744" t="s">
        <v>253</v>
      </c>
      <c r="G8744" t="s">
        <v>292</v>
      </c>
      <c r="H8744" t="s">
        <v>74</v>
      </c>
      <c r="I8744" t="s">
        <v>100</v>
      </c>
      <c r="J8744" t="s">
        <v>207</v>
      </c>
      <c r="K8744" t="s">
        <v>104</v>
      </c>
      <c r="L8744" t="s">
        <v>99</v>
      </c>
      <c r="M8744" t="s">
        <v>104</v>
      </c>
      <c r="N8744" t="s">
        <v>100</v>
      </c>
      <c r="O8744" t="s">
        <v>115</v>
      </c>
      <c r="P8744" t="s">
        <v>99</v>
      </c>
      <c r="Q8744" t="s">
        <v>99</v>
      </c>
      <c r="R8744" t="s">
        <v>99</v>
      </c>
      <c r="S8744" t="s">
        <v>99</v>
      </c>
    </row>
    <row r="8745" spans="1:19" x14ac:dyDescent="0.3">
      <c r="A8745" t="s">
        <v>49</v>
      </c>
      <c r="B8745" t="s">
        <v>258</v>
      </c>
      <c r="C8745">
        <v>9342</v>
      </c>
      <c r="D8745" t="s">
        <v>623</v>
      </c>
      <c r="E8745" t="s">
        <v>277</v>
      </c>
      <c r="F8745" t="s">
        <v>114</v>
      </c>
      <c r="G8745" t="s">
        <v>112</v>
      </c>
      <c r="H8745" t="s">
        <v>470</v>
      </c>
      <c r="I8745" t="s">
        <v>121</v>
      </c>
      <c r="J8745" t="s">
        <v>115</v>
      </c>
      <c r="K8745" t="s">
        <v>132</v>
      </c>
      <c r="L8745" t="s">
        <v>136</v>
      </c>
      <c r="M8745" t="s">
        <v>104</v>
      </c>
      <c r="N8745" t="s">
        <v>268</v>
      </c>
      <c r="O8745" t="s">
        <v>127</v>
      </c>
      <c r="P8745" t="s">
        <v>141</v>
      </c>
      <c r="Q8745" t="s">
        <v>99</v>
      </c>
      <c r="R8745" t="s">
        <v>104</v>
      </c>
      <c r="S8745" t="s">
        <v>99</v>
      </c>
    </row>
    <row r="8746" spans="1:19" x14ac:dyDescent="0.3">
      <c r="A8746" t="s">
        <v>49</v>
      </c>
      <c r="B8746" t="s">
        <v>260</v>
      </c>
      <c r="C8746">
        <v>1326</v>
      </c>
      <c r="D8746" t="s">
        <v>57</v>
      </c>
      <c r="E8746" t="s">
        <v>325</v>
      </c>
      <c r="F8746" t="s">
        <v>332</v>
      </c>
      <c r="G8746" t="s">
        <v>107</v>
      </c>
      <c r="H8746" t="s">
        <v>814</v>
      </c>
      <c r="I8746" t="s">
        <v>151</v>
      </c>
      <c r="J8746" t="s">
        <v>115</v>
      </c>
      <c r="K8746" t="s">
        <v>253</v>
      </c>
      <c r="L8746" t="s">
        <v>319</v>
      </c>
      <c r="M8746" t="s">
        <v>151</v>
      </c>
      <c r="N8746" t="s">
        <v>154</v>
      </c>
      <c r="O8746" t="s">
        <v>126</v>
      </c>
      <c r="P8746" t="s">
        <v>136</v>
      </c>
      <c r="Q8746" t="s">
        <v>198</v>
      </c>
      <c r="R8746" t="s">
        <v>198</v>
      </c>
      <c r="S8746" t="s">
        <v>207</v>
      </c>
    </row>
    <row r="8748" spans="1:19" x14ac:dyDescent="0.3">
      <c r="A8748" t="s">
        <v>2352</v>
      </c>
    </row>
    <row r="8749" spans="1:19" x14ac:dyDescent="0.3">
      <c r="A8749" t="s">
        <v>44</v>
      </c>
      <c r="B8749" t="s">
        <v>1590</v>
      </c>
      <c r="C8749" t="s">
        <v>32</v>
      </c>
      <c r="D8749" t="s">
        <v>2332</v>
      </c>
      <c r="E8749" t="s">
        <v>2333</v>
      </c>
      <c r="F8749" t="s">
        <v>2334</v>
      </c>
      <c r="G8749" t="s">
        <v>2335</v>
      </c>
      <c r="H8749" t="s">
        <v>2336</v>
      </c>
      <c r="I8749" t="s">
        <v>2337</v>
      </c>
      <c r="J8749" t="s">
        <v>2338</v>
      </c>
      <c r="K8749" t="s">
        <v>2339</v>
      </c>
      <c r="L8749" t="s">
        <v>2340</v>
      </c>
      <c r="M8749" t="s">
        <v>2341</v>
      </c>
      <c r="N8749" t="s">
        <v>2342</v>
      </c>
      <c r="O8749" t="s">
        <v>2343</v>
      </c>
      <c r="P8749" t="s">
        <v>2344</v>
      </c>
      <c r="Q8749" t="s">
        <v>1275</v>
      </c>
      <c r="R8749" t="s">
        <v>83</v>
      </c>
      <c r="S8749" t="s">
        <v>193</v>
      </c>
    </row>
    <row r="8750" spans="1:19" x14ac:dyDescent="0.3">
      <c r="A8750" t="s">
        <v>35</v>
      </c>
      <c r="B8750" t="s">
        <v>1591</v>
      </c>
      <c r="C8750">
        <v>1455</v>
      </c>
      <c r="D8750" t="s">
        <v>1155</v>
      </c>
      <c r="E8750" t="s">
        <v>145</v>
      </c>
      <c r="F8750" t="s">
        <v>126</v>
      </c>
      <c r="G8750" t="s">
        <v>254</v>
      </c>
      <c r="H8750" t="s">
        <v>131</v>
      </c>
      <c r="I8750" t="s">
        <v>292</v>
      </c>
      <c r="J8750" t="s">
        <v>126</v>
      </c>
      <c r="K8750" t="s">
        <v>101</v>
      </c>
      <c r="L8750" t="s">
        <v>100</v>
      </c>
      <c r="M8750" t="s">
        <v>207</v>
      </c>
      <c r="N8750" t="s">
        <v>128</v>
      </c>
      <c r="O8750" t="s">
        <v>151</v>
      </c>
      <c r="P8750" t="s">
        <v>198</v>
      </c>
      <c r="Q8750" t="s">
        <v>99</v>
      </c>
      <c r="R8750" t="s">
        <v>99</v>
      </c>
      <c r="S8750" t="s">
        <v>99</v>
      </c>
    </row>
    <row r="8751" spans="1:19" x14ac:dyDescent="0.3">
      <c r="A8751" t="s">
        <v>35</v>
      </c>
      <c r="B8751" t="s">
        <v>1592</v>
      </c>
      <c r="C8751">
        <v>1223</v>
      </c>
      <c r="D8751" t="s">
        <v>77</v>
      </c>
      <c r="E8751" t="s">
        <v>147</v>
      </c>
      <c r="F8751" t="s">
        <v>136</v>
      </c>
      <c r="G8751" t="s">
        <v>120</v>
      </c>
      <c r="H8751" t="s">
        <v>118</v>
      </c>
      <c r="I8751" t="s">
        <v>207</v>
      </c>
      <c r="J8751" t="s">
        <v>99</v>
      </c>
      <c r="K8751" t="s">
        <v>207</v>
      </c>
      <c r="L8751" t="s">
        <v>198</v>
      </c>
      <c r="M8751" t="s">
        <v>198</v>
      </c>
      <c r="N8751" t="s">
        <v>103</v>
      </c>
      <c r="O8751" t="s">
        <v>268</v>
      </c>
      <c r="P8751" t="s">
        <v>319</v>
      </c>
      <c r="Q8751" t="s">
        <v>99</v>
      </c>
      <c r="R8751" t="s">
        <v>141</v>
      </c>
      <c r="S8751" t="s">
        <v>99</v>
      </c>
    </row>
    <row r="8752" spans="1:19" x14ac:dyDescent="0.3">
      <c r="A8752" t="s">
        <v>35</v>
      </c>
      <c r="B8752" t="s">
        <v>365</v>
      </c>
      <c r="C8752">
        <v>32</v>
      </c>
      <c r="D8752" t="s">
        <v>280</v>
      </c>
      <c r="E8752" t="s">
        <v>99</v>
      </c>
      <c r="F8752" t="s">
        <v>99</v>
      </c>
      <c r="G8752" t="s">
        <v>222</v>
      </c>
      <c r="H8752" t="s">
        <v>294</v>
      </c>
      <c r="I8752" t="s">
        <v>145</v>
      </c>
      <c r="J8752" t="s">
        <v>99</v>
      </c>
      <c r="K8752" t="s">
        <v>145</v>
      </c>
      <c r="L8752" t="s">
        <v>99</v>
      </c>
      <c r="M8752" t="s">
        <v>126</v>
      </c>
      <c r="N8752" t="s">
        <v>165</v>
      </c>
      <c r="O8752" t="s">
        <v>99</v>
      </c>
      <c r="P8752" t="s">
        <v>99</v>
      </c>
      <c r="Q8752" t="s">
        <v>99</v>
      </c>
      <c r="R8752" t="s">
        <v>99</v>
      </c>
      <c r="S8752" t="s">
        <v>99</v>
      </c>
    </row>
    <row r="8753" spans="1:19" x14ac:dyDescent="0.3">
      <c r="A8753" t="s">
        <v>37</v>
      </c>
      <c r="B8753" t="s">
        <v>1591</v>
      </c>
      <c r="C8753">
        <v>1625</v>
      </c>
      <c r="D8753" t="s">
        <v>874</v>
      </c>
      <c r="E8753" t="s">
        <v>204</v>
      </c>
      <c r="F8753" t="s">
        <v>319</v>
      </c>
      <c r="G8753" t="s">
        <v>468</v>
      </c>
      <c r="H8753" t="s">
        <v>465</v>
      </c>
      <c r="I8753" t="s">
        <v>101</v>
      </c>
      <c r="J8753" t="s">
        <v>101</v>
      </c>
      <c r="K8753" t="s">
        <v>126</v>
      </c>
      <c r="L8753" t="s">
        <v>198</v>
      </c>
      <c r="M8753" t="s">
        <v>104</v>
      </c>
      <c r="N8753" t="s">
        <v>130</v>
      </c>
      <c r="O8753" t="s">
        <v>117</v>
      </c>
      <c r="P8753" t="s">
        <v>207</v>
      </c>
      <c r="Q8753" t="s">
        <v>99</v>
      </c>
      <c r="R8753" t="s">
        <v>104</v>
      </c>
      <c r="S8753" t="s">
        <v>99</v>
      </c>
    </row>
    <row r="8754" spans="1:19" x14ac:dyDescent="0.3">
      <c r="A8754" t="s">
        <v>37</v>
      </c>
      <c r="B8754" t="s">
        <v>1592</v>
      </c>
      <c r="C8754">
        <v>1584</v>
      </c>
      <c r="D8754" t="s">
        <v>764</v>
      </c>
      <c r="E8754" t="s">
        <v>105</v>
      </c>
      <c r="F8754" t="s">
        <v>115</v>
      </c>
      <c r="G8754" t="s">
        <v>149</v>
      </c>
      <c r="H8754" t="s">
        <v>107</v>
      </c>
      <c r="I8754" t="s">
        <v>141</v>
      </c>
      <c r="J8754" t="s">
        <v>104</v>
      </c>
      <c r="K8754" t="s">
        <v>136</v>
      </c>
      <c r="L8754" t="s">
        <v>141</v>
      </c>
      <c r="M8754" t="s">
        <v>104</v>
      </c>
      <c r="N8754" t="s">
        <v>292</v>
      </c>
      <c r="O8754" t="s">
        <v>111</v>
      </c>
      <c r="P8754" t="s">
        <v>207</v>
      </c>
      <c r="Q8754" t="s">
        <v>99</v>
      </c>
      <c r="R8754" t="s">
        <v>99</v>
      </c>
      <c r="S8754" t="s">
        <v>99</v>
      </c>
    </row>
    <row r="8755" spans="1:19" x14ac:dyDescent="0.3">
      <c r="A8755" t="s">
        <v>37</v>
      </c>
      <c r="B8755" t="s">
        <v>365</v>
      </c>
      <c r="C8755">
        <v>53</v>
      </c>
      <c r="D8755" t="s">
        <v>771</v>
      </c>
      <c r="E8755" t="s">
        <v>215</v>
      </c>
      <c r="F8755" t="s">
        <v>99</v>
      </c>
      <c r="G8755" t="s">
        <v>712</v>
      </c>
      <c r="H8755" t="s">
        <v>99</v>
      </c>
      <c r="I8755" t="s">
        <v>215</v>
      </c>
      <c r="J8755" t="s">
        <v>99</v>
      </c>
      <c r="K8755" t="s">
        <v>128</v>
      </c>
      <c r="L8755" t="s">
        <v>99</v>
      </c>
      <c r="M8755" t="s">
        <v>99</v>
      </c>
      <c r="N8755" t="s">
        <v>268</v>
      </c>
      <c r="O8755" t="s">
        <v>99</v>
      </c>
      <c r="P8755" t="s">
        <v>99</v>
      </c>
      <c r="Q8755" t="s">
        <v>99</v>
      </c>
      <c r="R8755" t="s">
        <v>99</v>
      </c>
      <c r="S8755" t="s">
        <v>99</v>
      </c>
    </row>
    <row r="8756" spans="1:19" x14ac:dyDescent="0.3">
      <c r="A8756" t="s">
        <v>36</v>
      </c>
      <c r="B8756" t="s">
        <v>1591</v>
      </c>
      <c r="C8756">
        <v>1209</v>
      </c>
      <c r="D8756" t="s">
        <v>346</v>
      </c>
      <c r="E8756" t="s">
        <v>125</v>
      </c>
      <c r="F8756" t="s">
        <v>316</v>
      </c>
      <c r="G8756" t="s">
        <v>664</v>
      </c>
      <c r="H8756" t="s">
        <v>811</v>
      </c>
      <c r="I8756" t="s">
        <v>139</v>
      </c>
      <c r="J8756" t="s">
        <v>138</v>
      </c>
      <c r="K8756" t="s">
        <v>292</v>
      </c>
      <c r="L8756" t="s">
        <v>101</v>
      </c>
      <c r="M8756" t="s">
        <v>115</v>
      </c>
      <c r="N8756" t="s">
        <v>105</v>
      </c>
      <c r="O8756" t="s">
        <v>292</v>
      </c>
      <c r="P8756" t="s">
        <v>115</v>
      </c>
      <c r="Q8756" t="s">
        <v>198</v>
      </c>
      <c r="R8756" t="s">
        <v>104</v>
      </c>
      <c r="S8756" t="s">
        <v>99</v>
      </c>
    </row>
    <row r="8757" spans="1:19" x14ac:dyDescent="0.3">
      <c r="A8757" t="s">
        <v>36</v>
      </c>
      <c r="B8757" t="s">
        <v>1592</v>
      </c>
      <c r="C8757">
        <v>523</v>
      </c>
      <c r="D8757" t="s">
        <v>1478</v>
      </c>
      <c r="E8757" t="s">
        <v>124</v>
      </c>
      <c r="F8757" t="s">
        <v>127</v>
      </c>
      <c r="G8757" t="s">
        <v>130</v>
      </c>
      <c r="H8757" t="s">
        <v>804</v>
      </c>
      <c r="I8757" t="s">
        <v>141</v>
      </c>
      <c r="J8757" t="s">
        <v>198</v>
      </c>
      <c r="K8757" t="s">
        <v>136</v>
      </c>
      <c r="L8757" t="s">
        <v>101</v>
      </c>
      <c r="M8757" t="s">
        <v>101</v>
      </c>
      <c r="N8757" t="s">
        <v>253</v>
      </c>
      <c r="O8757" t="s">
        <v>100</v>
      </c>
      <c r="P8757" t="s">
        <v>114</v>
      </c>
      <c r="Q8757" t="s">
        <v>207</v>
      </c>
      <c r="R8757" t="s">
        <v>99</v>
      </c>
      <c r="S8757" t="s">
        <v>99</v>
      </c>
    </row>
    <row r="8758" spans="1:19" x14ac:dyDescent="0.3">
      <c r="A8758" t="s">
        <v>36</v>
      </c>
      <c r="B8758" t="s">
        <v>365</v>
      </c>
      <c r="C8758">
        <v>20</v>
      </c>
      <c r="D8758" t="s">
        <v>403</v>
      </c>
      <c r="E8758" t="s">
        <v>113</v>
      </c>
      <c r="F8758" t="s">
        <v>99</v>
      </c>
      <c r="G8758" t="s">
        <v>99</v>
      </c>
      <c r="H8758" t="s">
        <v>136</v>
      </c>
      <c r="I8758" t="s">
        <v>99</v>
      </c>
      <c r="J8758" t="s">
        <v>132</v>
      </c>
      <c r="K8758" t="s">
        <v>99</v>
      </c>
      <c r="L8758" t="s">
        <v>99</v>
      </c>
      <c r="M8758" t="s">
        <v>99</v>
      </c>
      <c r="N8758" t="s">
        <v>132</v>
      </c>
      <c r="O8758" t="s">
        <v>99</v>
      </c>
      <c r="P8758" t="s">
        <v>99</v>
      </c>
      <c r="Q8758" t="s">
        <v>99</v>
      </c>
      <c r="R8758" t="s">
        <v>99</v>
      </c>
      <c r="S8758" t="s">
        <v>99</v>
      </c>
    </row>
    <row r="8759" spans="1:19" x14ac:dyDescent="0.3">
      <c r="A8759" t="s">
        <v>34</v>
      </c>
      <c r="B8759" t="s">
        <v>1591</v>
      </c>
      <c r="C8759">
        <v>749</v>
      </c>
      <c r="D8759" t="s">
        <v>1455</v>
      </c>
      <c r="E8759" t="s">
        <v>109</v>
      </c>
      <c r="F8759" t="s">
        <v>154</v>
      </c>
      <c r="G8759" t="s">
        <v>155</v>
      </c>
      <c r="H8759" t="s">
        <v>685</v>
      </c>
      <c r="I8759" t="s">
        <v>111</v>
      </c>
      <c r="J8759" t="s">
        <v>253</v>
      </c>
      <c r="K8759" t="s">
        <v>108</v>
      </c>
      <c r="L8759" t="s">
        <v>127</v>
      </c>
      <c r="M8759" t="s">
        <v>117</v>
      </c>
      <c r="N8759" t="s">
        <v>107</v>
      </c>
      <c r="O8759" t="s">
        <v>132</v>
      </c>
      <c r="P8759" t="s">
        <v>207</v>
      </c>
      <c r="Q8759" t="s">
        <v>198</v>
      </c>
      <c r="R8759" t="s">
        <v>207</v>
      </c>
      <c r="S8759" t="s">
        <v>136</v>
      </c>
    </row>
    <row r="8760" spans="1:19" x14ac:dyDescent="0.3">
      <c r="A8760" t="s">
        <v>34</v>
      </c>
      <c r="B8760" t="s">
        <v>1592</v>
      </c>
      <c r="C8760">
        <v>623</v>
      </c>
      <c r="D8760" t="s">
        <v>439</v>
      </c>
      <c r="E8760" t="s">
        <v>157</v>
      </c>
      <c r="F8760" t="s">
        <v>103</v>
      </c>
      <c r="G8760" t="s">
        <v>117</v>
      </c>
      <c r="H8760" t="s">
        <v>70</v>
      </c>
      <c r="I8760" t="s">
        <v>253</v>
      </c>
      <c r="J8760" t="s">
        <v>99</v>
      </c>
      <c r="K8760" t="s">
        <v>104</v>
      </c>
      <c r="L8760" t="s">
        <v>141</v>
      </c>
      <c r="M8760" t="s">
        <v>108</v>
      </c>
      <c r="N8760" t="s">
        <v>157</v>
      </c>
      <c r="O8760" t="s">
        <v>382</v>
      </c>
      <c r="P8760" t="s">
        <v>207</v>
      </c>
      <c r="Q8760" t="s">
        <v>207</v>
      </c>
      <c r="R8760" t="s">
        <v>99</v>
      </c>
      <c r="S8760" t="s">
        <v>99</v>
      </c>
    </row>
    <row r="8761" spans="1:19" x14ac:dyDescent="0.3">
      <c r="A8761" t="s">
        <v>34</v>
      </c>
      <c r="B8761" t="s">
        <v>365</v>
      </c>
      <c r="C8761">
        <v>37</v>
      </c>
      <c r="D8761" t="s">
        <v>1146</v>
      </c>
      <c r="E8761" t="s">
        <v>277</v>
      </c>
      <c r="F8761" t="s">
        <v>70</v>
      </c>
      <c r="G8761" t="s">
        <v>99</v>
      </c>
      <c r="H8761" t="s">
        <v>463</v>
      </c>
      <c r="I8761" t="s">
        <v>70</v>
      </c>
      <c r="J8761" t="s">
        <v>118</v>
      </c>
      <c r="K8761" t="s">
        <v>99</v>
      </c>
      <c r="L8761" t="s">
        <v>99</v>
      </c>
      <c r="M8761" t="s">
        <v>99</v>
      </c>
      <c r="N8761" t="s">
        <v>118</v>
      </c>
      <c r="O8761" t="s">
        <v>99</v>
      </c>
      <c r="P8761" t="s">
        <v>99</v>
      </c>
      <c r="Q8761" t="s">
        <v>99</v>
      </c>
      <c r="R8761" t="s">
        <v>99</v>
      </c>
      <c r="S8761" t="s">
        <v>118</v>
      </c>
    </row>
    <row r="8762" spans="1:19" x14ac:dyDescent="0.3">
      <c r="A8762" t="s">
        <v>33</v>
      </c>
      <c r="B8762" t="s">
        <v>1591</v>
      </c>
      <c r="C8762">
        <v>596</v>
      </c>
      <c r="D8762" t="s">
        <v>1132</v>
      </c>
      <c r="E8762" t="s">
        <v>72</v>
      </c>
      <c r="F8762" t="s">
        <v>141</v>
      </c>
      <c r="G8762" t="s">
        <v>120</v>
      </c>
      <c r="H8762" t="s">
        <v>163</v>
      </c>
      <c r="I8762" t="s">
        <v>319</v>
      </c>
      <c r="J8762" t="s">
        <v>141</v>
      </c>
      <c r="K8762" t="s">
        <v>136</v>
      </c>
      <c r="L8762" t="s">
        <v>99</v>
      </c>
      <c r="M8762" t="s">
        <v>104</v>
      </c>
      <c r="N8762" t="s">
        <v>123</v>
      </c>
      <c r="O8762" t="s">
        <v>100</v>
      </c>
      <c r="P8762" t="s">
        <v>99</v>
      </c>
      <c r="Q8762" t="s">
        <v>99</v>
      </c>
      <c r="R8762" t="s">
        <v>99</v>
      </c>
      <c r="S8762" t="s">
        <v>99</v>
      </c>
    </row>
    <row r="8763" spans="1:19" x14ac:dyDescent="0.3">
      <c r="A8763" t="s">
        <v>33</v>
      </c>
      <c r="B8763" t="s">
        <v>1592</v>
      </c>
      <c r="C8763">
        <v>925</v>
      </c>
      <c r="D8763" t="s">
        <v>199</v>
      </c>
      <c r="E8763" t="s">
        <v>468</v>
      </c>
      <c r="F8763" t="s">
        <v>253</v>
      </c>
      <c r="G8763" t="s">
        <v>382</v>
      </c>
      <c r="H8763" t="s">
        <v>147</v>
      </c>
      <c r="I8763" t="s">
        <v>253</v>
      </c>
      <c r="J8763" t="s">
        <v>99</v>
      </c>
      <c r="K8763" t="s">
        <v>99</v>
      </c>
      <c r="L8763" t="s">
        <v>99</v>
      </c>
      <c r="M8763" t="s">
        <v>104</v>
      </c>
      <c r="N8763" t="s">
        <v>141</v>
      </c>
      <c r="O8763" t="s">
        <v>136</v>
      </c>
      <c r="P8763" t="s">
        <v>99</v>
      </c>
      <c r="Q8763" t="s">
        <v>99</v>
      </c>
      <c r="R8763" t="s">
        <v>99</v>
      </c>
      <c r="S8763" t="s">
        <v>99</v>
      </c>
    </row>
    <row r="8764" spans="1:19" x14ac:dyDescent="0.3">
      <c r="A8764" t="s">
        <v>33</v>
      </c>
      <c r="B8764" t="s">
        <v>365</v>
      </c>
      <c r="C8764">
        <v>14</v>
      </c>
      <c r="D8764" t="s">
        <v>356</v>
      </c>
      <c r="E8764" t="s">
        <v>99</v>
      </c>
      <c r="F8764" t="s">
        <v>99</v>
      </c>
      <c r="G8764" t="s">
        <v>99</v>
      </c>
      <c r="H8764" t="s">
        <v>109</v>
      </c>
      <c r="I8764" t="s">
        <v>814</v>
      </c>
      <c r="J8764" t="s">
        <v>814</v>
      </c>
      <c r="K8764" t="s">
        <v>99</v>
      </c>
      <c r="L8764" t="s">
        <v>99</v>
      </c>
      <c r="M8764" t="s">
        <v>99</v>
      </c>
      <c r="N8764" t="s">
        <v>99</v>
      </c>
      <c r="O8764" t="s">
        <v>99</v>
      </c>
      <c r="P8764" t="s">
        <v>99</v>
      </c>
      <c r="Q8764" t="s">
        <v>99</v>
      </c>
      <c r="R8764" t="s">
        <v>99</v>
      </c>
      <c r="S8764" t="s">
        <v>99</v>
      </c>
    </row>
    <row r="8765" spans="1:19" x14ac:dyDescent="0.3">
      <c r="A8765" t="s">
        <v>49</v>
      </c>
      <c r="B8765" t="s">
        <v>1591</v>
      </c>
      <c r="C8765">
        <v>5634</v>
      </c>
      <c r="D8765" t="s">
        <v>1403</v>
      </c>
      <c r="E8765" t="s">
        <v>109</v>
      </c>
      <c r="F8765" t="s">
        <v>123</v>
      </c>
      <c r="G8765" t="s">
        <v>684</v>
      </c>
      <c r="H8765" t="s">
        <v>739</v>
      </c>
      <c r="I8765" t="s">
        <v>292</v>
      </c>
      <c r="J8765" t="s">
        <v>101</v>
      </c>
      <c r="K8765" t="s">
        <v>121</v>
      </c>
      <c r="L8765" t="s">
        <v>108</v>
      </c>
      <c r="M8765" t="s">
        <v>115</v>
      </c>
      <c r="N8765" t="s">
        <v>157</v>
      </c>
      <c r="O8765" t="s">
        <v>215</v>
      </c>
      <c r="P8765" t="s">
        <v>207</v>
      </c>
      <c r="Q8765" t="s">
        <v>104</v>
      </c>
      <c r="R8765" t="s">
        <v>104</v>
      </c>
      <c r="S8765" t="s">
        <v>104</v>
      </c>
    </row>
    <row r="8766" spans="1:19" x14ac:dyDescent="0.3">
      <c r="A8766" t="s">
        <v>49</v>
      </c>
      <c r="B8766" t="s">
        <v>1592</v>
      </c>
      <c r="C8766">
        <v>4878</v>
      </c>
      <c r="D8766" t="s">
        <v>430</v>
      </c>
      <c r="E8766" t="s">
        <v>134</v>
      </c>
      <c r="F8766" t="s">
        <v>108</v>
      </c>
      <c r="G8766" t="s">
        <v>157</v>
      </c>
      <c r="H8766" t="s">
        <v>712</v>
      </c>
      <c r="I8766" t="s">
        <v>141</v>
      </c>
      <c r="J8766" t="s">
        <v>99</v>
      </c>
      <c r="K8766" t="s">
        <v>198</v>
      </c>
      <c r="L8766" t="s">
        <v>207</v>
      </c>
      <c r="M8766" t="s">
        <v>207</v>
      </c>
      <c r="N8766" t="s">
        <v>151</v>
      </c>
      <c r="O8766" t="s">
        <v>215</v>
      </c>
      <c r="P8766" t="s">
        <v>253</v>
      </c>
      <c r="Q8766" t="s">
        <v>104</v>
      </c>
      <c r="R8766" t="s">
        <v>104</v>
      </c>
      <c r="S8766" t="s">
        <v>99</v>
      </c>
    </row>
    <row r="8767" spans="1:19" x14ac:dyDescent="0.3">
      <c r="A8767" t="s">
        <v>49</v>
      </c>
      <c r="B8767" t="s">
        <v>365</v>
      </c>
      <c r="C8767">
        <v>156</v>
      </c>
      <c r="D8767" t="s">
        <v>865</v>
      </c>
      <c r="E8767" t="s">
        <v>107</v>
      </c>
      <c r="F8767" t="s">
        <v>120</v>
      </c>
      <c r="G8767" t="s">
        <v>138</v>
      </c>
      <c r="H8767" t="s">
        <v>804</v>
      </c>
      <c r="I8767" t="s">
        <v>325</v>
      </c>
      <c r="J8767" t="s">
        <v>107</v>
      </c>
      <c r="K8767" t="s">
        <v>127</v>
      </c>
      <c r="L8767" t="s">
        <v>99</v>
      </c>
      <c r="M8767" t="s">
        <v>198</v>
      </c>
      <c r="N8767" t="s">
        <v>118</v>
      </c>
      <c r="O8767" t="s">
        <v>99</v>
      </c>
      <c r="P8767" t="s">
        <v>99</v>
      </c>
      <c r="Q8767" t="s">
        <v>99</v>
      </c>
      <c r="R8767" t="s">
        <v>99</v>
      </c>
      <c r="S8767" t="s">
        <v>319</v>
      </c>
    </row>
    <row r="8769" spans="1:7" x14ac:dyDescent="0.3">
      <c r="A8769" t="s">
        <v>2353</v>
      </c>
    </row>
    <row r="8770" spans="1:7" x14ac:dyDescent="0.3">
      <c r="A8770" t="s">
        <v>44</v>
      </c>
      <c r="B8770" t="s">
        <v>32</v>
      </c>
      <c r="C8770" t="s">
        <v>352</v>
      </c>
      <c r="D8770" t="s">
        <v>66</v>
      </c>
      <c r="E8770" t="s">
        <v>193</v>
      </c>
      <c r="F8770" t="s">
        <v>67</v>
      </c>
    </row>
    <row r="8771" spans="1:7" x14ac:dyDescent="0.3">
      <c r="A8771" t="s">
        <v>35</v>
      </c>
      <c r="B8771">
        <v>7725</v>
      </c>
      <c r="C8771" t="s">
        <v>108</v>
      </c>
      <c r="D8771" t="s">
        <v>936</v>
      </c>
      <c r="E8771" t="s">
        <v>253</v>
      </c>
      <c r="F8771" t="s">
        <v>1258</v>
      </c>
    </row>
    <row r="8772" spans="1:7" x14ac:dyDescent="0.3">
      <c r="A8772" t="s">
        <v>37</v>
      </c>
      <c r="B8772">
        <v>10059</v>
      </c>
      <c r="C8772" t="s">
        <v>207</v>
      </c>
      <c r="D8772" t="s">
        <v>1055</v>
      </c>
      <c r="E8772" t="s">
        <v>99</v>
      </c>
      <c r="F8772" t="s">
        <v>1173</v>
      </c>
    </row>
    <row r="8773" spans="1:7" x14ac:dyDescent="0.3">
      <c r="A8773" t="s">
        <v>36</v>
      </c>
      <c r="B8773">
        <v>6007</v>
      </c>
      <c r="C8773" t="s">
        <v>207</v>
      </c>
      <c r="D8773" t="s">
        <v>1143</v>
      </c>
      <c r="E8773" t="s">
        <v>198</v>
      </c>
      <c r="F8773" t="s">
        <v>1058</v>
      </c>
    </row>
    <row r="8774" spans="1:7" x14ac:dyDescent="0.3">
      <c r="A8774" t="s">
        <v>34</v>
      </c>
      <c r="B8774">
        <v>4916</v>
      </c>
      <c r="C8774" t="s">
        <v>115</v>
      </c>
      <c r="D8774" t="s">
        <v>1077</v>
      </c>
      <c r="E8774" t="s">
        <v>198</v>
      </c>
      <c r="F8774" t="s">
        <v>1258</v>
      </c>
    </row>
    <row r="8775" spans="1:7" x14ac:dyDescent="0.3">
      <c r="A8775" t="s">
        <v>33</v>
      </c>
      <c r="B8775">
        <v>4576</v>
      </c>
      <c r="C8775" t="s">
        <v>136</v>
      </c>
      <c r="D8775" t="s">
        <v>822</v>
      </c>
      <c r="E8775" t="s">
        <v>104</v>
      </c>
      <c r="F8775" t="s">
        <v>983</v>
      </c>
    </row>
    <row r="8776" spans="1:7" x14ac:dyDescent="0.3">
      <c r="A8776" t="s">
        <v>49</v>
      </c>
      <c r="B8776">
        <v>33283</v>
      </c>
      <c r="C8776" t="s">
        <v>253</v>
      </c>
      <c r="D8776" t="s">
        <v>946</v>
      </c>
      <c r="E8776" t="s">
        <v>207</v>
      </c>
      <c r="F8776" t="s">
        <v>594</v>
      </c>
    </row>
    <row r="8778" spans="1:7" x14ac:dyDescent="0.3">
      <c r="A8778" t="s">
        <v>2354</v>
      </c>
    </row>
    <row r="8779" spans="1:7" x14ac:dyDescent="0.3">
      <c r="A8779" t="s">
        <v>44</v>
      </c>
      <c r="B8779" t="s">
        <v>2267</v>
      </c>
      <c r="C8779" t="s">
        <v>32</v>
      </c>
      <c r="D8779" t="s">
        <v>66</v>
      </c>
      <c r="E8779" t="s">
        <v>193</v>
      </c>
      <c r="F8779" t="s">
        <v>67</v>
      </c>
      <c r="G8779" t="s">
        <v>352</v>
      </c>
    </row>
    <row r="8780" spans="1:7" x14ac:dyDescent="0.3">
      <c r="A8780" t="s">
        <v>35</v>
      </c>
      <c r="B8780" t="s">
        <v>973</v>
      </c>
      <c r="C8780">
        <v>274</v>
      </c>
      <c r="D8780" t="s">
        <v>815</v>
      </c>
      <c r="E8780" t="s">
        <v>141</v>
      </c>
      <c r="F8780" t="s">
        <v>932</v>
      </c>
      <c r="G8780" t="s">
        <v>99</v>
      </c>
    </row>
    <row r="8781" spans="1:7" x14ac:dyDescent="0.3">
      <c r="A8781" t="s">
        <v>35</v>
      </c>
      <c r="B8781" t="s">
        <v>2268</v>
      </c>
      <c r="C8781">
        <v>282</v>
      </c>
      <c r="D8781" t="s">
        <v>953</v>
      </c>
      <c r="E8781" t="s">
        <v>99</v>
      </c>
      <c r="F8781" t="s">
        <v>1148</v>
      </c>
      <c r="G8781" t="s">
        <v>207</v>
      </c>
    </row>
    <row r="8782" spans="1:7" x14ac:dyDescent="0.3">
      <c r="A8782" t="s">
        <v>35</v>
      </c>
      <c r="B8782" t="s">
        <v>2269</v>
      </c>
      <c r="C8782">
        <v>199</v>
      </c>
      <c r="D8782" t="s">
        <v>923</v>
      </c>
      <c r="E8782" t="s">
        <v>99</v>
      </c>
      <c r="F8782" t="s">
        <v>1748</v>
      </c>
      <c r="G8782" t="s">
        <v>99</v>
      </c>
    </row>
    <row r="8783" spans="1:7" x14ac:dyDescent="0.3">
      <c r="A8783" t="s">
        <v>35</v>
      </c>
      <c r="B8783" t="s">
        <v>2270</v>
      </c>
      <c r="C8783">
        <v>265</v>
      </c>
      <c r="D8783" t="s">
        <v>61</v>
      </c>
      <c r="E8783" t="s">
        <v>99</v>
      </c>
      <c r="F8783" t="s">
        <v>62</v>
      </c>
      <c r="G8783" t="s">
        <v>99</v>
      </c>
    </row>
    <row r="8784" spans="1:7" x14ac:dyDescent="0.3">
      <c r="A8784" t="s">
        <v>35</v>
      </c>
      <c r="B8784" t="s">
        <v>2271</v>
      </c>
      <c r="C8784">
        <v>1405</v>
      </c>
      <c r="D8784" t="s">
        <v>1706</v>
      </c>
      <c r="E8784" t="s">
        <v>114</v>
      </c>
      <c r="F8784" t="s">
        <v>629</v>
      </c>
      <c r="G8784" t="s">
        <v>117</v>
      </c>
    </row>
    <row r="8785" spans="1:7" x14ac:dyDescent="0.3">
      <c r="A8785" t="s">
        <v>35</v>
      </c>
      <c r="B8785" t="s">
        <v>2272</v>
      </c>
      <c r="C8785">
        <v>962</v>
      </c>
      <c r="D8785" t="s">
        <v>341</v>
      </c>
      <c r="E8785" t="s">
        <v>104</v>
      </c>
      <c r="F8785" t="s">
        <v>586</v>
      </c>
      <c r="G8785" t="s">
        <v>115</v>
      </c>
    </row>
    <row r="8786" spans="1:7" x14ac:dyDescent="0.3">
      <c r="A8786" t="s">
        <v>35</v>
      </c>
      <c r="B8786" t="s">
        <v>2273</v>
      </c>
      <c r="C8786">
        <v>941</v>
      </c>
      <c r="D8786" t="s">
        <v>465</v>
      </c>
      <c r="E8786" t="s">
        <v>104</v>
      </c>
      <c r="F8786" t="s">
        <v>885</v>
      </c>
      <c r="G8786" t="s">
        <v>104</v>
      </c>
    </row>
    <row r="8787" spans="1:7" x14ac:dyDescent="0.3">
      <c r="A8787" t="s">
        <v>35</v>
      </c>
      <c r="B8787" t="s">
        <v>976</v>
      </c>
      <c r="C8787">
        <v>290</v>
      </c>
      <c r="D8787" t="s">
        <v>617</v>
      </c>
      <c r="E8787" t="s">
        <v>99</v>
      </c>
      <c r="F8787" t="s">
        <v>940</v>
      </c>
      <c r="G8787" t="s">
        <v>207</v>
      </c>
    </row>
    <row r="8788" spans="1:7" x14ac:dyDescent="0.3">
      <c r="A8788" t="s">
        <v>35</v>
      </c>
      <c r="B8788" t="s">
        <v>2274</v>
      </c>
      <c r="C8788">
        <v>249</v>
      </c>
      <c r="D8788" t="s">
        <v>1706</v>
      </c>
      <c r="E8788" t="s">
        <v>316</v>
      </c>
      <c r="F8788" t="s">
        <v>607</v>
      </c>
      <c r="G8788" t="s">
        <v>136</v>
      </c>
    </row>
    <row r="8789" spans="1:7" x14ac:dyDescent="0.3">
      <c r="A8789" t="s">
        <v>35</v>
      </c>
      <c r="B8789" t="s">
        <v>2275</v>
      </c>
      <c r="C8789">
        <v>201</v>
      </c>
      <c r="D8789" t="s">
        <v>1108</v>
      </c>
      <c r="E8789" t="s">
        <v>198</v>
      </c>
      <c r="F8789" t="s">
        <v>1326</v>
      </c>
      <c r="G8789" t="s">
        <v>268</v>
      </c>
    </row>
    <row r="8790" spans="1:7" x14ac:dyDescent="0.3">
      <c r="A8790" t="s">
        <v>35</v>
      </c>
      <c r="B8790" t="s">
        <v>2276</v>
      </c>
      <c r="C8790">
        <v>213</v>
      </c>
      <c r="D8790" t="s">
        <v>1403</v>
      </c>
      <c r="E8790" t="s">
        <v>105</v>
      </c>
      <c r="F8790" t="s">
        <v>451</v>
      </c>
      <c r="G8790" t="s">
        <v>253</v>
      </c>
    </row>
    <row r="8791" spans="1:7" x14ac:dyDescent="0.3">
      <c r="A8791" t="s">
        <v>35</v>
      </c>
      <c r="B8791" t="s">
        <v>2277</v>
      </c>
      <c r="C8791">
        <v>1193</v>
      </c>
      <c r="D8791" t="s">
        <v>926</v>
      </c>
      <c r="E8791" t="s">
        <v>141</v>
      </c>
      <c r="F8791" t="s">
        <v>56</v>
      </c>
      <c r="G8791" t="s">
        <v>100</v>
      </c>
    </row>
    <row r="8792" spans="1:7" x14ac:dyDescent="0.3">
      <c r="A8792" t="s">
        <v>35</v>
      </c>
      <c r="B8792" t="s">
        <v>2278</v>
      </c>
      <c r="C8792">
        <v>678</v>
      </c>
      <c r="D8792" t="s">
        <v>146</v>
      </c>
      <c r="E8792" t="s">
        <v>104</v>
      </c>
      <c r="F8792" t="s">
        <v>1150</v>
      </c>
      <c r="G8792" t="s">
        <v>198</v>
      </c>
    </row>
    <row r="8793" spans="1:7" x14ac:dyDescent="0.3">
      <c r="A8793" t="s">
        <v>35</v>
      </c>
      <c r="B8793" t="s">
        <v>2279</v>
      </c>
      <c r="C8793">
        <v>536</v>
      </c>
      <c r="D8793" t="s">
        <v>702</v>
      </c>
      <c r="E8793" t="s">
        <v>136</v>
      </c>
      <c r="F8793" t="s">
        <v>1166</v>
      </c>
      <c r="G8793" t="s">
        <v>198</v>
      </c>
    </row>
    <row r="8794" spans="1:7" x14ac:dyDescent="0.3">
      <c r="A8794" t="s">
        <v>35</v>
      </c>
      <c r="B8794" t="s">
        <v>365</v>
      </c>
      <c r="C8794">
        <v>37</v>
      </c>
      <c r="D8794" t="s">
        <v>836</v>
      </c>
      <c r="E8794" t="s">
        <v>534</v>
      </c>
      <c r="F8794" t="s">
        <v>620</v>
      </c>
      <c r="G8794" t="s">
        <v>99</v>
      </c>
    </row>
    <row r="8795" spans="1:7" x14ac:dyDescent="0.3">
      <c r="A8795" t="s">
        <v>37</v>
      </c>
      <c r="B8795" t="s">
        <v>973</v>
      </c>
      <c r="C8795">
        <v>363</v>
      </c>
      <c r="D8795" t="s">
        <v>297</v>
      </c>
      <c r="E8795" t="s">
        <v>198</v>
      </c>
      <c r="F8795" t="s">
        <v>681</v>
      </c>
      <c r="G8795" t="s">
        <v>99</v>
      </c>
    </row>
    <row r="8796" spans="1:7" x14ac:dyDescent="0.3">
      <c r="A8796" t="s">
        <v>37</v>
      </c>
      <c r="B8796" t="s">
        <v>2268</v>
      </c>
      <c r="C8796">
        <v>382</v>
      </c>
      <c r="D8796" t="s">
        <v>639</v>
      </c>
      <c r="E8796" t="s">
        <v>99</v>
      </c>
      <c r="F8796" t="s">
        <v>638</v>
      </c>
      <c r="G8796" t="s">
        <v>99</v>
      </c>
    </row>
    <row r="8797" spans="1:7" x14ac:dyDescent="0.3">
      <c r="A8797" t="s">
        <v>37</v>
      </c>
      <c r="B8797" t="s">
        <v>2269</v>
      </c>
      <c r="C8797">
        <v>286</v>
      </c>
      <c r="D8797" t="s">
        <v>1118</v>
      </c>
      <c r="E8797" t="s">
        <v>99</v>
      </c>
      <c r="F8797" t="s">
        <v>1231</v>
      </c>
      <c r="G8797" t="s">
        <v>99</v>
      </c>
    </row>
    <row r="8798" spans="1:7" x14ac:dyDescent="0.3">
      <c r="A8798" t="s">
        <v>37</v>
      </c>
      <c r="B8798" t="s">
        <v>2270</v>
      </c>
      <c r="C8798">
        <v>433</v>
      </c>
      <c r="D8798" t="s">
        <v>1054</v>
      </c>
      <c r="E8798" t="s">
        <v>99</v>
      </c>
      <c r="F8798" t="s">
        <v>959</v>
      </c>
      <c r="G8798" t="s">
        <v>141</v>
      </c>
    </row>
    <row r="8799" spans="1:7" x14ac:dyDescent="0.3">
      <c r="A8799" t="s">
        <v>37</v>
      </c>
      <c r="B8799" t="s">
        <v>2271</v>
      </c>
      <c r="C8799">
        <v>1721</v>
      </c>
      <c r="D8799" t="s">
        <v>962</v>
      </c>
      <c r="E8799" t="s">
        <v>99</v>
      </c>
      <c r="F8799" t="s">
        <v>2115</v>
      </c>
      <c r="G8799" t="s">
        <v>141</v>
      </c>
    </row>
    <row r="8800" spans="1:7" x14ac:dyDescent="0.3">
      <c r="A8800" t="s">
        <v>37</v>
      </c>
      <c r="B8800" t="s">
        <v>2272</v>
      </c>
      <c r="C8800">
        <v>1151</v>
      </c>
      <c r="D8800" t="s">
        <v>137</v>
      </c>
      <c r="E8800" t="s">
        <v>99</v>
      </c>
      <c r="F8800" t="s">
        <v>541</v>
      </c>
      <c r="G8800" t="s">
        <v>207</v>
      </c>
    </row>
    <row r="8801" spans="1:7" x14ac:dyDescent="0.3">
      <c r="A8801" t="s">
        <v>37</v>
      </c>
      <c r="B8801" t="s">
        <v>2273</v>
      </c>
      <c r="C8801">
        <v>1191</v>
      </c>
      <c r="D8801" t="s">
        <v>179</v>
      </c>
      <c r="E8801" t="s">
        <v>99</v>
      </c>
      <c r="F8801" t="s">
        <v>380</v>
      </c>
      <c r="G8801" t="s">
        <v>104</v>
      </c>
    </row>
    <row r="8802" spans="1:7" x14ac:dyDescent="0.3">
      <c r="A8802" t="s">
        <v>37</v>
      </c>
      <c r="B8802" t="s">
        <v>976</v>
      </c>
      <c r="C8802">
        <v>358</v>
      </c>
      <c r="D8802" t="s">
        <v>343</v>
      </c>
      <c r="E8802" t="s">
        <v>198</v>
      </c>
      <c r="F8802" t="s">
        <v>732</v>
      </c>
      <c r="G8802" t="s">
        <v>108</v>
      </c>
    </row>
    <row r="8803" spans="1:7" x14ac:dyDescent="0.3">
      <c r="A8803" t="s">
        <v>37</v>
      </c>
      <c r="B8803" t="s">
        <v>2274</v>
      </c>
      <c r="C8803">
        <v>348</v>
      </c>
      <c r="D8803" t="s">
        <v>953</v>
      </c>
      <c r="E8803" t="s">
        <v>99</v>
      </c>
      <c r="F8803" t="s">
        <v>1415</v>
      </c>
      <c r="G8803" t="s">
        <v>99</v>
      </c>
    </row>
    <row r="8804" spans="1:7" x14ac:dyDescent="0.3">
      <c r="A8804" t="s">
        <v>37</v>
      </c>
      <c r="B8804" t="s">
        <v>2275</v>
      </c>
      <c r="C8804">
        <v>289</v>
      </c>
      <c r="D8804" t="s">
        <v>936</v>
      </c>
      <c r="E8804" t="s">
        <v>99</v>
      </c>
      <c r="F8804" t="s">
        <v>1165</v>
      </c>
      <c r="G8804" t="s">
        <v>99</v>
      </c>
    </row>
    <row r="8805" spans="1:7" x14ac:dyDescent="0.3">
      <c r="A8805" t="s">
        <v>37</v>
      </c>
      <c r="B8805" t="s">
        <v>2276</v>
      </c>
      <c r="C8805">
        <v>338</v>
      </c>
      <c r="D8805" t="s">
        <v>472</v>
      </c>
      <c r="E8805" t="s">
        <v>99</v>
      </c>
      <c r="F8805" t="s">
        <v>692</v>
      </c>
      <c r="G8805" t="s">
        <v>198</v>
      </c>
    </row>
    <row r="8806" spans="1:7" x14ac:dyDescent="0.3">
      <c r="A8806" t="s">
        <v>37</v>
      </c>
      <c r="B8806" t="s">
        <v>2277</v>
      </c>
      <c r="C8806">
        <v>1510</v>
      </c>
      <c r="D8806" t="s">
        <v>770</v>
      </c>
      <c r="E8806" t="s">
        <v>104</v>
      </c>
      <c r="F8806" t="s">
        <v>119</v>
      </c>
      <c r="G8806" t="s">
        <v>253</v>
      </c>
    </row>
    <row r="8807" spans="1:7" x14ac:dyDescent="0.3">
      <c r="A8807" t="s">
        <v>37</v>
      </c>
      <c r="B8807" t="s">
        <v>2278</v>
      </c>
      <c r="C8807">
        <v>945</v>
      </c>
      <c r="D8807" t="s">
        <v>459</v>
      </c>
      <c r="E8807" t="s">
        <v>198</v>
      </c>
      <c r="F8807" t="s">
        <v>983</v>
      </c>
      <c r="G8807" t="s">
        <v>207</v>
      </c>
    </row>
    <row r="8808" spans="1:7" x14ac:dyDescent="0.3">
      <c r="A8808" t="s">
        <v>37</v>
      </c>
      <c r="B8808" t="s">
        <v>2279</v>
      </c>
      <c r="C8808">
        <v>731</v>
      </c>
      <c r="D8808" t="s">
        <v>309</v>
      </c>
      <c r="E8808" t="s">
        <v>99</v>
      </c>
      <c r="F8808" t="s">
        <v>623</v>
      </c>
      <c r="G8808" t="s">
        <v>99</v>
      </c>
    </row>
    <row r="8809" spans="1:7" x14ac:dyDescent="0.3">
      <c r="A8809" t="s">
        <v>37</v>
      </c>
      <c r="B8809" t="s">
        <v>365</v>
      </c>
      <c r="C8809">
        <v>13</v>
      </c>
      <c r="D8809" t="s">
        <v>874</v>
      </c>
      <c r="E8809" t="s">
        <v>99</v>
      </c>
      <c r="F8809" t="s">
        <v>696</v>
      </c>
      <c r="G8809" t="s">
        <v>99</v>
      </c>
    </row>
    <row r="8810" spans="1:7" x14ac:dyDescent="0.3">
      <c r="A8810" t="s">
        <v>36</v>
      </c>
      <c r="B8810" t="s">
        <v>973</v>
      </c>
      <c r="C8810">
        <v>260</v>
      </c>
      <c r="D8810" t="s">
        <v>509</v>
      </c>
      <c r="E8810" t="s">
        <v>99</v>
      </c>
      <c r="F8810" t="s">
        <v>706</v>
      </c>
      <c r="G8810" t="s">
        <v>99</v>
      </c>
    </row>
    <row r="8811" spans="1:7" x14ac:dyDescent="0.3">
      <c r="A8811" t="s">
        <v>36</v>
      </c>
      <c r="B8811" t="s">
        <v>2268</v>
      </c>
      <c r="C8811">
        <v>251</v>
      </c>
      <c r="D8811" t="s">
        <v>1001</v>
      </c>
      <c r="E8811" t="s">
        <v>99</v>
      </c>
      <c r="F8811" t="s">
        <v>924</v>
      </c>
      <c r="G8811" t="s">
        <v>99</v>
      </c>
    </row>
    <row r="8812" spans="1:7" x14ac:dyDescent="0.3">
      <c r="A8812" t="s">
        <v>36</v>
      </c>
      <c r="B8812" t="s">
        <v>2269</v>
      </c>
      <c r="C8812">
        <v>184</v>
      </c>
      <c r="D8812" t="s">
        <v>1106</v>
      </c>
      <c r="E8812" t="s">
        <v>99</v>
      </c>
      <c r="F8812" t="s">
        <v>570</v>
      </c>
      <c r="G8812" t="s">
        <v>99</v>
      </c>
    </row>
    <row r="8813" spans="1:7" x14ac:dyDescent="0.3">
      <c r="A8813" t="s">
        <v>36</v>
      </c>
      <c r="B8813" t="s">
        <v>2270</v>
      </c>
      <c r="C8813">
        <v>217</v>
      </c>
      <c r="D8813" t="s">
        <v>522</v>
      </c>
      <c r="E8813" t="s">
        <v>99</v>
      </c>
      <c r="F8813" t="s">
        <v>725</v>
      </c>
      <c r="G8813" t="s">
        <v>215</v>
      </c>
    </row>
    <row r="8814" spans="1:7" x14ac:dyDescent="0.3">
      <c r="A8814" t="s">
        <v>36</v>
      </c>
      <c r="B8814" t="s">
        <v>2271</v>
      </c>
      <c r="C8814">
        <v>1115</v>
      </c>
      <c r="D8814" t="s">
        <v>1182</v>
      </c>
      <c r="E8814" t="s">
        <v>198</v>
      </c>
      <c r="F8814" t="s">
        <v>609</v>
      </c>
      <c r="G8814" t="s">
        <v>141</v>
      </c>
    </row>
    <row r="8815" spans="1:7" x14ac:dyDescent="0.3">
      <c r="A8815" t="s">
        <v>36</v>
      </c>
      <c r="B8815" t="s">
        <v>2272</v>
      </c>
      <c r="C8815">
        <v>741</v>
      </c>
      <c r="D8815" t="s">
        <v>60</v>
      </c>
      <c r="E8815" t="s">
        <v>207</v>
      </c>
      <c r="F8815" t="s">
        <v>484</v>
      </c>
      <c r="G8815" t="s">
        <v>99</v>
      </c>
    </row>
    <row r="8816" spans="1:7" x14ac:dyDescent="0.3">
      <c r="A8816" t="s">
        <v>36</v>
      </c>
      <c r="B8816" t="s">
        <v>2273</v>
      </c>
      <c r="C8816">
        <v>614</v>
      </c>
      <c r="D8816" t="s">
        <v>457</v>
      </c>
      <c r="E8816" t="s">
        <v>99</v>
      </c>
      <c r="F8816" t="s">
        <v>1012</v>
      </c>
      <c r="G8816" t="s">
        <v>207</v>
      </c>
    </row>
    <row r="8817" spans="1:7" x14ac:dyDescent="0.3">
      <c r="A8817" t="s">
        <v>36</v>
      </c>
      <c r="B8817" t="s">
        <v>976</v>
      </c>
      <c r="C8817">
        <v>244</v>
      </c>
      <c r="D8817" t="s">
        <v>541</v>
      </c>
      <c r="E8817" t="s">
        <v>99</v>
      </c>
      <c r="F8817" t="s">
        <v>717</v>
      </c>
      <c r="G8817" t="s">
        <v>104</v>
      </c>
    </row>
    <row r="8818" spans="1:7" x14ac:dyDescent="0.3">
      <c r="A8818" t="s">
        <v>36</v>
      </c>
      <c r="B8818" t="s">
        <v>2274</v>
      </c>
      <c r="C8818">
        <v>240</v>
      </c>
      <c r="D8818" t="s">
        <v>1363</v>
      </c>
      <c r="E8818" t="s">
        <v>99</v>
      </c>
      <c r="F8818" t="s">
        <v>153</v>
      </c>
      <c r="G8818" t="s">
        <v>99</v>
      </c>
    </row>
    <row r="8819" spans="1:7" x14ac:dyDescent="0.3">
      <c r="A8819" t="s">
        <v>36</v>
      </c>
      <c r="B8819" t="s">
        <v>2275</v>
      </c>
      <c r="C8819">
        <v>179</v>
      </c>
      <c r="D8819" t="s">
        <v>1704</v>
      </c>
      <c r="E8819" t="s">
        <v>99</v>
      </c>
      <c r="F8819" t="s">
        <v>607</v>
      </c>
      <c r="G8819" t="s">
        <v>99</v>
      </c>
    </row>
    <row r="8820" spans="1:7" x14ac:dyDescent="0.3">
      <c r="A8820" t="s">
        <v>36</v>
      </c>
      <c r="B8820" t="s">
        <v>2276</v>
      </c>
      <c r="C8820">
        <v>171</v>
      </c>
      <c r="D8820" t="s">
        <v>991</v>
      </c>
      <c r="E8820" t="s">
        <v>99</v>
      </c>
      <c r="F8820" t="s">
        <v>990</v>
      </c>
      <c r="G8820" t="s">
        <v>104</v>
      </c>
    </row>
    <row r="8821" spans="1:7" x14ac:dyDescent="0.3">
      <c r="A8821" t="s">
        <v>36</v>
      </c>
      <c r="B8821" t="s">
        <v>2277</v>
      </c>
      <c r="C8821">
        <v>834</v>
      </c>
      <c r="D8821" t="s">
        <v>1146</v>
      </c>
      <c r="E8821" t="s">
        <v>99</v>
      </c>
      <c r="F8821" t="s">
        <v>489</v>
      </c>
      <c r="G8821" t="s">
        <v>207</v>
      </c>
    </row>
    <row r="8822" spans="1:7" x14ac:dyDescent="0.3">
      <c r="A8822" t="s">
        <v>36</v>
      </c>
      <c r="B8822" t="s">
        <v>2278</v>
      </c>
      <c r="C8822">
        <v>534</v>
      </c>
      <c r="D8822" t="s">
        <v>604</v>
      </c>
      <c r="E8822" t="s">
        <v>132</v>
      </c>
      <c r="F8822" t="s">
        <v>1236</v>
      </c>
      <c r="G8822" t="s">
        <v>136</v>
      </c>
    </row>
    <row r="8823" spans="1:7" x14ac:dyDescent="0.3">
      <c r="A8823" t="s">
        <v>36</v>
      </c>
      <c r="B8823" t="s">
        <v>2279</v>
      </c>
      <c r="C8823">
        <v>397</v>
      </c>
      <c r="D8823" t="s">
        <v>960</v>
      </c>
      <c r="E8823" t="s">
        <v>99</v>
      </c>
      <c r="F8823" t="s">
        <v>1065</v>
      </c>
      <c r="G8823" t="s">
        <v>99</v>
      </c>
    </row>
    <row r="8824" spans="1:7" x14ac:dyDescent="0.3">
      <c r="A8824" t="s">
        <v>36</v>
      </c>
      <c r="B8824" t="s">
        <v>365</v>
      </c>
      <c r="C8824">
        <v>26</v>
      </c>
      <c r="D8824" t="s">
        <v>1047</v>
      </c>
      <c r="E8824" t="s">
        <v>147</v>
      </c>
      <c r="F8824" t="s">
        <v>1059</v>
      </c>
      <c r="G8824" t="s">
        <v>126</v>
      </c>
    </row>
    <row r="8825" spans="1:7" x14ac:dyDescent="0.3">
      <c r="A8825" t="s">
        <v>34</v>
      </c>
      <c r="B8825" t="s">
        <v>973</v>
      </c>
      <c r="C8825">
        <v>210</v>
      </c>
      <c r="D8825" t="s">
        <v>767</v>
      </c>
      <c r="E8825" t="s">
        <v>99</v>
      </c>
      <c r="F8825" t="s">
        <v>276</v>
      </c>
      <c r="G8825" t="s">
        <v>99</v>
      </c>
    </row>
    <row r="8826" spans="1:7" x14ac:dyDescent="0.3">
      <c r="A8826" t="s">
        <v>34</v>
      </c>
      <c r="B8826" t="s">
        <v>2268</v>
      </c>
      <c r="C8826">
        <v>164</v>
      </c>
      <c r="D8826" t="s">
        <v>1103</v>
      </c>
      <c r="E8826" t="s">
        <v>99</v>
      </c>
      <c r="F8826" t="s">
        <v>283</v>
      </c>
      <c r="G8826" t="s">
        <v>207</v>
      </c>
    </row>
    <row r="8827" spans="1:7" x14ac:dyDescent="0.3">
      <c r="A8827" t="s">
        <v>34</v>
      </c>
      <c r="B8827" t="s">
        <v>2269</v>
      </c>
      <c r="C8827">
        <v>121</v>
      </c>
      <c r="D8827" t="s">
        <v>635</v>
      </c>
      <c r="E8827" t="s">
        <v>99</v>
      </c>
      <c r="F8827" t="s">
        <v>822</v>
      </c>
      <c r="G8827" t="s">
        <v>99</v>
      </c>
    </row>
    <row r="8828" spans="1:7" x14ac:dyDescent="0.3">
      <c r="A8828" t="s">
        <v>34</v>
      </c>
      <c r="B8828" t="s">
        <v>2270</v>
      </c>
      <c r="C8828">
        <v>137</v>
      </c>
      <c r="D8828" t="s">
        <v>514</v>
      </c>
      <c r="E8828" t="s">
        <v>99</v>
      </c>
      <c r="F8828" t="s">
        <v>513</v>
      </c>
      <c r="G8828" t="s">
        <v>99</v>
      </c>
    </row>
    <row r="8829" spans="1:7" x14ac:dyDescent="0.3">
      <c r="A8829" t="s">
        <v>34</v>
      </c>
      <c r="B8829" t="s">
        <v>2271</v>
      </c>
      <c r="C8829">
        <v>893</v>
      </c>
      <c r="D8829" t="s">
        <v>905</v>
      </c>
      <c r="E8829" t="s">
        <v>99</v>
      </c>
      <c r="F8829" t="s">
        <v>1184</v>
      </c>
      <c r="G8829" t="s">
        <v>114</v>
      </c>
    </row>
    <row r="8830" spans="1:7" x14ac:dyDescent="0.3">
      <c r="A8830" t="s">
        <v>34</v>
      </c>
      <c r="B8830" t="s">
        <v>2272</v>
      </c>
      <c r="C8830">
        <v>646</v>
      </c>
      <c r="D8830" t="s">
        <v>699</v>
      </c>
      <c r="E8830" t="s">
        <v>207</v>
      </c>
      <c r="F8830" t="s">
        <v>304</v>
      </c>
      <c r="G8830" t="s">
        <v>121</v>
      </c>
    </row>
    <row r="8831" spans="1:7" x14ac:dyDescent="0.3">
      <c r="A8831" t="s">
        <v>34</v>
      </c>
      <c r="B8831" t="s">
        <v>2273</v>
      </c>
      <c r="C8831">
        <v>629</v>
      </c>
      <c r="D8831" t="s">
        <v>167</v>
      </c>
      <c r="E8831" t="s">
        <v>198</v>
      </c>
      <c r="F8831" t="s">
        <v>439</v>
      </c>
      <c r="G8831" t="s">
        <v>136</v>
      </c>
    </row>
    <row r="8832" spans="1:7" x14ac:dyDescent="0.3">
      <c r="A8832" t="s">
        <v>34</v>
      </c>
      <c r="B8832" t="s">
        <v>976</v>
      </c>
      <c r="C8832">
        <v>194</v>
      </c>
      <c r="D8832" t="s">
        <v>297</v>
      </c>
      <c r="E8832" t="s">
        <v>99</v>
      </c>
      <c r="F8832" t="s">
        <v>485</v>
      </c>
      <c r="G8832" t="s">
        <v>99</v>
      </c>
    </row>
    <row r="8833" spans="1:7" x14ac:dyDescent="0.3">
      <c r="A8833" t="s">
        <v>34</v>
      </c>
      <c r="B8833" t="s">
        <v>2274</v>
      </c>
      <c r="C8833">
        <v>164</v>
      </c>
      <c r="D8833" t="s">
        <v>1153</v>
      </c>
      <c r="E8833" t="s">
        <v>99</v>
      </c>
      <c r="F8833" t="s">
        <v>674</v>
      </c>
      <c r="G8833" t="s">
        <v>126</v>
      </c>
    </row>
    <row r="8834" spans="1:7" x14ac:dyDescent="0.3">
      <c r="A8834" t="s">
        <v>34</v>
      </c>
      <c r="B8834" t="s">
        <v>2275</v>
      </c>
      <c r="C8834">
        <v>108</v>
      </c>
      <c r="D8834" t="s">
        <v>611</v>
      </c>
      <c r="E8834" t="s">
        <v>99</v>
      </c>
      <c r="F8834" t="s">
        <v>610</v>
      </c>
      <c r="G8834" t="s">
        <v>99</v>
      </c>
    </row>
    <row r="8835" spans="1:7" x14ac:dyDescent="0.3">
      <c r="A8835" t="s">
        <v>34</v>
      </c>
      <c r="B8835" t="s">
        <v>2276</v>
      </c>
      <c r="C8835">
        <v>118</v>
      </c>
      <c r="D8835" t="s">
        <v>1166</v>
      </c>
      <c r="E8835" t="s">
        <v>99</v>
      </c>
      <c r="F8835" t="s">
        <v>864</v>
      </c>
      <c r="G8835" t="s">
        <v>215</v>
      </c>
    </row>
    <row r="8836" spans="1:7" x14ac:dyDescent="0.3">
      <c r="A8836" t="s">
        <v>34</v>
      </c>
      <c r="B8836" t="s">
        <v>2277</v>
      </c>
      <c r="C8836">
        <v>667</v>
      </c>
      <c r="D8836" t="s">
        <v>1049</v>
      </c>
      <c r="E8836" t="s">
        <v>136</v>
      </c>
      <c r="F8836" t="s">
        <v>906</v>
      </c>
      <c r="G8836" t="s">
        <v>115</v>
      </c>
    </row>
    <row r="8837" spans="1:7" x14ac:dyDescent="0.3">
      <c r="A8837" t="s">
        <v>34</v>
      </c>
      <c r="B8837" t="s">
        <v>2278</v>
      </c>
      <c r="C8837">
        <v>454</v>
      </c>
      <c r="D8837" t="s">
        <v>624</v>
      </c>
      <c r="E8837" t="s">
        <v>99</v>
      </c>
      <c r="F8837" t="s">
        <v>1006</v>
      </c>
      <c r="G8837" t="s">
        <v>114</v>
      </c>
    </row>
    <row r="8838" spans="1:7" x14ac:dyDescent="0.3">
      <c r="A8838" t="s">
        <v>34</v>
      </c>
      <c r="B8838" t="s">
        <v>2279</v>
      </c>
      <c r="C8838">
        <v>378</v>
      </c>
      <c r="D8838" t="s">
        <v>802</v>
      </c>
      <c r="E8838" t="s">
        <v>141</v>
      </c>
      <c r="F8838" t="s">
        <v>259</v>
      </c>
      <c r="G8838" t="s">
        <v>99</v>
      </c>
    </row>
    <row r="8839" spans="1:7" x14ac:dyDescent="0.3">
      <c r="A8839" t="s">
        <v>34</v>
      </c>
      <c r="B8839" t="s">
        <v>365</v>
      </c>
      <c r="C8839">
        <v>33</v>
      </c>
      <c r="D8839" t="s">
        <v>2118</v>
      </c>
      <c r="E8839" t="s">
        <v>99</v>
      </c>
      <c r="F8839" t="s">
        <v>713</v>
      </c>
      <c r="G8839" t="s">
        <v>99</v>
      </c>
    </row>
    <row r="8840" spans="1:7" x14ac:dyDescent="0.3">
      <c r="A8840" t="s">
        <v>33</v>
      </c>
      <c r="B8840" t="s">
        <v>973</v>
      </c>
      <c r="C8840">
        <v>168</v>
      </c>
      <c r="D8840" t="s">
        <v>935</v>
      </c>
      <c r="E8840" t="s">
        <v>115</v>
      </c>
      <c r="F8840" t="s">
        <v>1222</v>
      </c>
      <c r="G8840" t="s">
        <v>99</v>
      </c>
    </row>
    <row r="8841" spans="1:7" x14ac:dyDescent="0.3">
      <c r="A8841" t="s">
        <v>33</v>
      </c>
      <c r="B8841" t="s">
        <v>2268</v>
      </c>
      <c r="C8841">
        <v>143</v>
      </c>
      <c r="D8841" t="s">
        <v>1061</v>
      </c>
      <c r="E8841" t="s">
        <v>99</v>
      </c>
      <c r="F8841" t="s">
        <v>1570</v>
      </c>
      <c r="G8841" t="s">
        <v>99</v>
      </c>
    </row>
    <row r="8842" spans="1:7" x14ac:dyDescent="0.3">
      <c r="A8842" t="s">
        <v>33</v>
      </c>
      <c r="B8842" t="s">
        <v>2269</v>
      </c>
      <c r="C8842">
        <v>104</v>
      </c>
      <c r="D8842" t="s">
        <v>1222</v>
      </c>
      <c r="E8842" t="s">
        <v>99</v>
      </c>
      <c r="F8842" t="s">
        <v>1368</v>
      </c>
      <c r="G8842" t="s">
        <v>99</v>
      </c>
    </row>
    <row r="8843" spans="1:7" x14ac:dyDescent="0.3">
      <c r="A8843" t="s">
        <v>33</v>
      </c>
      <c r="B8843" t="s">
        <v>2270</v>
      </c>
      <c r="C8843">
        <v>168</v>
      </c>
      <c r="D8843" t="s">
        <v>905</v>
      </c>
      <c r="E8843" t="s">
        <v>99</v>
      </c>
      <c r="F8843" t="s">
        <v>603</v>
      </c>
      <c r="G8843" t="s">
        <v>141</v>
      </c>
    </row>
    <row r="8844" spans="1:7" x14ac:dyDescent="0.3">
      <c r="A8844" t="s">
        <v>33</v>
      </c>
      <c r="B8844" t="s">
        <v>2271</v>
      </c>
      <c r="C8844">
        <v>860</v>
      </c>
      <c r="D8844" t="s">
        <v>1179</v>
      </c>
      <c r="E8844" t="s">
        <v>104</v>
      </c>
      <c r="F8844" t="s">
        <v>589</v>
      </c>
      <c r="G8844" t="s">
        <v>108</v>
      </c>
    </row>
    <row r="8845" spans="1:7" x14ac:dyDescent="0.3">
      <c r="A8845" t="s">
        <v>33</v>
      </c>
      <c r="B8845" t="s">
        <v>2272</v>
      </c>
      <c r="C8845">
        <v>556</v>
      </c>
      <c r="D8845" t="s">
        <v>39</v>
      </c>
      <c r="E8845" t="s">
        <v>198</v>
      </c>
      <c r="F8845" t="s">
        <v>1476</v>
      </c>
      <c r="G8845" t="s">
        <v>108</v>
      </c>
    </row>
    <row r="8846" spans="1:7" x14ac:dyDescent="0.3">
      <c r="A8846" t="s">
        <v>33</v>
      </c>
      <c r="B8846" t="s">
        <v>2273</v>
      </c>
      <c r="C8846">
        <v>547</v>
      </c>
      <c r="D8846" t="s">
        <v>401</v>
      </c>
      <c r="E8846" t="s">
        <v>99</v>
      </c>
      <c r="F8846" t="s">
        <v>73</v>
      </c>
      <c r="G8846" t="s">
        <v>141</v>
      </c>
    </row>
    <row r="8847" spans="1:7" x14ac:dyDescent="0.3">
      <c r="A8847" t="s">
        <v>33</v>
      </c>
      <c r="B8847" t="s">
        <v>976</v>
      </c>
      <c r="C8847">
        <v>147</v>
      </c>
      <c r="D8847" t="s">
        <v>1006</v>
      </c>
      <c r="E8847" t="s">
        <v>99</v>
      </c>
      <c r="F8847" t="s">
        <v>584</v>
      </c>
      <c r="G8847" t="s">
        <v>99</v>
      </c>
    </row>
    <row r="8848" spans="1:7" x14ac:dyDescent="0.3">
      <c r="A8848" t="s">
        <v>33</v>
      </c>
      <c r="B8848" t="s">
        <v>2274</v>
      </c>
      <c r="C8848">
        <v>146</v>
      </c>
      <c r="D8848" t="s">
        <v>630</v>
      </c>
      <c r="E8848" t="s">
        <v>132</v>
      </c>
      <c r="F8848" t="s">
        <v>555</v>
      </c>
      <c r="G8848" t="s">
        <v>99</v>
      </c>
    </row>
    <row r="8849" spans="1:7" x14ac:dyDescent="0.3">
      <c r="A8849" t="s">
        <v>33</v>
      </c>
      <c r="B8849" t="s">
        <v>2275</v>
      </c>
      <c r="C8849">
        <v>110</v>
      </c>
      <c r="D8849" t="s">
        <v>1498</v>
      </c>
      <c r="E8849" t="s">
        <v>99</v>
      </c>
      <c r="F8849" t="s">
        <v>633</v>
      </c>
      <c r="G8849" t="s">
        <v>115</v>
      </c>
    </row>
    <row r="8850" spans="1:7" x14ac:dyDescent="0.3">
      <c r="A8850" t="s">
        <v>33</v>
      </c>
      <c r="B8850" t="s">
        <v>2276</v>
      </c>
      <c r="C8850">
        <v>134</v>
      </c>
      <c r="D8850" t="s">
        <v>1327</v>
      </c>
      <c r="E8850" t="s">
        <v>99</v>
      </c>
      <c r="F8850" t="s">
        <v>666</v>
      </c>
      <c r="G8850" t="s">
        <v>99</v>
      </c>
    </row>
    <row r="8851" spans="1:7" x14ac:dyDescent="0.3">
      <c r="A8851" t="s">
        <v>33</v>
      </c>
      <c r="B8851" t="s">
        <v>2277</v>
      </c>
      <c r="C8851">
        <v>712</v>
      </c>
      <c r="D8851" t="s">
        <v>900</v>
      </c>
      <c r="E8851" t="s">
        <v>99</v>
      </c>
      <c r="F8851" t="s">
        <v>827</v>
      </c>
      <c r="G8851" t="s">
        <v>198</v>
      </c>
    </row>
    <row r="8852" spans="1:7" x14ac:dyDescent="0.3">
      <c r="A8852" t="s">
        <v>33</v>
      </c>
      <c r="B8852" t="s">
        <v>2278</v>
      </c>
      <c r="C8852">
        <v>423</v>
      </c>
      <c r="D8852" t="s">
        <v>1156</v>
      </c>
      <c r="E8852" t="s">
        <v>99</v>
      </c>
      <c r="F8852" t="s">
        <v>1291</v>
      </c>
      <c r="G8852" t="s">
        <v>198</v>
      </c>
    </row>
    <row r="8853" spans="1:7" x14ac:dyDescent="0.3">
      <c r="A8853" t="s">
        <v>33</v>
      </c>
      <c r="B8853" t="s">
        <v>2279</v>
      </c>
      <c r="C8853">
        <v>355</v>
      </c>
      <c r="D8853" t="s">
        <v>700</v>
      </c>
      <c r="E8853" t="s">
        <v>99</v>
      </c>
      <c r="F8853" t="s">
        <v>543</v>
      </c>
      <c r="G8853" t="s">
        <v>99</v>
      </c>
    </row>
    <row r="8854" spans="1:7" x14ac:dyDescent="0.3">
      <c r="A8854" t="s">
        <v>33</v>
      </c>
      <c r="B8854" t="s">
        <v>365</v>
      </c>
      <c r="C8854">
        <v>3</v>
      </c>
      <c r="D8854" t="s">
        <v>211</v>
      </c>
      <c r="E8854" t="s">
        <v>99</v>
      </c>
      <c r="F8854" t="s">
        <v>99</v>
      </c>
      <c r="G8854" t="s">
        <v>99</v>
      </c>
    </row>
    <row r="8855" spans="1:7" x14ac:dyDescent="0.3">
      <c r="A8855" t="s">
        <v>49</v>
      </c>
      <c r="B8855" t="s">
        <v>973</v>
      </c>
      <c r="C8855">
        <v>1275</v>
      </c>
      <c r="D8855" t="s">
        <v>480</v>
      </c>
      <c r="E8855" t="s">
        <v>207</v>
      </c>
      <c r="F8855" t="s">
        <v>834</v>
      </c>
      <c r="G8855" t="s">
        <v>99</v>
      </c>
    </row>
    <row r="8856" spans="1:7" x14ac:dyDescent="0.3">
      <c r="A8856" t="s">
        <v>49</v>
      </c>
      <c r="B8856" t="s">
        <v>2268</v>
      </c>
      <c r="C8856">
        <v>1222</v>
      </c>
      <c r="D8856" t="s">
        <v>863</v>
      </c>
      <c r="E8856" t="s">
        <v>99</v>
      </c>
      <c r="F8856" t="s">
        <v>698</v>
      </c>
      <c r="G8856" t="s">
        <v>104</v>
      </c>
    </row>
    <row r="8857" spans="1:7" x14ac:dyDescent="0.3">
      <c r="A8857" t="s">
        <v>49</v>
      </c>
      <c r="B8857" t="s">
        <v>2269</v>
      </c>
      <c r="C8857">
        <v>894</v>
      </c>
      <c r="D8857" t="s">
        <v>957</v>
      </c>
      <c r="E8857" t="s">
        <v>99</v>
      </c>
      <c r="F8857" t="s">
        <v>1002</v>
      </c>
      <c r="G8857" t="s">
        <v>99</v>
      </c>
    </row>
    <row r="8858" spans="1:7" x14ac:dyDescent="0.3">
      <c r="A8858" t="s">
        <v>49</v>
      </c>
      <c r="B8858" t="s">
        <v>2270</v>
      </c>
      <c r="C8858">
        <v>1220</v>
      </c>
      <c r="D8858" t="s">
        <v>346</v>
      </c>
      <c r="E8858" t="s">
        <v>99</v>
      </c>
      <c r="F8858" t="s">
        <v>1115</v>
      </c>
      <c r="G8858" t="s">
        <v>136</v>
      </c>
    </row>
    <row r="8859" spans="1:7" x14ac:dyDescent="0.3">
      <c r="A8859" t="s">
        <v>49</v>
      </c>
      <c r="B8859" t="s">
        <v>2271</v>
      </c>
      <c r="C8859">
        <v>5994</v>
      </c>
      <c r="D8859" t="s">
        <v>1231</v>
      </c>
      <c r="E8859" t="s">
        <v>136</v>
      </c>
      <c r="F8859" t="s">
        <v>946</v>
      </c>
      <c r="G8859" t="s">
        <v>121</v>
      </c>
    </row>
    <row r="8860" spans="1:7" x14ac:dyDescent="0.3">
      <c r="A8860" t="s">
        <v>49</v>
      </c>
      <c r="B8860" t="s">
        <v>2272</v>
      </c>
      <c r="C8860">
        <v>4056</v>
      </c>
      <c r="D8860" t="s">
        <v>156</v>
      </c>
      <c r="E8860" t="s">
        <v>104</v>
      </c>
      <c r="F8860" t="s">
        <v>1075</v>
      </c>
      <c r="G8860" t="s">
        <v>115</v>
      </c>
    </row>
    <row r="8861" spans="1:7" x14ac:dyDescent="0.3">
      <c r="A8861" t="s">
        <v>49</v>
      </c>
      <c r="B8861" t="s">
        <v>2273</v>
      </c>
      <c r="C8861">
        <v>3922</v>
      </c>
      <c r="D8861" t="s">
        <v>244</v>
      </c>
      <c r="E8861" t="s">
        <v>99</v>
      </c>
      <c r="F8861" t="s">
        <v>314</v>
      </c>
      <c r="G8861" t="s">
        <v>198</v>
      </c>
    </row>
    <row r="8862" spans="1:7" x14ac:dyDescent="0.3">
      <c r="A8862" t="s">
        <v>49</v>
      </c>
      <c r="B8862" t="s">
        <v>976</v>
      </c>
      <c r="C8862">
        <v>1233</v>
      </c>
      <c r="D8862" t="s">
        <v>546</v>
      </c>
      <c r="E8862" t="s">
        <v>99</v>
      </c>
      <c r="F8862" t="s">
        <v>574</v>
      </c>
      <c r="G8862" t="s">
        <v>136</v>
      </c>
    </row>
    <row r="8863" spans="1:7" x14ac:dyDescent="0.3">
      <c r="A8863" t="s">
        <v>49</v>
      </c>
      <c r="B8863" t="s">
        <v>2274</v>
      </c>
      <c r="C8863">
        <v>1147</v>
      </c>
      <c r="D8863" t="s">
        <v>522</v>
      </c>
      <c r="E8863" t="s">
        <v>132</v>
      </c>
      <c r="F8863" t="s">
        <v>1154</v>
      </c>
      <c r="G8863" t="s">
        <v>136</v>
      </c>
    </row>
    <row r="8864" spans="1:7" x14ac:dyDescent="0.3">
      <c r="A8864" t="s">
        <v>49</v>
      </c>
      <c r="B8864" t="s">
        <v>2275</v>
      </c>
      <c r="C8864">
        <v>887</v>
      </c>
      <c r="D8864" t="s">
        <v>1178</v>
      </c>
      <c r="E8864" t="s">
        <v>104</v>
      </c>
      <c r="F8864" t="s">
        <v>1116</v>
      </c>
      <c r="G8864" t="s">
        <v>108</v>
      </c>
    </row>
    <row r="8865" spans="1:7" x14ac:dyDescent="0.3">
      <c r="A8865" t="s">
        <v>49</v>
      </c>
      <c r="B8865" t="s">
        <v>2276</v>
      </c>
      <c r="C8865">
        <v>974</v>
      </c>
      <c r="D8865" t="s">
        <v>1457</v>
      </c>
      <c r="E8865" t="s">
        <v>115</v>
      </c>
      <c r="F8865" t="s">
        <v>842</v>
      </c>
      <c r="G8865" t="s">
        <v>253</v>
      </c>
    </row>
    <row r="8866" spans="1:7" x14ac:dyDescent="0.3">
      <c r="A8866" t="s">
        <v>49</v>
      </c>
      <c r="B8866" t="s">
        <v>2277</v>
      </c>
      <c r="C8866">
        <v>4916</v>
      </c>
      <c r="D8866" t="s">
        <v>922</v>
      </c>
      <c r="E8866" t="s">
        <v>207</v>
      </c>
      <c r="F8866" t="s">
        <v>56</v>
      </c>
      <c r="G8866" t="s">
        <v>115</v>
      </c>
    </row>
    <row r="8867" spans="1:7" x14ac:dyDescent="0.3">
      <c r="A8867" t="s">
        <v>49</v>
      </c>
      <c r="B8867" t="s">
        <v>2278</v>
      </c>
      <c r="C8867">
        <v>3034</v>
      </c>
      <c r="D8867" t="s">
        <v>459</v>
      </c>
      <c r="E8867" t="s">
        <v>198</v>
      </c>
      <c r="F8867" t="s">
        <v>983</v>
      </c>
      <c r="G8867" t="s">
        <v>136</v>
      </c>
    </row>
    <row r="8868" spans="1:7" x14ac:dyDescent="0.3">
      <c r="A8868" t="s">
        <v>49</v>
      </c>
      <c r="B8868" t="s">
        <v>2279</v>
      </c>
      <c r="C8868">
        <v>2397</v>
      </c>
      <c r="D8868" t="s">
        <v>802</v>
      </c>
      <c r="E8868" t="s">
        <v>198</v>
      </c>
      <c r="F8868" t="s">
        <v>859</v>
      </c>
      <c r="G8868" t="s">
        <v>104</v>
      </c>
    </row>
    <row r="8869" spans="1:7" x14ac:dyDescent="0.3">
      <c r="A8869" t="s">
        <v>49</v>
      </c>
      <c r="B8869" t="s">
        <v>365</v>
      </c>
      <c r="C8869">
        <v>112</v>
      </c>
      <c r="D8869" t="s">
        <v>559</v>
      </c>
      <c r="E8869" t="s">
        <v>461</v>
      </c>
      <c r="F8869" t="s">
        <v>967</v>
      </c>
      <c r="G8869" t="s">
        <v>104</v>
      </c>
    </row>
    <row r="8871" spans="1:7" x14ac:dyDescent="0.3">
      <c r="A8871" t="s">
        <v>2355</v>
      </c>
    </row>
    <row r="8872" spans="1:7" x14ac:dyDescent="0.3">
      <c r="A8872" t="s">
        <v>44</v>
      </c>
      <c r="B8872" t="s">
        <v>2281</v>
      </c>
      <c r="C8872" t="s">
        <v>32</v>
      </c>
      <c r="D8872" t="s">
        <v>352</v>
      </c>
      <c r="E8872" t="s">
        <v>66</v>
      </c>
      <c r="F8872" t="s">
        <v>67</v>
      </c>
      <c r="G8872" t="s">
        <v>193</v>
      </c>
    </row>
    <row r="8873" spans="1:7" x14ac:dyDescent="0.3">
      <c r="A8873" t="s">
        <v>35</v>
      </c>
      <c r="B8873" t="s">
        <v>2282</v>
      </c>
      <c r="C8873">
        <v>1067</v>
      </c>
      <c r="D8873" t="s">
        <v>114</v>
      </c>
      <c r="E8873" t="s">
        <v>751</v>
      </c>
      <c r="F8873" t="s">
        <v>424</v>
      </c>
      <c r="G8873" t="s">
        <v>132</v>
      </c>
    </row>
    <row r="8874" spans="1:7" x14ac:dyDescent="0.3">
      <c r="A8874" t="s">
        <v>35</v>
      </c>
      <c r="B8874" t="s">
        <v>2283</v>
      </c>
      <c r="C8874">
        <v>6243</v>
      </c>
      <c r="D8874" t="s">
        <v>108</v>
      </c>
      <c r="E8874" t="s">
        <v>1116</v>
      </c>
      <c r="F8874" t="s">
        <v>884</v>
      </c>
      <c r="G8874" t="s">
        <v>136</v>
      </c>
    </row>
    <row r="8875" spans="1:7" x14ac:dyDescent="0.3">
      <c r="A8875" t="s">
        <v>35</v>
      </c>
      <c r="B8875" t="s">
        <v>365</v>
      </c>
      <c r="C8875">
        <v>415</v>
      </c>
      <c r="D8875" t="s">
        <v>126</v>
      </c>
      <c r="E8875" t="s">
        <v>808</v>
      </c>
      <c r="F8875" t="s">
        <v>943</v>
      </c>
      <c r="G8875" t="s">
        <v>105</v>
      </c>
    </row>
    <row r="8876" spans="1:7" x14ac:dyDescent="0.3">
      <c r="A8876" t="s">
        <v>37</v>
      </c>
      <c r="B8876" t="s">
        <v>2282</v>
      </c>
      <c r="C8876">
        <v>1323</v>
      </c>
      <c r="D8876" t="s">
        <v>198</v>
      </c>
      <c r="E8876" t="s">
        <v>726</v>
      </c>
      <c r="F8876" t="s">
        <v>450</v>
      </c>
      <c r="G8876" t="s">
        <v>207</v>
      </c>
    </row>
    <row r="8877" spans="1:7" x14ac:dyDescent="0.3">
      <c r="A8877" t="s">
        <v>37</v>
      </c>
      <c r="B8877" t="s">
        <v>2283</v>
      </c>
      <c r="C8877">
        <v>8203</v>
      </c>
      <c r="D8877" t="s">
        <v>207</v>
      </c>
      <c r="E8877" t="s">
        <v>1049</v>
      </c>
      <c r="F8877" t="s">
        <v>1159</v>
      </c>
      <c r="G8877" t="s">
        <v>99</v>
      </c>
    </row>
    <row r="8878" spans="1:7" x14ac:dyDescent="0.3">
      <c r="A8878" t="s">
        <v>37</v>
      </c>
      <c r="B8878" t="s">
        <v>365</v>
      </c>
      <c r="C8878">
        <v>533</v>
      </c>
      <c r="D8878" t="s">
        <v>99</v>
      </c>
      <c r="E8878" t="s">
        <v>987</v>
      </c>
      <c r="F8878" t="s">
        <v>941</v>
      </c>
      <c r="G8878" t="s">
        <v>99</v>
      </c>
    </row>
    <row r="8879" spans="1:7" x14ac:dyDescent="0.3">
      <c r="A8879" t="s">
        <v>36</v>
      </c>
      <c r="B8879" t="s">
        <v>2282</v>
      </c>
      <c r="C8879">
        <v>954</v>
      </c>
      <c r="D8879" t="s">
        <v>104</v>
      </c>
      <c r="E8879" t="s">
        <v>58</v>
      </c>
      <c r="F8879" t="s">
        <v>1337</v>
      </c>
      <c r="G8879" t="s">
        <v>253</v>
      </c>
    </row>
    <row r="8880" spans="1:7" x14ac:dyDescent="0.3">
      <c r="A8880" t="s">
        <v>36</v>
      </c>
      <c r="B8880" t="s">
        <v>2283</v>
      </c>
      <c r="C8880">
        <v>4630</v>
      </c>
      <c r="D8880" t="s">
        <v>136</v>
      </c>
      <c r="E8880" t="s">
        <v>556</v>
      </c>
      <c r="F8880" t="s">
        <v>538</v>
      </c>
      <c r="G8880" t="s">
        <v>104</v>
      </c>
    </row>
    <row r="8881" spans="1:7" x14ac:dyDescent="0.3">
      <c r="A8881" t="s">
        <v>36</v>
      </c>
      <c r="B8881" t="s">
        <v>365</v>
      </c>
      <c r="C8881">
        <v>423</v>
      </c>
      <c r="D8881" t="s">
        <v>104</v>
      </c>
      <c r="E8881" t="s">
        <v>644</v>
      </c>
      <c r="F8881" t="s">
        <v>619</v>
      </c>
      <c r="G8881" t="s">
        <v>104</v>
      </c>
    </row>
    <row r="8882" spans="1:7" x14ac:dyDescent="0.3">
      <c r="A8882" t="s">
        <v>34</v>
      </c>
      <c r="B8882" t="s">
        <v>2282</v>
      </c>
      <c r="C8882">
        <v>692</v>
      </c>
      <c r="D8882" t="s">
        <v>253</v>
      </c>
      <c r="E8882" t="s">
        <v>1045</v>
      </c>
      <c r="F8882" t="s">
        <v>486</v>
      </c>
      <c r="G8882" t="s">
        <v>141</v>
      </c>
    </row>
    <row r="8883" spans="1:7" x14ac:dyDescent="0.3">
      <c r="A8883" t="s">
        <v>34</v>
      </c>
      <c r="B8883" t="s">
        <v>2283</v>
      </c>
      <c r="C8883">
        <v>3975</v>
      </c>
      <c r="D8883" t="s">
        <v>132</v>
      </c>
      <c r="E8883" t="s">
        <v>1188</v>
      </c>
      <c r="F8883" t="s">
        <v>839</v>
      </c>
      <c r="G8883" t="s">
        <v>104</v>
      </c>
    </row>
    <row r="8884" spans="1:7" x14ac:dyDescent="0.3">
      <c r="A8884" t="s">
        <v>34</v>
      </c>
      <c r="B8884" t="s">
        <v>365</v>
      </c>
      <c r="C8884">
        <v>249</v>
      </c>
      <c r="D8884" t="s">
        <v>99</v>
      </c>
      <c r="E8884" t="s">
        <v>1650</v>
      </c>
      <c r="F8884" t="s">
        <v>725</v>
      </c>
      <c r="G8884" t="s">
        <v>99</v>
      </c>
    </row>
    <row r="8885" spans="1:7" x14ac:dyDescent="0.3">
      <c r="A8885" t="s">
        <v>33</v>
      </c>
      <c r="B8885" t="s">
        <v>2282</v>
      </c>
      <c r="C8885">
        <v>591</v>
      </c>
      <c r="D8885" t="s">
        <v>104</v>
      </c>
      <c r="E8885" t="s">
        <v>355</v>
      </c>
      <c r="F8885" t="s">
        <v>205</v>
      </c>
      <c r="G8885" t="s">
        <v>99</v>
      </c>
    </row>
    <row r="8886" spans="1:7" x14ac:dyDescent="0.3">
      <c r="A8886" t="s">
        <v>33</v>
      </c>
      <c r="B8886" t="s">
        <v>2283</v>
      </c>
      <c r="C8886">
        <v>3793</v>
      </c>
      <c r="D8886" t="s">
        <v>141</v>
      </c>
      <c r="E8886" t="s">
        <v>653</v>
      </c>
      <c r="F8886" t="s">
        <v>618</v>
      </c>
      <c r="G8886" t="s">
        <v>104</v>
      </c>
    </row>
    <row r="8887" spans="1:7" x14ac:dyDescent="0.3">
      <c r="A8887" t="s">
        <v>33</v>
      </c>
      <c r="B8887" t="s">
        <v>365</v>
      </c>
      <c r="C8887">
        <v>192</v>
      </c>
      <c r="D8887" t="s">
        <v>136</v>
      </c>
      <c r="E8887" t="s">
        <v>946</v>
      </c>
      <c r="F8887" t="s">
        <v>1061</v>
      </c>
      <c r="G8887" t="s">
        <v>99</v>
      </c>
    </row>
    <row r="8888" spans="1:7" x14ac:dyDescent="0.3">
      <c r="A8888" t="s">
        <v>49</v>
      </c>
      <c r="B8888" t="s">
        <v>2282</v>
      </c>
      <c r="C8888">
        <v>4627</v>
      </c>
      <c r="D8888" t="s">
        <v>141</v>
      </c>
      <c r="E8888" t="s">
        <v>197</v>
      </c>
      <c r="F8888" t="s">
        <v>509</v>
      </c>
      <c r="G8888" t="s">
        <v>136</v>
      </c>
    </row>
    <row r="8889" spans="1:7" x14ac:dyDescent="0.3">
      <c r="A8889" t="s">
        <v>49</v>
      </c>
      <c r="B8889" t="s">
        <v>2283</v>
      </c>
      <c r="C8889">
        <v>26844</v>
      </c>
      <c r="D8889" t="s">
        <v>253</v>
      </c>
      <c r="E8889" t="s">
        <v>1533</v>
      </c>
      <c r="F8889" t="s">
        <v>918</v>
      </c>
      <c r="G8889" t="s">
        <v>198</v>
      </c>
    </row>
    <row r="8890" spans="1:7" x14ac:dyDescent="0.3">
      <c r="A8890" t="s">
        <v>49</v>
      </c>
      <c r="B8890" t="s">
        <v>365</v>
      </c>
      <c r="C8890">
        <v>1812</v>
      </c>
      <c r="D8890" t="s">
        <v>141</v>
      </c>
      <c r="E8890" t="s">
        <v>818</v>
      </c>
      <c r="F8890" t="s">
        <v>905</v>
      </c>
      <c r="G8890" t="s">
        <v>114</v>
      </c>
    </row>
    <row r="8892" spans="1:7" x14ac:dyDescent="0.3">
      <c r="A8892" t="s">
        <v>2356</v>
      </c>
    </row>
    <row r="8893" spans="1:7" x14ac:dyDescent="0.3">
      <c r="A8893" t="s">
        <v>44</v>
      </c>
      <c r="B8893" t="s">
        <v>235</v>
      </c>
      <c r="C8893" t="s">
        <v>32</v>
      </c>
      <c r="D8893" t="s">
        <v>352</v>
      </c>
      <c r="E8893" t="s">
        <v>66</v>
      </c>
      <c r="F8893" t="s">
        <v>193</v>
      </c>
      <c r="G8893" t="s">
        <v>67</v>
      </c>
    </row>
    <row r="8894" spans="1:7" x14ac:dyDescent="0.3">
      <c r="A8894" t="s">
        <v>35</v>
      </c>
      <c r="B8894" t="s">
        <v>236</v>
      </c>
      <c r="C8894">
        <v>3968</v>
      </c>
      <c r="D8894" t="s">
        <v>253</v>
      </c>
      <c r="E8894" t="s">
        <v>578</v>
      </c>
      <c r="F8894" t="s">
        <v>198</v>
      </c>
      <c r="G8894" t="s">
        <v>1151</v>
      </c>
    </row>
    <row r="8895" spans="1:7" x14ac:dyDescent="0.3">
      <c r="A8895" t="s">
        <v>35</v>
      </c>
      <c r="B8895" t="s">
        <v>238</v>
      </c>
      <c r="C8895">
        <v>3757</v>
      </c>
      <c r="D8895" t="s">
        <v>100</v>
      </c>
      <c r="E8895" t="s">
        <v>1118</v>
      </c>
      <c r="F8895" t="s">
        <v>132</v>
      </c>
      <c r="G8895" t="s">
        <v>1533</v>
      </c>
    </row>
    <row r="8896" spans="1:7" x14ac:dyDescent="0.3">
      <c r="A8896" t="s">
        <v>37</v>
      </c>
      <c r="B8896" t="s">
        <v>236</v>
      </c>
      <c r="C8896">
        <v>5956</v>
      </c>
      <c r="D8896" t="s">
        <v>136</v>
      </c>
      <c r="E8896" t="s">
        <v>808</v>
      </c>
      <c r="F8896" t="s">
        <v>99</v>
      </c>
      <c r="G8896" t="s">
        <v>603</v>
      </c>
    </row>
    <row r="8897" spans="1:7" x14ac:dyDescent="0.3">
      <c r="A8897" t="s">
        <v>37</v>
      </c>
      <c r="B8897" t="s">
        <v>238</v>
      </c>
      <c r="C8897">
        <v>4103</v>
      </c>
      <c r="D8897" t="s">
        <v>104</v>
      </c>
      <c r="E8897" t="s">
        <v>1108</v>
      </c>
      <c r="F8897" t="s">
        <v>99</v>
      </c>
      <c r="G8897" t="s">
        <v>909</v>
      </c>
    </row>
    <row r="8898" spans="1:7" x14ac:dyDescent="0.3">
      <c r="A8898" t="s">
        <v>36</v>
      </c>
      <c r="B8898" t="s">
        <v>236</v>
      </c>
      <c r="C8898">
        <v>4143</v>
      </c>
      <c r="D8898" t="s">
        <v>198</v>
      </c>
      <c r="E8898" t="s">
        <v>633</v>
      </c>
      <c r="F8898" t="s">
        <v>198</v>
      </c>
      <c r="G8898" t="s">
        <v>1108</v>
      </c>
    </row>
    <row r="8899" spans="1:7" x14ac:dyDescent="0.3">
      <c r="A8899" t="s">
        <v>36</v>
      </c>
      <c r="B8899" t="s">
        <v>238</v>
      </c>
      <c r="C8899">
        <v>1864</v>
      </c>
      <c r="D8899" t="s">
        <v>136</v>
      </c>
      <c r="E8899" t="s">
        <v>904</v>
      </c>
      <c r="F8899" t="s">
        <v>104</v>
      </c>
      <c r="G8899" t="s">
        <v>957</v>
      </c>
    </row>
    <row r="8900" spans="1:7" x14ac:dyDescent="0.3">
      <c r="A8900" t="s">
        <v>34</v>
      </c>
      <c r="B8900" t="s">
        <v>236</v>
      </c>
      <c r="C8900">
        <v>1702</v>
      </c>
      <c r="D8900" t="s">
        <v>141</v>
      </c>
      <c r="E8900" t="s">
        <v>591</v>
      </c>
      <c r="F8900" t="s">
        <v>99</v>
      </c>
      <c r="G8900" t="s">
        <v>1002</v>
      </c>
    </row>
    <row r="8901" spans="1:7" x14ac:dyDescent="0.3">
      <c r="A8901" t="s">
        <v>34</v>
      </c>
      <c r="B8901" t="s">
        <v>238</v>
      </c>
      <c r="C8901">
        <v>3214</v>
      </c>
      <c r="D8901" t="s">
        <v>132</v>
      </c>
      <c r="E8901" t="s">
        <v>1077</v>
      </c>
      <c r="F8901" t="s">
        <v>198</v>
      </c>
      <c r="G8901" t="s">
        <v>904</v>
      </c>
    </row>
    <row r="8902" spans="1:7" x14ac:dyDescent="0.3">
      <c r="A8902" t="s">
        <v>33</v>
      </c>
      <c r="B8902" t="s">
        <v>236</v>
      </c>
      <c r="C8902">
        <v>2636</v>
      </c>
      <c r="D8902" t="s">
        <v>136</v>
      </c>
      <c r="E8902" t="s">
        <v>2115</v>
      </c>
      <c r="F8902" t="s">
        <v>99</v>
      </c>
      <c r="G8902" t="s">
        <v>926</v>
      </c>
    </row>
    <row r="8903" spans="1:7" x14ac:dyDescent="0.3">
      <c r="A8903" t="s">
        <v>33</v>
      </c>
      <c r="B8903" t="s">
        <v>238</v>
      </c>
      <c r="C8903">
        <v>1940</v>
      </c>
      <c r="D8903" t="s">
        <v>136</v>
      </c>
      <c r="E8903" t="s">
        <v>597</v>
      </c>
      <c r="F8903" t="s">
        <v>198</v>
      </c>
      <c r="G8903" t="s">
        <v>951</v>
      </c>
    </row>
    <row r="8904" spans="1:7" x14ac:dyDescent="0.3">
      <c r="A8904" t="s">
        <v>49</v>
      </c>
      <c r="B8904" t="s">
        <v>236</v>
      </c>
      <c r="C8904">
        <v>18405</v>
      </c>
      <c r="D8904" t="s">
        <v>136</v>
      </c>
      <c r="E8904" t="s">
        <v>831</v>
      </c>
      <c r="F8904" t="s">
        <v>104</v>
      </c>
      <c r="G8904" t="s">
        <v>1095</v>
      </c>
    </row>
    <row r="8905" spans="1:7" x14ac:dyDescent="0.3">
      <c r="A8905" t="s">
        <v>49</v>
      </c>
      <c r="B8905" t="s">
        <v>238</v>
      </c>
      <c r="C8905">
        <v>14878</v>
      </c>
      <c r="D8905" t="s">
        <v>115</v>
      </c>
      <c r="E8905" t="s">
        <v>905</v>
      </c>
      <c r="F8905" t="s">
        <v>136</v>
      </c>
      <c r="G8905" t="s">
        <v>1706</v>
      </c>
    </row>
    <row r="8907" spans="1:7" x14ac:dyDescent="0.3">
      <c r="A8907" t="s">
        <v>2357</v>
      </c>
    </row>
    <row r="8908" spans="1:7" x14ac:dyDescent="0.3">
      <c r="A8908" t="s">
        <v>44</v>
      </c>
      <c r="B8908" t="s">
        <v>879</v>
      </c>
      <c r="C8908" t="s">
        <v>32</v>
      </c>
      <c r="D8908" t="s">
        <v>352</v>
      </c>
      <c r="E8908" t="s">
        <v>66</v>
      </c>
      <c r="F8908" t="s">
        <v>67</v>
      </c>
      <c r="G8908" t="s">
        <v>193</v>
      </c>
    </row>
    <row r="8909" spans="1:7" x14ac:dyDescent="0.3">
      <c r="A8909" t="s">
        <v>35</v>
      </c>
      <c r="B8909" t="s">
        <v>880</v>
      </c>
      <c r="C8909">
        <v>1030</v>
      </c>
      <c r="D8909" t="s">
        <v>132</v>
      </c>
      <c r="E8909" t="s">
        <v>1215</v>
      </c>
      <c r="F8909" t="s">
        <v>607</v>
      </c>
      <c r="G8909" t="s">
        <v>198</v>
      </c>
    </row>
    <row r="8910" spans="1:7" x14ac:dyDescent="0.3">
      <c r="A8910" t="s">
        <v>35</v>
      </c>
      <c r="B8910" t="s">
        <v>881</v>
      </c>
      <c r="C8910">
        <v>1999</v>
      </c>
      <c r="D8910" t="s">
        <v>198</v>
      </c>
      <c r="E8910" t="s">
        <v>42</v>
      </c>
      <c r="F8910" t="s">
        <v>494</v>
      </c>
      <c r="G8910" t="s">
        <v>115</v>
      </c>
    </row>
    <row r="8911" spans="1:7" x14ac:dyDescent="0.3">
      <c r="A8911" t="s">
        <v>35</v>
      </c>
      <c r="B8911" t="s">
        <v>882</v>
      </c>
      <c r="C8911">
        <v>4696</v>
      </c>
      <c r="D8911" t="s">
        <v>121</v>
      </c>
      <c r="E8911" t="s">
        <v>610</v>
      </c>
      <c r="F8911" t="s">
        <v>887</v>
      </c>
      <c r="G8911" t="s">
        <v>132</v>
      </c>
    </row>
    <row r="8912" spans="1:7" x14ac:dyDescent="0.3">
      <c r="A8912" t="s">
        <v>37</v>
      </c>
      <c r="B8912" t="s">
        <v>880</v>
      </c>
      <c r="C8912">
        <v>1161</v>
      </c>
      <c r="D8912" t="s">
        <v>207</v>
      </c>
      <c r="E8912" t="s">
        <v>590</v>
      </c>
      <c r="F8912" t="s">
        <v>621</v>
      </c>
      <c r="G8912" t="s">
        <v>104</v>
      </c>
    </row>
    <row r="8913" spans="1:7" x14ac:dyDescent="0.3">
      <c r="A8913" t="s">
        <v>37</v>
      </c>
      <c r="B8913" t="s">
        <v>881</v>
      </c>
      <c r="C8913">
        <v>2409</v>
      </c>
      <c r="D8913" t="s">
        <v>104</v>
      </c>
      <c r="E8913" t="s">
        <v>665</v>
      </c>
      <c r="F8913" t="s">
        <v>245</v>
      </c>
      <c r="G8913" t="s">
        <v>104</v>
      </c>
    </row>
    <row r="8914" spans="1:7" x14ac:dyDescent="0.3">
      <c r="A8914" t="s">
        <v>37</v>
      </c>
      <c r="B8914" t="s">
        <v>882</v>
      </c>
      <c r="C8914">
        <v>6489</v>
      </c>
      <c r="D8914" t="s">
        <v>136</v>
      </c>
      <c r="E8914" t="s">
        <v>1006</v>
      </c>
      <c r="F8914" t="s">
        <v>642</v>
      </c>
      <c r="G8914" t="s">
        <v>99</v>
      </c>
    </row>
    <row r="8915" spans="1:7" x14ac:dyDescent="0.3">
      <c r="A8915" t="s">
        <v>36</v>
      </c>
      <c r="B8915" t="s">
        <v>880</v>
      </c>
      <c r="C8915">
        <v>600</v>
      </c>
      <c r="D8915" t="s">
        <v>198</v>
      </c>
      <c r="E8915" t="s">
        <v>1068</v>
      </c>
      <c r="F8915" t="s">
        <v>1224</v>
      </c>
      <c r="G8915" t="s">
        <v>104</v>
      </c>
    </row>
    <row r="8916" spans="1:7" x14ac:dyDescent="0.3">
      <c r="A8916" t="s">
        <v>36</v>
      </c>
      <c r="B8916" t="s">
        <v>881</v>
      </c>
      <c r="C8916">
        <v>1703</v>
      </c>
      <c r="D8916" t="s">
        <v>253</v>
      </c>
      <c r="E8916" t="s">
        <v>1154</v>
      </c>
      <c r="F8916" t="s">
        <v>1180</v>
      </c>
      <c r="G8916" t="s">
        <v>198</v>
      </c>
    </row>
    <row r="8917" spans="1:7" x14ac:dyDescent="0.3">
      <c r="A8917" t="s">
        <v>36</v>
      </c>
      <c r="B8917" t="s">
        <v>882</v>
      </c>
      <c r="C8917">
        <v>3704</v>
      </c>
      <c r="D8917" t="s">
        <v>198</v>
      </c>
      <c r="E8917" t="s">
        <v>507</v>
      </c>
      <c r="F8917" t="s">
        <v>578</v>
      </c>
      <c r="G8917" t="s">
        <v>198</v>
      </c>
    </row>
    <row r="8918" spans="1:7" x14ac:dyDescent="0.3">
      <c r="A8918" t="s">
        <v>34</v>
      </c>
      <c r="B8918" t="s">
        <v>880</v>
      </c>
      <c r="C8918">
        <v>532</v>
      </c>
      <c r="D8918" t="s">
        <v>253</v>
      </c>
      <c r="E8918" t="s">
        <v>631</v>
      </c>
      <c r="F8918" t="s">
        <v>539</v>
      </c>
      <c r="G8918" t="s">
        <v>141</v>
      </c>
    </row>
    <row r="8919" spans="1:7" x14ac:dyDescent="0.3">
      <c r="A8919" t="s">
        <v>34</v>
      </c>
      <c r="B8919" t="s">
        <v>881</v>
      </c>
      <c r="C8919">
        <v>1551</v>
      </c>
      <c r="D8919" t="s">
        <v>207</v>
      </c>
      <c r="E8919" t="s">
        <v>1148</v>
      </c>
      <c r="F8919" t="s">
        <v>635</v>
      </c>
      <c r="G8919" t="s">
        <v>207</v>
      </c>
    </row>
    <row r="8920" spans="1:7" x14ac:dyDescent="0.3">
      <c r="A8920" t="s">
        <v>34</v>
      </c>
      <c r="B8920" t="s">
        <v>882</v>
      </c>
      <c r="C8920">
        <v>2833</v>
      </c>
      <c r="D8920" t="s">
        <v>108</v>
      </c>
      <c r="E8920" t="s">
        <v>895</v>
      </c>
      <c r="F8920" t="s">
        <v>1058</v>
      </c>
      <c r="G8920" t="s">
        <v>99</v>
      </c>
    </row>
    <row r="8921" spans="1:7" x14ac:dyDescent="0.3">
      <c r="A8921" t="s">
        <v>33</v>
      </c>
      <c r="B8921" t="s">
        <v>880</v>
      </c>
      <c r="C8921">
        <v>768</v>
      </c>
      <c r="D8921" t="s">
        <v>198</v>
      </c>
      <c r="E8921" t="s">
        <v>799</v>
      </c>
      <c r="F8921" t="s">
        <v>1472</v>
      </c>
      <c r="G8921" t="s">
        <v>99</v>
      </c>
    </row>
    <row r="8922" spans="1:7" x14ac:dyDescent="0.3">
      <c r="A8922" t="s">
        <v>33</v>
      </c>
      <c r="B8922" t="s">
        <v>881</v>
      </c>
      <c r="C8922">
        <v>1179</v>
      </c>
      <c r="D8922" t="s">
        <v>104</v>
      </c>
      <c r="E8922" t="s">
        <v>131</v>
      </c>
      <c r="F8922" t="s">
        <v>259</v>
      </c>
      <c r="G8922" t="s">
        <v>104</v>
      </c>
    </row>
    <row r="8923" spans="1:7" x14ac:dyDescent="0.3">
      <c r="A8923" t="s">
        <v>33</v>
      </c>
      <c r="B8923" t="s">
        <v>882</v>
      </c>
      <c r="C8923">
        <v>2629</v>
      </c>
      <c r="D8923" t="s">
        <v>253</v>
      </c>
      <c r="E8923" t="s">
        <v>936</v>
      </c>
      <c r="F8923" t="s">
        <v>590</v>
      </c>
      <c r="G8923" t="s">
        <v>104</v>
      </c>
    </row>
    <row r="8924" spans="1:7" x14ac:dyDescent="0.3">
      <c r="A8924" t="s">
        <v>49</v>
      </c>
      <c r="B8924" t="s">
        <v>880</v>
      </c>
      <c r="C8924">
        <v>4091</v>
      </c>
      <c r="D8924" t="s">
        <v>141</v>
      </c>
      <c r="E8924" t="s">
        <v>1055</v>
      </c>
      <c r="F8924" t="s">
        <v>1097</v>
      </c>
      <c r="G8924" t="s">
        <v>104</v>
      </c>
    </row>
    <row r="8925" spans="1:7" x14ac:dyDescent="0.3">
      <c r="A8925" t="s">
        <v>49</v>
      </c>
      <c r="B8925" t="s">
        <v>881</v>
      </c>
      <c r="C8925">
        <v>8841</v>
      </c>
      <c r="D8925" t="s">
        <v>198</v>
      </c>
      <c r="E8925" t="s">
        <v>723</v>
      </c>
      <c r="F8925" t="s">
        <v>297</v>
      </c>
      <c r="G8925" t="s">
        <v>207</v>
      </c>
    </row>
    <row r="8926" spans="1:7" x14ac:dyDescent="0.3">
      <c r="A8926" t="s">
        <v>49</v>
      </c>
      <c r="B8926" t="s">
        <v>882</v>
      </c>
      <c r="C8926">
        <v>20351</v>
      </c>
      <c r="D8926" t="s">
        <v>115</v>
      </c>
      <c r="E8926" t="s">
        <v>603</v>
      </c>
      <c r="F8926" t="s">
        <v>955</v>
      </c>
      <c r="G8926" t="s">
        <v>207</v>
      </c>
    </row>
    <row r="8928" spans="1:7" x14ac:dyDescent="0.3">
      <c r="A8928" t="s">
        <v>2358</v>
      </c>
    </row>
    <row r="8929" spans="1:7" x14ac:dyDescent="0.3">
      <c r="A8929" t="s">
        <v>44</v>
      </c>
      <c r="B8929" t="s">
        <v>2252</v>
      </c>
      <c r="C8929" t="s">
        <v>32</v>
      </c>
      <c r="D8929" t="s">
        <v>352</v>
      </c>
      <c r="E8929" t="s">
        <v>66</v>
      </c>
      <c r="F8929" t="s">
        <v>193</v>
      </c>
      <c r="G8929" t="s">
        <v>67</v>
      </c>
    </row>
    <row r="8930" spans="1:7" x14ac:dyDescent="0.3">
      <c r="A8930" t="s">
        <v>35</v>
      </c>
      <c r="B8930" t="s">
        <v>2253</v>
      </c>
      <c r="C8930">
        <v>3478</v>
      </c>
      <c r="D8930" t="s">
        <v>114</v>
      </c>
      <c r="E8930" t="s">
        <v>924</v>
      </c>
      <c r="F8930" t="s">
        <v>132</v>
      </c>
      <c r="G8930" t="s">
        <v>1146</v>
      </c>
    </row>
    <row r="8931" spans="1:7" x14ac:dyDescent="0.3">
      <c r="A8931" t="s">
        <v>35</v>
      </c>
      <c r="B8931" t="s">
        <v>2254</v>
      </c>
      <c r="C8931">
        <v>4193</v>
      </c>
      <c r="D8931" t="s">
        <v>108</v>
      </c>
      <c r="E8931" t="s">
        <v>1258</v>
      </c>
      <c r="F8931" t="s">
        <v>141</v>
      </c>
      <c r="G8931" t="s">
        <v>936</v>
      </c>
    </row>
    <row r="8932" spans="1:7" x14ac:dyDescent="0.3">
      <c r="A8932" t="s">
        <v>35</v>
      </c>
      <c r="B8932" t="s">
        <v>365</v>
      </c>
      <c r="C8932">
        <v>54</v>
      </c>
      <c r="D8932" t="s">
        <v>99</v>
      </c>
      <c r="E8932" t="s">
        <v>1063</v>
      </c>
      <c r="F8932" t="s">
        <v>123</v>
      </c>
      <c r="G8932" t="s">
        <v>729</v>
      </c>
    </row>
    <row r="8933" spans="1:7" x14ac:dyDescent="0.3">
      <c r="A8933" t="s">
        <v>37</v>
      </c>
      <c r="B8933" t="s">
        <v>2253</v>
      </c>
      <c r="C8933">
        <v>4860</v>
      </c>
      <c r="D8933" t="s">
        <v>136</v>
      </c>
      <c r="E8933" t="s">
        <v>1067</v>
      </c>
      <c r="F8933" t="s">
        <v>99</v>
      </c>
      <c r="G8933" t="s">
        <v>1100</v>
      </c>
    </row>
    <row r="8934" spans="1:7" x14ac:dyDescent="0.3">
      <c r="A8934" t="s">
        <v>37</v>
      </c>
      <c r="B8934" t="s">
        <v>2254</v>
      </c>
      <c r="C8934">
        <v>5173</v>
      </c>
      <c r="D8934" t="s">
        <v>198</v>
      </c>
      <c r="E8934" t="s">
        <v>1163</v>
      </c>
      <c r="F8934" t="s">
        <v>99</v>
      </c>
      <c r="G8934" t="s">
        <v>636</v>
      </c>
    </row>
    <row r="8935" spans="1:7" x14ac:dyDescent="0.3">
      <c r="A8935" t="s">
        <v>37</v>
      </c>
      <c r="B8935" t="s">
        <v>365</v>
      </c>
      <c r="C8935">
        <v>26</v>
      </c>
      <c r="D8935" t="s">
        <v>154</v>
      </c>
      <c r="E8935" t="s">
        <v>439</v>
      </c>
      <c r="F8935" t="s">
        <v>99</v>
      </c>
      <c r="G8935" t="s">
        <v>368</v>
      </c>
    </row>
    <row r="8936" spans="1:7" x14ac:dyDescent="0.3">
      <c r="A8936" t="s">
        <v>36</v>
      </c>
      <c r="B8936" t="s">
        <v>2253</v>
      </c>
      <c r="C8936">
        <v>2557</v>
      </c>
      <c r="D8936" t="s">
        <v>136</v>
      </c>
      <c r="E8936" t="s">
        <v>614</v>
      </c>
      <c r="F8936" t="s">
        <v>99</v>
      </c>
      <c r="G8936" t="s">
        <v>563</v>
      </c>
    </row>
    <row r="8937" spans="1:7" x14ac:dyDescent="0.3">
      <c r="A8937" t="s">
        <v>36</v>
      </c>
      <c r="B8937" t="s">
        <v>2254</v>
      </c>
      <c r="C8937">
        <v>3401</v>
      </c>
      <c r="D8937" t="s">
        <v>198</v>
      </c>
      <c r="E8937" t="s">
        <v>539</v>
      </c>
      <c r="F8937" t="s">
        <v>198</v>
      </c>
      <c r="G8937" t="s">
        <v>566</v>
      </c>
    </row>
    <row r="8938" spans="1:7" x14ac:dyDescent="0.3">
      <c r="A8938" t="s">
        <v>36</v>
      </c>
      <c r="B8938" t="s">
        <v>365</v>
      </c>
      <c r="C8938">
        <v>49</v>
      </c>
      <c r="D8938" t="s">
        <v>99</v>
      </c>
      <c r="E8938" t="s">
        <v>1226</v>
      </c>
      <c r="F8938" t="s">
        <v>382</v>
      </c>
      <c r="G8938" t="s">
        <v>444</v>
      </c>
    </row>
    <row r="8939" spans="1:7" x14ac:dyDescent="0.3">
      <c r="A8939" t="s">
        <v>34</v>
      </c>
      <c r="B8939" t="s">
        <v>2253</v>
      </c>
      <c r="C8939">
        <v>2219</v>
      </c>
      <c r="D8939" t="s">
        <v>108</v>
      </c>
      <c r="E8939" t="s">
        <v>932</v>
      </c>
      <c r="F8939" t="s">
        <v>198</v>
      </c>
      <c r="G8939" t="s">
        <v>1100</v>
      </c>
    </row>
    <row r="8940" spans="1:7" x14ac:dyDescent="0.3">
      <c r="A8940" t="s">
        <v>34</v>
      </c>
      <c r="B8940" t="s">
        <v>2254</v>
      </c>
      <c r="C8940">
        <v>2659</v>
      </c>
      <c r="D8940" t="s">
        <v>253</v>
      </c>
      <c r="E8940" t="s">
        <v>1258</v>
      </c>
      <c r="F8940" t="s">
        <v>104</v>
      </c>
      <c r="G8940" t="s">
        <v>1570</v>
      </c>
    </row>
    <row r="8941" spans="1:7" x14ac:dyDescent="0.3">
      <c r="A8941" t="s">
        <v>34</v>
      </c>
      <c r="B8941" t="s">
        <v>365</v>
      </c>
      <c r="C8941">
        <v>38</v>
      </c>
      <c r="D8941" t="s">
        <v>99</v>
      </c>
      <c r="E8941" t="s">
        <v>441</v>
      </c>
      <c r="F8941" t="s">
        <v>99</v>
      </c>
      <c r="G8941" t="s">
        <v>727</v>
      </c>
    </row>
    <row r="8942" spans="1:7" x14ac:dyDescent="0.3">
      <c r="A8942" t="s">
        <v>33</v>
      </c>
      <c r="B8942" t="s">
        <v>2253</v>
      </c>
      <c r="C8942">
        <v>1850</v>
      </c>
      <c r="D8942" t="s">
        <v>253</v>
      </c>
      <c r="E8942" t="s">
        <v>1045</v>
      </c>
      <c r="F8942" t="s">
        <v>104</v>
      </c>
      <c r="G8942" t="s">
        <v>239</v>
      </c>
    </row>
    <row r="8943" spans="1:7" x14ac:dyDescent="0.3">
      <c r="A8943" t="s">
        <v>33</v>
      </c>
      <c r="B8943" t="s">
        <v>2254</v>
      </c>
      <c r="C8943">
        <v>2724</v>
      </c>
      <c r="D8943" t="s">
        <v>207</v>
      </c>
      <c r="E8943" t="s">
        <v>905</v>
      </c>
      <c r="F8943" t="s">
        <v>104</v>
      </c>
      <c r="G8943" t="s">
        <v>1231</v>
      </c>
    </row>
    <row r="8944" spans="1:7" x14ac:dyDescent="0.3">
      <c r="A8944" t="s">
        <v>33</v>
      </c>
      <c r="B8944" t="s">
        <v>365</v>
      </c>
      <c r="C8944">
        <v>2</v>
      </c>
      <c r="D8944" t="s">
        <v>99</v>
      </c>
      <c r="E8944" t="s">
        <v>211</v>
      </c>
      <c r="F8944" t="s">
        <v>99</v>
      </c>
      <c r="G8944" t="s">
        <v>99</v>
      </c>
    </row>
    <row r="8945" spans="1:7" x14ac:dyDescent="0.3">
      <c r="A8945" t="s">
        <v>49</v>
      </c>
      <c r="B8945" t="s">
        <v>2253</v>
      </c>
      <c r="C8945">
        <v>14964</v>
      </c>
      <c r="D8945" t="s">
        <v>115</v>
      </c>
      <c r="E8945" t="s">
        <v>707</v>
      </c>
      <c r="F8945" t="s">
        <v>207</v>
      </c>
      <c r="G8945" t="s">
        <v>1127</v>
      </c>
    </row>
    <row r="8946" spans="1:7" x14ac:dyDescent="0.3">
      <c r="A8946" t="s">
        <v>49</v>
      </c>
      <c r="B8946" t="s">
        <v>2254</v>
      </c>
      <c r="C8946">
        <v>18150</v>
      </c>
      <c r="D8946" t="s">
        <v>141</v>
      </c>
      <c r="E8946" t="s">
        <v>1049</v>
      </c>
      <c r="F8946" t="s">
        <v>198</v>
      </c>
      <c r="G8946" t="s">
        <v>565</v>
      </c>
    </row>
    <row r="8947" spans="1:7" x14ac:dyDescent="0.3">
      <c r="A8947" t="s">
        <v>49</v>
      </c>
      <c r="B8947" t="s">
        <v>365</v>
      </c>
      <c r="C8947">
        <v>169</v>
      </c>
      <c r="D8947" t="s">
        <v>136</v>
      </c>
      <c r="E8947" t="s">
        <v>504</v>
      </c>
      <c r="F8947" t="s">
        <v>108</v>
      </c>
      <c r="G8947" t="s">
        <v>842</v>
      </c>
    </row>
    <row r="8949" spans="1:7" x14ac:dyDescent="0.3">
      <c r="A8949" t="s">
        <v>2359</v>
      </c>
    </row>
    <row r="8950" spans="1:7" x14ac:dyDescent="0.3">
      <c r="A8950" t="s">
        <v>44</v>
      </c>
      <c r="B8950" t="s">
        <v>361</v>
      </c>
      <c r="C8950" t="s">
        <v>32</v>
      </c>
      <c r="D8950" t="s">
        <v>352</v>
      </c>
      <c r="E8950" t="s">
        <v>66</v>
      </c>
      <c r="F8950" t="s">
        <v>193</v>
      </c>
      <c r="G8950" t="s">
        <v>67</v>
      </c>
    </row>
    <row r="8951" spans="1:7" x14ac:dyDescent="0.3">
      <c r="A8951" t="s">
        <v>35</v>
      </c>
      <c r="B8951" t="s">
        <v>339</v>
      </c>
      <c r="C8951">
        <v>2208</v>
      </c>
      <c r="D8951" t="s">
        <v>126</v>
      </c>
      <c r="E8951" t="s">
        <v>459</v>
      </c>
      <c r="F8951" t="s">
        <v>114</v>
      </c>
      <c r="G8951" t="s">
        <v>605</v>
      </c>
    </row>
    <row r="8952" spans="1:7" x14ac:dyDescent="0.3">
      <c r="A8952" t="s">
        <v>35</v>
      </c>
      <c r="B8952" t="s">
        <v>340</v>
      </c>
      <c r="C8952">
        <v>5359</v>
      </c>
      <c r="D8952" t="s">
        <v>115</v>
      </c>
      <c r="E8952" t="s">
        <v>1055</v>
      </c>
      <c r="F8952" t="s">
        <v>141</v>
      </c>
      <c r="G8952" t="s">
        <v>1533</v>
      </c>
    </row>
    <row r="8953" spans="1:7" x14ac:dyDescent="0.3">
      <c r="A8953" t="s">
        <v>35</v>
      </c>
      <c r="B8953" t="s">
        <v>365</v>
      </c>
      <c r="C8953">
        <v>158</v>
      </c>
      <c r="D8953" t="s">
        <v>121</v>
      </c>
      <c r="E8953" t="s">
        <v>552</v>
      </c>
      <c r="F8953" t="s">
        <v>198</v>
      </c>
      <c r="G8953" t="s">
        <v>584</v>
      </c>
    </row>
    <row r="8954" spans="1:7" x14ac:dyDescent="0.3">
      <c r="A8954" t="s">
        <v>37</v>
      </c>
      <c r="B8954" t="s">
        <v>339</v>
      </c>
      <c r="C8954">
        <v>2857</v>
      </c>
      <c r="D8954" t="s">
        <v>253</v>
      </c>
      <c r="E8954" t="s">
        <v>669</v>
      </c>
      <c r="F8954" t="s">
        <v>104</v>
      </c>
      <c r="G8954" t="s">
        <v>55</v>
      </c>
    </row>
    <row r="8955" spans="1:7" x14ac:dyDescent="0.3">
      <c r="A8955" t="s">
        <v>37</v>
      </c>
      <c r="B8955" t="s">
        <v>340</v>
      </c>
      <c r="C8955">
        <v>7032</v>
      </c>
      <c r="D8955" t="s">
        <v>198</v>
      </c>
      <c r="E8955" t="s">
        <v>594</v>
      </c>
      <c r="F8955" t="s">
        <v>99</v>
      </c>
      <c r="G8955" t="s">
        <v>1149</v>
      </c>
    </row>
    <row r="8956" spans="1:7" x14ac:dyDescent="0.3">
      <c r="A8956" t="s">
        <v>37</v>
      </c>
      <c r="B8956" t="s">
        <v>365</v>
      </c>
      <c r="C8956">
        <v>170</v>
      </c>
      <c r="D8956" t="s">
        <v>99</v>
      </c>
      <c r="E8956" t="s">
        <v>1155</v>
      </c>
      <c r="F8956" t="s">
        <v>99</v>
      </c>
      <c r="G8956" t="s">
        <v>719</v>
      </c>
    </row>
    <row r="8957" spans="1:7" x14ac:dyDescent="0.3">
      <c r="A8957" t="s">
        <v>36</v>
      </c>
      <c r="B8957" t="s">
        <v>339</v>
      </c>
      <c r="C8957">
        <v>1962</v>
      </c>
      <c r="D8957" t="s">
        <v>141</v>
      </c>
      <c r="E8957" t="s">
        <v>497</v>
      </c>
      <c r="F8957" t="s">
        <v>136</v>
      </c>
      <c r="G8957" t="s">
        <v>1182</v>
      </c>
    </row>
    <row r="8958" spans="1:7" x14ac:dyDescent="0.3">
      <c r="A8958" t="s">
        <v>36</v>
      </c>
      <c r="B8958" t="s">
        <v>340</v>
      </c>
      <c r="C8958">
        <v>3815</v>
      </c>
      <c r="D8958" t="s">
        <v>198</v>
      </c>
      <c r="E8958" t="s">
        <v>1182</v>
      </c>
      <c r="F8958" t="s">
        <v>99</v>
      </c>
      <c r="G8958" t="s">
        <v>1112</v>
      </c>
    </row>
    <row r="8959" spans="1:7" x14ac:dyDescent="0.3">
      <c r="A8959" t="s">
        <v>36</v>
      </c>
      <c r="B8959" t="s">
        <v>365</v>
      </c>
      <c r="C8959">
        <v>230</v>
      </c>
      <c r="D8959" t="s">
        <v>99</v>
      </c>
      <c r="E8959" t="s">
        <v>1101</v>
      </c>
      <c r="F8959" t="s">
        <v>99</v>
      </c>
      <c r="G8959" t="s">
        <v>1113</v>
      </c>
    </row>
    <row r="8960" spans="1:7" x14ac:dyDescent="0.3">
      <c r="A8960" t="s">
        <v>34</v>
      </c>
      <c r="B8960" t="s">
        <v>339</v>
      </c>
      <c r="C8960">
        <v>1454</v>
      </c>
      <c r="D8960" t="s">
        <v>121</v>
      </c>
      <c r="E8960" t="s">
        <v>578</v>
      </c>
      <c r="F8960" t="s">
        <v>198</v>
      </c>
      <c r="G8960" t="s">
        <v>573</v>
      </c>
    </row>
    <row r="8961" spans="1:7" x14ac:dyDescent="0.3">
      <c r="A8961" t="s">
        <v>34</v>
      </c>
      <c r="B8961" t="s">
        <v>340</v>
      </c>
      <c r="C8961">
        <v>3356</v>
      </c>
      <c r="D8961" t="s">
        <v>136</v>
      </c>
      <c r="E8961" t="s">
        <v>918</v>
      </c>
      <c r="F8961" t="s">
        <v>104</v>
      </c>
      <c r="G8961" t="s">
        <v>598</v>
      </c>
    </row>
    <row r="8962" spans="1:7" x14ac:dyDescent="0.3">
      <c r="A8962" t="s">
        <v>34</v>
      </c>
      <c r="B8962" t="s">
        <v>365</v>
      </c>
      <c r="C8962">
        <v>106</v>
      </c>
      <c r="D8962" t="s">
        <v>99</v>
      </c>
      <c r="E8962" t="s">
        <v>280</v>
      </c>
      <c r="F8962" t="s">
        <v>99</v>
      </c>
      <c r="G8962" t="s">
        <v>809</v>
      </c>
    </row>
    <row r="8963" spans="1:7" x14ac:dyDescent="0.3">
      <c r="A8963" t="s">
        <v>33</v>
      </c>
      <c r="B8963" t="s">
        <v>339</v>
      </c>
      <c r="C8963">
        <v>1155</v>
      </c>
      <c r="D8963" t="s">
        <v>104</v>
      </c>
      <c r="E8963" t="s">
        <v>723</v>
      </c>
      <c r="F8963" t="s">
        <v>104</v>
      </c>
      <c r="G8963" t="s">
        <v>586</v>
      </c>
    </row>
    <row r="8964" spans="1:7" x14ac:dyDescent="0.3">
      <c r="A8964" t="s">
        <v>33</v>
      </c>
      <c r="B8964" t="s">
        <v>340</v>
      </c>
      <c r="C8964">
        <v>3344</v>
      </c>
      <c r="D8964" t="s">
        <v>141</v>
      </c>
      <c r="E8964" t="s">
        <v>1285</v>
      </c>
      <c r="F8964" t="s">
        <v>104</v>
      </c>
      <c r="G8964" t="s">
        <v>641</v>
      </c>
    </row>
    <row r="8965" spans="1:7" x14ac:dyDescent="0.3">
      <c r="A8965" t="s">
        <v>33</v>
      </c>
      <c r="B8965" t="s">
        <v>365</v>
      </c>
      <c r="C8965">
        <v>77</v>
      </c>
      <c r="D8965" t="s">
        <v>126</v>
      </c>
      <c r="E8965" t="s">
        <v>1227</v>
      </c>
      <c r="F8965" t="s">
        <v>99</v>
      </c>
      <c r="G8965" t="s">
        <v>829</v>
      </c>
    </row>
    <row r="8966" spans="1:7" x14ac:dyDescent="0.3">
      <c r="A8966" t="s">
        <v>49</v>
      </c>
      <c r="B8966" t="s">
        <v>339</v>
      </c>
      <c r="C8966">
        <v>9636</v>
      </c>
      <c r="D8966" t="s">
        <v>108</v>
      </c>
      <c r="E8966" t="s">
        <v>1067</v>
      </c>
      <c r="F8966" t="s">
        <v>136</v>
      </c>
      <c r="G8966" t="s">
        <v>1111</v>
      </c>
    </row>
    <row r="8967" spans="1:7" x14ac:dyDescent="0.3">
      <c r="A8967" t="s">
        <v>49</v>
      </c>
      <c r="B8967" t="s">
        <v>340</v>
      </c>
      <c r="C8967">
        <v>22906</v>
      </c>
      <c r="D8967" t="s">
        <v>136</v>
      </c>
      <c r="E8967" t="s">
        <v>1576</v>
      </c>
      <c r="F8967" t="s">
        <v>198</v>
      </c>
      <c r="G8967" t="s">
        <v>1188</v>
      </c>
    </row>
    <row r="8968" spans="1:7" x14ac:dyDescent="0.3">
      <c r="A8968" t="s">
        <v>49</v>
      </c>
      <c r="B8968" t="s">
        <v>365</v>
      </c>
      <c r="C8968">
        <v>741</v>
      </c>
      <c r="D8968" t="s">
        <v>141</v>
      </c>
      <c r="E8968" t="s">
        <v>935</v>
      </c>
      <c r="F8968" t="s">
        <v>99</v>
      </c>
      <c r="G8968" t="s">
        <v>1068</v>
      </c>
    </row>
    <row r="8970" spans="1:7" x14ac:dyDescent="0.3">
      <c r="A8970" t="s">
        <v>2360</v>
      </c>
    </row>
    <row r="8971" spans="1:7" x14ac:dyDescent="0.3">
      <c r="A8971" t="s">
        <v>44</v>
      </c>
      <c r="B8971" t="s">
        <v>257</v>
      </c>
      <c r="C8971" t="s">
        <v>32</v>
      </c>
      <c r="D8971" t="s">
        <v>352</v>
      </c>
      <c r="E8971" t="s">
        <v>66</v>
      </c>
      <c r="F8971" t="s">
        <v>193</v>
      </c>
      <c r="G8971" t="s">
        <v>67</v>
      </c>
    </row>
    <row r="8972" spans="1:7" x14ac:dyDescent="0.3">
      <c r="A8972" t="s">
        <v>35</v>
      </c>
      <c r="B8972" t="s">
        <v>258</v>
      </c>
      <c r="C8972">
        <v>7001</v>
      </c>
      <c r="D8972" t="s">
        <v>114</v>
      </c>
      <c r="E8972" t="s">
        <v>497</v>
      </c>
      <c r="F8972" t="s">
        <v>115</v>
      </c>
      <c r="G8972" t="s">
        <v>590</v>
      </c>
    </row>
    <row r="8973" spans="1:7" x14ac:dyDescent="0.3">
      <c r="A8973" t="s">
        <v>35</v>
      </c>
      <c r="B8973" t="s">
        <v>260</v>
      </c>
      <c r="C8973">
        <v>724</v>
      </c>
      <c r="D8973" t="s">
        <v>115</v>
      </c>
      <c r="E8973" t="s">
        <v>1002</v>
      </c>
      <c r="F8973" t="s">
        <v>104</v>
      </c>
      <c r="G8973" t="s">
        <v>621</v>
      </c>
    </row>
    <row r="8974" spans="1:7" x14ac:dyDescent="0.3">
      <c r="A8974" t="s">
        <v>37</v>
      </c>
      <c r="B8974" t="s">
        <v>258</v>
      </c>
      <c r="C8974">
        <v>10059</v>
      </c>
      <c r="D8974" t="s">
        <v>207</v>
      </c>
      <c r="E8974" t="s">
        <v>1055</v>
      </c>
      <c r="F8974" t="s">
        <v>99</v>
      </c>
      <c r="G8974" t="s">
        <v>1173</v>
      </c>
    </row>
    <row r="8975" spans="1:7" x14ac:dyDescent="0.3">
      <c r="A8975" t="s">
        <v>36</v>
      </c>
      <c r="B8975" t="s">
        <v>258</v>
      </c>
      <c r="C8975">
        <v>5389</v>
      </c>
      <c r="D8975" t="s">
        <v>207</v>
      </c>
      <c r="E8975" t="s">
        <v>1143</v>
      </c>
      <c r="F8975" t="s">
        <v>198</v>
      </c>
      <c r="G8975" t="s">
        <v>1058</v>
      </c>
    </row>
    <row r="8976" spans="1:7" x14ac:dyDescent="0.3">
      <c r="A8976" t="s">
        <v>36</v>
      </c>
      <c r="B8976" t="s">
        <v>260</v>
      </c>
      <c r="C8976">
        <v>618</v>
      </c>
      <c r="D8976" t="s">
        <v>101</v>
      </c>
      <c r="E8976" t="s">
        <v>1258</v>
      </c>
      <c r="F8976" t="s">
        <v>141</v>
      </c>
      <c r="G8976" t="s">
        <v>565</v>
      </c>
    </row>
    <row r="8977" spans="1:7" x14ac:dyDescent="0.3">
      <c r="A8977" t="s">
        <v>34</v>
      </c>
      <c r="B8977" t="s">
        <v>258</v>
      </c>
      <c r="C8977">
        <v>2672</v>
      </c>
      <c r="D8977" t="s">
        <v>99</v>
      </c>
      <c r="E8977" t="s">
        <v>799</v>
      </c>
      <c r="F8977" t="s">
        <v>99</v>
      </c>
      <c r="G8977" t="s">
        <v>800</v>
      </c>
    </row>
    <row r="8978" spans="1:7" x14ac:dyDescent="0.3">
      <c r="A8978" t="s">
        <v>34</v>
      </c>
      <c r="B8978" t="s">
        <v>260</v>
      </c>
      <c r="C8978">
        <v>2244</v>
      </c>
      <c r="D8978" t="s">
        <v>114</v>
      </c>
      <c r="E8978" t="s">
        <v>884</v>
      </c>
      <c r="F8978" t="s">
        <v>198</v>
      </c>
      <c r="G8978" t="s">
        <v>1108</v>
      </c>
    </row>
    <row r="8979" spans="1:7" x14ac:dyDescent="0.3">
      <c r="A8979" t="s">
        <v>33</v>
      </c>
      <c r="B8979" t="s">
        <v>258</v>
      </c>
      <c r="C8979">
        <v>4576</v>
      </c>
      <c r="D8979" t="s">
        <v>136</v>
      </c>
      <c r="E8979" t="s">
        <v>822</v>
      </c>
      <c r="F8979" t="s">
        <v>104</v>
      </c>
      <c r="G8979" t="s">
        <v>983</v>
      </c>
    </row>
    <row r="8980" spans="1:7" x14ac:dyDescent="0.3">
      <c r="A8980" t="s">
        <v>49</v>
      </c>
      <c r="B8980" t="s">
        <v>258</v>
      </c>
      <c r="C8980">
        <v>29697</v>
      </c>
      <c r="D8980" t="s">
        <v>141</v>
      </c>
      <c r="E8980" t="s">
        <v>1112</v>
      </c>
      <c r="F8980" t="s">
        <v>207</v>
      </c>
      <c r="G8980" t="s">
        <v>1340</v>
      </c>
    </row>
    <row r="8981" spans="1:7" x14ac:dyDescent="0.3">
      <c r="A8981" t="s">
        <v>49</v>
      </c>
      <c r="B8981" t="s">
        <v>260</v>
      </c>
      <c r="C8981">
        <v>3586</v>
      </c>
      <c r="D8981" t="s">
        <v>114</v>
      </c>
      <c r="E8981" t="s">
        <v>1116</v>
      </c>
      <c r="F8981" t="s">
        <v>198</v>
      </c>
      <c r="G8981" t="s">
        <v>839</v>
      </c>
    </row>
    <row r="8983" spans="1:7" x14ac:dyDescent="0.3">
      <c r="A8983" t="s">
        <v>2361</v>
      </c>
    </row>
    <row r="8984" spans="1:7" x14ac:dyDescent="0.3">
      <c r="A8984" t="s">
        <v>44</v>
      </c>
      <c r="B8984" t="s">
        <v>1590</v>
      </c>
      <c r="C8984" t="s">
        <v>32</v>
      </c>
      <c r="D8984" t="s">
        <v>352</v>
      </c>
      <c r="E8984" t="s">
        <v>66</v>
      </c>
      <c r="F8984" t="s">
        <v>193</v>
      </c>
      <c r="G8984" t="s">
        <v>67</v>
      </c>
    </row>
    <row r="8985" spans="1:7" x14ac:dyDescent="0.3">
      <c r="A8985" t="s">
        <v>35</v>
      </c>
      <c r="B8985" t="s">
        <v>1591</v>
      </c>
      <c r="C8985">
        <v>3666</v>
      </c>
      <c r="D8985" t="s">
        <v>132</v>
      </c>
      <c r="E8985" t="s">
        <v>963</v>
      </c>
      <c r="F8985" t="s">
        <v>132</v>
      </c>
      <c r="G8985" t="s">
        <v>495</v>
      </c>
    </row>
    <row r="8986" spans="1:7" x14ac:dyDescent="0.3">
      <c r="A8986" t="s">
        <v>35</v>
      </c>
      <c r="B8986" t="s">
        <v>1592</v>
      </c>
      <c r="C8986">
        <v>3948</v>
      </c>
      <c r="D8986" t="s">
        <v>114</v>
      </c>
      <c r="E8986" t="s">
        <v>1533</v>
      </c>
      <c r="F8986" t="s">
        <v>136</v>
      </c>
      <c r="G8986" t="s">
        <v>1058</v>
      </c>
    </row>
    <row r="8987" spans="1:7" x14ac:dyDescent="0.3">
      <c r="A8987" t="s">
        <v>35</v>
      </c>
      <c r="B8987" t="s">
        <v>365</v>
      </c>
      <c r="C8987">
        <v>111</v>
      </c>
      <c r="D8987" t="s">
        <v>107</v>
      </c>
      <c r="E8987" t="s">
        <v>596</v>
      </c>
      <c r="F8987" t="s">
        <v>130</v>
      </c>
      <c r="G8987" t="s">
        <v>604</v>
      </c>
    </row>
    <row r="8988" spans="1:7" x14ac:dyDescent="0.3">
      <c r="A8988" t="s">
        <v>37</v>
      </c>
      <c r="B8988" t="s">
        <v>1591</v>
      </c>
      <c r="C8988">
        <v>4336</v>
      </c>
      <c r="D8988" t="s">
        <v>104</v>
      </c>
      <c r="E8988" t="s">
        <v>578</v>
      </c>
      <c r="F8988" t="s">
        <v>104</v>
      </c>
      <c r="G8988" t="s">
        <v>605</v>
      </c>
    </row>
    <row r="8989" spans="1:7" x14ac:dyDescent="0.3">
      <c r="A8989" t="s">
        <v>37</v>
      </c>
      <c r="B8989" t="s">
        <v>1592</v>
      </c>
      <c r="C8989">
        <v>5537</v>
      </c>
      <c r="D8989" t="s">
        <v>207</v>
      </c>
      <c r="E8989" t="s">
        <v>1497</v>
      </c>
      <c r="F8989" t="s">
        <v>99</v>
      </c>
      <c r="G8989" t="s">
        <v>1183</v>
      </c>
    </row>
    <row r="8990" spans="1:7" x14ac:dyDescent="0.3">
      <c r="A8990" t="s">
        <v>37</v>
      </c>
      <c r="B8990" t="s">
        <v>365</v>
      </c>
      <c r="C8990">
        <v>186</v>
      </c>
      <c r="D8990" t="s">
        <v>124</v>
      </c>
      <c r="E8990" t="s">
        <v>538</v>
      </c>
      <c r="F8990" t="s">
        <v>99</v>
      </c>
      <c r="G8990" t="s">
        <v>611</v>
      </c>
    </row>
    <row r="8991" spans="1:7" x14ac:dyDescent="0.3">
      <c r="A8991" t="s">
        <v>36</v>
      </c>
      <c r="B8991" t="s">
        <v>1591</v>
      </c>
      <c r="C8991">
        <v>3987</v>
      </c>
      <c r="D8991" t="s">
        <v>198</v>
      </c>
      <c r="E8991" t="s">
        <v>1498</v>
      </c>
      <c r="F8991" t="s">
        <v>104</v>
      </c>
      <c r="G8991" t="s">
        <v>1188</v>
      </c>
    </row>
    <row r="8992" spans="1:7" x14ac:dyDescent="0.3">
      <c r="A8992" t="s">
        <v>36</v>
      </c>
      <c r="B8992" t="s">
        <v>1592</v>
      </c>
      <c r="C8992">
        <v>1952</v>
      </c>
      <c r="D8992" t="s">
        <v>198</v>
      </c>
      <c r="E8992" t="s">
        <v>1061</v>
      </c>
      <c r="F8992" t="s">
        <v>198</v>
      </c>
      <c r="G8992" t="s">
        <v>946</v>
      </c>
    </row>
    <row r="8993" spans="1:20" x14ac:dyDescent="0.3">
      <c r="A8993" t="s">
        <v>36</v>
      </c>
      <c r="B8993" t="s">
        <v>365</v>
      </c>
      <c r="C8993">
        <v>68</v>
      </c>
      <c r="D8993" t="s">
        <v>401</v>
      </c>
      <c r="E8993" t="s">
        <v>480</v>
      </c>
      <c r="F8993" t="s">
        <v>136</v>
      </c>
      <c r="G8993" t="s">
        <v>741</v>
      </c>
    </row>
    <row r="8994" spans="1:20" x14ac:dyDescent="0.3">
      <c r="A8994" t="s">
        <v>34</v>
      </c>
      <c r="B8994" t="s">
        <v>1591</v>
      </c>
      <c r="C8994">
        <v>2304</v>
      </c>
      <c r="D8994" t="s">
        <v>108</v>
      </c>
      <c r="E8994" t="s">
        <v>604</v>
      </c>
      <c r="F8994" t="s">
        <v>104</v>
      </c>
      <c r="G8994" t="s">
        <v>528</v>
      </c>
    </row>
    <row r="8995" spans="1:20" x14ac:dyDescent="0.3">
      <c r="A8995" t="s">
        <v>34</v>
      </c>
      <c r="B8995" t="s">
        <v>1592</v>
      </c>
      <c r="C8995">
        <v>2451</v>
      </c>
      <c r="D8995" t="s">
        <v>141</v>
      </c>
      <c r="E8995" t="s">
        <v>1173</v>
      </c>
      <c r="F8995" t="s">
        <v>198</v>
      </c>
      <c r="G8995" t="s">
        <v>1058</v>
      </c>
    </row>
    <row r="8996" spans="1:20" x14ac:dyDescent="0.3">
      <c r="A8996" t="s">
        <v>34</v>
      </c>
      <c r="B8996" t="s">
        <v>365</v>
      </c>
      <c r="C8996">
        <v>161</v>
      </c>
      <c r="D8996" t="s">
        <v>103</v>
      </c>
      <c r="E8996" t="s">
        <v>1383</v>
      </c>
      <c r="F8996" t="s">
        <v>207</v>
      </c>
      <c r="G8996" t="s">
        <v>614</v>
      </c>
    </row>
    <row r="8997" spans="1:20" x14ac:dyDescent="0.3">
      <c r="A8997" t="s">
        <v>33</v>
      </c>
      <c r="B8997" t="s">
        <v>1591</v>
      </c>
      <c r="C8997">
        <v>1348</v>
      </c>
      <c r="D8997" t="s">
        <v>136</v>
      </c>
      <c r="E8997" t="s">
        <v>1107</v>
      </c>
      <c r="F8997" t="s">
        <v>207</v>
      </c>
      <c r="G8997" t="s">
        <v>915</v>
      </c>
    </row>
    <row r="8998" spans="1:20" x14ac:dyDescent="0.3">
      <c r="A8998" t="s">
        <v>33</v>
      </c>
      <c r="B8998" t="s">
        <v>1592</v>
      </c>
      <c r="C8998">
        <v>3202</v>
      </c>
      <c r="D8998" t="s">
        <v>136</v>
      </c>
      <c r="E8998" t="s">
        <v>613</v>
      </c>
      <c r="F8998" t="s">
        <v>99</v>
      </c>
      <c r="G8998" t="s">
        <v>625</v>
      </c>
    </row>
    <row r="8999" spans="1:20" x14ac:dyDescent="0.3">
      <c r="A8999" t="s">
        <v>33</v>
      </c>
      <c r="B8999" t="s">
        <v>365</v>
      </c>
      <c r="C8999">
        <v>26</v>
      </c>
      <c r="D8999" t="s">
        <v>147</v>
      </c>
      <c r="E8999" t="s">
        <v>489</v>
      </c>
      <c r="F8999" t="s">
        <v>99</v>
      </c>
      <c r="G8999" t="s">
        <v>279</v>
      </c>
    </row>
    <row r="9000" spans="1:20" x14ac:dyDescent="0.3">
      <c r="A9000" t="s">
        <v>49</v>
      </c>
      <c r="B9000" t="s">
        <v>1591</v>
      </c>
      <c r="C9000">
        <v>15641</v>
      </c>
      <c r="D9000" t="s">
        <v>141</v>
      </c>
      <c r="E9000" t="s">
        <v>1043</v>
      </c>
      <c r="F9000" t="s">
        <v>207</v>
      </c>
      <c r="G9000" t="s">
        <v>282</v>
      </c>
    </row>
    <row r="9001" spans="1:20" x14ac:dyDescent="0.3">
      <c r="A9001" t="s">
        <v>49</v>
      </c>
      <c r="B9001" t="s">
        <v>1592</v>
      </c>
      <c r="C9001">
        <v>17090</v>
      </c>
      <c r="D9001" t="s">
        <v>141</v>
      </c>
      <c r="E9001" t="s">
        <v>1533</v>
      </c>
      <c r="F9001" t="s">
        <v>198</v>
      </c>
      <c r="G9001" t="s">
        <v>884</v>
      </c>
    </row>
    <row r="9002" spans="1:20" x14ac:dyDescent="0.3">
      <c r="A9002" t="s">
        <v>49</v>
      </c>
      <c r="B9002" t="s">
        <v>365</v>
      </c>
      <c r="C9002">
        <v>552</v>
      </c>
      <c r="D9002" t="s">
        <v>110</v>
      </c>
      <c r="E9002" t="s">
        <v>632</v>
      </c>
      <c r="F9002" t="s">
        <v>108</v>
      </c>
      <c r="G9002" t="s">
        <v>609</v>
      </c>
    </row>
    <row r="9004" spans="1:20" x14ac:dyDescent="0.3">
      <c r="A9004" t="s">
        <v>2362</v>
      </c>
    </row>
    <row r="9005" spans="1:20" x14ac:dyDescent="0.3">
      <c r="A9005" t="s">
        <v>44</v>
      </c>
      <c r="B9005" t="s">
        <v>32</v>
      </c>
      <c r="C9005" t="s">
        <v>2363</v>
      </c>
      <c r="D9005" t="s">
        <v>2364</v>
      </c>
      <c r="E9005" t="s">
        <v>2365</v>
      </c>
      <c r="F9005" t="s">
        <v>2366</v>
      </c>
      <c r="G9005" t="s">
        <v>2367</v>
      </c>
      <c r="H9005" t="s">
        <v>2368</v>
      </c>
      <c r="I9005" t="s">
        <v>2369</v>
      </c>
      <c r="J9005" t="s">
        <v>2370</v>
      </c>
      <c r="K9005" t="s">
        <v>2371</v>
      </c>
      <c r="L9005" t="s">
        <v>2372</v>
      </c>
      <c r="M9005" t="s">
        <v>2373</v>
      </c>
      <c r="N9005" t="s">
        <v>2374</v>
      </c>
      <c r="O9005" t="s">
        <v>2375</v>
      </c>
      <c r="P9005" t="s">
        <v>2376</v>
      </c>
      <c r="Q9005" t="s">
        <v>2377</v>
      </c>
      <c r="R9005" t="s">
        <v>979</v>
      </c>
      <c r="S9005" t="s">
        <v>193</v>
      </c>
      <c r="T9005" t="s">
        <v>2378</v>
      </c>
    </row>
    <row r="9006" spans="1:20" x14ac:dyDescent="0.3">
      <c r="A9006" t="s">
        <v>35</v>
      </c>
      <c r="B9006">
        <v>4386</v>
      </c>
      <c r="C9006" t="s">
        <v>818</v>
      </c>
      <c r="D9006" t="s">
        <v>680</v>
      </c>
      <c r="E9006" t="s">
        <v>292</v>
      </c>
      <c r="F9006" t="s">
        <v>382</v>
      </c>
      <c r="G9006" t="s">
        <v>741</v>
      </c>
      <c r="H9006" t="s">
        <v>719</v>
      </c>
      <c r="I9006" t="s">
        <v>204</v>
      </c>
      <c r="J9006" t="s">
        <v>136</v>
      </c>
      <c r="K9006" t="s">
        <v>151</v>
      </c>
      <c r="L9006" t="s">
        <v>204</v>
      </c>
      <c r="M9006" t="s">
        <v>299</v>
      </c>
      <c r="N9006" t="s">
        <v>134</v>
      </c>
      <c r="O9006" t="s">
        <v>231</v>
      </c>
      <c r="P9006" t="s">
        <v>412</v>
      </c>
      <c r="Q9006" t="s">
        <v>127</v>
      </c>
      <c r="R9006" t="s">
        <v>124</v>
      </c>
      <c r="S9006" t="s">
        <v>242</v>
      </c>
      <c r="T9006" t="s">
        <v>141</v>
      </c>
    </row>
    <row r="9007" spans="1:20" x14ac:dyDescent="0.3">
      <c r="A9007" t="s">
        <v>37</v>
      </c>
      <c r="B9007">
        <v>5200</v>
      </c>
      <c r="C9007" t="s">
        <v>551</v>
      </c>
      <c r="D9007" t="s">
        <v>688</v>
      </c>
      <c r="E9007" t="s">
        <v>382</v>
      </c>
      <c r="F9007" t="s">
        <v>154</v>
      </c>
      <c r="G9007" t="s">
        <v>920</v>
      </c>
      <c r="H9007" t="s">
        <v>831</v>
      </c>
      <c r="I9007" t="s">
        <v>675</v>
      </c>
      <c r="J9007" t="s">
        <v>253</v>
      </c>
      <c r="K9007" t="s">
        <v>123</v>
      </c>
      <c r="L9007" t="s">
        <v>145</v>
      </c>
      <c r="M9007" t="s">
        <v>461</v>
      </c>
      <c r="N9007" t="s">
        <v>129</v>
      </c>
      <c r="O9007" t="s">
        <v>357</v>
      </c>
      <c r="P9007" t="s">
        <v>254</v>
      </c>
      <c r="Q9007" t="s">
        <v>127</v>
      </c>
      <c r="R9007" t="s">
        <v>145</v>
      </c>
      <c r="S9007" t="s">
        <v>136</v>
      </c>
      <c r="T9007" t="s">
        <v>136</v>
      </c>
    </row>
    <row r="9008" spans="1:20" x14ac:dyDescent="0.3">
      <c r="A9008" t="s">
        <v>36</v>
      </c>
      <c r="B9008">
        <v>3050</v>
      </c>
      <c r="C9008" t="s">
        <v>823</v>
      </c>
      <c r="D9008" t="s">
        <v>449</v>
      </c>
      <c r="E9008" t="s">
        <v>117</v>
      </c>
      <c r="F9008" t="s">
        <v>101</v>
      </c>
      <c r="G9008" t="s">
        <v>529</v>
      </c>
      <c r="H9008" t="s">
        <v>719</v>
      </c>
      <c r="I9008" t="s">
        <v>149</v>
      </c>
      <c r="J9008" t="s">
        <v>141</v>
      </c>
      <c r="K9008" t="s">
        <v>126</v>
      </c>
      <c r="L9008" t="s">
        <v>664</v>
      </c>
      <c r="M9008" t="s">
        <v>160</v>
      </c>
      <c r="N9008" t="s">
        <v>382</v>
      </c>
      <c r="O9008" t="s">
        <v>186</v>
      </c>
      <c r="P9008" t="s">
        <v>277</v>
      </c>
      <c r="Q9008" t="s">
        <v>114</v>
      </c>
      <c r="R9008" t="s">
        <v>461</v>
      </c>
      <c r="S9008" t="s">
        <v>101</v>
      </c>
      <c r="T9008" t="s">
        <v>115</v>
      </c>
    </row>
    <row r="9009" spans="1:21" x14ac:dyDescent="0.3">
      <c r="A9009" t="s">
        <v>34</v>
      </c>
      <c r="B9009">
        <v>2709</v>
      </c>
      <c r="C9009" t="s">
        <v>1049</v>
      </c>
      <c r="D9009" t="s">
        <v>449</v>
      </c>
      <c r="E9009" t="s">
        <v>101</v>
      </c>
      <c r="F9009" t="s">
        <v>292</v>
      </c>
      <c r="G9009" t="s">
        <v>842</v>
      </c>
      <c r="H9009" t="s">
        <v>913</v>
      </c>
      <c r="I9009" t="s">
        <v>74</v>
      </c>
      <c r="J9009" t="s">
        <v>207</v>
      </c>
      <c r="K9009" t="s">
        <v>292</v>
      </c>
      <c r="L9009" t="s">
        <v>401</v>
      </c>
      <c r="M9009" t="s">
        <v>305</v>
      </c>
      <c r="N9009" t="s">
        <v>111</v>
      </c>
      <c r="O9009" t="s">
        <v>746</v>
      </c>
      <c r="P9009" t="s">
        <v>254</v>
      </c>
      <c r="Q9009" t="s">
        <v>108</v>
      </c>
      <c r="R9009" t="s">
        <v>41</v>
      </c>
      <c r="S9009" t="s">
        <v>141</v>
      </c>
      <c r="T9009" t="s">
        <v>101</v>
      </c>
    </row>
    <row r="9010" spans="1:21" x14ac:dyDescent="0.3">
      <c r="A9010" t="s">
        <v>33</v>
      </c>
      <c r="B9010">
        <v>2803</v>
      </c>
      <c r="C9010" t="s">
        <v>1255</v>
      </c>
      <c r="D9010" t="s">
        <v>746</v>
      </c>
      <c r="E9010" t="s">
        <v>100</v>
      </c>
      <c r="F9010" t="s">
        <v>103</v>
      </c>
      <c r="G9010" t="s">
        <v>1008</v>
      </c>
      <c r="H9010" t="s">
        <v>647</v>
      </c>
      <c r="I9010" t="s">
        <v>325</v>
      </c>
      <c r="J9010" t="s">
        <v>114</v>
      </c>
      <c r="K9010" t="s">
        <v>132</v>
      </c>
      <c r="L9010" t="s">
        <v>412</v>
      </c>
      <c r="M9010" t="s">
        <v>248</v>
      </c>
      <c r="N9010" t="s">
        <v>157</v>
      </c>
      <c r="O9010" t="s">
        <v>676</v>
      </c>
      <c r="P9010" t="s">
        <v>679</v>
      </c>
      <c r="Q9010" t="s">
        <v>114</v>
      </c>
      <c r="R9010" t="s">
        <v>139</v>
      </c>
      <c r="S9010" t="s">
        <v>253</v>
      </c>
      <c r="T9010" t="s">
        <v>115</v>
      </c>
    </row>
    <row r="9011" spans="1:21" x14ac:dyDescent="0.3">
      <c r="A9011" t="s">
        <v>49</v>
      </c>
      <c r="B9011">
        <v>18148</v>
      </c>
      <c r="C9011" t="s">
        <v>1116</v>
      </c>
      <c r="D9011" t="s">
        <v>294</v>
      </c>
      <c r="E9011" t="s">
        <v>215</v>
      </c>
      <c r="F9011" t="s">
        <v>117</v>
      </c>
      <c r="G9011" t="s">
        <v>842</v>
      </c>
      <c r="H9011" t="s">
        <v>1067</v>
      </c>
      <c r="I9011" t="s">
        <v>144</v>
      </c>
      <c r="J9011" t="s">
        <v>141</v>
      </c>
      <c r="K9011" t="s">
        <v>215</v>
      </c>
      <c r="L9011" t="s">
        <v>254</v>
      </c>
      <c r="M9011" t="s">
        <v>363</v>
      </c>
      <c r="N9011" t="s">
        <v>105</v>
      </c>
      <c r="O9011" t="s">
        <v>38</v>
      </c>
      <c r="P9011" t="s">
        <v>143</v>
      </c>
      <c r="Q9011" t="s">
        <v>319</v>
      </c>
      <c r="R9011" t="s">
        <v>675</v>
      </c>
      <c r="S9011" t="s">
        <v>127</v>
      </c>
      <c r="T9011" t="s">
        <v>115</v>
      </c>
    </row>
    <row r="9013" spans="1:21" x14ac:dyDescent="0.3">
      <c r="A9013" t="s">
        <v>2379</v>
      </c>
    </row>
    <row r="9014" spans="1:21" x14ac:dyDescent="0.3">
      <c r="A9014" t="s">
        <v>44</v>
      </c>
      <c r="B9014" t="s">
        <v>2267</v>
      </c>
      <c r="C9014" t="s">
        <v>32</v>
      </c>
      <c r="D9014" t="s">
        <v>2363</v>
      </c>
      <c r="E9014" t="s">
        <v>2364</v>
      </c>
      <c r="F9014" t="s">
        <v>2365</v>
      </c>
      <c r="G9014" t="s">
        <v>2366</v>
      </c>
      <c r="H9014" t="s">
        <v>2367</v>
      </c>
      <c r="I9014" t="s">
        <v>2368</v>
      </c>
      <c r="J9014" t="s">
        <v>2369</v>
      </c>
      <c r="K9014" t="s">
        <v>2370</v>
      </c>
      <c r="L9014" t="s">
        <v>2371</v>
      </c>
      <c r="M9014" t="s">
        <v>2372</v>
      </c>
      <c r="N9014" t="s">
        <v>2373</v>
      </c>
      <c r="O9014" t="s">
        <v>2374</v>
      </c>
      <c r="P9014" t="s">
        <v>2375</v>
      </c>
      <c r="Q9014" t="s">
        <v>2376</v>
      </c>
      <c r="R9014" t="s">
        <v>2377</v>
      </c>
      <c r="S9014" t="s">
        <v>979</v>
      </c>
      <c r="T9014" t="s">
        <v>193</v>
      </c>
      <c r="U9014" t="s">
        <v>2378</v>
      </c>
    </row>
    <row r="9015" spans="1:21" x14ac:dyDescent="0.3">
      <c r="A9015" t="s">
        <v>35</v>
      </c>
      <c r="B9015" t="s">
        <v>973</v>
      </c>
      <c r="C9015">
        <v>89</v>
      </c>
      <c r="D9015" t="s">
        <v>944</v>
      </c>
      <c r="E9015" t="s">
        <v>197</v>
      </c>
      <c r="F9015" t="s">
        <v>99</v>
      </c>
      <c r="G9015" t="s">
        <v>134</v>
      </c>
      <c r="H9015" t="s">
        <v>152</v>
      </c>
      <c r="I9015" t="s">
        <v>108</v>
      </c>
      <c r="J9015" t="s">
        <v>125</v>
      </c>
      <c r="K9015" t="s">
        <v>99</v>
      </c>
      <c r="L9015" t="s">
        <v>363</v>
      </c>
      <c r="M9015" t="s">
        <v>401</v>
      </c>
      <c r="N9015" t="s">
        <v>165</v>
      </c>
      <c r="O9015" t="s">
        <v>401</v>
      </c>
      <c r="P9015" t="s">
        <v>1209</v>
      </c>
      <c r="Q9015" t="s">
        <v>677</v>
      </c>
      <c r="R9015" t="s">
        <v>99</v>
      </c>
      <c r="S9015" t="s">
        <v>111</v>
      </c>
      <c r="T9015" t="s">
        <v>126</v>
      </c>
      <c r="U9015" t="s">
        <v>99</v>
      </c>
    </row>
    <row r="9016" spans="1:21" x14ac:dyDescent="0.3">
      <c r="A9016" t="s">
        <v>35</v>
      </c>
      <c r="B9016" t="s">
        <v>2268</v>
      </c>
      <c r="C9016">
        <v>110</v>
      </c>
      <c r="D9016" t="s">
        <v>1124</v>
      </c>
      <c r="E9016" t="s">
        <v>1057</v>
      </c>
      <c r="F9016" t="s">
        <v>198</v>
      </c>
      <c r="G9016" t="s">
        <v>99</v>
      </c>
      <c r="H9016" t="s">
        <v>144</v>
      </c>
      <c r="I9016" t="s">
        <v>99</v>
      </c>
      <c r="J9016" t="s">
        <v>99</v>
      </c>
      <c r="K9016" t="s">
        <v>99</v>
      </c>
      <c r="L9016" t="s">
        <v>99</v>
      </c>
      <c r="M9016" t="s">
        <v>99</v>
      </c>
      <c r="N9016" t="s">
        <v>99</v>
      </c>
      <c r="O9016" t="s">
        <v>99</v>
      </c>
      <c r="P9016" t="s">
        <v>1095</v>
      </c>
      <c r="Q9016" t="s">
        <v>158</v>
      </c>
      <c r="R9016" t="s">
        <v>127</v>
      </c>
      <c r="S9016" t="s">
        <v>155</v>
      </c>
      <c r="T9016" t="s">
        <v>328</v>
      </c>
      <c r="U9016" t="s">
        <v>132</v>
      </c>
    </row>
    <row r="9017" spans="1:21" x14ac:dyDescent="0.3">
      <c r="A9017" t="s">
        <v>35</v>
      </c>
      <c r="B9017" t="s">
        <v>2269</v>
      </c>
      <c r="C9017">
        <v>105</v>
      </c>
      <c r="D9017" t="s">
        <v>648</v>
      </c>
      <c r="E9017" t="s">
        <v>163</v>
      </c>
      <c r="F9017" t="s">
        <v>99</v>
      </c>
      <c r="G9017" t="s">
        <v>123</v>
      </c>
      <c r="H9017" t="s">
        <v>99</v>
      </c>
      <c r="I9017" t="s">
        <v>99</v>
      </c>
      <c r="J9017" t="s">
        <v>99</v>
      </c>
      <c r="K9017" t="s">
        <v>99</v>
      </c>
      <c r="L9017" t="s">
        <v>121</v>
      </c>
      <c r="M9017" t="s">
        <v>328</v>
      </c>
      <c r="N9017" t="s">
        <v>412</v>
      </c>
      <c r="O9017" t="s">
        <v>112</v>
      </c>
      <c r="P9017" t="s">
        <v>831</v>
      </c>
      <c r="Q9017" t="s">
        <v>158</v>
      </c>
      <c r="R9017" t="s">
        <v>179</v>
      </c>
      <c r="S9017" t="s">
        <v>663</v>
      </c>
      <c r="T9017" t="s">
        <v>125</v>
      </c>
      <c r="U9017" t="s">
        <v>115</v>
      </c>
    </row>
    <row r="9018" spans="1:21" x14ac:dyDescent="0.3">
      <c r="A9018" t="s">
        <v>35</v>
      </c>
      <c r="B9018" t="s">
        <v>2270</v>
      </c>
      <c r="C9018">
        <v>97</v>
      </c>
      <c r="D9018" t="s">
        <v>569</v>
      </c>
      <c r="E9018" t="s">
        <v>165</v>
      </c>
      <c r="F9018" t="s">
        <v>382</v>
      </c>
      <c r="G9018" t="s">
        <v>207</v>
      </c>
      <c r="H9018" t="s">
        <v>105</v>
      </c>
      <c r="I9018" t="s">
        <v>118</v>
      </c>
      <c r="J9018" t="s">
        <v>99</v>
      </c>
      <c r="K9018" t="s">
        <v>405</v>
      </c>
      <c r="L9018" t="s">
        <v>268</v>
      </c>
      <c r="M9018" t="s">
        <v>152</v>
      </c>
      <c r="N9018" t="s">
        <v>120</v>
      </c>
      <c r="O9018" t="s">
        <v>121</v>
      </c>
      <c r="P9018" t="s">
        <v>1059</v>
      </c>
      <c r="Q9018" t="s">
        <v>328</v>
      </c>
      <c r="R9018" t="s">
        <v>121</v>
      </c>
      <c r="S9018" t="s">
        <v>138</v>
      </c>
      <c r="T9018" t="s">
        <v>143</v>
      </c>
      <c r="U9018" t="s">
        <v>99</v>
      </c>
    </row>
    <row r="9019" spans="1:21" x14ac:dyDescent="0.3">
      <c r="A9019" t="s">
        <v>35</v>
      </c>
      <c r="B9019" t="s">
        <v>2271</v>
      </c>
      <c r="C9019">
        <v>691</v>
      </c>
      <c r="D9019" t="s">
        <v>559</v>
      </c>
      <c r="E9019" t="s">
        <v>726</v>
      </c>
      <c r="F9019" t="s">
        <v>215</v>
      </c>
      <c r="G9019" t="s">
        <v>253</v>
      </c>
      <c r="H9019" t="s">
        <v>663</v>
      </c>
      <c r="I9019" t="s">
        <v>179</v>
      </c>
      <c r="J9019" t="s">
        <v>115</v>
      </c>
      <c r="K9019" t="s">
        <v>132</v>
      </c>
      <c r="L9019" t="s">
        <v>139</v>
      </c>
      <c r="M9019" t="s">
        <v>672</v>
      </c>
      <c r="N9019" t="s">
        <v>70</v>
      </c>
      <c r="O9019" t="s">
        <v>160</v>
      </c>
      <c r="P9019" t="s">
        <v>39</v>
      </c>
      <c r="Q9019" t="s">
        <v>204</v>
      </c>
      <c r="R9019" t="s">
        <v>268</v>
      </c>
      <c r="S9019" t="s">
        <v>184</v>
      </c>
      <c r="T9019" t="s">
        <v>233</v>
      </c>
      <c r="U9019" t="s">
        <v>198</v>
      </c>
    </row>
    <row r="9020" spans="1:21" x14ac:dyDescent="0.3">
      <c r="A9020" t="s">
        <v>35</v>
      </c>
      <c r="B9020" t="s">
        <v>2272</v>
      </c>
      <c r="C9020">
        <v>723</v>
      </c>
      <c r="D9020" t="s">
        <v>1112</v>
      </c>
      <c r="E9020" t="s">
        <v>315</v>
      </c>
      <c r="F9020" t="s">
        <v>130</v>
      </c>
      <c r="G9020" t="s">
        <v>121</v>
      </c>
      <c r="H9020" t="s">
        <v>344</v>
      </c>
      <c r="I9020" t="s">
        <v>1256</v>
      </c>
      <c r="J9020" t="s">
        <v>671</v>
      </c>
      <c r="K9020" t="s">
        <v>104</v>
      </c>
      <c r="L9020" t="s">
        <v>253</v>
      </c>
      <c r="M9020" t="s">
        <v>468</v>
      </c>
      <c r="N9020" t="s">
        <v>353</v>
      </c>
      <c r="O9020" t="s">
        <v>120</v>
      </c>
      <c r="P9020" t="s">
        <v>144</v>
      </c>
      <c r="Q9020" t="s">
        <v>120</v>
      </c>
      <c r="R9020" t="s">
        <v>207</v>
      </c>
      <c r="S9020" t="s">
        <v>144</v>
      </c>
      <c r="T9020" t="s">
        <v>215</v>
      </c>
      <c r="U9020" t="s">
        <v>207</v>
      </c>
    </row>
    <row r="9021" spans="1:21" x14ac:dyDescent="0.3">
      <c r="A9021" t="s">
        <v>35</v>
      </c>
      <c r="B9021" t="s">
        <v>2273</v>
      </c>
      <c r="C9021">
        <v>848</v>
      </c>
      <c r="D9021" t="s">
        <v>624</v>
      </c>
      <c r="E9021" t="s">
        <v>663</v>
      </c>
      <c r="F9021" t="s">
        <v>138</v>
      </c>
      <c r="G9021" t="s">
        <v>117</v>
      </c>
      <c r="H9021" t="s">
        <v>567</v>
      </c>
      <c r="I9021" t="s">
        <v>343</v>
      </c>
      <c r="J9021" t="s">
        <v>708</v>
      </c>
      <c r="K9021" t="s">
        <v>99</v>
      </c>
      <c r="L9021" t="s">
        <v>253</v>
      </c>
      <c r="M9021" t="s">
        <v>468</v>
      </c>
      <c r="N9021" t="s">
        <v>685</v>
      </c>
      <c r="O9021" t="s">
        <v>112</v>
      </c>
      <c r="P9021" t="s">
        <v>149</v>
      </c>
      <c r="Q9021" t="s">
        <v>103</v>
      </c>
      <c r="R9021" t="s">
        <v>101</v>
      </c>
      <c r="S9021" t="s">
        <v>712</v>
      </c>
      <c r="T9021" t="s">
        <v>319</v>
      </c>
      <c r="U9021" t="s">
        <v>104</v>
      </c>
    </row>
    <row r="9022" spans="1:21" x14ac:dyDescent="0.3">
      <c r="A9022" t="s">
        <v>35</v>
      </c>
      <c r="B9022" t="s">
        <v>976</v>
      </c>
      <c r="C9022">
        <v>102</v>
      </c>
      <c r="D9022" t="s">
        <v>589</v>
      </c>
      <c r="E9022" t="s">
        <v>482</v>
      </c>
      <c r="F9022" t="s">
        <v>99</v>
      </c>
      <c r="G9022" t="s">
        <v>108</v>
      </c>
      <c r="H9022" t="s">
        <v>382</v>
      </c>
      <c r="I9022" t="s">
        <v>114</v>
      </c>
      <c r="J9022" t="s">
        <v>151</v>
      </c>
      <c r="K9022" t="s">
        <v>99</v>
      </c>
      <c r="L9022" t="s">
        <v>207</v>
      </c>
      <c r="M9022" t="s">
        <v>134</v>
      </c>
      <c r="N9022" t="s">
        <v>184</v>
      </c>
      <c r="O9022" t="s">
        <v>114</v>
      </c>
      <c r="P9022" t="s">
        <v>1053</v>
      </c>
      <c r="Q9022" t="s">
        <v>804</v>
      </c>
      <c r="R9022" t="s">
        <v>117</v>
      </c>
      <c r="S9022" t="s">
        <v>78</v>
      </c>
      <c r="T9022" t="s">
        <v>675</v>
      </c>
      <c r="U9022" t="s">
        <v>215</v>
      </c>
    </row>
    <row r="9023" spans="1:21" x14ac:dyDescent="0.3">
      <c r="A9023" t="s">
        <v>35</v>
      </c>
      <c r="B9023" t="s">
        <v>2274</v>
      </c>
      <c r="C9023">
        <v>108</v>
      </c>
      <c r="D9023" t="s">
        <v>958</v>
      </c>
      <c r="E9023" t="s">
        <v>688</v>
      </c>
      <c r="F9023" t="s">
        <v>99</v>
      </c>
      <c r="G9023" t="s">
        <v>108</v>
      </c>
      <c r="H9023" t="s">
        <v>253</v>
      </c>
      <c r="I9023" t="s">
        <v>108</v>
      </c>
      <c r="J9023" t="s">
        <v>198</v>
      </c>
      <c r="K9023" t="s">
        <v>99</v>
      </c>
      <c r="L9023" t="s">
        <v>104</v>
      </c>
      <c r="M9023" t="s">
        <v>127</v>
      </c>
      <c r="N9023" t="s">
        <v>101</v>
      </c>
      <c r="O9023" t="s">
        <v>104</v>
      </c>
      <c r="P9023" t="s">
        <v>1043</v>
      </c>
      <c r="Q9023" t="s">
        <v>468</v>
      </c>
      <c r="R9023" t="s">
        <v>99</v>
      </c>
      <c r="S9023" t="s">
        <v>315</v>
      </c>
      <c r="T9023" t="s">
        <v>289</v>
      </c>
      <c r="U9023" t="s">
        <v>121</v>
      </c>
    </row>
    <row r="9024" spans="1:21" x14ac:dyDescent="0.3">
      <c r="A9024" t="s">
        <v>35</v>
      </c>
      <c r="B9024" t="s">
        <v>2275</v>
      </c>
      <c r="C9024">
        <v>102</v>
      </c>
      <c r="D9024" t="s">
        <v>1291</v>
      </c>
      <c r="E9024" t="s">
        <v>746</v>
      </c>
      <c r="F9024" t="s">
        <v>115</v>
      </c>
      <c r="G9024" t="s">
        <v>121</v>
      </c>
      <c r="H9024" t="s">
        <v>99</v>
      </c>
      <c r="I9024" t="s">
        <v>99</v>
      </c>
      <c r="J9024" t="s">
        <v>99</v>
      </c>
      <c r="K9024" t="s">
        <v>99</v>
      </c>
      <c r="L9024" t="s">
        <v>99</v>
      </c>
      <c r="M9024" t="s">
        <v>99</v>
      </c>
      <c r="N9024" t="s">
        <v>111</v>
      </c>
      <c r="O9024" t="s">
        <v>99</v>
      </c>
      <c r="P9024" t="s">
        <v>56</v>
      </c>
      <c r="Q9024" t="s">
        <v>163</v>
      </c>
      <c r="R9024" t="s">
        <v>108</v>
      </c>
      <c r="S9024" t="s">
        <v>204</v>
      </c>
      <c r="T9024" t="s">
        <v>242</v>
      </c>
      <c r="U9024" t="s">
        <v>99</v>
      </c>
    </row>
    <row r="9025" spans="1:21" x14ac:dyDescent="0.3">
      <c r="A9025" t="s">
        <v>35</v>
      </c>
      <c r="B9025" t="s">
        <v>2276</v>
      </c>
      <c r="C9025">
        <v>55</v>
      </c>
      <c r="D9025" t="s">
        <v>593</v>
      </c>
      <c r="E9025" t="s">
        <v>222</v>
      </c>
      <c r="F9025" t="s">
        <v>99</v>
      </c>
      <c r="G9025" t="s">
        <v>141</v>
      </c>
      <c r="H9025" t="s">
        <v>144</v>
      </c>
      <c r="I9025" t="s">
        <v>105</v>
      </c>
      <c r="J9025" t="s">
        <v>328</v>
      </c>
      <c r="K9025" t="s">
        <v>99</v>
      </c>
      <c r="L9025" t="s">
        <v>684</v>
      </c>
      <c r="M9025" t="s">
        <v>165</v>
      </c>
      <c r="N9025" t="s">
        <v>248</v>
      </c>
      <c r="O9025" t="s">
        <v>123</v>
      </c>
      <c r="P9025" t="s">
        <v>1214</v>
      </c>
      <c r="Q9025" t="s">
        <v>405</v>
      </c>
      <c r="R9025" t="s">
        <v>99</v>
      </c>
      <c r="S9025" t="s">
        <v>129</v>
      </c>
      <c r="T9025" t="s">
        <v>99</v>
      </c>
      <c r="U9025" t="s">
        <v>99</v>
      </c>
    </row>
    <row r="9026" spans="1:21" x14ac:dyDescent="0.3">
      <c r="A9026" t="s">
        <v>35</v>
      </c>
      <c r="B9026" t="s">
        <v>2277</v>
      </c>
      <c r="C9026">
        <v>449</v>
      </c>
      <c r="D9026" t="s">
        <v>598</v>
      </c>
      <c r="E9026" t="s">
        <v>393</v>
      </c>
      <c r="F9026" t="s">
        <v>253</v>
      </c>
      <c r="G9026" t="s">
        <v>292</v>
      </c>
      <c r="H9026" t="s">
        <v>68</v>
      </c>
      <c r="I9026" t="s">
        <v>255</v>
      </c>
      <c r="J9026" t="s">
        <v>117</v>
      </c>
      <c r="K9026" t="s">
        <v>99</v>
      </c>
      <c r="L9026" t="s">
        <v>128</v>
      </c>
      <c r="M9026" t="s">
        <v>155</v>
      </c>
      <c r="N9026" t="s">
        <v>679</v>
      </c>
      <c r="O9026" t="s">
        <v>128</v>
      </c>
      <c r="P9026" t="s">
        <v>710</v>
      </c>
      <c r="Q9026" t="s">
        <v>72</v>
      </c>
      <c r="R9026" t="s">
        <v>198</v>
      </c>
      <c r="S9026" t="s">
        <v>120</v>
      </c>
      <c r="T9026" t="s">
        <v>133</v>
      </c>
      <c r="U9026" t="s">
        <v>253</v>
      </c>
    </row>
    <row r="9027" spans="1:21" x14ac:dyDescent="0.3">
      <c r="A9027" t="s">
        <v>35</v>
      </c>
      <c r="B9027" t="s">
        <v>2278</v>
      </c>
      <c r="C9027">
        <v>449</v>
      </c>
      <c r="D9027" t="s">
        <v>610</v>
      </c>
      <c r="E9027" t="s">
        <v>142</v>
      </c>
      <c r="F9027" t="s">
        <v>215</v>
      </c>
      <c r="G9027" t="s">
        <v>121</v>
      </c>
      <c r="H9027" t="s">
        <v>410</v>
      </c>
      <c r="I9027" t="s">
        <v>527</v>
      </c>
      <c r="J9027" t="s">
        <v>182</v>
      </c>
      <c r="K9027" t="s">
        <v>99</v>
      </c>
      <c r="L9027" t="s">
        <v>101</v>
      </c>
      <c r="M9027" t="s">
        <v>151</v>
      </c>
      <c r="N9027" t="s">
        <v>152</v>
      </c>
      <c r="O9027" t="s">
        <v>316</v>
      </c>
      <c r="P9027" t="s">
        <v>145</v>
      </c>
      <c r="Q9027" t="s">
        <v>128</v>
      </c>
      <c r="R9027" t="s">
        <v>123</v>
      </c>
      <c r="S9027" t="s">
        <v>474</v>
      </c>
      <c r="T9027" t="s">
        <v>126</v>
      </c>
      <c r="U9027" t="s">
        <v>382</v>
      </c>
    </row>
    <row r="9028" spans="1:21" x14ac:dyDescent="0.3">
      <c r="A9028" t="s">
        <v>35</v>
      </c>
      <c r="B9028" t="s">
        <v>2279</v>
      </c>
      <c r="C9028">
        <v>445</v>
      </c>
      <c r="D9028" t="s">
        <v>936</v>
      </c>
      <c r="E9028" t="s">
        <v>160</v>
      </c>
      <c r="F9028" t="s">
        <v>134</v>
      </c>
      <c r="G9028" t="s">
        <v>110</v>
      </c>
      <c r="H9028" t="s">
        <v>1179</v>
      </c>
      <c r="I9028" t="s">
        <v>926</v>
      </c>
      <c r="J9028" t="s">
        <v>420</v>
      </c>
      <c r="K9028" t="s">
        <v>99</v>
      </c>
      <c r="L9028" t="s">
        <v>117</v>
      </c>
      <c r="M9028" t="s">
        <v>316</v>
      </c>
      <c r="N9028" t="s">
        <v>405</v>
      </c>
      <c r="O9028" t="s">
        <v>107</v>
      </c>
      <c r="P9028" t="s">
        <v>117</v>
      </c>
      <c r="Q9028" t="s">
        <v>215</v>
      </c>
      <c r="R9028" t="s">
        <v>292</v>
      </c>
      <c r="S9028" t="s">
        <v>353</v>
      </c>
      <c r="T9028" t="s">
        <v>253</v>
      </c>
      <c r="U9028" t="s">
        <v>132</v>
      </c>
    </row>
    <row r="9029" spans="1:21" x14ac:dyDescent="0.3">
      <c r="A9029" t="s">
        <v>35</v>
      </c>
      <c r="B9029" t="s">
        <v>365</v>
      </c>
      <c r="C9029">
        <v>13</v>
      </c>
      <c r="D9029" t="s">
        <v>670</v>
      </c>
      <c r="E9029" t="s">
        <v>299</v>
      </c>
      <c r="F9029" t="s">
        <v>99</v>
      </c>
      <c r="G9029" t="s">
        <v>99</v>
      </c>
      <c r="H9029" t="s">
        <v>369</v>
      </c>
      <c r="I9029" t="s">
        <v>529</v>
      </c>
      <c r="J9029" t="s">
        <v>299</v>
      </c>
      <c r="K9029" t="s">
        <v>99</v>
      </c>
      <c r="L9029" t="s">
        <v>299</v>
      </c>
      <c r="M9029" t="s">
        <v>299</v>
      </c>
      <c r="N9029" t="s">
        <v>299</v>
      </c>
      <c r="O9029" t="s">
        <v>99</v>
      </c>
      <c r="P9029" t="s">
        <v>1067</v>
      </c>
      <c r="Q9029" t="s">
        <v>1067</v>
      </c>
      <c r="R9029" t="s">
        <v>1067</v>
      </c>
      <c r="S9029" t="s">
        <v>99</v>
      </c>
      <c r="T9029" t="s">
        <v>157</v>
      </c>
      <c r="U9029" t="s">
        <v>123</v>
      </c>
    </row>
    <row r="9030" spans="1:21" x14ac:dyDescent="0.3">
      <c r="A9030" t="s">
        <v>37</v>
      </c>
      <c r="B9030" t="s">
        <v>973</v>
      </c>
      <c r="C9030">
        <v>102</v>
      </c>
      <c r="D9030" t="s">
        <v>618</v>
      </c>
      <c r="E9030" t="s">
        <v>731</v>
      </c>
      <c r="F9030" t="s">
        <v>99</v>
      </c>
      <c r="G9030" t="s">
        <v>147</v>
      </c>
      <c r="H9030" t="s">
        <v>132</v>
      </c>
      <c r="I9030" t="s">
        <v>132</v>
      </c>
      <c r="J9030" t="s">
        <v>215</v>
      </c>
      <c r="K9030" t="s">
        <v>99</v>
      </c>
      <c r="L9030" t="s">
        <v>101</v>
      </c>
      <c r="M9030" t="s">
        <v>100</v>
      </c>
      <c r="N9030" t="s">
        <v>141</v>
      </c>
      <c r="O9030" t="s">
        <v>141</v>
      </c>
      <c r="P9030" t="s">
        <v>1149</v>
      </c>
      <c r="Q9030" t="s">
        <v>432</v>
      </c>
      <c r="R9030" t="s">
        <v>141</v>
      </c>
      <c r="S9030" t="s">
        <v>412</v>
      </c>
      <c r="T9030" t="s">
        <v>99</v>
      </c>
      <c r="U9030" t="s">
        <v>132</v>
      </c>
    </row>
    <row r="9031" spans="1:21" x14ac:dyDescent="0.3">
      <c r="A9031" t="s">
        <v>37</v>
      </c>
      <c r="B9031" t="s">
        <v>2268</v>
      </c>
      <c r="C9031">
        <v>159</v>
      </c>
      <c r="D9031" t="s">
        <v>926</v>
      </c>
      <c r="E9031" t="s">
        <v>499</v>
      </c>
      <c r="F9031" t="s">
        <v>99</v>
      </c>
      <c r="G9031" t="s">
        <v>72</v>
      </c>
      <c r="H9031" t="s">
        <v>99</v>
      </c>
      <c r="I9031" t="s">
        <v>99</v>
      </c>
      <c r="J9031" t="s">
        <v>99</v>
      </c>
      <c r="K9031" t="s">
        <v>99</v>
      </c>
      <c r="L9031" t="s">
        <v>123</v>
      </c>
      <c r="M9031" t="s">
        <v>382</v>
      </c>
      <c r="N9031" t="s">
        <v>154</v>
      </c>
      <c r="O9031" t="s">
        <v>99</v>
      </c>
      <c r="P9031" t="s">
        <v>1231</v>
      </c>
      <c r="Q9031" t="s">
        <v>542</v>
      </c>
      <c r="R9031" t="s">
        <v>115</v>
      </c>
      <c r="S9031" t="s">
        <v>134</v>
      </c>
      <c r="T9031" t="s">
        <v>99</v>
      </c>
      <c r="U9031" t="s">
        <v>136</v>
      </c>
    </row>
    <row r="9032" spans="1:21" x14ac:dyDescent="0.3">
      <c r="A9032" t="s">
        <v>37</v>
      </c>
      <c r="B9032" t="s">
        <v>2269</v>
      </c>
      <c r="C9032">
        <v>150</v>
      </c>
      <c r="D9032" t="s">
        <v>1050</v>
      </c>
      <c r="E9032" t="s">
        <v>442</v>
      </c>
      <c r="F9032" t="s">
        <v>99</v>
      </c>
      <c r="G9032" t="s">
        <v>204</v>
      </c>
      <c r="H9032" t="s">
        <v>99</v>
      </c>
      <c r="I9032" t="s">
        <v>99</v>
      </c>
      <c r="J9032" t="s">
        <v>136</v>
      </c>
      <c r="K9032" t="s">
        <v>99</v>
      </c>
      <c r="L9032" t="s">
        <v>114</v>
      </c>
      <c r="M9032" t="s">
        <v>141</v>
      </c>
      <c r="N9032" t="s">
        <v>663</v>
      </c>
      <c r="O9032" t="s">
        <v>99</v>
      </c>
      <c r="P9032" t="s">
        <v>641</v>
      </c>
      <c r="Q9032" t="s">
        <v>318</v>
      </c>
      <c r="R9032" t="s">
        <v>204</v>
      </c>
      <c r="S9032" t="s">
        <v>101</v>
      </c>
      <c r="T9032" t="s">
        <v>99</v>
      </c>
      <c r="U9032" t="s">
        <v>99</v>
      </c>
    </row>
    <row r="9033" spans="1:21" x14ac:dyDescent="0.3">
      <c r="A9033" t="s">
        <v>37</v>
      </c>
      <c r="B9033" t="s">
        <v>2270</v>
      </c>
      <c r="C9033">
        <v>115</v>
      </c>
      <c r="D9033" t="s">
        <v>583</v>
      </c>
      <c r="E9033" t="s">
        <v>811</v>
      </c>
      <c r="F9033" t="s">
        <v>99</v>
      </c>
      <c r="G9033" t="s">
        <v>126</v>
      </c>
      <c r="H9033" t="s">
        <v>141</v>
      </c>
      <c r="I9033" t="s">
        <v>316</v>
      </c>
      <c r="J9033" t="s">
        <v>157</v>
      </c>
      <c r="K9033" t="s">
        <v>401</v>
      </c>
      <c r="L9033" t="s">
        <v>132</v>
      </c>
      <c r="M9033" t="s">
        <v>798</v>
      </c>
      <c r="N9033" t="s">
        <v>242</v>
      </c>
      <c r="O9033" t="s">
        <v>171</v>
      </c>
      <c r="P9033" t="s">
        <v>309</v>
      </c>
      <c r="Q9033" t="s">
        <v>804</v>
      </c>
      <c r="R9033" t="s">
        <v>316</v>
      </c>
      <c r="S9033" t="s">
        <v>262</v>
      </c>
      <c r="T9033" t="s">
        <v>99</v>
      </c>
      <c r="U9033" t="s">
        <v>111</v>
      </c>
    </row>
    <row r="9034" spans="1:21" x14ac:dyDescent="0.3">
      <c r="A9034" t="s">
        <v>37</v>
      </c>
      <c r="B9034" t="s">
        <v>2271</v>
      </c>
      <c r="C9034">
        <v>669</v>
      </c>
      <c r="D9034" t="s">
        <v>603</v>
      </c>
      <c r="E9034" t="s">
        <v>478</v>
      </c>
      <c r="F9034" t="s">
        <v>111</v>
      </c>
      <c r="G9034" t="s">
        <v>121</v>
      </c>
      <c r="H9034" t="s">
        <v>41</v>
      </c>
      <c r="I9034" t="s">
        <v>508</v>
      </c>
      <c r="J9034" t="s">
        <v>103</v>
      </c>
      <c r="K9034" t="s">
        <v>128</v>
      </c>
      <c r="L9034" t="s">
        <v>316</v>
      </c>
      <c r="M9034" t="s">
        <v>470</v>
      </c>
      <c r="N9034" t="s">
        <v>251</v>
      </c>
      <c r="O9034" t="s">
        <v>149</v>
      </c>
      <c r="P9034" t="s">
        <v>692</v>
      </c>
      <c r="Q9034" t="s">
        <v>296</v>
      </c>
      <c r="R9034" t="s">
        <v>100</v>
      </c>
      <c r="S9034" t="s">
        <v>251</v>
      </c>
      <c r="T9034" t="s">
        <v>115</v>
      </c>
      <c r="U9034" t="s">
        <v>253</v>
      </c>
    </row>
    <row r="9035" spans="1:21" x14ac:dyDescent="0.3">
      <c r="A9035" t="s">
        <v>37</v>
      </c>
      <c r="B9035" t="s">
        <v>2272</v>
      </c>
      <c r="C9035">
        <v>863</v>
      </c>
      <c r="D9035" t="s">
        <v>1043</v>
      </c>
      <c r="E9035" t="s">
        <v>125</v>
      </c>
      <c r="F9035" t="s">
        <v>117</v>
      </c>
      <c r="G9035" t="s">
        <v>118</v>
      </c>
      <c r="H9035" t="s">
        <v>934</v>
      </c>
      <c r="I9035" t="s">
        <v>617</v>
      </c>
      <c r="J9035" t="s">
        <v>248</v>
      </c>
      <c r="K9035" t="s">
        <v>104</v>
      </c>
      <c r="L9035" t="s">
        <v>319</v>
      </c>
      <c r="M9035" t="s">
        <v>804</v>
      </c>
      <c r="N9035" t="s">
        <v>804</v>
      </c>
      <c r="O9035" t="s">
        <v>154</v>
      </c>
      <c r="P9035" t="s">
        <v>113</v>
      </c>
      <c r="Q9035" t="s">
        <v>149</v>
      </c>
      <c r="R9035" t="s">
        <v>121</v>
      </c>
      <c r="S9035" t="s">
        <v>150</v>
      </c>
      <c r="T9035" t="s">
        <v>136</v>
      </c>
      <c r="U9035" t="s">
        <v>136</v>
      </c>
    </row>
    <row r="9036" spans="1:21" x14ac:dyDescent="0.3">
      <c r="A9036" t="s">
        <v>37</v>
      </c>
      <c r="B9036" t="s">
        <v>2273</v>
      </c>
      <c r="C9036">
        <v>1069</v>
      </c>
      <c r="D9036" t="s">
        <v>283</v>
      </c>
      <c r="E9036" t="s">
        <v>145</v>
      </c>
      <c r="F9036" t="s">
        <v>319</v>
      </c>
      <c r="G9036" t="s">
        <v>134</v>
      </c>
      <c r="H9036" t="s">
        <v>563</v>
      </c>
      <c r="I9036" t="s">
        <v>1132</v>
      </c>
      <c r="J9036" t="s">
        <v>680</v>
      </c>
      <c r="K9036" t="s">
        <v>198</v>
      </c>
      <c r="L9036" t="s">
        <v>100</v>
      </c>
      <c r="M9036" t="s">
        <v>150</v>
      </c>
      <c r="N9036" t="s">
        <v>461</v>
      </c>
      <c r="O9036" t="s">
        <v>74</v>
      </c>
      <c r="P9036" t="s">
        <v>68</v>
      </c>
      <c r="Q9036" t="s">
        <v>120</v>
      </c>
      <c r="R9036" t="s">
        <v>103</v>
      </c>
      <c r="S9036" t="s">
        <v>112</v>
      </c>
      <c r="T9036" t="s">
        <v>104</v>
      </c>
      <c r="U9036" t="s">
        <v>207</v>
      </c>
    </row>
    <row r="9037" spans="1:21" x14ac:dyDescent="0.3">
      <c r="A9037" t="s">
        <v>37</v>
      </c>
      <c r="B9037" t="s">
        <v>976</v>
      </c>
      <c r="C9037">
        <v>105</v>
      </c>
      <c r="D9037" t="s">
        <v>1363</v>
      </c>
      <c r="E9037" t="s">
        <v>683</v>
      </c>
      <c r="F9037" t="s">
        <v>121</v>
      </c>
      <c r="G9037" t="s">
        <v>215</v>
      </c>
      <c r="H9037" t="s">
        <v>130</v>
      </c>
      <c r="I9037" t="s">
        <v>111</v>
      </c>
      <c r="J9037" t="s">
        <v>108</v>
      </c>
      <c r="K9037" t="s">
        <v>99</v>
      </c>
      <c r="L9037" t="s">
        <v>151</v>
      </c>
      <c r="M9037" t="s">
        <v>461</v>
      </c>
      <c r="N9037" t="s">
        <v>144</v>
      </c>
      <c r="O9037" t="s">
        <v>268</v>
      </c>
      <c r="P9037" t="s">
        <v>1156</v>
      </c>
      <c r="Q9037" t="s">
        <v>814</v>
      </c>
      <c r="R9037" t="s">
        <v>99</v>
      </c>
      <c r="S9037" t="s">
        <v>222</v>
      </c>
      <c r="T9037" t="s">
        <v>99</v>
      </c>
      <c r="U9037" t="s">
        <v>99</v>
      </c>
    </row>
    <row r="9038" spans="1:21" x14ac:dyDescent="0.3">
      <c r="A9038" t="s">
        <v>37</v>
      </c>
      <c r="B9038" t="s">
        <v>2274</v>
      </c>
      <c r="C9038">
        <v>136</v>
      </c>
      <c r="D9038" t="s">
        <v>861</v>
      </c>
      <c r="E9038" t="s">
        <v>39</v>
      </c>
      <c r="F9038" t="s">
        <v>108</v>
      </c>
      <c r="G9038" t="s">
        <v>129</v>
      </c>
      <c r="H9038" t="s">
        <v>115</v>
      </c>
      <c r="I9038" t="s">
        <v>115</v>
      </c>
      <c r="J9038" t="s">
        <v>99</v>
      </c>
      <c r="K9038" t="s">
        <v>99</v>
      </c>
      <c r="L9038" t="s">
        <v>99</v>
      </c>
      <c r="M9038" t="s">
        <v>151</v>
      </c>
      <c r="N9038" t="s">
        <v>98</v>
      </c>
      <c r="O9038" t="s">
        <v>99</v>
      </c>
      <c r="P9038" t="s">
        <v>1111</v>
      </c>
      <c r="Q9038" t="s">
        <v>233</v>
      </c>
      <c r="R9038" t="s">
        <v>115</v>
      </c>
      <c r="S9038" t="s">
        <v>138</v>
      </c>
      <c r="T9038" t="s">
        <v>99</v>
      </c>
      <c r="U9038" t="s">
        <v>99</v>
      </c>
    </row>
    <row r="9039" spans="1:21" x14ac:dyDescent="0.3">
      <c r="A9039" t="s">
        <v>37</v>
      </c>
      <c r="B9039" t="s">
        <v>2275</v>
      </c>
      <c r="C9039">
        <v>156</v>
      </c>
      <c r="D9039" t="s">
        <v>1329</v>
      </c>
      <c r="E9039" t="s">
        <v>131</v>
      </c>
      <c r="F9039" t="s">
        <v>99</v>
      </c>
      <c r="G9039" t="s">
        <v>804</v>
      </c>
      <c r="H9039" t="s">
        <v>108</v>
      </c>
      <c r="I9039" t="s">
        <v>99</v>
      </c>
      <c r="J9039" t="s">
        <v>99</v>
      </c>
      <c r="K9039" t="s">
        <v>99</v>
      </c>
      <c r="L9039" t="s">
        <v>99</v>
      </c>
      <c r="M9039" t="s">
        <v>99</v>
      </c>
      <c r="N9039" t="s">
        <v>118</v>
      </c>
      <c r="O9039" t="s">
        <v>99</v>
      </c>
      <c r="P9039" t="s">
        <v>630</v>
      </c>
      <c r="Q9039" t="s">
        <v>743</v>
      </c>
      <c r="R9039" t="s">
        <v>353</v>
      </c>
      <c r="S9039" t="s">
        <v>107</v>
      </c>
      <c r="T9039" t="s">
        <v>99</v>
      </c>
      <c r="U9039" t="s">
        <v>114</v>
      </c>
    </row>
    <row r="9040" spans="1:21" x14ac:dyDescent="0.3">
      <c r="A9040" t="s">
        <v>37</v>
      </c>
      <c r="B9040" t="s">
        <v>2276</v>
      </c>
      <c r="C9040">
        <v>73</v>
      </c>
      <c r="D9040" t="s">
        <v>603</v>
      </c>
      <c r="E9040" t="s">
        <v>72</v>
      </c>
      <c r="F9040" t="s">
        <v>99</v>
      </c>
      <c r="G9040" t="s">
        <v>292</v>
      </c>
      <c r="H9040" t="s">
        <v>99</v>
      </c>
      <c r="I9040" t="s">
        <v>151</v>
      </c>
      <c r="J9040" t="s">
        <v>99</v>
      </c>
      <c r="K9040" t="s">
        <v>99</v>
      </c>
      <c r="L9040" t="s">
        <v>311</v>
      </c>
      <c r="M9040" t="s">
        <v>262</v>
      </c>
      <c r="N9040" t="s">
        <v>461</v>
      </c>
      <c r="O9040" t="s">
        <v>663</v>
      </c>
      <c r="P9040" t="s">
        <v>834</v>
      </c>
      <c r="Q9040" t="s">
        <v>109</v>
      </c>
      <c r="R9040" t="s">
        <v>215</v>
      </c>
      <c r="S9040" t="s">
        <v>184</v>
      </c>
      <c r="T9040" t="s">
        <v>99</v>
      </c>
      <c r="U9040" t="s">
        <v>99</v>
      </c>
    </row>
    <row r="9041" spans="1:21" x14ac:dyDescent="0.3">
      <c r="A9041" t="s">
        <v>37</v>
      </c>
      <c r="B9041" t="s">
        <v>2277</v>
      </c>
      <c r="C9041">
        <v>444</v>
      </c>
      <c r="D9041" t="s">
        <v>633</v>
      </c>
      <c r="E9041" t="s">
        <v>747</v>
      </c>
      <c r="F9041" t="s">
        <v>253</v>
      </c>
      <c r="G9041" t="s">
        <v>107</v>
      </c>
      <c r="H9041" t="s">
        <v>311</v>
      </c>
      <c r="I9041" t="s">
        <v>691</v>
      </c>
      <c r="J9041" t="s">
        <v>130</v>
      </c>
      <c r="K9041" t="s">
        <v>99</v>
      </c>
      <c r="L9041" t="s">
        <v>143</v>
      </c>
      <c r="M9041" t="s">
        <v>74</v>
      </c>
      <c r="N9041" t="s">
        <v>163</v>
      </c>
      <c r="O9041" t="s">
        <v>684</v>
      </c>
      <c r="P9041" t="s">
        <v>536</v>
      </c>
      <c r="Q9041" t="s">
        <v>144</v>
      </c>
      <c r="R9041" t="s">
        <v>382</v>
      </c>
      <c r="S9041" t="s">
        <v>277</v>
      </c>
      <c r="T9041" t="s">
        <v>108</v>
      </c>
      <c r="U9041" t="s">
        <v>114</v>
      </c>
    </row>
    <row r="9042" spans="1:21" x14ac:dyDescent="0.3">
      <c r="A9042" t="s">
        <v>37</v>
      </c>
      <c r="B9042" t="s">
        <v>2278</v>
      </c>
      <c r="C9042">
        <v>571</v>
      </c>
      <c r="D9042" t="s">
        <v>923</v>
      </c>
      <c r="E9042" t="s">
        <v>470</v>
      </c>
      <c r="F9042" t="s">
        <v>151</v>
      </c>
      <c r="G9042" t="s">
        <v>134</v>
      </c>
      <c r="H9042" t="s">
        <v>224</v>
      </c>
      <c r="I9042" t="s">
        <v>1255</v>
      </c>
      <c r="J9042" t="s">
        <v>78</v>
      </c>
      <c r="K9042" t="s">
        <v>99</v>
      </c>
      <c r="L9042" t="s">
        <v>115</v>
      </c>
      <c r="M9042" t="s">
        <v>105</v>
      </c>
      <c r="N9042" t="s">
        <v>305</v>
      </c>
      <c r="O9042" t="s">
        <v>382</v>
      </c>
      <c r="P9042" t="s">
        <v>122</v>
      </c>
      <c r="Q9042" t="s">
        <v>134</v>
      </c>
      <c r="R9042" t="s">
        <v>114</v>
      </c>
      <c r="S9042" t="s">
        <v>325</v>
      </c>
      <c r="T9042" t="s">
        <v>101</v>
      </c>
      <c r="U9042" t="s">
        <v>104</v>
      </c>
    </row>
    <row r="9043" spans="1:21" x14ac:dyDescent="0.3">
      <c r="A9043" t="s">
        <v>37</v>
      </c>
      <c r="B9043" t="s">
        <v>2279</v>
      </c>
      <c r="C9043">
        <v>585</v>
      </c>
      <c r="D9043" t="s">
        <v>1102</v>
      </c>
      <c r="E9043" t="s">
        <v>125</v>
      </c>
      <c r="F9043" t="s">
        <v>105</v>
      </c>
      <c r="G9043" t="s">
        <v>332</v>
      </c>
      <c r="H9043" t="s">
        <v>1188</v>
      </c>
      <c r="I9043" t="s">
        <v>345</v>
      </c>
      <c r="J9043" t="s">
        <v>220</v>
      </c>
      <c r="K9043" t="s">
        <v>99</v>
      </c>
      <c r="L9043" t="s">
        <v>319</v>
      </c>
      <c r="M9043" t="s">
        <v>120</v>
      </c>
      <c r="N9043" t="s">
        <v>379</v>
      </c>
      <c r="O9043" t="s">
        <v>434</v>
      </c>
      <c r="P9043" t="s">
        <v>124</v>
      </c>
      <c r="Q9043" t="s">
        <v>268</v>
      </c>
      <c r="R9043" t="s">
        <v>382</v>
      </c>
      <c r="S9043" t="s">
        <v>122</v>
      </c>
      <c r="T9043" t="s">
        <v>99</v>
      </c>
      <c r="U9043" t="s">
        <v>198</v>
      </c>
    </row>
    <row r="9044" spans="1:21" x14ac:dyDescent="0.3">
      <c r="A9044" t="s">
        <v>37</v>
      </c>
      <c r="B9044" t="s">
        <v>365</v>
      </c>
      <c r="C9044">
        <v>3</v>
      </c>
      <c r="D9044" t="s">
        <v>540</v>
      </c>
      <c r="E9044" t="s">
        <v>99</v>
      </c>
      <c r="F9044" t="s">
        <v>99</v>
      </c>
      <c r="G9044" t="s">
        <v>99</v>
      </c>
      <c r="H9044" t="s">
        <v>370</v>
      </c>
      <c r="I9044" t="s">
        <v>826</v>
      </c>
      <c r="J9044" t="s">
        <v>99</v>
      </c>
      <c r="K9044" t="s">
        <v>99</v>
      </c>
      <c r="L9044" t="s">
        <v>99</v>
      </c>
      <c r="M9044" t="s">
        <v>99</v>
      </c>
      <c r="N9044" t="s">
        <v>99</v>
      </c>
      <c r="O9044" t="s">
        <v>99</v>
      </c>
      <c r="P9044" t="s">
        <v>1215</v>
      </c>
      <c r="Q9044" t="s">
        <v>99</v>
      </c>
      <c r="R9044" t="s">
        <v>99</v>
      </c>
      <c r="S9044" t="s">
        <v>99</v>
      </c>
      <c r="T9044" t="s">
        <v>99</v>
      </c>
      <c r="U9044" t="s">
        <v>99</v>
      </c>
    </row>
    <row r="9045" spans="1:21" x14ac:dyDescent="0.3">
      <c r="A9045" t="s">
        <v>36</v>
      </c>
      <c r="B9045" t="s">
        <v>973</v>
      </c>
      <c r="C9045">
        <v>58</v>
      </c>
      <c r="D9045" t="s">
        <v>947</v>
      </c>
      <c r="E9045" t="s">
        <v>737</v>
      </c>
      <c r="F9045" t="s">
        <v>99</v>
      </c>
      <c r="G9045" t="s">
        <v>155</v>
      </c>
      <c r="H9045" t="s">
        <v>114</v>
      </c>
      <c r="I9045" t="s">
        <v>99</v>
      </c>
      <c r="J9045" t="s">
        <v>104</v>
      </c>
      <c r="K9045" t="s">
        <v>99</v>
      </c>
      <c r="L9045" t="s">
        <v>182</v>
      </c>
      <c r="M9045" t="s">
        <v>726</v>
      </c>
      <c r="N9045" t="s">
        <v>268</v>
      </c>
      <c r="O9045" t="s">
        <v>182</v>
      </c>
      <c r="P9045" t="s">
        <v>905</v>
      </c>
      <c r="Q9045" t="s">
        <v>165</v>
      </c>
      <c r="R9045" t="s">
        <v>138</v>
      </c>
      <c r="S9045" t="s">
        <v>379</v>
      </c>
      <c r="T9045" t="s">
        <v>99</v>
      </c>
      <c r="U9045" t="s">
        <v>99</v>
      </c>
    </row>
    <row r="9046" spans="1:21" x14ac:dyDescent="0.3">
      <c r="A9046" t="s">
        <v>36</v>
      </c>
      <c r="B9046" t="s">
        <v>2268</v>
      </c>
      <c r="C9046">
        <v>88</v>
      </c>
      <c r="D9046" t="s">
        <v>2132</v>
      </c>
      <c r="E9046" t="s">
        <v>255</v>
      </c>
      <c r="F9046" t="s">
        <v>99</v>
      </c>
      <c r="G9046" t="s">
        <v>104</v>
      </c>
      <c r="H9046" t="s">
        <v>100</v>
      </c>
      <c r="I9046" t="s">
        <v>115</v>
      </c>
      <c r="J9046" t="s">
        <v>99</v>
      </c>
      <c r="K9046" t="s">
        <v>99</v>
      </c>
      <c r="L9046" t="s">
        <v>136</v>
      </c>
      <c r="M9046" t="s">
        <v>78</v>
      </c>
      <c r="N9046" t="s">
        <v>154</v>
      </c>
      <c r="O9046" t="s">
        <v>99</v>
      </c>
      <c r="P9046" t="s">
        <v>624</v>
      </c>
      <c r="Q9046" t="s">
        <v>133</v>
      </c>
      <c r="R9046" t="s">
        <v>207</v>
      </c>
      <c r="S9046" t="s">
        <v>113</v>
      </c>
      <c r="T9046" t="s">
        <v>99</v>
      </c>
      <c r="U9046" t="s">
        <v>99</v>
      </c>
    </row>
    <row r="9047" spans="1:21" x14ac:dyDescent="0.3">
      <c r="A9047" t="s">
        <v>36</v>
      </c>
      <c r="B9047" t="s">
        <v>2269</v>
      </c>
      <c r="C9047">
        <v>86</v>
      </c>
      <c r="D9047" t="s">
        <v>1650</v>
      </c>
      <c r="E9047" t="s">
        <v>717</v>
      </c>
      <c r="F9047" t="s">
        <v>99</v>
      </c>
      <c r="G9047" t="s">
        <v>99</v>
      </c>
      <c r="H9047" t="s">
        <v>104</v>
      </c>
      <c r="I9047" t="s">
        <v>141</v>
      </c>
      <c r="J9047" t="s">
        <v>99</v>
      </c>
      <c r="K9047" t="s">
        <v>99</v>
      </c>
      <c r="L9047" t="s">
        <v>136</v>
      </c>
      <c r="M9047" t="s">
        <v>104</v>
      </c>
      <c r="N9047" t="s">
        <v>114</v>
      </c>
      <c r="O9047" t="s">
        <v>99</v>
      </c>
      <c r="P9047" t="s">
        <v>1176</v>
      </c>
      <c r="Q9047" t="s">
        <v>207</v>
      </c>
      <c r="R9047" t="s">
        <v>108</v>
      </c>
      <c r="S9047" t="s">
        <v>132</v>
      </c>
      <c r="T9047" t="s">
        <v>207</v>
      </c>
      <c r="U9047" t="s">
        <v>99</v>
      </c>
    </row>
    <row r="9048" spans="1:21" x14ac:dyDescent="0.3">
      <c r="A9048" t="s">
        <v>36</v>
      </c>
      <c r="B9048" t="s">
        <v>2270</v>
      </c>
      <c r="C9048">
        <v>87</v>
      </c>
      <c r="D9048" t="s">
        <v>1245</v>
      </c>
      <c r="E9048" t="s">
        <v>315</v>
      </c>
      <c r="F9048" t="s">
        <v>101</v>
      </c>
      <c r="G9048" t="s">
        <v>111</v>
      </c>
      <c r="H9048" t="s">
        <v>121</v>
      </c>
      <c r="I9048" t="s">
        <v>41</v>
      </c>
      <c r="J9048" t="s">
        <v>99</v>
      </c>
      <c r="K9048" t="s">
        <v>117</v>
      </c>
      <c r="L9048" t="s">
        <v>253</v>
      </c>
      <c r="M9048" t="s">
        <v>163</v>
      </c>
      <c r="N9048" t="s">
        <v>292</v>
      </c>
      <c r="O9048" t="s">
        <v>99</v>
      </c>
      <c r="P9048" t="s">
        <v>534</v>
      </c>
      <c r="Q9048" t="s">
        <v>255</v>
      </c>
      <c r="R9048" t="s">
        <v>115</v>
      </c>
      <c r="S9048" t="s">
        <v>299</v>
      </c>
      <c r="T9048" t="s">
        <v>114</v>
      </c>
      <c r="U9048" t="s">
        <v>207</v>
      </c>
    </row>
    <row r="9049" spans="1:21" x14ac:dyDescent="0.3">
      <c r="A9049" t="s">
        <v>36</v>
      </c>
      <c r="B9049" t="s">
        <v>2271</v>
      </c>
      <c r="C9049">
        <v>519</v>
      </c>
      <c r="D9049" t="s">
        <v>622</v>
      </c>
      <c r="E9049" t="s">
        <v>689</v>
      </c>
      <c r="F9049" t="s">
        <v>108</v>
      </c>
      <c r="G9049" t="s">
        <v>123</v>
      </c>
      <c r="H9049" t="s">
        <v>41</v>
      </c>
      <c r="I9049" t="s">
        <v>218</v>
      </c>
      <c r="J9049" t="s">
        <v>121</v>
      </c>
      <c r="K9049" t="s">
        <v>292</v>
      </c>
      <c r="L9049" t="s">
        <v>382</v>
      </c>
      <c r="M9049" t="s">
        <v>220</v>
      </c>
      <c r="N9049" t="s">
        <v>296</v>
      </c>
      <c r="O9049" t="s">
        <v>118</v>
      </c>
      <c r="P9049" t="s">
        <v>432</v>
      </c>
      <c r="Q9049" t="s">
        <v>804</v>
      </c>
      <c r="R9049" t="s">
        <v>101</v>
      </c>
      <c r="S9049" t="s">
        <v>708</v>
      </c>
      <c r="T9049" t="s">
        <v>101</v>
      </c>
      <c r="U9049" t="s">
        <v>108</v>
      </c>
    </row>
    <row r="9050" spans="1:21" x14ac:dyDescent="0.3">
      <c r="A9050" t="s">
        <v>36</v>
      </c>
      <c r="B9050" t="s">
        <v>2272</v>
      </c>
      <c r="C9050">
        <v>543</v>
      </c>
      <c r="D9050" t="s">
        <v>1159</v>
      </c>
      <c r="E9050" t="s">
        <v>145</v>
      </c>
      <c r="F9050" t="s">
        <v>130</v>
      </c>
      <c r="G9050" t="s">
        <v>114</v>
      </c>
      <c r="H9050" t="s">
        <v>519</v>
      </c>
      <c r="I9050" t="s">
        <v>629</v>
      </c>
      <c r="J9050" t="s">
        <v>664</v>
      </c>
      <c r="K9050" t="s">
        <v>99</v>
      </c>
      <c r="L9050" t="s">
        <v>123</v>
      </c>
      <c r="M9050" t="s">
        <v>465</v>
      </c>
      <c r="N9050" t="s">
        <v>109</v>
      </c>
      <c r="O9050" t="s">
        <v>111</v>
      </c>
      <c r="P9050" t="s">
        <v>401</v>
      </c>
      <c r="Q9050" t="s">
        <v>130</v>
      </c>
      <c r="R9050" t="s">
        <v>100</v>
      </c>
      <c r="S9050" t="s">
        <v>72</v>
      </c>
      <c r="T9050" t="s">
        <v>99</v>
      </c>
      <c r="U9050" t="s">
        <v>136</v>
      </c>
    </row>
    <row r="9051" spans="1:21" x14ac:dyDescent="0.3">
      <c r="A9051" t="s">
        <v>36</v>
      </c>
      <c r="B9051" t="s">
        <v>2273</v>
      </c>
      <c r="C9051">
        <v>499</v>
      </c>
      <c r="D9051" t="s">
        <v>834</v>
      </c>
      <c r="E9051" t="s">
        <v>684</v>
      </c>
      <c r="F9051" t="s">
        <v>118</v>
      </c>
      <c r="G9051" t="s">
        <v>101</v>
      </c>
      <c r="H9051" t="s">
        <v>539</v>
      </c>
      <c r="I9051" t="s">
        <v>568</v>
      </c>
      <c r="J9051" t="s">
        <v>379</v>
      </c>
      <c r="K9051" t="s">
        <v>99</v>
      </c>
      <c r="L9051" t="s">
        <v>108</v>
      </c>
      <c r="M9051" t="s">
        <v>434</v>
      </c>
      <c r="N9051" t="s">
        <v>68</v>
      </c>
      <c r="O9051" t="s">
        <v>115</v>
      </c>
      <c r="P9051" t="s">
        <v>130</v>
      </c>
      <c r="Q9051" t="s">
        <v>127</v>
      </c>
      <c r="R9051" t="s">
        <v>141</v>
      </c>
      <c r="S9051" t="s">
        <v>135</v>
      </c>
      <c r="T9051" t="s">
        <v>207</v>
      </c>
      <c r="U9051" t="s">
        <v>319</v>
      </c>
    </row>
    <row r="9052" spans="1:21" x14ac:dyDescent="0.3">
      <c r="A9052" t="s">
        <v>36</v>
      </c>
      <c r="B9052" t="s">
        <v>976</v>
      </c>
      <c r="C9052">
        <v>69</v>
      </c>
      <c r="D9052" t="s">
        <v>458</v>
      </c>
      <c r="E9052" t="s">
        <v>372</v>
      </c>
      <c r="F9052" t="s">
        <v>99</v>
      </c>
      <c r="G9052" t="s">
        <v>99</v>
      </c>
      <c r="H9052" t="s">
        <v>115</v>
      </c>
      <c r="I9052" t="s">
        <v>141</v>
      </c>
      <c r="J9052" t="s">
        <v>99</v>
      </c>
      <c r="K9052" t="s">
        <v>141</v>
      </c>
      <c r="L9052" t="s">
        <v>99</v>
      </c>
      <c r="M9052" t="s">
        <v>99</v>
      </c>
      <c r="N9052" t="s">
        <v>292</v>
      </c>
      <c r="O9052" t="s">
        <v>99</v>
      </c>
      <c r="P9052" t="s">
        <v>64</v>
      </c>
      <c r="Q9052" t="s">
        <v>38</v>
      </c>
      <c r="R9052" t="s">
        <v>99</v>
      </c>
      <c r="S9052" t="s">
        <v>536</v>
      </c>
      <c r="T9052" t="s">
        <v>99</v>
      </c>
      <c r="U9052" t="s">
        <v>198</v>
      </c>
    </row>
    <row r="9053" spans="1:21" x14ac:dyDescent="0.3">
      <c r="A9053" t="s">
        <v>36</v>
      </c>
      <c r="B9053" t="s">
        <v>2274</v>
      </c>
      <c r="C9053">
        <v>86</v>
      </c>
      <c r="D9053" t="s">
        <v>557</v>
      </c>
      <c r="E9053" t="s">
        <v>807</v>
      </c>
      <c r="F9053" t="s">
        <v>99</v>
      </c>
      <c r="G9053" t="s">
        <v>114</v>
      </c>
      <c r="H9053" t="s">
        <v>114</v>
      </c>
      <c r="I9053" t="s">
        <v>99</v>
      </c>
      <c r="J9053" t="s">
        <v>99</v>
      </c>
      <c r="K9053" t="s">
        <v>99</v>
      </c>
      <c r="L9053" t="s">
        <v>99</v>
      </c>
      <c r="M9053" t="s">
        <v>155</v>
      </c>
      <c r="N9053" t="s">
        <v>461</v>
      </c>
      <c r="O9053" t="s">
        <v>198</v>
      </c>
      <c r="P9053" t="s">
        <v>245</v>
      </c>
      <c r="Q9053" t="s">
        <v>145</v>
      </c>
      <c r="R9053" t="s">
        <v>100</v>
      </c>
      <c r="S9053" t="s">
        <v>128</v>
      </c>
      <c r="T9053" t="s">
        <v>99</v>
      </c>
      <c r="U9053" t="s">
        <v>99</v>
      </c>
    </row>
    <row r="9054" spans="1:21" x14ac:dyDescent="0.3">
      <c r="A9054" t="s">
        <v>36</v>
      </c>
      <c r="B9054" t="s">
        <v>2275</v>
      </c>
      <c r="C9054">
        <v>84</v>
      </c>
      <c r="D9054" t="s">
        <v>1239</v>
      </c>
      <c r="E9054" t="s">
        <v>1185</v>
      </c>
      <c r="F9054" t="s">
        <v>99</v>
      </c>
      <c r="G9054" t="s">
        <v>99</v>
      </c>
      <c r="H9054" t="s">
        <v>99</v>
      </c>
      <c r="I9054" t="s">
        <v>99</v>
      </c>
      <c r="J9054" t="s">
        <v>99</v>
      </c>
      <c r="K9054" t="s">
        <v>99</v>
      </c>
      <c r="L9054" t="s">
        <v>99</v>
      </c>
      <c r="M9054" t="s">
        <v>104</v>
      </c>
      <c r="N9054" t="s">
        <v>677</v>
      </c>
      <c r="O9054" t="s">
        <v>99</v>
      </c>
      <c r="P9054" t="s">
        <v>1223</v>
      </c>
      <c r="Q9054" t="s">
        <v>144</v>
      </c>
      <c r="R9054" t="s">
        <v>99</v>
      </c>
      <c r="S9054" t="s">
        <v>253</v>
      </c>
      <c r="T9054" t="s">
        <v>99</v>
      </c>
      <c r="U9054" t="s">
        <v>292</v>
      </c>
    </row>
    <row r="9055" spans="1:21" x14ac:dyDescent="0.3">
      <c r="A9055" t="s">
        <v>36</v>
      </c>
      <c r="B9055" t="s">
        <v>2276</v>
      </c>
      <c r="C9055">
        <v>40</v>
      </c>
      <c r="D9055" t="s">
        <v>826</v>
      </c>
      <c r="E9055" t="s">
        <v>135</v>
      </c>
      <c r="F9055" t="s">
        <v>100</v>
      </c>
      <c r="G9055" t="s">
        <v>99</v>
      </c>
      <c r="H9055" t="s">
        <v>673</v>
      </c>
      <c r="I9055" t="s">
        <v>99</v>
      </c>
      <c r="J9055" t="s">
        <v>62</v>
      </c>
      <c r="K9055" t="s">
        <v>99</v>
      </c>
      <c r="L9055" t="s">
        <v>151</v>
      </c>
      <c r="M9055" t="s">
        <v>151</v>
      </c>
      <c r="N9055" t="s">
        <v>468</v>
      </c>
      <c r="O9055" t="s">
        <v>99</v>
      </c>
      <c r="P9055" t="s">
        <v>416</v>
      </c>
      <c r="Q9055" t="s">
        <v>132</v>
      </c>
      <c r="R9055" t="s">
        <v>108</v>
      </c>
      <c r="S9055" t="s">
        <v>154</v>
      </c>
      <c r="T9055" t="s">
        <v>99</v>
      </c>
      <c r="U9055" t="s">
        <v>99</v>
      </c>
    </row>
    <row r="9056" spans="1:21" x14ac:dyDescent="0.3">
      <c r="A9056" t="s">
        <v>36</v>
      </c>
      <c r="B9056" t="s">
        <v>2277</v>
      </c>
      <c r="C9056">
        <v>286</v>
      </c>
      <c r="D9056" t="s">
        <v>1570</v>
      </c>
      <c r="E9056" t="s">
        <v>401</v>
      </c>
      <c r="F9056" t="s">
        <v>207</v>
      </c>
      <c r="G9056" t="s">
        <v>127</v>
      </c>
      <c r="H9056" t="s">
        <v>802</v>
      </c>
      <c r="I9056" t="s">
        <v>373</v>
      </c>
      <c r="J9056" t="s">
        <v>114</v>
      </c>
      <c r="K9056" t="s">
        <v>99</v>
      </c>
      <c r="L9056" t="s">
        <v>111</v>
      </c>
      <c r="M9056" t="s">
        <v>144</v>
      </c>
      <c r="N9056" t="s">
        <v>179</v>
      </c>
      <c r="O9056" t="s">
        <v>141</v>
      </c>
      <c r="P9056" t="s">
        <v>70</v>
      </c>
      <c r="Q9056" t="s">
        <v>204</v>
      </c>
      <c r="R9056" t="s">
        <v>316</v>
      </c>
      <c r="S9056" t="s">
        <v>321</v>
      </c>
      <c r="T9056" t="s">
        <v>141</v>
      </c>
      <c r="U9056" t="s">
        <v>108</v>
      </c>
    </row>
    <row r="9057" spans="1:21" x14ac:dyDescent="0.3">
      <c r="A9057" t="s">
        <v>36</v>
      </c>
      <c r="B9057" t="s">
        <v>2278</v>
      </c>
      <c r="C9057">
        <v>322</v>
      </c>
      <c r="D9057" t="s">
        <v>604</v>
      </c>
      <c r="E9057" t="s">
        <v>38</v>
      </c>
      <c r="F9057" t="s">
        <v>109</v>
      </c>
      <c r="G9057" t="s">
        <v>151</v>
      </c>
      <c r="H9057" t="s">
        <v>696</v>
      </c>
      <c r="I9057" t="s">
        <v>725</v>
      </c>
      <c r="J9057" t="s">
        <v>154</v>
      </c>
      <c r="K9057" t="s">
        <v>99</v>
      </c>
      <c r="L9057" t="s">
        <v>108</v>
      </c>
      <c r="M9057" t="s">
        <v>124</v>
      </c>
      <c r="N9057" t="s">
        <v>305</v>
      </c>
      <c r="O9057" t="s">
        <v>141</v>
      </c>
      <c r="P9057" t="s">
        <v>74</v>
      </c>
      <c r="Q9057" t="s">
        <v>253</v>
      </c>
      <c r="R9057" t="s">
        <v>198</v>
      </c>
      <c r="S9057" t="s">
        <v>328</v>
      </c>
      <c r="T9057" t="s">
        <v>117</v>
      </c>
      <c r="U9057" t="s">
        <v>99</v>
      </c>
    </row>
    <row r="9058" spans="1:21" x14ac:dyDescent="0.3">
      <c r="A9058" t="s">
        <v>36</v>
      </c>
      <c r="B9058" t="s">
        <v>2279</v>
      </c>
      <c r="C9058">
        <v>277</v>
      </c>
      <c r="D9058" t="s">
        <v>832</v>
      </c>
      <c r="E9058" t="s">
        <v>117</v>
      </c>
      <c r="F9058" t="s">
        <v>101</v>
      </c>
      <c r="G9058" t="s">
        <v>141</v>
      </c>
      <c r="H9058" t="s">
        <v>793</v>
      </c>
      <c r="I9058" t="s">
        <v>1291</v>
      </c>
      <c r="J9058" t="s">
        <v>41</v>
      </c>
      <c r="K9058" t="s">
        <v>99</v>
      </c>
      <c r="L9058" t="s">
        <v>319</v>
      </c>
      <c r="M9058" t="s">
        <v>253</v>
      </c>
      <c r="N9058" t="s">
        <v>150</v>
      </c>
      <c r="O9058" t="s">
        <v>132</v>
      </c>
      <c r="P9058" t="s">
        <v>215</v>
      </c>
      <c r="Q9058" t="s">
        <v>136</v>
      </c>
      <c r="R9058" t="s">
        <v>141</v>
      </c>
      <c r="S9058" t="s">
        <v>113</v>
      </c>
      <c r="T9058" t="s">
        <v>401</v>
      </c>
      <c r="U9058" t="s">
        <v>136</v>
      </c>
    </row>
    <row r="9059" spans="1:21" x14ac:dyDescent="0.3">
      <c r="A9059" t="s">
        <v>36</v>
      </c>
      <c r="B9059" t="s">
        <v>365</v>
      </c>
      <c r="C9059">
        <v>6</v>
      </c>
      <c r="D9059" t="s">
        <v>936</v>
      </c>
      <c r="E9059" t="s">
        <v>99</v>
      </c>
      <c r="F9059" t="s">
        <v>99</v>
      </c>
      <c r="G9059" t="s">
        <v>99</v>
      </c>
      <c r="H9059" t="s">
        <v>99</v>
      </c>
      <c r="I9059" t="s">
        <v>566</v>
      </c>
      <c r="J9059" t="s">
        <v>99</v>
      </c>
      <c r="K9059" t="s">
        <v>99</v>
      </c>
      <c r="L9059" t="s">
        <v>99</v>
      </c>
      <c r="M9059" t="s">
        <v>99</v>
      </c>
      <c r="N9059" t="s">
        <v>712</v>
      </c>
      <c r="O9059" t="s">
        <v>99</v>
      </c>
      <c r="P9059" t="s">
        <v>99</v>
      </c>
      <c r="Q9059" t="s">
        <v>99</v>
      </c>
      <c r="R9059" t="s">
        <v>99</v>
      </c>
      <c r="S9059" t="s">
        <v>99</v>
      </c>
      <c r="T9059" t="s">
        <v>99</v>
      </c>
      <c r="U9059" t="s">
        <v>254</v>
      </c>
    </row>
    <row r="9060" spans="1:21" x14ac:dyDescent="0.3">
      <c r="A9060" t="s">
        <v>34</v>
      </c>
      <c r="B9060" t="s">
        <v>973</v>
      </c>
      <c r="C9060">
        <v>54</v>
      </c>
      <c r="D9060" t="s">
        <v>572</v>
      </c>
      <c r="E9060" t="s">
        <v>805</v>
      </c>
      <c r="F9060" t="s">
        <v>99</v>
      </c>
      <c r="G9060" t="s">
        <v>99</v>
      </c>
      <c r="H9060" t="s">
        <v>123</v>
      </c>
      <c r="I9060" t="s">
        <v>99</v>
      </c>
      <c r="J9060" t="s">
        <v>109</v>
      </c>
      <c r="K9060" t="s">
        <v>99</v>
      </c>
      <c r="L9060" t="s">
        <v>130</v>
      </c>
      <c r="M9060" t="s">
        <v>663</v>
      </c>
      <c r="N9060" t="s">
        <v>138</v>
      </c>
      <c r="O9060" t="s">
        <v>138</v>
      </c>
      <c r="P9060" t="s">
        <v>521</v>
      </c>
      <c r="Q9060" t="s">
        <v>714</v>
      </c>
      <c r="R9060" t="s">
        <v>99</v>
      </c>
      <c r="S9060" t="s">
        <v>133</v>
      </c>
      <c r="T9060" t="s">
        <v>99</v>
      </c>
      <c r="U9060" t="s">
        <v>99</v>
      </c>
    </row>
    <row r="9061" spans="1:21" x14ac:dyDescent="0.3">
      <c r="A9061" t="s">
        <v>34</v>
      </c>
      <c r="B9061" t="s">
        <v>2268</v>
      </c>
      <c r="C9061">
        <v>61</v>
      </c>
      <c r="D9061" t="s">
        <v>1533</v>
      </c>
      <c r="E9061" t="s">
        <v>137</v>
      </c>
      <c r="F9061" t="s">
        <v>99</v>
      </c>
      <c r="G9061" t="s">
        <v>215</v>
      </c>
      <c r="H9061" t="s">
        <v>99</v>
      </c>
      <c r="I9061" t="s">
        <v>99</v>
      </c>
      <c r="J9061" t="s">
        <v>99</v>
      </c>
      <c r="K9061" t="s">
        <v>99</v>
      </c>
      <c r="L9061" t="s">
        <v>401</v>
      </c>
      <c r="M9061" t="s">
        <v>684</v>
      </c>
      <c r="N9061" t="s">
        <v>99</v>
      </c>
      <c r="O9061" t="s">
        <v>99</v>
      </c>
      <c r="P9061" t="s">
        <v>1494</v>
      </c>
      <c r="Q9061" t="s">
        <v>318</v>
      </c>
      <c r="R9061" t="s">
        <v>117</v>
      </c>
      <c r="S9061" t="s">
        <v>204</v>
      </c>
      <c r="T9061" t="s">
        <v>99</v>
      </c>
      <c r="U9061" t="s">
        <v>99</v>
      </c>
    </row>
    <row r="9062" spans="1:21" x14ac:dyDescent="0.3">
      <c r="A9062" t="s">
        <v>34</v>
      </c>
      <c r="B9062" t="s">
        <v>2269</v>
      </c>
      <c r="C9062">
        <v>46</v>
      </c>
      <c r="D9062" t="s">
        <v>627</v>
      </c>
      <c r="E9062" t="s">
        <v>719</v>
      </c>
      <c r="F9062" t="s">
        <v>99</v>
      </c>
      <c r="G9062" t="s">
        <v>103</v>
      </c>
      <c r="H9062" t="s">
        <v>100</v>
      </c>
      <c r="I9062" t="s">
        <v>99</v>
      </c>
      <c r="J9062" t="s">
        <v>99</v>
      </c>
      <c r="K9062" t="s">
        <v>99</v>
      </c>
      <c r="L9062" t="s">
        <v>468</v>
      </c>
      <c r="M9062" t="s">
        <v>115</v>
      </c>
      <c r="N9062" t="s">
        <v>99</v>
      </c>
      <c r="O9062" t="s">
        <v>99</v>
      </c>
      <c r="P9062" t="s">
        <v>156</v>
      </c>
      <c r="Q9062" t="s">
        <v>127</v>
      </c>
      <c r="R9062" t="s">
        <v>99</v>
      </c>
      <c r="S9062" t="s">
        <v>691</v>
      </c>
      <c r="T9062" t="s">
        <v>712</v>
      </c>
      <c r="U9062" t="s">
        <v>99</v>
      </c>
    </row>
    <row r="9063" spans="1:21" x14ac:dyDescent="0.3">
      <c r="A9063" t="s">
        <v>34</v>
      </c>
      <c r="B9063" t="s">
        <v>2270</v>
      </c>
      <c r="C9063">
        <v>39</v>
      </c>
      <c r="D9063" t="s">
        <v>1160</v>
      </c>
      <c r="E9063" t="s">
        <v>222</v>
      </c>
      <c r="F9063" t="s">
        <v>99</v>
      </c>
      <c r="G9063" t="s">
        <v>99</v>
      </c>
      <c r="H9063" t="s">
        <v>150</v>
      </c>
      <c r="I9063" t="s">
        <v>154</v>
      </c>
      <c r="J9063" t="s">
        <v>99</v>
      </c>
      <c r="K9063" t="s">
        <v>112</v>
      </c>
      <c r="L9063" t="s">
        <v>316</v>
      </c>
      <c r="M9063" t="s">
        <v>105</v>
      </c>
      <c r="N9063" t="s">
        <v>198</v>
      </c>
      <c r="O9063" t="s">
        <v>253</v>
      </c>
      <c r="P9063" t="s">
        <v>201</v>
      </c>
      <c r="Q9063" t="s">
        <v>167</v>
      </c>
      <c r="R9063" t="s">
        <v>99</v>
      </c>
      <c r="S9063" t="s">
        <v>499</v>
      </c>
      <c r="T9063" t="s">
        <v>99</v>
      </c>
      <c r="U9063" t="s">
        <v>316</v>
      </c>
    </row>
    <row r="9064" spans="1:21" x14ac:dyDescent="0.3">
      <c r="A9064" t="s">
        <v>34</v>
      </c>
      <c r="B9064" t="s">
        <v>2271</v>
      </c>
      <c r="C9064">
        <v>435</v>
      </c>
      <c r="D9064" t="s">
        <v>1015</v>
      </c>
      <c r="E9064" t="s">
        <v>700</v>
      </c>
      <c r="F9064" t="s">
        <v>132</v>
      </c>
      <c r="G9064" t="s">
        <v>101</v>
      </c>
      <c r="H9064" t="s">
        <v>179</v>
      </c>
      <c r="I9064" t="s">
        <v>508</v>
      </c>
      <c r="J9064" t="s">
        <v>101</v>
      </c>
      <c r="K9064" t="s">
        <v>132</v>
      </c>
      <c r="L9064" t="s">
        <v>117</v>
      </c>
      <c r="M9064" t="s">
        <v>222</v>
      </c>
      <c r="N9064" t="s">
        <v>163</v>
      </c>
      <c r="O9064" t="s">
        <v>147</v>
      </c>
      <c r="P9064" t="s">
        <v>694</v>
      </c>
      <c r="Q9064" t="s">
        <v>369</v>
      </c>
      <c r="R9064" t="s">
        <v>198</v>
      </c>
      <c r="S9064" t="s">
        <v>369</v>
      </c>
      <c r="T9064" t="s">
        <v>141</v>
      </c>
      <c r="U9064" t="s">
        <v>157</v>
      </c>
    </row>
    <row r="9065" spans="1:21" x14ac:dyDescent="0.3">
      <c r="A9065" t="s">
        <v>34</v>
      </c>
      <c r="B9065" t="s">
        <v>2272</v>
      </c>
      <c r="C9065">
        <v>463</v>
      </c>
      <c r="D9065" t="s">
        <v>957</v>
      </c>
      <c r="E9065" t="s">
        <v>144</v>
      </c>
      <c r="F9065" t="s">
        <v>120</v>
      </c>
      <c r="G9065" t="s">
        <v>126</v>
      </c>
      <c r="H9065" t="s">
        <v>860</v>
      </c>
      <c r="I9065" t="s">
        <v>583</v>
      </c>
      <c r="J9065" t="s">
        <v>804</v>
      </c>
      <c r="K9065" t="s">
        <v>99</v>
      </c>
      <c r="L9065" t="s">
        <v>268</v>
      </c>
      <c r="M9065" t="s">
        <v>470</v>
      </c>
      <c r="N9065" t="s">
        <v>125</v>
      </c>
      <c r="O9065" t="s">
        <v>101</v>
      </c>
      <c r="P9065" t="s">
        <v>671</v>
      </c>
      <c r="Q9065" t="s">
        <v>277</v>
      </c>
      <c r="R9065" t="s">
        <v>114</v>
      </c>
      <c r="S9065" t="s">
        <v>737</v>
      </c>
      <c r="T9065" t="s">
        <v>132</v>
      </c>
      <c r="U9065" t="s">
        <v>121</v>
      </c>
    </row>
    <row r="9066" spans="1:21" x14ac:dyDescent="0.3">
      <c r="A9066" t="s">
        <v>34</v>
      </c>
      <c r="B9066" t="s">
        <v>2273</v>
      </c>
      <c r="C9066">
        <v>547</v>
      </c>
      <c r="D9066" t="s">
        <v>515</v>
      </c>
      <c r="E9066" t="s">
        <v>434</v>
      </c>
      <c r="F9066" t="s">
        <v>123</v>
      </c>
      <c r="G9066" t="s">
        <v>215</v>
      </c>
      <c r="H9066" t="s">
        <v>808</v>
      </c>
      <c r="I9066" t="s">
        <v>1054</v>
      </c>
      <c r="J9066" t="s">
        <v>408</v>
      </c>
      <c r="K9066" t="s">
        <v>99</v>
      </c>
      <c r="L9066" t="s">
        <v>121</v>
      </c>
      <c r="M9066" t="s">
        <v>182</v>
      </c>
      <c r="N9066" t="s">
        <v>299</v>
      </c>
      <c r="O9066" t="s">
        <v>138</v>
      </c>
      <c r="P9066" t="s">
        <v>134</v>
      </c>
      <c r="Q9066" t="s">
        <v>118</v>
      </c>
      <c r="R9066" t="s">
        <v>127</v>
      </c>
      <c r="S9066" t="s">
        <v>124</v>
      </c>
      <c r="T9066" t="s">
        <v>198</v>
      </c>
      <c r="U9066" t="s">
        <v>114</v>
      </c>
    </row>
    <row r="9067" spans="1:21" x14ac:dyDescent="0.3">
      <c r="A9067" t="s">
        <v>34</v>
      </c>
      <c r="B9067" t="s">
        <v>976</v>
      </c>
      <c r="C9067">
        <v>57</v>
      </c>
      <c r="D9067" t="s">
        <v>61</v>
      </c>
      <c r="E9067" t="s">
        <v>218</v>
      </c>
      <c r="F9067" t="s">
        <v>99</v>
      </c>
      <c r="G9067" t="s">
        <v>99</v>
      </c>
      <c r="H9067" t="s">
        <v>134</v>
      </c>
      <c r="I9067" t="s">
        <v>99</v>
      </c>
      <c r="J9067" t="s">
        <v>99</v>
      </c>
      <c r="K9067" t="s">
        <v>99</v>
      </c>
      <c r="L9067" t="s">
        <v>134</v>
      </c>
      <c r="M9067" t="s">
        <v>130</v>
      </c>
      <c r="N9067" t="s">
        <v>118</v>
      </c>
      <c r="O9067" t="s">
        <v>130</v>
      </c>
      <c r="P9067" t="s">
        <v>913</v>
      </c>
      <c r="Q9067" t="s">
        <v>130</v>
      </c>
      <c r="R9067" t="s">
        <v>99</v>
      </c>
      <c r="S9067" t="s">
        <v>267</v>
      </c>
      <c r="T9067" t="s">
        <v>99</v>
      </c>
      <c r="U9067" t="s">
        <v>99</v>
      </c>
    </row>
    <row r="9068" spans="1:21" x14ac:dyDescent="0.3">
      <c r="A9068" t="s">
        <v>34</v>
      </c>
      <c r="B9068" t="s">
        <v>2274</v>
      </c>
      <c r="C9068">
        <v>52</v>
      </c>
      <c r="D9068" t="s">
        <v>1061</v>
      </c>
      <c r="E9068" t="s">
        <v>137</v>
      </c>
      <c r="F9068" t="s">
        <v>99</v>
      </c>
      <c r="G9068" t="s">
        <v>382</v>
      </c>
      <c r="H9068" t="s">
        <v>99</v>
      </c>
      <c r="I9068" t="s">
        <v>99</v>
      </c>
      <c r="J9068" t="s">
        <v>109</v>
      </c>
      <c r="K9068" t="s">
        <v>147</v>
      </c>
      <c r="L9068" t="s">
        <v>99</v>
      </c>
      <c r="M9068" t="s">
        <v>147</v>
      </c>
      <c r="N9068" t="s">
        <v>143</v>
      </c>
      <c r="O9068" t="s">
        <v>99</v>
      </c>
      <c r="P9068" t="s">
        <v>947</v>
      </c>
      <c r="Q9068" t="s">
        <v>731</v>
      </c>
      <c r="R9068" t="s">
        <v>99</v>
      </c>
      <c r="S9068" t="s">
        <v>118</v>
      </c>
      <c r="T9068" t="s">
        <v>99</v>
      </c>
      <c r="U9068" t="s">
        <v>99</v>
      </c>
    </row>
    <row r="9069" spans="1:21" x14ac:dyDescent="0.3">
      <c r="A9069" t="s">
        <v>34</v>
      </c>
      <c r="B9069" t="s">
        <v>2275</v>
      </c>
      <c r="C9069">
        <v>51</v>
      </c>
      <c r="D9069" t="s">
        <v>1122</v>
      </c>
      <c r="E9069" t="s">
        <v>685</v>
      </c>
      <c r="F9069" t="s">
        <v>99</v>
      </c>
      <c r="G9069" t="s">
        <v>292</v>
      </c>
      <c r="H9069" t="s">
        <v>434</v>
      </c>
      <c r="I9069" t="s">
        <v>99</v>
      </c>
      <c r="J9069" t="s">
        <v>99</v>
      </c>
      <c r="K9069" t="s">
        <v>99</v>
      </c>
      <c r="L9069" t="s">
        <v>99</v>
      </c>
      <c r="M9069" t="s">
        <v>99</v>
      </c>
      <c r="N9069" t="s">
        <v>141</v>
      </c>
      <c r="O9069" t="s">
        <v>99</v>
      </c>
      <c r="P9069" t="s">
        <v>599</v>
      </c>
      <c r="Q9069" t="s">
        <v>425</v>
      </c>
      <c r="R9069" t="s">
        <v>207</v>
      </c>
      <c r="S9069" t="s">
        <v>233</v>
      </c>
      <c r="T9069" t="s">
        <v>99</v>
      </c>
      <c r="U9069" t="s">
        <v>99</v>
      </c>
    </row>
    <row r="9070" spans="1:21" s="5" customFormat="1" x14ac:dyDescent="0.3">
      <c r="A9070" s="5" t="s">
        <v>34</v>
      </c>
      <c r="B9070" s="5" t="s">
        <v>2276</v>
      </c>
      <c r="C9070" s="5">
        <v>30</v>
      </c>
      <c r="D9070" s="5" t="s">
        <v>1100</v>
      </c>
      <c r="E9070" s="5" t="s">
        <v>726</v>
      </c>
      <c r="F9070" s="5" t="s">
        <v>99</v>
      </c>
      <c r="G9070" s="5" t="s">
        <v>207</v>
      </c>
      <c r="H9070" s="5" t="s">
        <v>675</v>
      </c>
      <c r="I9070" s="5" t="s">
        <v>123</v>
      </c>
      <c r="J9070" s="5" t="s">
        <v>99</v>
      </c>
      <c r="K9070" s="5" t="s">
        <v>99</v>
      </c>
      <c r="L9070" s="5" t="s">
        <v>99</v>
      </c>
      <c r="M9070" s="5" t="s">
        <v>184</v>
      </c>
      <c r="N9070" s="5" t="s">
        <v>701</v>
      </c>
      <c r="O9070" s="5" t="s">
        <v>99</v>
      </c>
      <c r="P9070" s="5" t="s">
        <v>689</v>
      </c>
      <c r="Q9070" s="5" t="s">
        <v>442</v>
      </c>
      <c r="R9070" s="5" t="s">
        <v>147</v>
      </c>
      <c r="S9070" s="5" t="s">
        <v>147</v>
      </c>
      <c r="T9070" s="5" t="s">
        <v>99</v>
      </c>
      <c r="U9070" s="5" t="s">
        <v>242</v>
      </c>
    </row>
    <row r="9071" spans="1:21" x14ac:dyDescent="0.3">
      <c r="A9071" t="s">
        <v>34</v>
      </c>
      <c r="B9071" t="s">
        <v>2277</v>
      </c>
      <c r="C9071">
        <v>290</v>
      </c>
      <c r="D9071" t="s">
        <v>581</v>
      </c>
      <c r="E9071" t="s">
        <v>798</v>
      </c>
      <c r="F9071" t="s">
        <v>104</v>
      </c>
      <c r="G9071" t="s">
        <v>121</v>
      </c>
      <c r="H9071" t="s">
        <v>739</v>
      </c>
      <c r="I9071" t="s">
        <v>38</v>
      </c>
      <c r="J9071" t="s">
        <v>316</v>
      </c>
      <c r="K9071" t="s">
        <v>99</v>
      </c>
      <c r="L9071" t="s">
        <v>107</v>
      </c>
      <c r="M9071" t="s">
        <v>325</v>
      </c>
      <c r="N9071" t="s">
        <v>125</v>
      </c>
      <c r="O9071" t="s">
        <v>128</v>
      </c>
      <c r="P9071" t="s">
        <v>737</v>
      </c>
      <c r="Q9071" t="s">
        <v>316</v>
      </c>
      <c r="R9071" t="s">
        <v>207</v>
      </c>
      <c r="S9071" t="s">
        <v>155</v>
      </c>
      <c r="T9071" t="s">
        <v>141</v>
      </c>
      <c r="U9071" t="s">
        <v>114</v>
      </c>
    </row>
    <row r="9072" spans="1:21" x14ac:dyDescent="0.3">
      <c r="A9072" t="s">
        <v>34</v>
      </c>
      <c r="B9072" t="s">
        <v>2278</v>
      </c>
      <c r="C9072">
        <v>279</v>
      </c>
      <c r="D9072" t="s">
        <v>1340</v>
      </c>
      <c r="E9072" t="s">
        <v>318</v>
      </c>
      <c r="F9072" t="s">
        <v>268</v>
      </c>
      <c r="G9072" t="s">
        <v>149</v>
      </c>
      <c r="H9072" t="s">
        <v>574</v>
      </c>
      <c r="I9072" t="s">
        <v>565</v>
      </c>
      <c r="J9072" t="s">
        <v>299</v>
      </c>
      <c r="K9072" t="s">
        <v>99</v>
      </c>
      <c r="L9072" t="s">
        <v>127</v>
      </c>
      <c r="M9072" t="s">
        <v>158</v>
      </c>
      <c r="N9072" t="s">
        <v>222</v>
      </c>
      <c r="O9072" t="s">
        <v>115</v>
      </c>
      <c r="P9072" t="s">
        <v>109</v>
      </c>
      <c r="Q9072" t="s">
        <v>204</v>
      </c>
      <c r="R9072" t="s">
        <v>99</v>
      </c>
      <c r="S9072" t="s">
        <v>262</v>
      </c>
      <c r="T9072" t="s">
        <v>99</v>
      </c>
      <c r="U9072" t="s">
        <v>136</v>
      </c>
    </row>
    <row r="9073" spans="1:21" x14ac:dyDescent="0.3">
      <c r="A9073" t="s">
        <v>34</v>
      </c>
      <c r="B9073" t="s">
        <v>2279</v>
      </c>
      <c r="C9073">
        <v>297</v>
      </c>
      <c r="D9073" t="s">
        <v>887</v>
      </c>
      <c r="E9073" t="s">
        <v>110</v>
      </c>
      <c r="F9073" t="s">
        <v>114</v>
      </c>
      <c r="G9073" t="s">
        <v>204</v>
      </c>
      <c r="H9073" t="s">
        <v>515</v>
      </c>
      <c r="I9073" t="s">
        <v>55</v>
      </c>
      <c r="J9073" t="s">
        <v>133</v>
      </c>
      <c r="K9073" t="s">
        <v>99</v>
      </c>
      <c r="L9073" t="s">
        <v>253</v>
      </c>
      <c r="M9073" t="s">
        <v>412</v>
      </c>
      <c r="N9073" t="s">
        <v>110</v>
      </c>
      <c r="O9073" t="s">
        <v>117</v>
      </c>
      <c r="P9073" t="s">
        <v>123</v>
      </c>
      <c r="Q9073" t="s">
        <v>114</v>
      </c>
      <c r="R9073" t="s">
        <v>151</v>
      </c>
      <c r="S9073" t="s">
        <v>470</v>
      </c>
      <c r="T9073" t="s">
        <v>253</v>
      </c>
      <c r="U9073" t="s">
        <v>198</v>
      </c>
    </row>
    <row r="9074" spans="1:21" x14ac:dyDescent="0.3">
      <c r="A9074" t="s">
        <v>34</v>
      </c>
      <c r="B9074" t="s">
        <v>365</v>
      </c>
      <c r="C9074">
        <v>8</v>
      </c>
      <c r="D9074" t="s">
        <v>1154</v>
      </c>
      <c r="E9074" t="s">
        <v>321</v>
      </c>
      <c r="F9074" t="s">
        <v>99</v>
      </c>
      <c r="G9074" t="s">
        <v>99</v>
      </c>
      <c r="H9074" t="s">
        <v>395</v>
      </c>
      <c r="I9074" t="s">
        <v>559</v>
      </c>
      <c r="J9074" t="s">
        <v>395</v>
      </c>
      <c r="K9074" t="s">
        <v>99</v>
      </c>
      <c r="L9074" t="s">
        <v>99</v>
      </c>
      <c r="M9074" t="s">
        <v>395</v>
      </c>
      <c r="N9074" t="s">
        <v>58</v>
      </c>
      <c r="O9074" t="s">
        <v>99</v>
      </c>
      <c r="P9074" t="s">
        <v>395</v>
      </c>
      <c r="Q9074" t="s">
        <v>395</v>
      </c>
      <c r="R9074" t="s">
        <v>163</v>
      </c>
      <c r="S9074" t="s">
        <v>99</v>
      </c>
      <c r="T9074" t="s">
        <v>99</v>
      </c>
      <c r="U9074" t="s">
        <v>675</v>
      </c>
    </row>
    <row r="9075" spans="1:21" x14ac:dyDescent="0.3">
      <c r="A9075" t="s">
        <v>33</v>
      </c>
      <c r="B9075" t="s">
        <v>973</v>
      </c>
      <c r="C9075">
        <v>64</v>
      </c>
      <c r="D9075" t="s">
        <v>455</v>
      </c>
      <c r="E9075" t="s">
        <v>742</v>
      </c>
      <c r="F9075" t="s">
        <v>99</v>
      </c>
      <c r="G9075" t="s">
        <v>99</v>
      </c>
      <c r="H9075" t="s">
        <v>382</v>
      </c>
      <c r="I9075" t="s">
        <v>99</v>
      </c>
      <c r="J9075" t="s">
        <v>99</v>
      </c>
      <c r="K9075" t="s">
        <v>99</v>
      </c>
      <c r="L9075" t="s">
        <v>382</v>
      </c>
      <c r="M9075" t="s">
        <v>154</v>
      </c>
      <c r="N9075" t="s">
        <v>157</v>
      </c>
      <c r="O9075" t="s">
        <v>99</v>
      </c>
      <c r="P9075" t="s">
        <v>611</v>
      </c>
      <c r="Q9075" t="s">
        <v>401</v>
      </c>
      <c r="R9075" t="s">
        <v>99</v>
      </c>
      <c r="S9075" t="s">
        <v>147</v>
      </c>
      <c r="T9075" t="s">
        <v>99</v>
      </c>
      <c r="U9075" t="s">
        <v>101</v>
      </c>
    </row>
    <row r="9076" spans="1:21" x14ac:dyDescent="0.3">
      <c r="A9076" t="s">
        <v>33</v>
      </c>
      <c r="B9076" t="s">
        <v>2268</v>
      </c>
      <c r="C9076">
        <v>69</v>
      </c>
      <c r="D9076" t="s">
        <v>1497</v>
      </c>
      <c r="E9076" t="s">
        <v>724</v>
      </c>
      <c r="F9076" t="s">
        <v>99</v>
      </c>
      <c r="G9076" t="s">
        <v>99</v>
      </c>
      <c r="H9076" t="s">
        <v>99</v>
      </c>
      <c r="I9076" t="s">
        <v>99</v>
      </c>
      <c r="J9076" t="s">
        <v>215</v>
      </c>
      <c r="K9076" t="s">
        <v>99</v>
      </c>
      <c r="L9076" t="s">
        <v>101</v>
      </c>
      <c r="M9076" t="s">
        <v>101</v>
      </c>
      <c r="N9076" t="s">
        <v>369</v>
      </c>
      <c r="O9076" t="s">
        <v>99</v>
      </c>
      <c r="P9076" t="s">
        <v>616</v>
      </c>
      <c r="Q9076" t="s">
        <v>664</v>
      </c>
      <c r="R9076" t="s">
        <v>99</v>
      </c>
      <c r="S9076" t="s">
        <v>107</v>
      </c>
      <c r="T9076" t="s">
        <v>99</v>
      </c>
      <c r="U9076" t="s">
        <v>155</v>
      </c>
    </row>
    <row r="9077" spans="1:21" x14ac:dyDescent="0.3">
      <c r="A9077" t="s">
        <v>33</v>
      </c>
      <c r="B9077" t="s">
        <v>2269</v>
      </c>
      <c r="C9077">
        <v>65</v>
      </c>
      <c r="D9077" t="s">
        <v>593</v>
      </c>
      <c r="E9077" t="s">
        <v>742</v>
      </c>
      <c r="F9077" t="s">
        <v>99</v>
      </c>
      <c r="G9077" t="s">
        <v>125</v>
      </c>
      <c r="H9077" t="s">
        <v>99</v>
      </c>
      <c r="I9077" t="s">
        <v>99</v>
      </c>
      <c r="J9077" t="s">
        <v>99</v>
      </c>
      <c r="K9077" t="s">
        <v>99</v>
      </c>
      <c r="L9077" t="s">
        <v>99</v>
      </c>
      <c r="M9077" t="s">
        <v>215</v>
      </c>
      <c r="N9077" t="s">
        <v>664</v>
      </c>
      <c r="O9077" t="s">
        <v>99</v>
      </c>
      <c r="P9077" t="s">
        <v>63</v>
      </c>
      <c r="Q9077" t="s">
        <v>143</v>
      </c>
      <c r="R9077" t="s">
        <v>130</v>
      </c>
      <c r="S9077" t="s">
        <v>319</v>
      </c>
      <c r="T9077" t="s">
        <v>151</v>
      </c>
      <c r="U9077" t="s">
        <v>99</v>
      </c>
    </row>
    <row r="9078" spans="1:21" x14ac:dyDescent="0.3">
      <c r="A9078" t="s">
        <v>33</v>
      </c>
      <c r="B9078" t="s">
        <v>2270</v>
      </c>
      <c r="C9078">
        <v>87</v>
      </c>
      <c r="D9078" t="s">
        <v>1403</v>
      </c>
      <c r="E9078" t="s">
        <v>416</v>
      </c>
      <c r="F9078" t="s">
        <v>99</v>
      </c>
      <c r="G9078" t="s">
        <v>316</v>
      </c>
      <c r="H9078" t="s">
        <v>111</v>
      </c>
      <c r="I9078" t="s">
        <v>128</v>
      </c>
      <c r="J9078" t="s">
        <v>99</v>
      </c>
      <c r="K9078" t="s">
        <v>305</v>
      </c>
      <c r="L9078" t="s">
        <v>99</v>
      </c>
      <c r="M9078" t="s">
        <v>74</v>
      </c>
      <c r="N9078" t="s">
        <v>412</v>
      </c>
      <c r="O9078" t="s">
        <v>111</v>
      </c>
      <c r="P9078" t="s">
        <v>39</v>
      </c>
      <c r="Q9078" t="s">
        <v>125</v>
      </c>
      <c r="R9078" t="s">
        <v>126</v>
      </c>
      <c r="S9078" t="s">
        <v>412</v>
      </c>
      <c r="T9078" t="s">
        <v>126</v>
      </c>
      <c r="U9078" t="s">
        <v>101</v>
      </c>
    </row>
    <row r="9079" spans="1:21" x14ac:dyDescent="0.3">
      <c r="A9079" t="s">
        <v>33</v>
      </c>
      <c r="B9079" t="s">
        <v>2271</v>
      </c>
      <c r="C9079">
        <v>504</v>
      </c>
      <c r="D9079" t="s">
        <v>61</v>
      </c>
      <c r="E9079" t="s">
        <v>255</v>
      </c>
      <c r="F9079" t="s">
        <v>132</v>
      </c>
      <c r="G9079" t="s">
        <v>126</v>
      </c>
      <c r="H9079" t="s">
        <v>68</v>
      </c>
      <c r="I9079" t="s">
        <v>165</v>
      </c>
      <c r="J9079" t="s">
        <v>115</v>
      </c>
      <c r="K9079" t="s">
        <v>155</v>
      </c>
      <c r="L9079" t="s">
        <v>114</v>
      </c>
      <c r="M9079" t="s">
        <v>722</v>
      </c>
      <c r="N9079" t="s">
        <v>242</v>
      </c>
      <c r="O9079" t="s">
        <v>68</v>
      </c>
      <c r="P9079" t="s">
        <v>167</v>
      </c>
      <c r="Q9079" t="s">
        <v>218</v>
      </c>
      <c r="R9079" t="s">
        <v>253</v>
      </c>
      <c r="S9079" t="s">
        <v>184</v>
      </c>
      <c r="T9079" t="s">
        <v>319</v>
      </c>
      <c r="U9079" t="s">
        <v>126</v>
      </c>
    </row>
    <row r="9080" spans="1:21" x14ac:dyDescent="0.3">
      <c r="A9080" t="s">
        <v>33</v>
      </c>
      <c r="B9080" t="s">
        <v>2272</v>
      </c>
      <c r="C9080">
        <v>443</v>
      </c>
      <c r="D9080" t="s">
        <v>1143</v>
      </c>
      <c r="E9080" t="s">
        <v>416</v>
      </c>
      <c r="F9080" t="s">
        <v>111</v>
      </c>
      <c r="G9080" t="s">
        <v>120</v>
      </c>
      <c r="H9080" t="s">
        <v>106</v>
      </c>
      <c r="I9080" t="s">
        <v>925</v>
      </c>
      <c r="J9080" t="s">
        <v>135</v>
      </c>
      <c r="K9080" t="s">
        <v>207</v>
      </c>
      <c r="L9080" t="s">
        <v>198</v>
      </c>
      <c r="M9080" t="s">
        <v>468</v>
      </c>
      <c r="N9080" t="s">
        <v>145</v>
      </c>
      <c r="O9080" t="s">
        <v>103</v>
      </c>
      <c r="P9080" t="s">
        <v>369</v>
      </c>
      <c r="Q9080" t="s">
        <v>405</v>
      </c>
      <c r="R9080" t="s">
        <v>100</v>
      </c>
      <c r="S9080" t="s">
        <v>325</v>
      </c>
      <c r="T9080" t="s">
        <v>207</v>
      </c>
      <c r="U9080" t="s">
        <v>207</v>
      </c>
    </row>
    <row r="9081" spans="1:21" x14ac:dyDescent="0.3">
      <c r="A9081" t="s">
        <v>33</v>
      </c>
      <c r="B9081" t="s">
        <v>2273</v>
      </c>
      <c r="C9081">
        <v>499</v>
      </c>
      <c r="D9081" t="s">
        <v>1067</v>
      </c>
      <c r="E9081" t="s">
        <v>299</v>
      </c>
      <c r="F9081" t="s">
        <v>253</v>
      </c>
      <c r="G9081" t="s">
        <v>111</v>
      </c>
      <c r="H9081" t="s">
        <v>1497</v>
      </c>
      <c r="I9081" t="s">
        <v>1360</v>
      </c>
      <c r="J9081" t="s">
        <v>287</v>
      </c>
      <c r="K9081" t="s">
        <v>198</v>
      </c>
      <c r="L9081" t="s">
        <v>136</v>
      </c>
      <c r="M9081" t="s">
        <v>124</v>
      </c>
      <c r="N9081" t="s">
        <v>163</v>
      </c>
      <c r="O9081" t="s">
        <v>144</v>
      </c>
      <c r="P9081" t="s">
        <v>143</v>
      </c>
      <c r="Q9081" t="s">
        <v>98</v>
      </c>
      <c r="R9081" t="s">
        <v>215</v>
      </c>
      <c r="S9081" t="s">
        <v>474</v>
      </c>
      <c r="T9081" t="s">
        <v>198</v>
      </c>
      <c r="U9081" t="s">
        <v>207</v>
      </c>
    </row>
    <row r="9082" spans="1:21" x14ac:dyDescent="0.3">
      <c r="A9082" t="s">
        <v>33</v>
      </c>
      <c r="B9082" t="s">
        <v>976</v>
      </c>
      <c r="C9082">
        <v>66</v>
      </c>
      <c r="D9082" t="s">
        <v>2120</v>
      </c>
      <c r="E9082" t="s">
        <v>676</v>
      </c>
      <c r="F9082" t="s">
        <v>99</v>
      </c>
      <c r="G9082" t="s">
        <v>123</v>
      </c>
      <c r="H9082" t="s">
        <v>111</v>
      </c>
      <c r="I9082" t="s">
        <v>99</v>
      </c>
      <c r="J9082" t="s">
        <v>123</v>
      </c>
      <c r="K9082" t="s">
        <v>99</v>
      </c>
      <c r="L9082" t="s">
        <v>99</v>
      </c>
      <c r="M9082" t="s">
        <v>99</v>
      </c>
      <c r="N9082" t="s">
        <v>328</v>
      </c>
      <c r="O9082" t="s">
        <v>99</v>
      </c>
      <c r="P9082" t="s">
        <v>839</v>
      </c>
      <c r="Q9082" t="s">
        <v>482</v>
      </c>
      <c r="R9082" t="s">
        <v>99</v>
      </c>
      <c r="S9082" t="s">
        <v>117</v>
      </c>
      <c r="T9082" t="s">
        <v>99</v>
      </c>
      <c r="U9082" t="s">
        <v>99</v>
      </c>
    </row>
    <row r="9083" spans="1:21" x14ac:dyDescent="0.3">
      <c r="A9083" t="s">
        <v>33</v>
      </c>
      <c r="B9083" t="s">
        <v>2274</v>
      </c>
      <c r="C9083">
        <v>64</v>
      </c>
      <c r="D9083" t="s">
        <v>1223</v>
      </c>
      <c r="E9083" t="s">
        <v>742</v>
      </c>
      <c r="F9083" t="s">
        <v>99</v>
      </c>
      <c r="G9083" t="s">
        <v>154</v>
      </c>
      <c r="H9083" t="s">
        <v>99</v>
      </c>
      <c r="I9083" t="s">
        <v>99</v>
      </c>
      <c r="J9083" t="s">
        <v>99</v>
      </c>
      <c r="K9083" t="s">
        <v>99</v>
      </c>
      <c r="L9083" t="s">
        <v>101</v>
      </c>
      <c r="M9083" t="s">
        <v>101</v>
      </c>
      <c r="N9083" t="s">
        <v>99</v>
      </c>
      <c r="O9083" t="s">
        <v>99</v>
      </c>
      <c r="P9083" t="s">
        <v>939</v>
      </c>
      <c r="Q9083" t="s">
        <v>434</v>
      </c>
      <c r="R9083" t="s">
        <v>99</v>
      </c>
      <c r="S9083" t="s">
        <v>128</v>
      </c>
      <c r="T9083" t="s">
        <v>99</v>
      </c>
      <c r="U9083" t="s">
        <v>99</v>
      </c>
    </row>
    <row r="9084" spans="1:21" x14ac:dyDescent="0.3">
      <c r="A9084" t="s">
        <v>33</v>
      </c>
      <c r="B9084" t="s">
        <v>2275</v>
      </c>
      <c r="C9084">
        <v>54</v>
      </c>
      <c r="D9084" t="s">
        <v>1155</v>
      </c>
      <c r="E9084" t="s">
        <v>864</v>
      </c>
      <c r="F9084" t="s">
        <v>99</v>
      </c>
      <c r="G9084" t="s">
        <v>135</v>
      </c>
      <c r="H9084" t="s">
        <v>99</v>
      </c>
      <c r="I9084" t="s">
        <v>99</v>
      </c>
      <c r="J9084" t="s">
        <v>99</v>
      </c>
      <c r="K9084" t="s">
        <v>99</v>
      </c>
      <c r="L9084" t="s">
        <v>99</v>
      </c>
      <c r="M9084" t="s">
        <v>155</v>
      </c>
      <c r="N9084" t="s">
        <v>325</v>
      </c>
      <c r="O9084" t="s">
        <v>99</v>
      </c>
      <c r="P9084" t="s">
        <v>907</v>
      </c>
      <c r="Q9084" t="s">
        <v>123</v>
      </c>
      <c r="R9084" t="s">
        <v>292</v>
      </c>
      <c r="S9084" t="s">
        <v>158</v>
      </c>
      <c r="T9084" t="s">
        <v>117</v>
      </c>
      <c r="U9084" t="s">
        <v>123</v>
      </c>
    </row>
    <row r="9085" spans="1:21" x14ac:dyDescent="0.3">
      <c r="A9085" t="s">
        <v>33</v>
      </c>
      <c r="B9085" t="s">
        <v>2276</v>
      </c>
      <c r="C9085">
        <v>44</v>
      </c>
      <c r="D9085" t="s">
        <v>1455</v>
      </c>
      <c r="E9085" t="s">
        <v>706</v>
      </c>
      <c r="F9085" t="s">
        <v>99</v>
      </c>
      <c r="G9085" t="s">
        <v>99</v>
      </c>
      <c r="H9085" t="s">
        <v>353</v>
      </c>
      <c r="I9085" t="s">
        <v>316</v>
      </c>
      <c r="J9085" t="s">
        <v>99</v>
      </c>
      <c r="K9085" t="s">
        <v>99</v>
      </c>
      <c r="L9085" t="s">
        <v>99</v>
      </c>
      <c r="M9085" t="s">
        <v>118</v>
      </c>
      <c r="N9085" t="s">
        <v>70</v>
      </c>
      <c r="O9085" t="s">
        <v>99</v>
      </c>
      <c r="P9085" t="s">
        <v>148</v>
      </c>
      <c r="Q9085" t="s">
        <v>461</v>
      </c>
      <c r="R9085" t="s">
        <v>99</v>
      </c>
      <c r="S9085" t="s">
        <v>99</v>
      </c>
      <c r="T9085" t="s">
        <v>99</v>
      </c>
      <c r="U9085" t="s">
        <v>99</v>
      </c>
    </row>
    <row r="9086" spans="1:21" x14ac:dyDescent="0.3">
      <c r="A9086" t="s">
        <v>33</v>
      </c>
      <c r="B9086" t="s">
        <v>2277</v>
      </c>
      <c r="C9086">
        <v>281</v>
      </c>
      <c r="D9086" t="s">
        <v>490</v>
      </c>
      <c r="E9086" t="s">
        <v>685</v>
      </c>
      <c r="F9086" t="s">
        <v>99</v>
      </c>
      <c r="G9086" t="s">
        <v>136</v>
      </c>
      <c r="H9086" t="s">
        <v>325</v>
      </c>
      <c r="I9086" t="s">
        <v>416</v>
      </c>
      <c r="J9086" t="s">
        <v>105</v>
      </c>
      <c r="K9086" t="s">
        <v>99</v>
      </c>
      <c r="L9086" t="s">
        <v>151</v>
      </c>
      <c r="M9086" t="s">
        <v>712</v>
      </c>
      <c r="N9086" t="s">
        <v>76</v>
      </c>
      <c r="O9086" t="s">
        <v>123</v>
      </c>
      <c r="P9086" t="s">
        <v>177</v>
      </c>
      <c r="Q9086" t="s">
        <v>150</v>
      </c>
      <c r="R9086" t="s">
        <v>108</v>
      </c>
      <c r="S9086" t="s">
        <v>112</v>
      </c>
      <c r="T9086" t="s">
        <v>136</v>
      </c>
      <c r="U9086" t="s">
        <v>100</v>
      </c>
    </row>
    <row r="9087" spans="1:21" x14ac:dyDescent="0.3">
      <c r="A9087" t="s">
        <v>33</v>
      </c>
      <c r="B9087" t="s">
        <v>2278</v>
      </c>
      <c r="C9087">
        <v>265</v>
      </c>
      <c r="D9087" t="s">
        <v>1498</v>
      </c>
      <c r="E9087" t="s">
        <v>470</v>
      </c>
      <c r="F9087" t="s">
        <v>118</v>
      </c>
      <c r="G9087" t="s">
        <v>107</v>
      </c>
      <c r="H9087" t="s">
        <v>933</v>
      </c>
      <c r="I9087" t="s">
        <v>645</v>
      </c>
      <c r="J9087" t="s">
        <v>461</v>
      </c>
      <c r="K9087" t="s">
        <v>99</v>
      </c>
      <c r="L9087" t="s">
        <v>108</v>
      </c>
      <c r="M9087" t="s">
        <v>114</v>
      </c>
      <c r="N9087" t="s">
        <v>109</v>
      </c>
      <c r="O9087" t="s">
        <v>127</v>
      </c>
      <c r="P9087" t="s">
        <v>144</v>
      </c>
      <c r="Q9087" t="s">
        <v>120</v>
      </c>
      <c r="R9087" t="s">
        <v>99</v>
      </c>
      <c r="S9087" t="s">
        <v>147</v>
      </c>
      <c r="T9087" t="s">
        <v>141</v>
      </c>
      <c r="U9087" t="s">
        <v>141</v>
      </c>
    </row>
    <row r="9088" spans="1:21" x14ac:dyDescent="0.3">
      <c r="A9088" t="s">
        <v>33</v>
      </c>
      <c r="B9088" t="s">
        <v>2279</v>
      </c>
      <c r="C9088">
        <v>298</v>
      </c>
      <c r="D9088" t="s">
        <v>1214</v>
      </c>
      <c r="E9088" t="s">
        <v>401</v>
      </c>
      <c r="F9088" t="s">
        <v>215</v>
      </c>
      <c r="G9088" t="s">
        <v>242</v>
      </c>
      <c r="H9088" t="s">
        <v>566</v>
      </c>
      <c r="I9088" t="s">
        <v>1331</v>
      </c>
      <c r="J9088" t="s">
        <v>76</v>
      </c>
      <c r="K9088" t="s">
        <v>99</v>
      </c>
      <c r="L9088" t="s">
        <v>132</v>
      </c>
      <c r="M9088" t="s">
        <v>332</v>
      </c>
      <c r="N9088" t="s">
        <v>401</v>
      </c>
      <c r="O9088" t="s">
        <v>332</v>
      </c>
      <c r="P9088" t="s">
        <v>149</v>
      </c>
      <c r="Q9088" t="s">
        <v>128</v>
      </c>
      <c r="R9088" t="s">
        <v>319</v>
      </c>
      <c r="S9088" t="s">
        <v>155</v>
      </c>
      <c r="T9088" t="s">
        <v>136</v>
      </c>
      <c r="U9088" t="s">
        <v>99</v>
      </c>
    </row>
    <row r="9089" spans="1:21" x14ac:dyDescent="0.3">
      <c r="A9089" t="s">
        <v>49</v>
      </c>
      <c r="B9089" t="s">
        <v>973</v>
      </c>
      <c r="C9089">
        <v>367</v>
      </c>
      <c r="D9089" t="s">
        <v>572</v>
      </c>
      <c r="E9089" t="s">
        <v>738</v>
      </c>
      <c r="F9089" t="s">
        <v>99</v>
      </c>
      <c r="G9089" t="s">
        <v>111</v>
      </c>
      <c r="H9089" t="s">
        <v>147</v>
      </c>
      <c r="I9089" t="s">
        <v>141</v>
      </c>
      <c r="J9089" t="s">
        <v>434</v>
      </c>
      <c r="K9089" t="s">
        <v>99</v>
      </c>
      <c r="L9089" t="s">
        <v>112</v>
      </c>
      <c r="M9089" t="s">
        <v>328</v>
      </c>
      <c r="N9089" t="s">
        <v>139</v>
      </c>
      <c r="O9089" t="s">
        <v>118</v>
      </c>
      <c r="P9089" t="s">
        <v>653</v>
      </c>
      <c r="Q9089" t="s">
        <v>746</v>
      </c>
      <c r="R9089" t="s">
        <v>136</v>
      </c>
      <c r="S9089" t="s">
        <v>412</v>
      </c>
      <c r="T9089" t="s">
        <v>136</v>
      </c>
      <c r="U9089" t="s">
        <v>141</v>
      </c>
    </row>
    <row r="9090" spans="1:21" x14ac:dyDescent="0.3">
      <c r="A9090" t="s">
        <v>49</v>
      </c>
      <c r="B9090" t="s">
        <v>2268</v>
      </c>
      <c r="C9090">
        <v>487</v>
      </c>
      <c r="D9090" t="s">
        <v>1474</v>
      </c>
      <c r="E9090" t="s">
        <v>805</v>
      </c>
      <c r="F9090" t="s">
        <v>104</v>
      </c>
      <c r="G9090" t="s">
        <v>107</v>
      </c>
      <c r="H9090" t="s">
        <v>127</v>
      </c>
      <c r="I9090" t="s">
        <v>104</v>
      </c>
      <c r="J9090" t="s">
        <v>207</v>
      </c>
      <c r="K9090" t="s">
        <v>99</v>
      </c>
      <c r="L9090" t="s">
        <v>151</v>
      </c>
      <c r="M9090" t="s">
        <v>111</v>
      </c>
      <c r="N9090" t="s">
        <v>157</v>
      </c>
      <c r="O9090" t="s">
        <v>99</v>
      </c>
      <c r="P9090" t="s">
        <v>895</v>
      </c>
      <c r="Q9090" t="s">
        <v>311</v>
      </c>
      <c r="R9090" t="s">
        <v>100</v>
      </c>
      <c r="S9090" t="s">
        <v>712</v>
      </c>
      <c r="T9090" t="s">
        <v>382</v>
      </c>
      <c r="U9090" t="s">
        <v>108</v>
      </c>
    </row>
    <row r="9091" spans="1:21" x14ac:dyDescent="0.3">
      <c r="A9091" t="s">
        <v>49</v>
      </c>
      <c r="B9091" t="s">
        <v>2269</v>
      </c>
      <c r="C9091">
        <v>452</v>
      </c>
      <c r="D9091" t="s">
        <v>593</v>
      </c>
      <c r="E9091" t="s">
        <v>298</v>
      </c>
      <c r="F9091" t="s">
        <v>99</v>
      </c>
      <c r="G9091" t="s">
        <v>129</v>
      </c>
      <c r="H9091" t="s">
        <v>104</v>
      </c>
      <c r="I9091" t="s">
        <v>104</v>
      </c>
      <c r="J9091" t="s">
        <v>104</v>
      </c>
      <c r="K9091" t="s">
        <v>99</v>
      </c>
      <c r="L9091" t="s">
        <v>101</v>
      </c>
      <c r="M9091" t="s">
        <v>117</v>
      </c>
      <c r="N9091" t="s">
        <v>242</v>
      </c>
      <c r="O9091" t="s">
        <v>126</v>
      </c>
      <c r="P9091" t="s">
        <v>1706</v>
      </c>
      <c r="Q9091" t="s">
        <v>122</v>
      </c>
      <c r="R9091" t="s">
        <v>675</v>
      </c>
      <c r="S9091" t="s">
        <v>68</v>
      </c>
      <c r="T9091" t="s">
        <v>118</v>
      </c>
      <c r="U9091" t="s">
        <v>198</v>
      </c>
    </row>
    <row r="9092" spans="1:21" x14ac:dyDescent="0.3">
      <c r="A9092" t="s">
        <v>49</v>
      </c>
      <c r="B9092" t="s">
        <v>2270</v>
      </c>
      <c r="C9092">
        <v>425</v>
      </c>
      <c r="D9092" t="s">
        <v>284</v>
      </c>
      <c r="E9092" t="s">
        <v>677</v>
      </c>
      <c r="F9092" t="s">
        <v>253</v>
      </c>
      <c r="G9092" t="s">
        <v>101</v>
      </c>
      <c r="H9092" t="s">
        <v>103</v>
      </c>
      <c r="I9092" t="s">
        <v>134</v>
      </c>
      <c r="J9092" t="s">
        <v>132</v>
      </c>
      <c r="K9092" t="s">
        <v>78</v>
      </c>
      <c r="L9092" t="s">
        <v>101</v>
      </c>
      <c r="M9092" t="s">
        <v>461</v>
      </c>
      <c r="N9092" t="s">
        <v>155</v>
      </c>
      <c r="O9092" t="s">
        <v>332</v>
      </c>
      <c r="P9092" t="s">
        <v>727</v>
      </c>
      <c r="Q9092" t="s">
        <v>220</v>
      </c>
      <c r="R9092" t="s">
        <v>319</v>
      </c>
      <c r="S9092" t="s">
        <v>353</v>
      </c>
      <c r="T9092" t="s">
        <v>268</v>
      </c>
      <c r="U9092" t="s">
        <v>121</v>
      </c>
    </row>
    <row r="9093" spans="1:21" x14ac:dyDescent="0.3">
      <c r="A9093" t="s">
        <v>49</v>
      </c>
      <c r="B9093" t="s">
        <v>2271</v>
      </c>
      <c r="C9093">
        <v>2818</v>
      </c>
      <c r="D9093" t="s">
        <v>589</v>
      </c>
      <c r="E9093" t="s">
        <v>444</v>
      </c>
      <c r="F9093" t="s">
        <v>319</v>
      </c>
      <c r="G9093" t="s">
        <v>100</v>
      </c>
      <c r="H9093" t="s">
        <v>299</v>
      </c>
      <c r="I9093" t="s">
        <v>482</v>
      </c>
      <c r="J9093" t="s">
        <v>121</v>
      </c>
      <c r="K9093" t="s">
        <v>127</v>
      </c>
      <c r="L9093" t="s">
        <v>120</v>
      </c>
      <c r="M9093" t="s">
        <v>289</v>
      </c>
      <c r="N9093" t="s">
        <v>420</v>
      </c>
      <c r="O9093" t="s">
        <v>412</v>
      </c>
      <c r="P9093" t="s">
        <v>807</v>
      </c>
      <c r="Q9093" t="s">
        <v>125</v>
      </c>
      <c r="R9093" t="s">
        <v>121</v>
      </c>
      <c r="S9093" t="s">
        <v>125</v>
      </c>
      <c r="T9093" t="s">
        <v>134</v>
      </c>
      <c r="U9093" t="s">
        <v>121</v>
      </c>
    </row>
    <row r="9094" spans="1:21" x14ac:dyDescent="0.3">
      <c r="A9094" t="s">
        <v>49</v>
      </c>
      <c r="B9094" t="s">
        <v>2272</v>
      </c>
      <c r="C9094">
        <v>3035</v>
      </c>
      <c r="D9094" t="s">
        <v>1112</v>
      </c>
      <c r="E9094" t="s">
        <v>671</v>
      </c>
      <c r="F9094" t="s">
        <v>107</v>
      </c>
      <c r="G9094" t="s">
        <v>111</v>
      </c>
      <c r="H9094" t="s">
        <v>834</v>
      </c>
      <c r="I9094" t="s">
        <v>950</v>
      </c>
      <c r="J9094" t="s">
        <v>113</v>
      </c>
      <c r="K9094" t="s">
        <v>104</v>
      </c>
      <c r="L9094" t="s">
        <v>121</v>
      </c>
      <c r="M9094" t="s">
        <v>305</v>
      </c>
      <c r="N9094" t="s">
        <v>113</v>
      </c>
      <c r="O9094" t="s">
        <v>128</v>
      </c>
      <c r="P9094" t="s">
        <v>299</v>
      </c>
      <c r="Q9094" t="s">
        <v>277</v>
      </c>
      <c r="R9094" t="s">
        <v>108</v>
      </c>
      <c r="S9094" t="s">
        <v>78</v>
      </c>
      <c r="T9094" t="s">
        <v>132</v>
      </c>
      <c r="U9094" t="s">
        <v>141</v>
      </c>
    </row>
    <row r="9095" spans="1:21" x14ac:dyDescent="0.3">
      <c r="A9095" t="s">
        <v>49</v>
      </c>
      <c r="B9095" t="s">
        <v>2273</v>
      </c>
      <c r="C9095">
        <v>3462</v>
      </c>
      <c r="D9095" t="s">
        <v>459</v>
      </c>
      <c r="E9095" t="s">
        <v>74</v>
      </c>
      <c r="F9095" t="s">
        <v>151</v>
      </c>
      <c r="G9095" t="s">
        <v>316</v>
      </c>
      <c r="H9095" t="s">
        <v>622</v>
      </c>
      <c r="I9095" t="s">
        <v>939</v>
      </c>
      <c r="J9095" t="s">
        <v>449</v>
      </c>
      <c r="K9095" t="s">
        <v>104</v>
      </c>
      <c r="L9095" t="s">
        <v>108</v>
      </c>
      <c r="M9095" t="s">
        <v>663</v>
      </c>
      <c r="N9095" t="s">
        <v>369</v>
      </c>
      <c r="O9095" t="s">
        <v>68</v>
      </c>
      <c r="P9095" t="s">
        <v>149</v>
      </c>
      <c r="Q9095" t="s">
        <v>138</v>
      </c>
      <c r="R9095" t="s">
        <v>127</v>
      </c>
      <c r="S9095" t="s">
        <v>68</v>
      </c>
      <c r="T9095" t="s">
        <v>141</v>
      </c>
      <c r="U9095" t="s">
        <v>141</v>
      </c>
    </row>
    <row r="9096" spans="1:21" x14ac:dyDescent="0.3">
      <c r="A9096" t="s">
        <v>49</v>
      </c>
      <c r="B9096" t="s">
        <v>976</v>
      </c>
      <c r="C9096">
        <v>399</v>
      </c>
      <c r="D9096" t="s">
        <v>1368</v>
      </c>
      <c r="E9096" t="s">
        <v>739</v>
      </c>
      <c r="F9096" t="s">
        <v>207</v>
      </c>
      <c r="G9096" t="s">
        <v>114</v>
      </c>
      <c r="H9096" t="s">
        <v>128</v>
      </c>
      <c r="I9096" t="s">
        <v>132</v>
      </c>
      <c r="J9096" t="s">
        <v>100</v>
      </c>
      <c r="K9096" t="s">
        <v>99</v>
      </c>
      <c r="L9096" t="s">
        <v>319</v>
      </c>
      <c r="M9096" t="s">
        <v>130</v>
      </c>
      <c r="N9096" t="s">
        <v>468</v>
      </c>
      <c r="O9096" t="s">
        <v>127</v>
      </c>
      <c r="P9096" t="s">
        <v>707</v>
      </c>
      <c r="Q9096" t="s">
        <v>165</v>
      </c>
      <c r="R9096" t="s">
        <v>115</v>
      </c>
      <c r="S9096" t="s">
        <v>470</v>
      </c>
      <c r="T9096" t="s">
        <v>123</v>
      </c>
      <c r="U9096" t="s">
        <v>141</v>
      </c>
    </row>
    <row r="9097" spans="1:21" x14ac:dyDescent="0.3">
      <c r="A9097" t="s">
        <v>49</v>
      </c>
      <c r="B9097" t="s">
        <v>2274</v>
      </c>
      <c r="C9097">
        <v>446</v>
      </c>
      <c r="D9097" t="s">
        <v>1650</v>
      </c>
      <c r="E9097" t="s">
        <v>491</v>
      </c>
      <c r="F9097" t="s">
        <v>207</v>
      </c>
      <c r="G9097" t="s">
        <v>117</v>
      </c>
      <c r="H9097" t="s">
        <v>136</v>
      </c>
      <c r="I9097" t="s">
        <v>141</v>
      </c>
      <c r="J9097" t="s">
        <v>121</v>
      </c>
      <c r="K9097" t="s">
        <v>141</v>
      </c>
      <c r="L9097" t="s">
        <v>207</v>
      </c>
      <c r="M9097" t="s">
        <v>292</v>
      </c>
      <c r="N9097" t="s">
        <v>154</v>
      </c>
      <c r="O9097" t="s">
        <v>104</v>
      </c>
      <c r="P9097" t="s">
        <v>516</v>
      </c>
      <c r="Q9097" t="s">
        <v>299</v>
      </c>
      <c r="R9097" t="s">
        <v>207</v>
      </c>
      <c r="S9097" t="s">
        <v>468</v>
      </c>
      <c r="T9097" t="s">
        <v>332</v>
      </c>
      <c r="U9097" t="s">
        <v>136</v>
      </c>
    </row>
    <row r="9098" spans="1:21" x14ac:dyDescent="0.3">
      <c r="A9098" t="s">
        <v>49</v>
      </c>
      <c r="B9098" t="s">
        <v>2275</v>
      </c>
      <c r="C9098">
        <v>447</v>
      </c>
      <c r="D9098" t="s">
        <v>1127</v>
      </c>
      <c r="E9098" t="s">
        <v>740</v>
      </c>
      <c r="F9098" t="s">
        <v>198</v>
      </c>
      <c r="G9098" t="s">
        <v>149</v>
      </c>
      <c r="H9098" t="s">
        <v>132</v>
      </c>
      <c r="I9098" t="s">
        <v>99</v>
      </c>
      <c r="J9098" t="s">
        <v>99</v>
      </c>
      <c r="K9098" t="s">
        <v>99</v>
      </c>
      <c r="L9098" t="s">
        <v>99</v>
      </c>
      <c r="M9098" t="s">
        <v>141</v>
      </c>
      <c r="N9098" t="s">
        <v>129</v>
      </c>
      <c r="O9098" t="s">
        <v>99</v>
      </c>
      <c r="P9098" t="s">
        <v>1058</v>
      </c>
      <c r="Q9098" t="s">
        <v>355</v>
      </c>
      <c r="R9098" t="s">
        <v>157</v>
      </c>
      <c r="S9098" t="s">
        <v>412</v>
      </c>
      <c r="T9098" t="s">
        <v>123</v>
      </c>
      <c r="U9098" t="s">
        <v>132</v>
      </c>
    </row>
    <row r="9099" spans="1:21" x14ac:dyDescent="0.3">
      <c r="A9099" t="s">
        <v>49</v>
      </c>
      <c r="B9099" t="s">
        <v>2276</v>
      </c>
      <c r="C9099">
        <v>242</v>
      </c>
      <c r="D9099" t="s">
        <v>917</v>
      </c>
      <c r="E9099" t="s">
        <v>721</v>
      </c>
      <c r="F9099" t="s">
        <v>104</v>
      </c>
      <c r="G9099" t="s">
        <v>132</v>
      </c>
      <c r="H9099" t="s">
        <v>124</v>
      </c>
      <c r="I9099" t="s">
        <v>111</v>
      </c>
      <c r="J9099" t="s">
        <v>118</v>
      </c>
      <c r="K9099" t="s">
        <v>99</v>
      </c>
      <c r="L9099" t="s">
        <v>68</v>
      </c>
      <c r="M9099" t="s">
        <v>401</v>
      </c>
      <c r="N9099" t="s">
        <v>671</v>
      </c>
      <c r="O9099" t="s">
        <v>316</v>
      </c>
      <c r="P9099" t="s">
        <v>342</v>
      </c>
      <c r="Q9099" t="s">
        <v>470</v>
      </c>
      <c r="R9099" t="s">
        <v>100</v>
      </c>
      <c r="S9099" t="s">
        <v>129</v>
      </c>
      <c r="T9099" t="s">
        <v>99</v>
      </c>
      <c r="U9099" t="s">
        <v>108</v>
      </c>
    </row>
    <row r="9100" spans="1:21" x14ac:dyDescent="0.3">
      <c r="A9100" t="s">
        <v>49</v>
      </c>
      <c r="B9100" t="s">
        <v>2277</v>
      </c>
      <c r="C9100">
        <v>1750</v>
      </c>
      <c r="D9100" t="s">
        <v>563</v>
      </c>
      <c r="E9100" t="s">
        <v>444</v>
      </c>
      <c r="F9100" t="s">
        <v>136</v>
      </c>
      <c r="G9100" t="s">
        <v>127</v>
      </c>
      <c r="H9100" t="s">
        <v>379</v>
      </c>
      <c r="I9100" t="s">
        <v>173</v>
      </c>
      <c r="J9100" t="s">
        <v>120</v>
      </c>
      <c r="K9100" t="s">
        <v>99</v>
      </c>
      <c r="L9100" t="s">
        <v>155</v>
      </c>
      <c r="M9100" t="s">
        <v>242</v>
      </c>
      <c r="N9100" t="s">
        <v>369</v>
      </c>
      <c r="O9100" t="s">
        <v>107</v>
      </c>
      <c r="P9100" t="s">
        <v>267</v>
      </c>
      <c r="Q9100" t="s">
        <v>145</v>
      </c>
      <c r="R9100" t="s">
        <v>108</v>
      </c>
      <c r="S9100" t="s">
        <v>149</v>
      </c>
      <c r="T9100" t="s">
        <v>155</v>
      </c>
      <c r="U9100" t="s">
        <v>108</v>
      </c>
    </row>
    <row r="9101" spans="1:21" x14ac:dyDescent="0.3">
      <c r="A9101" t="s">
        <v>49</v>
      </c>
      <c r="B9101" t="s">
        <v>2278</v>
      </c>
      <c r="C9101">
        <v>1886</v>
      </c>
      <c r="D9101" t="s">
        <v>1570</v>
      </c>
      <c r="E9101" t="s">
        <v>163</v>
      </c>
      <c r="F9101" t="s">
        <v>128</v>
      </c>
      <c r="G9101" t="s">
        <v>107</v>
      </c>
      <c r="H9101" t="s">
        <v>724</v>
      </c>
      <c r="I9101" t="s">
        <v>1183</v>
      </c>
      <c r="J9101" t="s">
        <v>401</v>
      </c>
      <c r="K9101" t="s">
        <v>99</v>
      </c>
      <c r="L9101" t="s">
        <v>100</v>
      </c>
      <c r="M9101" t="s">
        <v>157</v>
      </c>
      <c r="N9101" t="s">
        <v>420</v>
      </c>
      <c r="O9101" t="s">
        <v>382</v>
      </c>
      <c r="P9101" t="s">
        <v>663</v>
      </c>
      <c r="Q9101" t="s">
        <v>155</v>
      </c>
      <c r="R9101" t="s">
        <v>132</v>
      </c>
      <c r="S9101" t="s">
        <v>325</v>
      </c>
      <c r="T9101" t="s">
        <v>100</v>
      </c>
      <c r="U9101" t="s">
        <v>253</v>
      </c>
    </row>
    <row r="9102" spans="1:21" x14ac:dyDescent="0.3">
      <c r="A9102" t="s">
        <v>49</v>
      </c>
      <c r="B9102" t="s">
        <v>2279</v>
      </c>
      <c r="C9102">
        <v>1902</v>
      </c>
      <c r="D9102" t="s">
        <v>459</v>
      </c>
      <c r="E9102" t="s">
        <v>150</v>
      </c>
      <c r="F9102" t="s">
        <v>103</v>
      </c>
      <c r="G9102" t="s">
        <v>129</v>
      </c>
      <c r="H9102" t="s">
        <v>227</v>
      </c>
      <c r="I9102" t="s">
        <v>1146</v>
      </c>
      <c r="J9102" t="s">
        <v>369</v>
      </c>
      <c r="K9102" t="s">
        <v>99</v>
      </c>
      <c r="L9102" t="s">
        <v>319</v>
      </c>
      <c r="M9102" t="s">
        <v>157</v>
      </c>
      <c r="N9102" t="s">
        <v>305</v>
      </c>
      <c r="O9102" t="s">
        <v>138</v>
      </c>
      <c r="P9102" t="s">
        <v>118</v>
      </c>
      <c r="Q9102" t="s">
        <v>123</v>
      </c>
      <c r="R9102" t="s">
        <v>215</v>
      </c>
      <c r="S9102" t="s">
        <v>664</v>
      </c>
      <c r="T9102" t="s">
        <v>108</v>
      </c>
      <c r="U9102" t="s">
        <v>207</v>
      </c>
    </row>
    <row r="9103" spans="1:21" x14ac:dyDescent="0.3">
      <c r="A9103" t="s">
        <v>49</v>
      </c>
      <c r="B9103" t="s">
        <v>365</v>
      </c>
      <c r="C9103">
        <v>30</v>
      </c>
      <c r="D9103" t="s">
        <v>1046</v>
      </c>
      <c r="E9103" t="s">
        <v>220</v>
      </c>
      <c r="F9103" t="s">
        <v>99</v>
      </c>
      <c r="G9103" t="s">
        <v>99</v>
      </c>
      <c r="H9103" t="s">
        <v>355</v>
      </c>
      <c r="I9103" t="s">
        <v>578</v>
      </c>
      <c r="J9103" t="s">
        <v>163</v>
      </c>
      <c r="K9103" t="s">
        <v>99</v>
      </c>
      <c r="L9103" t="s">
        <v>154</v>
      </c>
      <c r="M9103" t="s">
        <v>163</v>
      </c>
      <c r="N9103" t="s">
        <v>444</v>
      </c>
      <c r="O9103" t="s">
        <v>99</v>
      </c>
      <c r="P9103" t="s">
        <v>42</v>
      </c>
      <c r="Q9103" t="s">
        <v>529</v>
      </c>
      <c r="R9103" t="s">
        <v>734</v>
      </c>
      <c r="S9103" t="s">
        <v>99</v>
      </c>
      <c r="T9103" t="s">
        <v>319</v>
      </c>
      <c r="U9103" t="s">
        <v>129</v>
      </c>
    </row>
    <row r="9105" spans="1:21" x14ac:dyDescent="0.3">
      <c r="A9105" t="s">
        <v>2380</v>
      </c>
    </row>
    <row r="9106" spans="1:21" x14ac:dyDescent="0.3">
      <c r="A9106" t="s">
        <v>44</v>
      </c>
      <c r="B9106" t="s">
        <v>2281</v>
      </c>
      <c r="C9106" t="s">
        <v>32</v>
      </c>
      <c r="D9106" t="s">
        <v>2363</v>
      </c>
      <c r="E9106" t="s">
        <v>2364</v>
      </c>
      <c r="F9106" t="s">
        <v>2365</v>
      </c>
      <c r="G9106" t="s">
        <v>2366</v>
      </c>
      <c r="H9106" t="s">
        <v>2367</v>
      </c>
      <c r="I9106" t="s">
        <v>2368</v>
      </c>
      <c r="J9106" t="s">
        <v>2369</v>
      </c>
      <c r="K9106" t="s">
        <v>2370</v>
      </c>
      <c r="L9106" t="s">
        <v>2371</v>
      </c>
      <c r="M9106" t="s">
        <v>2372</v>
      </c>
      <c r="N9106" t="s">
        <v>2373</v>
      </c>
      <c r="O9106" t="s">
        <v>2374</v>
      </c>
      <c r="P9106" t="s">
        <v>2375</v>
      </c>
      <c r="Q9106" t="s">
        <v>2376</v>
      </c>
      <c r="R9106" t="s">
        <v>2377</v>
      </c>
      <c r="S9106" t="s">
        <v>979</v>
      </c>
      <c r="T9106" t="s">
        <v>193</v>
      </c>
      <c r="U9106" t="s">
        <v>2378</v>
      </c>
    </row>
    <row r="9107" spans="1:21" x14ac:dyDescent="0.3">
      <c r="A9107" t="s">
        <v>35</v>
      </c>
      <c r="B9107" t="s">
        <v>2282</v>
      </c>
      <c r="C9107">
        <v>866</v>
      </c>
      <c r="D9107" t="s">
        <v>527</v>
      </c>
      <c r="E9107" t="s">
        <v>179</v>
      </c>
      <c r="F9107" t="s">
        <v>474</v>
      </c>
      <c r="G9107" t="s">
        <v>215</v>
      </c>
      <c r="H9107" t="s">
        <v>856</v>
      </c>
      <c r="I9107" t="s">
        <v>904</v>
      </c>
      <c r="J9107" t="s">
        <v>368</v>
      </c>
      <c r="K9107" t="s">
        <v>198</v>
      </c>
      <c r="L9107" t="s">
        <v>105</v>
      </c>
      <c r="M9107" t="s">
        <v>184</v>
      </c>
      <c r="N9107" t="s">
        <v>722</v>
      </c>
      <c r="O9107" t="s">
        <v>468</v>
      </c>
      <c r="P9107" t="s">
        <v>98</v>
      </c>
      <c r="Q9107" t="s">
        <v>316</v>
      </c>
      <c r="R9107" t="s">
        <v>114</v>
      </c>
      <c r="S9107" t="s">
        <v>133</v>
      </c>
      <c r="T9107" t="s">
        <v>253</v>
      </c>
      <c r="U9107" t="s">
        <v>136</v>
      </c>
    </row>
    <row r="9108" spans="1:21" x14ac:dyDescent="0.3">
      <c r="A9108" t="s">
        <v>35</v>
      </c>
      <c r="B9108" t="s">
        <v>2283</v>
      </c>
      <c r="C9108">
        <v>3325</v>
      </c>
      <c r="D9108" t="s">
        <v>1386</v>
      </c>
      <c r="E9108" t="s">
        <v>449</v>
      </c>
      <c r="F9108" t="s">
        <v>382</v>
      </c>
      <c r="G9108" t="s">
        <v>126</v>
      </c>
      <c r="H9108" t="s">
        <v>691</v>
      </c>
      <c r="I9108" t="s">
        <v>481</v>
      </c>
      <c r="J9108" t="s">
        <v>434</v>
      </c>
      <c r="K9108" t="s">
        <v>141</v>
      </c>
      <c r="L9108" t="s">
        <v>215</v>
      </c>
      <c r="M9108" t="s">
        <v>204</v>
      </c>
      <c r="N9108" t="s">
        <v>363</v>
      </c>
      <c r="O9108" t="s">
        <v>155</v>
      </c>
      <c r="P9108" t="s">
        <v>173</v>
      </c>
      <c r="Q9108" t="s">
        <v>98</v>
      </c>
      <c r="R9108" t="s">
        <v>319</v>
      </c>
      <c r="S9108" t="s">
        <v>712</v>
      </c>
      <c r="T9108" t="s">
        <v>143</v>
      </c>
      <c r="U9108" t="s">
        <v>141</v>
      </c>
    </row>
    <row r="9109" spans="1:21" x14ac:dyDescent="0.3">
      <c r="A9109" t="s">
        <v>35</v>
      </c>
      <c r="B9109" t="s">
        <v>365</v>
      </c>
      <c r="C9109">
        <v>195</v>
      </c>
      <c r="D9109" t="s">
        <v>1193</v>
      </c>
      <c r="E9109" t="s">
        <v>798</v>
      </c>
      <c r="F9109" t="s">
        <v>136</v>
      </c>
      <c r="G9109" t="s">
        <v>215</v>
      </c>
      <c r="H9109" t="s">
        <v>115</v>
      </c>
      <c r="I9109" t="s">
        <v>215</v>
      </c>
      <c r="J9109" t="s">
        <v>114</v>
      </c>
      <c r="K9109" t="s">
        <v>99</v>
      </c>
      <c r="L9109" t="s">
        <v>126</v>
      </c>
      <c r="M9109" t="s">
        <v>121</v>
      </c>
      <c r="N9109" t="s">
        <v>138</v>
      </c>
      <c r="O9109" t="s">
        <v>99</v>
      </c>
      <c r="P9109" t="s">
        <v>578</v>
      </c>
      <c r="Q9109" t="s">
        <v>41</v>
      </c>
      <c r="R9109" t="s">
        <v>142</v>
      </c>
      <c r="S9109" t="s">
        <v>663</v>
      </c>
      <c r="T9109" t="s">
        <v>98</v>
      </c>
      <c r="U9109" t="s">
        <v>141</v>
      </c>
    </row>
    <row r="9110" spans="1:21" x14ac:dyDescent="0.3">
      <c r="A9110" t="s">
        <v>37</v>
      </c>
      <c r="B9110" t="s">
        <v>2282</v>
      </c>
      <c r="C9110">
        <v>1125</v>
      </c>
      <c r="D9110" t="s">
        <v>227</v>
      </c>
      <c r="E9110" t="s">
        <v>671</v>
      </c>
      <c r="F9110" t="s">
        <v>120</v>
      </c>
      <c r="G9110" t="s">
        <v>712</v>
      </c>
      <c r="H9110" t="s">
        <v>620</v>
      </c>
      <c r="I9110" t="s">
        <v>1180</v>
      </c>
      <c r="J9110" t="s">
        <v>171</v>
      </c>
      <c r="K9110" t="s">
        <v>104</v>
      </c>
      <c r="L9110" t="s">
        <v>139</v>
      </c>
      <c r="M9110" t="s">
        <v>401</v>
      </c>
      <c r="N9110" t="s">
        <v>716</v>
      </c>
      <c r="O9110" t="s">
        <v>325</v>
      </c>
      <c r="P9110" t="s">
        <v>328</v>
      </c>
      <c r="Q9110" t="s">
        <v>107</v>
      </c>
      <c r="R9110" t="s">
        <v>147</v>
      </c>
      <c r="S9110" t="s">
        <v>305</v>
      </c>
      <c r="T9110" t="s">
        <v>198</v>
      </c>
      <c r="U9110" t="s">
        <v>141</v>
      </c>
    </row>
    <row r="9111" spans="1:21" x14ac:dyDescent="0.3">
      <c r="A9111" t="s">
        <v>37</v>
      </c>
      <c r="B9111" t="s">
        <v>2283</v>
      </c>
      <c r="C9111">
        <v>3803</v>
      </c>
      <c r="D9111" t="s">
        <v>856</v>
      </c>
      <c r="E9111" t="s">
        <v>355</v>
      </c>
      <c r="F9111" t="s">
        <v>319</v>
      </c>
      <c r="G9111" t="s">
        <v>138</v>
      </c>
      <c r="H9111" t="s">
        <v>488</v>
      </c>
      <c r="I9111" t="s">
        <v>631</v>
      </c>
      <c r="J9111" t="s">
        <v>325</v>
      </c>
      <c r="K9111" t="s">
        <v>115</v>
      </c>
      <c r="L9111" t="s">
        <v>100</v>
      </c>
      <c r="M9111" t="s">
        <v>74</v>
      </c>
      <c r="N9111" t="s">
        <v>113</v>
      </c>
      <c r="O9111" t="s">
        <v>134</v>
      </c>
      <c r="P9111" t="s">
        <v>676</v>
      </c>
      <c r="Q9111" t="s">
        <v>135</v>
      </c>
      <c r="R9111" t="s">
        <v>100</v>
      </c>
      <c r="S9111" t="s">
        <v>325</v>
      </c>
      <c r="T9111" t="s">
        <v>141</v>
      </c>
      <c r="U9111" t="s">
        <v>136</v>
      </c>
    </row>
    <row r="9112" spans="1:21" x14ac:dyDescent="0.3">
      <c r="A9112" t="s">
        <v>37</v>
      </c>
      <c r="B9112" t="s">
        <v>365</v>
      </c>
      <c r="C9112">
        <v>272</v>
      </c>
      <c r="D9112" t="s">
        <v>1363</v>
      </c>
      <c r="E9112" t="s">
        <v>357</v>
      </c>
      <c r="F9112" t="s">
        <v>99</v>
      </c>
      <c r="G9112" t="s">
        <v>412</v>
      </c>
      <c r="H9112" t="s">
        <v>117</v>
      </c>
      <c r="I9112" t="s">
        <v>120</v>
      </c>
      <c r="J9112" t="s">
        <v>198</v>
      </c>
      <c r="K9112" t="s">
        <v>99</v>
      </c>
      <c r="L9112" t="s">
        <v>100</v>
      </c>
      <c r="M9112" t="s">
        <v>141</v>
      </c>
      <c r="N9112" t="s">
        <v>98</v>
      </c>
      <c r="O9112" t="s">
        <v>99</v>
      </c>
      <c r="P9112" t="s">
        <v>583</v>
      </c>
      <c r="Q9112" t="s">
        <v>536</v>
      </c>
      <c r="R9112" t="s">
        <v>152</v>
      </c>
      <c r="S9112" t="s">
        <v>134</v>
      </c>
      <c r="T9112" t="s">
        <v>99</v>
      </c>
      <c r="U9112" t="s">
        <v>253</v>
      </c>
    </row>
    <row r="9113" spans="1:21" x14ac:dyDescent="0.3">
      <c r="A9113" t="s">
        <v>36</v>
      </c>
      <c r="B9113" t="s">
        <v>2282</v>
      </c>
      <c r="C9113">
        <v>733</v>
      </c>
      <c r="D9113" t="s">
        <v>645</v>
      </c>
      <c r="E9113" t="s">
        <v>664</v>
      </c>
      <c r="F9113" t="s">
        <v>134</v>
      </c>
      <c r="G9113" t="s">
        <v>151</v>
      </c>
      <c r="H9113" t="s">
        <v>636</v>
      </c>
      <c r="I9113" t="s">
        <v>633</v>
      </c>
      <c r="J9113" t="s">
        <v>72</v>
      </c>
      <c r="K9113" t="s">
        <v>99</v>
      </c>
      <c r="L9113" t="s">
        <v>316</v>
      </c>
      <c r="M9113" t="s">
        <v>468</v>
      </c>
      <c r="N9113" t="s">
        <v>204</v>
      </c>
      <c r="O9113" t="s">
        <v>120</v>
      </c>
      <c r="P9113" t="s">
        <v>145</v>
      </c>
      <c r="Q9113" t="s">
        <v>126</v>
      </c>
      <c r="R9113" t="s">
        <v>141</v>
      </c>
      <c r="S9113" t="s">
        <v>267</v>
      </c>
      <c r="T9113" t="s">
        <v>151</v>
      </c>
      <c r="U9113" t="s">
        <v>319</v>
      </c>
    </row>
    <row r="9114" spans="1:21" x14ac:dyDescent="0.3">
      <c r="A9114" t="s">
        <v>36</v>
      </c>
      <c r="B9114" t="s">
        <v>2283</v>
      </c>
      <c r="C9114">
        <v>2128</v>
      </c>
      <c r="D9114" t="s">
        <v>621</v>
      </c>
      <c r="E9114" t="s">
        <v>179</v>
      </c>
      <c r="F9114" t="s">
        <v>111</v>
      </c>
      <c r="G9114" t="s">
        <v>121</v>
      </c>
      <c r="H9114" t="s">
        <v>683</v>
      </c>
      <c r="I9114" t="s">
        <v>809</v>
      </c>
      <c r="J9114" t="s">
        <v>118</v>
      </c>
      <c r="K9114" t="s">
        <v>115</v>
      </c>
      <c r="L9114" t="s">
        <v>101</v>
      </c>
      <c r="M9114" t="s">
        <v>305</v>
      </c>
      <c r="N9114" t="s">
        <v>70</v>
      </c>
      <c r="O9114" t="s">
        <v>319</v>
      </c>
      <c r="P9114" t="s">
        <v>231</v>
      </c>
      <c r="Q9114" t="s">
        <v>663</v>
      </c>
      <c r="R9114" t="s">
        <v>121</v>
      </c>
      <c r="S9114" t="s">
        <v>248</v>
      </c>
      <c r="T9114" t="s">
        <v>100</v>
      </c>
      <c r="U9114" t="s">
        <v>136</v>
      </c>
    </row>
    <row r="9115" spans="1:21" x14ac:dyDescent="0.3">
      <c r="A9115" t="s">
        <v>36</v>
      </c>
      <c r="B9115" t="s">
        <v>365</v>
      </c>
      <c r="C9115">
        <v>189</v>
      </c>
      <c r="D9115" t="s">
        <v>1231</v>
      </c>
      <c r="E9115" t="s">
        <v>276</v>
      </c>
      <c r="F9115" t="s">
        <v>99</v>
      </c>
      <c r="G9115" t="s">
        <v>99</v>
      </c>
      <c r="H9115" t="s">
        <v>154</v>
      </c>
      <c r="I9115" t="s">
        <v>130</v>
      </c>
      <c r="J9115" t="s">
        <v>207</v>
      </c>
      <c r="K9115" t="s">
        <v>99</v>
      </c>
      <c r="L9115" t="s">
        <v>99</v>
      </c>
      <c r="M9115" t="s">
        <v>132</v>
      </c>
      <c r="N9115" t="s">
        <v>135</v>
      </c>
      <c r="O9115" t="s">
        <v>99</v>
      </c>
      <c r="P9115" t="s">
        <v>910</v>
      </c>
      <c r="Q9115" t="s">
        <v>268</v>
      </c>
      <c r="R9115" t="s">
        <v>136</v>
      </c>
      <c r="S9115" t="s">
        <v>127</v>
      </c>
      <c r="T9115" t="s">
        <v>104</v>
      </c>
      <c r="U9115" t="s">
        <v>114</v>
      </c>
    </row>
    <row r="9116" spans="1:21" x14ac:dyDescent="0.3">
      <c r="A9116" t="s">
        <v>34</v>
      </c>
      <c r="B9116" t="s">
        <v>2282</v>
      </c>
      <c r="C9116">
        <v>532</v>
      </c>
      <c r="D9116" t="s">
        <v>1258</v>
      </c>
      <c r="E9116" t="s">
        <v>804</v>
      </c>
      <c r="F9116" t="s">
        <v>155</v>
      </c>
      <c r="G9116" t="s">
        <v>268</v>
      </c>
      <c r="H9116" t="s">
        <v>932</v>
      </c>
      <c r="I9116" t="s">
        <v>1101</v>
      </c>
      <c r="J9116" t="s">
        <v>179</v>
      </c>
      <c r="K9116" t="s">
        <v>207</v>
      </c>
      <c r="L9116" t="s">
        <v>130</v>
      </c>
      <c r="M9116" t="s">
        <v>804</v>
      </c>
      <c r="N9116" t="s">
        <v>163</v>
      </c>
      <c r="O9116" t="s">
        <v>118</v>
      </c>
      <c r="P9116" t="s">
        <v>184</v>
      </c>
      <c r="Q9116" t="s">
        <v>684</v>
      </c>
      <c r="R9116" t="s">
        <v>215</v>
      </c>
      <c r="S9116" t="s">
        <v>76</v>
      </c>
      <c r="T9116" t="s">
        <v>104</v>
      </c>
      <c r="U9116" t="s">
        <v>114</v>
      </c>
    </row>
    <row r="9117" spans="1:21" x14ac:dyDescent="0.3">
      <c r="A9117" t="s">
        <v>34</v>
      </c>
      <c r="B9117" t="s">
        <v>2283</v>
      </c>
      <c r="C9117">
        <v>2082</v>
      </c>
      <c r="D9117" t="s">
        <v>1340</v>
      </c>
      <c r="E9117" t="s">
        <v>449</v>
      </c>
      <c r="F9117" t="s">
        <v>253</v>
      </c>
      <c r="G9117" t="s">
        <v>151</v>
      </c>
      <c r="H9117" t="s">
        <v>751</v>
      </c>
      <c r="I9117" t="s">
        <v>647</v>
      </c>
      <c r="J9117" t="s">
        <v>112</v>
      </c>
      <c r="K9117" t="s">
        <v>207</v>
      </c>
      <c r="L9117" t="s">
        <v>319</v>
      </c>
      <c r="M9117" t="s">
        <v>78</v>
      </c>
      <c r="N9117" t="s">
        <v>78</v>
      </c>
      <c r="O9117" t="s">
        <v>215</v>
      </c>
      <c r="P9117" t="s">
        <v>685</v>
      </c>
      <c r="Q9117" t="s">
        <v>663</v>
      </c>
      <c r="R9117" t="s">
        <v>253</v>
      </c>
      <c r="S9117" t="s">
        <v>109</v>
      </c>
      <c r="T9117" t="s">
        <v>141</v>
      </c>
      <c r="U9117" t="s">
        <v>100</v>
      </c>
    </row>
    <row r="9118" spans="1:21" x14ac:dyDescent="0.3">
      <c r="A9118" t="s">
        <v>34</v>
      </c>
      <c r="B9118" t="s">
        <v>365</v>
      </c>
      <c r="C9118">
        <v>95</v>
      </c>
      <c r="D9118" t="s">
        <v>927</v>
      </c>
      <c r="E9118" t="s">
        <v>665</v>
      </c>
      <c r="F9118" t="s">
        <v>141</v>
      </c>
      <c r="G9118" t="s">
        <v>292</v>
      </c>
      <c r="H9118" t="s">
        <v>277</v>
      </c>
      <c r="I9118" t="s">
        <v>149</v>
      </c>
      <c r="J9118" t="s">
        <v>120</v>
      </c>
      <c r="K9118" t="s">
        <v>99</v>
      </c>
      <c r="L9118" t="s">
        <v>117</v>
      </c>
      <c r="M9118" t="s">
        <v>157</v>
      </c>
      <c r="N9118" t="s">
        <v>110</v>
      </c>
      <c r="O9118" t="s">
        <v>99</v>
      </c>
      <c r="P9118" t="s">
        <v>821</v>
      </c>
      <c r="Q9118" t="s">
        <v>671</v>
      </c>
      <c r="R9118" t="s">
        <v>151</v>
      </c>
      <c r="S9118" t="s">
        <v>175</v>
      </c>
      <c r="T9118" t="s">
        <v>127</v>
      </c>
      <c r="U9118" t="s">
        <v>143</v>
      </c>
    </row>
    <row r="9119" spans="1:21" x14ac:dyDescent="0.3">
      <c r="A9119" t="s">
        <v>33</v>
      </c>
      <c r="B9119" t="s">
        <v>2282</v>
      </c>
      <c r="C9119">
        <v>510</v>
      </c>
      <c r="D9119" t="s">
        <v>905</v>
      </c>
      <c r="E9119" t="s">
        <v>182</v>
      </c>
      <c r="F9119" t="s">
        <v>319</v>
      </c>
      <c r="G9119" t="s">
        <v>712</v>
      </c>
      <c r="H9119" t="s">
        <v>570</v>
      </c>
      <c r="I9119" t="s">
        <v>458</v>
      </c>
      <c r="J9119" t="s">
        <v>179</v>
      </c>
      <c r="K9119" t="s">
        <v>136</v>
      </c>
      <c r="L9119" t="s">
        <v>215</v>
      </c>
      <c r="M9119" t="s">
        <v>434</v>
      </c>
      <c r="N9119" t="s">
        <v>74</v>
      </c>
      <c r="O9119" t="s">
        <v>468</v>
      </c>
      <c r="P9119" t="s">
        <v>145</v>
      </c>
      <c r="Q9119" t="s">
        <v>139</v>
      </c>
      <c r="R9119" t="s">
        <v>114</v>
      </c>
      <c r="S9119" t="s">
        <v>70</v>
      </c>
      <c r="T9119" t="s">
        <v>108</v>
      </c>
      <c r="U9119" t="s">
        <v>141</v>
      </c>
    </row>
    <row r="9120" spans="1:21" x14ac:dyDescent="0.3">
      <c r="A9120" t="s">
        <v>33</v>
      </c>
      <c r="B9120" t="s">
        <v>2283</v>
      </c>
      <c r="C9120">
        <v>2191</v>
      </c>
      <c r="D9120" t="s">
        <v>1165</v>
      </c>
      <c r="E9120" t="s">
        <v>244</v>
      </c>
      <c r="F9120" t="s">
        <v>100</v>
      </c>
      <c r="G9120" t="s">
        <v>127</v>
      </c>
      <c r="H9120" t="s">
        <v>395</v>
      </c>
      <c r="I9120" t="s">
        <v>834</v>
      </c>
      <c r="J9120" t="s">
        <v>112</v>
      </c>
      <c r="K9120" t="s">
        <v>121</v>
      </c>
      <c r="L9120" t="s">
        <v>253</v>
      </c>
      <c r="M9120" t="s">
        <v>158</v>
      </c>
      <c r="N9120" t="s">
        <v>363</v>
      </c>
      <c r="O9120" t="s">
        <v>316</v>
      </c>
      <c r="P9120" t="s">
        <v>478</v>
      </c>
      <c r="Q9120" t="s">
        <v>113</v>
      </c>
      <c r="R9120" t="s">
        <v>132</v>
      </c>
      <c r="S9120" t="s">
        <v>129</v>
      </c>
      <c r="T9120" t="s">
        <v>141</v>
      </c>
      <c r="U9120" t="s">
        <v>132</v>
      </c>
    </row>
    <row r="9121" spans="1:21" x14ac:dyDescent="0.3">
      <c r="A9121" t="s">
        <v>33</v>
      </c>
      <c r="B9121" t="s">
        <v>365</v>
      </c>
      <c r="C9121">
        <v>102</v>
      </c>
      <c r="D9121" t="s">
        <v>1329</v>
      </c>
      <c r="E9121" t="s">
        <v>457</v>
      </c>
      <c r="F9121" t="s">
        <v>99</v>
      </c>
      <c r="G9121" t="s">
        <v>363</v>
      </c>
      <c r="H9121" t="s">
        <v>151</v>
      </c>
      <c r="I9121" t="s">
        <v>151</v>
      </c>
      <c r="J9121" t="s">
        <v>99</v>
      </c>
      <c r="K9121" t="s">
        <v>99</v>
      </c>
      <c r="L9121" t="s">
        <v>99</v>
      </c>
      <c r="M9121" t="s">
        <v>147</v>
      </c>
      <c r="N9121" t="s">
        <v>70</v>
      </c>
      <c r="O9121" t="s">
        <v>99</v>
      </c>
      <c r="P9121" t="s">
        <v>1104</v>
      </c>
      <c r="Q9121" t="s">
        <v>139</v>
      </c>
      <c r="R9121" t="s">
        <v>149</v>
      </c>
      <c r="S9121" t="s">
        <v>157</v>
      </c>
      <c r="T9121" t="s">
        <v>101</v>
      </c>
      <c r="U9121" t="s">
        <v>114</v>
      </c>
    </row>
    <row r="9122" spans="1:21" x14ac:dyDescent="0.3">
      <c r="A9122" t="s">
        <v>49</v>
      </c>
      <c r="B9122" t="s">
        <v>2282</v>
      </c>
      <c r="C9122">
        <v>3766</v>
      </c>
      <c r="D9122" t="s">
        <v>621</v>
      </c>
      <c r="E9122" t="s">
        <v>405</v>
      </c>
      <c r="F9122" t="s">
        <v>105</v>
      </c>
      <c r="G9122" t="s">
        <v>107</v>
      </c>
      <c r="H9122" t="s">
        <v>824</v>
      </c>
      <c r="I9122" t="s">
        <v>559</v>
      </c>
      <c r="J9122" t="s">
        <v>416</v>
      </c>
      <c r="K9122" t="s">
        <v>198</v>
      </c>
      <c r="L9122" t="s">
        <v>332</v>
      </c>
      <c r="M9122" t="s">
        <v>184</v>
      </c>
      <c r="N9122" t="s">
        <v>133</v>
      </c>
      <c r="O9122" t="s">
        <v>412</v>
      </c>
      <c r="P9122" t="s">
        <v>143</v>
      </c>
      <c r="Q9122" t="s">
        <v>332</v>
      </c>
      <c r="R9122" t="s">
        <v>382</v>
      </c>
      <c r="S9122" t="s">
        <v>379</v>
      </c>
      <c r="T9122" t="s">
        <v>141</v>
      </c>
      <c r="U9122" t="s">
        <v>115</v>
      </c>
    </row>
    <row r="9123" spans="1:21" x14ac:dyDescent="0.3">
      <c r="A9123" t="s">
        <v>49</v>
      </c>
      <c r="B9123" t="s">
        <v>2283</v>
      </c>
      <c r="C9123">
        <v>13529</v>
      </c>
      <c r="D9123" t="s">
        <v>1108</v>
      </c>
      <c r="E9123" t="s">
        <v>708</v>
      </c>
      <c r="F9123" t="s">
        <v>101</v>
      </c>
      <c r="G9123" t="s">
        <v>292</v>
      </c>
      <c r="H9123" t="s">
        <v>508</v>
      </c>
      <c r="I9123" t="s">
        <v>967</v>
      </c>
      <c r="J9123" t="s">
        <v>149</v>
      </c>
      <c r="K9123" t="s">
        <v>115</v>
      </c>
      <c r="L9123" t="s">
        <v>101</v>
      </c>
      <c r="M9123" t="s">
        <v>254</v>
      </c>
      <c r="N9123" t="s">
        <v>299</v>
      </c>
      <c r="O9123" t="s">
        <v>147</v>
      </c>
      <c r="P9123" t="s">
        <v>444</v>
      </c>
      <c r="Q9123" t="s">
        <v>663</v>
      </c>
      <c r="R9123" t="s">
        <v>114</v>
      </c>
      <c r="S9123" t="s">
        <v>98</v>
      </c>
      <c r="T9123" t="s">
        <v>292</v>
      </c>
      <c r="U9123" t="s">
        <v>253</v>
      </c>
    </row>
    <row r="9124" spans="1:21" x14ac:dyDescent="0.3">
      <c r="A9124" t="s">
        <v>49</v>
      </c>
      <c r="B9124" t="s">
        <v>365</v>
      </c>
      <c r="C9124">
        <v>853</v>
      </c>
      <c r="D9124" t="s">
        <v>1350</v>
      </c>
      <c r="E9124" t="s">
        <v>673</v>
      </c>
      <c r="F9124" t="s">
        <v>198</v>
      </c>
      <c r="G9124" t="s">
        <v>155</v>
      </c>
      <c r="H9124" t="s">
        <v>268</v>
      </c>
      <c r="I9124" t="s">
        <v>128</v>
      </c>
      <c r="J9124" t="s">
        <v>132</v>
      </c>
      <c r="K9124" t="s">
        <v>99</v>
      </c>
      <c r="L9124" t="s">
        <v>100</v>
      </c>
      <c r="M9124" t="s">
        <v>126</v>
      </c>
      <c r="N9124" t="s">
        <v>412</v>
      </c>
      <c r="O9124" t="s">
        <v>99</v>
      </c>
      <c r="P9124" t="s">
        <v>918</v>
      </c>
      <c r="Q9124" t="s">
        <v>220</v>
      </c>
      <c r="R9124" t="s">
        <v>144</v>
      </c>
      <c r="S9124" t="s">
        <v>328</v>
      </c>
      <c r="T9124" t="s">
        <v>111</v>
      </c>
      <c r="U9124" t="s">
        <v>319</v>
      </c>
    </row>
    <row r="9126" spans="1:21" x14ac:dyDescent="0.3">
      <c r="A9126" t="s">
        <v>2381</v>
      </c>
    </row>
    <row r="9127" spans="1:21" x14ac:dyDescent="0.3">
      <c r="A9127" t="s">
        <v>44</v>
      </c>
      <c r="B9127" t="s">
        <v>235</v>
      </c>
      <c r="C9127" t="s">
        <v>32</v>
      </c>
      <c r="D9127" t="s">
        <v>2363</v>
      </c>
      <c r="E9127" t="s">
        <v>2364</v>
      </c>
      <c r="F9127" t="s">
        <v>2365</v>
      </c>
      <c r="G9127" t="s">
        <v>2366</v>
      </c>
      <c r="H9127" t="s">
        <v>2367</v>
      </c>
      <c r="I9127" t="s">
        <v>2368</v>
      </c>
      <c r="J9127" t="s">
        <v>2369</v>
      </c>
      <c r="K9127" t="s">
        <v>2370</v>
      </c>
      <c r="L9127" t="s">
        <v>2371</v>
      </c>
      <c r="M9127" t="s">
        <v>2372</v>
      </c>
      <c r="N9127" t="s">
        <v>2373</v>
      </c>
      <c r="O9127" t="s">
        <v>2374</v>
      </c>
      <c r="P9127" t="s">
        <v>2375</v>
      </c>
      <c r="Q9127" t="s">
        <v>2376</v>
      </c>
      <c r="R9127" t="s">
        <v>2377</v>
      </c>
      <c r="S9127" t="s">
        <v>979</v>
      </c>
      <c r="T9127" t="s">
        <v>193</v>
      </c>
      <c r="U9127" t="s">
        <v>2378</v>
      </c>
    </row>
    <row r="9128" spans="1:21" x14ac:dyDescent="0.3">
      <c r="A9128" t="s">
        <v>35</v>
      </c>
      <c r="B9128" t="s">
        <v>236</v>
      </c>
      <c r="C9128">
        <v>2341</v>
      </c>
      <c r="D9128" t="s">
        <v>583</v>
      </c>
      <c r="E9128" t="s">
        <v>142</v>
      </c>
      <c r="F9128" t="s">
        <v>292</v>
      </c>
      <c r="G9128" t="s">
        <v>127</v>
      </c>
      <c r="H9128" t="s">
        <v>717</v>
      </c>
      <c r="I9128" t="s">
        <v>638</v>
      </c>
      <c r="J9128" t="s">
        <v>139</v>
      </c>
      <c r="K9128" t="s">
        <v>141</v>
      </c>
      <c r="L9128" t="s">
        <v>215</v>
      </c>
      <c r="M9128" t="s">
        <v>145</v>
      </c>
      <c r="N9128" t="s">
        <v>420</v>
      </c>
      <c r="O9128" t="s">
        <v>316</v>
      </c>
      <c r="P9128" t="s">
        <v>167</v>
      </c>
      <c r="Q9128" t="s">
        <v>277</v>
      </c>
      <c r="R9128" t="s">
        <v>126</v>
      </c>
      <c r="S9128" t="s">
        <v>468</v>
      </c>
      <c r="T9128" t="s">
        <v>108</v>
      </c>
      <c r="U9128" t="s">
        <v>136</v>
      </c>
    </row>
    <row r="9129" spans="1:21" x14ac:dyDescent="0.3">
      <c r="A9129" t="s">
        <v>35</v>
      </c>
      <c r="B9129" t="s">
        <v>238</v>
      </c>
      <c r="C9129">
        <v>2045</v>
      </c>
      <c r="D9129" t="s">
        <v>1051</v>
      </c>
      <c r="E9129" t="s">
        <v>731</v>
      </c>
      <c r="F9129" t="s">
        <v>292</v>
      </c>
      <c r="G9129" t="s">
        <v>126</v>
      </c>
      <c r="H9129" t="s">
        <v>309</v>
      </c>
      <c r="I9129" t="s">
        <v>1157</v>
      </c>
      <c r="J9129" t="s">
        <v>675</v>
      </c>
      <c r="K9129" t="s">
        <v>136</v>
      </c>
      <c r="L9129" t="s">
        <v>111</v>
      </c>
      <c r="M9129" t="s">
        <v>325</v>
      </c>
      <c r="N9129" t="s">
        <v>401</v>
      </c>
      <c r="O9129" t="s">
        <v>434</v>
      </c>
      <c r="P9129" t="s">
        <v>175</v>
      </c>
      <c r="Q9129" t="s">
        <v>412</v>
      </c>
      <c r="R9129" t="s">
        <v>123</v>
      </c>
      <c r="S9129" t="s">
        <v>98</v>
      </c>
      <c r="T9129" t="s">
        <v>109</v>
      </c>
      <c r="U9129" t="s">
        <v>141</v>
      </c>
    </row>
    <row r="9130" spans="1:21" x14ac:dyDescent="0.3">
      <c r="A9130" t="s">
        <v>37</v>
      </c>
      <c r="B9130" t="s">
        <v>236</v>
      </c>
      <c r="C9130">
        <v>3094</v>
      </c>
      <c r="D9130" t="s">
        <v>946</v>
      </c>
      <c r="E9130" t="s">
        <v>677</v>
      </c>
      <c r="F9130" t="s">
        <v>151</v>
      </c>
      <c r="G9130" t="s">
        <v>154</v>
      </c>
      <c r="H9130" t="s">
        <v>681</v>
      </c>
      <c r="I9130" t="s">
        <v>1326</v>
      </c>
      <c r="J9130" t="s">
        <v>74</v>
      </c>
      <c r="K9130" t="s">
        <v>136</v>
      </c>
      <c r="L9130" t="s">
        <v>292</v>
      </c>
      <c r="M9130" t="s">
        <v>144</v>
      </c>
      <c r="N9130" t="s">
        <v>722</v>
      </c>
      <c r="O9130" t="s">
        <v>118</v>
      </c>
      <c r="P9130" t="s">
        <v>726</v>
      </c>
      <c r="Q9130" t="s">
        <v>204</v>
      </c>
      <c r="R9130" t="s">
        <v>123</v>
      </c>
      <c r="S9130" t="s">
        <v>143</v>
      </c>
      <c r="T9130" t="s">
        <v>136</v>
      </c>
      <c r="U9130" t="s">
        <v>136</v>
      </c>
    </row>
    <row r="9131" spans="1:21" x14ac:dyDescent="0.3">
      <c r="A9131" t="s">
        <v>37</v>
      </c>
      <c r="B9131" t="s">
        <v>238</v>
      </c>
      <c r="C9131">
        <v>2106</v>
      </c>
      <c r="D9131" t="s">
        <v>582</v>
      </c>
      <c r="E9131" t="s">
        <v>714</v>
      </c>
      <c r="F9131" t="s">
        <v>121</v>
      </c>
      <c r="G9131" t="s">
        <v>154</v>
      </c>
      <c r="H9131" t="s">
        <v>803</v>
      </c>
      <c r="I9131" t="s">
        <v>553</v>
      </c>
      <c r="J9131" t="s">
        <v>152</v>
      </c>
      <c r="K9131" t="s">
        <v>132</v>
      </c>
      <c r="L9131" t="s">
        <v>382</v>
      </c>
      <c r="M9131" t="s">
        <v>663</v>
      </c>
      <c r="N9131" t="s">
        <v>679</v>
      </c>
      <c r="O9131" t="s">
        <v>434</v>
      </c>
      <c r="P9131" t="s">
        <v>442</v>
      </c>
      <c r="Q9131" t="s">
        <v>160</v>
      </c>
      <c r="R9131" t="s">
        <v>382</v>
      </c>
      <c r="S9131" t="s">
        <v>254</v>
      </c>
      <c r="T9131" t="s">
        <v>136</v>
      </c>
      <c r="U9131" t="s">
        <v>136</v>
      </c>
    </row>
    <row r="9132" spans="1:21" x14ac:dyDescent="0.3">
      <c r="A9132" t="s">
        <v>36</v>
      </c>
      <c r="B9132" t="s">
        <v>236</v>
      </c>
      <c r="C9132">
        <v>2065</v>
      </c>
      <c r="D9132" t="s">
        <v>1178</v>
      </c>
      <c r="E9132" t="s">
        <v>416</v>
      </c>
      <c r="F9132" t="s">
        <v>292</v>
      </c>
      <c r="G9132" t="s">
        <v>126</v>
      </c>
      <c r="H9132" t="s">
        <v>42</v>
      </c>
      <c r="I9132" t="s">
        <v>827</v>
      </c>
      <c r="J9132" t="s">
        <v>468</v>
      </c>
      <c r="K9132" t="s">
        <v>198</v>
      </c>
      <c r="L9132" t="s">
        <v>115</v>
      </c>
      <c r="M9132" t="s">
        <v>145</v>
      </c>
      <c r="N9132" t="s">
        <v>663</v>
      </c>
      <c r="O9132" t="s">
        <v>319</v>
      </c>
      <c r="P9132" t="s">
        <v>321</v>
      </c>
      <c r="Q9132" t="s">
        <v>129</v>
      </c>
      <c r="R9132" t="s">
        <v>319</v>
      </c>
      <c r="S9132" t="s">
        <v>78</v>
      </c>
      <c r="T9132" t="s">
        <v>136</v>
      </c>
      <c r="U9132" t="s">
        <v>136</v>
      </c>
    </row>
    <row r="9133" spans="1:21" x14ac:dyDescent="0.3">
      <c r="A9133" t="s">
        <v>36</v>
      </c>
      <c r="B9133" t="s">
        <v>238</v>
      </c>
      <c r="C9133">
        <v>985</v>
      </c>
      <c r="D9133" t="s">
        <v>1285</v>
      </c>
      <c r="E9133" t="s">
        <v>179</v>
      </c>
      <c r="F9133" t="s">
        <v>316</v>
      </c>
      <c r="G9133" t="s">
        <v>100</v>
      </c>
      <c r="H9133" t="s">
        <v>706</v>
      </c>
      <c r="I9133" t="s">
        <v>58</v>
      </c>
      <c r="J9133" t="s">
        <v>110</v>
      </c>
      <c r="K9133" t="s">
        <v>115</v>
      </c>
      <c r="L9133" t="s">
        <v>292</v>
      </c>
      <c r="M9133" t="s">
        <v>353</v>
      </c>
      <c r="N9133" t="s">
        <v>70</v>
      </c>
      <c r="O9133" t="s">
        <v>215</v>
      </c>
      <c r="P9133" t="s">
        <v>676</v>
      </c>
      <c r="Q9133" t="s">
        <v>144</v>
      </c>
      <c r="R9133" t="s">
        <v>115</v>
      </c>
      <c r="S9133" t="s">
        <v>722</v>
      </c>
      <c r="T9133" t="s">
        <v>151</v>
      </c>
      <c r="U9133" t="s">
        <v>108</v>
      </c>
    </row>
    <row r="9134" spans="1:21" x14ac:dyDescent="0.3">
      <c r="A9134" t="s">
        <v>34</v>
      </c>
      <c r="B9134" t="s">
        <v>236</v>
      </c>
      <c r="C9134">
        <v>965</v>
      </c>
      <c r="D9134" t="s">
        <v>533</v>
      </c>
      <c r="E9134" t="s">
        <v>163</v>
      </c>
      <c r="F9134" t="s">
        <v>215</v>
      </c>
      <c r="G9134" t="s">
        <v>151</v>
      </c>
      <c r="H9134" t="s">
        <v>724</v>
      </c>
      <c r="I9134" t="s">
        <v>604</v>
      </c>
      <c r="J9134" t="s">
        <v>160</v>
      </c>
      <c r="K9134" t="s">
        <v>198</v>
      </c>
      <c r="L9134" t="s">
        <v>268</v>
      </c>
      <c r="M9134" t="s">
        <v>248</v>
      </c>
      <c r="N9134" t="s">
        <v>262</v>
      </c>
      <c r="O9134" t="s">
        <v>292</v>
      </c>
      <c r="P9134" t="s">
        <v>416</v>
      </c>
      <c r="Q9134" t="s">
        <v>78</v>
      </c>
      <c r="R9134" t="s">
        <v>100</v>
      </c>
      <c r="S9134" t="s">
        <v>369</v>
      </c>
      <c r="T9134" t="s">
        <v>99</v>
      </c>
      <c r="U9134" t="s">
        <v>101</v>
      </c>
    </row>
    <row r="9135" spans="1:21" x14ac:dyDescent="0.3">
      <c r="A9135" t="s">
        <v>34</v>
      </c>
      <c r="B9135" t="s">
        <v>238</v>
      </c>
      <c r="C9135">
        <v>1744</v>
      </c>
      <c r="D9135" t="s">
        <v>1533</v>
      </c>
      <c r="E9135" t="s">
        <v>680</v>
      </c>
      <c r="F9135" t="s">
        <v>100</v>
      </c>
      <c r="G9135" t="s">
        <v>292</v>
      </c>
      <c r="H9135" t="s">
        <v>805</v>
      </c>
      <c r="I9135" t="s">
        <v>1148</v>
      </c>
      <c r="J9135" t="s">
        <v>325</v>
      </c>
      <c r="K9135" t="s">
        <v>207</v>
      </c>
      <c r="L9135" t="s">
        <v>151</v>
      </c>
      <c r="M9135" t="s">
        <v>299</v>
      </c>
      <c r="N9135" t="s">
        <v>679</v>
      </c>
      <c r="O9135" t="s">
        <v>111</v>
      </c>
      <c r="P9135" t="s">
        <v>321</v>
      </c>
      <c r="Q9135" t="s">
        <v>325</v>
      </c>
      <c r="R9135" t="s">
        <v>132</v>
      </c>
      <c r="S9135" t="s">
        <v>113</v>
      </c>
      <c r="T9135" t="s">
        <v>115</v>
      </c>
      <c r="U9135" t="s">
        <v>101</v>
      </c>
    </row>
    <row r="9136" spans="1:21" x14ac:dyDescent="0.3">
      <c r="A9136" t="s">
        <v>33</v>
      </c>
      <c r="B9136" t="s">
        <v>236</v>
      </c>
      <c r="C9136">
        <v>1637</v>
      </c>
      <c r="D9136" t="s">
        <v>942</v>
      </c>
      <c r="E9136" t="s">
        <v>206</v>
      </c>
      <c r="F9136" t="s">
        <v>114</v>
      </c>
      <c r="G9136" t="s">
        <v>103</v>
      </c>
      <c r="H9136" t="s">
        <v>959</v>
      </c>
      <c r="I9136" t="s">
        <v>956</v>
      </c>
      <c r="J9136" t="s">
        <v>145</v>
      </c>
      <c r="K9136" t="s">
        <v>141</v>
      </c>
      <c r="L9136" t="s">
        <v>253</v>
      </c>
      <c r="M9136" t="s">
        <v>474</v>
      </c>
      <c r="N9136" t="s">
        <v>363</v>
      </c>
      <c r="O9136" t="s">
        <v>157</v>
      </c>
      <c r="P9136" t="s">
        <v>440</v>
      </c>
      <c r="Q9136" t="s">
        <v>152</v>
      </c>
      <c r="R9136" t="s">
        <v>108</v>
      </c>
      <c r="S9136" t="s">
        <v>158</v>
      </c>
      <c r="T9136" t="s">
        <v>136</v>
      </c>
      <c r="U9136" t="s">
        <v>253</v>
      </c>
    </row>
    <row r="9137" spans="1:21" x14ac:dyDescent="0.3">
      <c r="A9137" t="s">
        <v>33</v>
      </c>
      <c r="B9137" t="s">
        <v>238</v>
      </c>
      <c r="C9137">
        <v>1166</v>
      </c>
      <c r="D9137" t="s">
        <v>1165</v>
      </c>
      <c r="E9137" t="s">
        <v>76</v>
      </c>
      <c r="F9137" t="s">
        <v>101</v>
      </c>
      <c r="G9137" t="s">
        <v>103</v>
      </c>
      <c r="H9137" t="s">
        <v>691</v>
      </c>
      <c r="I9137" t="s">
        <v>1046</v>
      </c>
      <c r="J9137" t="s">
        <v>277</v>
      </c>
      <c r="K9137" t="s">
        <v>319</v>
      </c>
      <c r="L9137" t="s">
        <v>114</v>
      </c>
      <c r="M9137" t="s">
        <v>468</v>
      </c>
      <c r="N9137" t="s">
        <v>122</v>
      </c>
      <c r="O9137" t="s">
        <v>157</v>
      </c>
      <c r="P9137" t="s">
        <v>478</v>
      </c>
      <c r="Q9137" t="s">
        <v>299</v>
      </c>
      <c r="R9137" t="s">
        <v>100</v>
      </c>
      <c r="S9137" t="s">
        <v>110</v>
      </c>
      <c r="T9137" t="s">
        <v>108</v>
      </c>
      <c r="U9137" t="s">
        <v>132</v>
      </c>
    </row>
    <row r="9138" spans="1:21" x14ac:dyDescent="0.3">
      <c r="A9138" t="s">
        <v>49</v>
      </c>
      <c r="B9138" t="s">
        <v>236</v>
      </c>
      <c r="C9138">
        <v>10102</v>
      </c>
      <c r="D9138" t="s">
        <v>1184</v>
      </c>
      <c r="E9138" t="s">
        <v>449</v>
      </c>
      <c r="F9138" t="s">
        <v>127</v>
      </c>
      <c r="G9138" t="s">
        <v>316</v>
      </c>
      <c r="H9138" t="s">
        <v>1057</v>
      </c>
      <c r="I9138" t="s">
        <v>619</v>
      </c>
      <c r="J9138" t="s">
        <v>144</v>
      </c>
      <c r="K9138" t="s">
        <v>136</v>
      </c>
      <c r="L9138" t="s">
        <v>382</v>
      </c>
      <c r="M9138" t="s">
        <v>144</v>
      </c>
      <c r="N9138" t="s">
        <v>41</v>
      </c>
      <c r="O9138" t="s">
        <v>107</v>
      </c>
      <c r="P9138" t="s">
        <v>231</v>
      </c>
      <c r="Q9138" t="s">
        <v>144</v>
      </c>
      <c r="R9138" t="s">
        <v>126</v>
      </c>
      <c r="S9138" t="s">
        <v>675</v>
      </c>
      <c r="T9138" t="s">
        <v>141</v>
      </c>
      <c r="U9138" t="s">
        <v>253</v>
      </c>
    </row>
    <row r="9139" spans="1:21" x14ac:dyDescent="0.3">
      <c r="A9139" t="s">
        <v>49</v>
      </c>
      <c r="B9139" t="s">
        <v>238</v>
      </c>
      <c r="C9139">
        <v>8046</v>
      </c>
      <c r="D9139" t="s">
        <v>948</v>
      </c>
      <c r="E9139" t="s">
        <v>688</v>
      </c>
      <c r="F9139" t="s">
        <v>382</v>
      </c>
      <c r="G9139" t="s">
        <v>111</v>
      </c>
      <c r="H9139" t="s">
        <v>741</v>
      </c>
      <c r="I9139" t="s">
        <v>695</v>
      </c>
      <c r="J9139" t="s">
        <v>144</v>
      </c>
      <c r="K9139" t="s">
        <v>115</v>
      </c>
      <c r="L9139" t="s">
        <v>127</v>
      </c>
      <c r="M9139" t="s">
        <v>663</v>
      </c>
      <c r="N9139" t="s">
        <v>70</v>
      </c>
      <c r="O9139" t="s">
        <v>155</v>
      </c>
      <c r="P9139" t="s">
        <v>167</v>
      </c>
      <c r="Q9139" t="s">
        <v>74</v>
      </c>
      <c r="R9139" t="s">
        <v>319</v>
      </c>
      <c r="S9139" t="s">
        <v>254</v>
      </c>
      <c r="T9139" t="s">
        <v>120</v>
      </c>
      <c r="U9139" t="s">
        <v>115</v>
      </c>
    </row>
    <row r="9141" spans="1:21" x14ac:dyDescent="0.3">
      <c r="A9141" t="s">
        <v>2382</v>
      </c>
    </row>
    <row r="9142" spans="1:21" x14ac:dyDescent="0.3">
      <c r="A9142" t="s">
        <v>44</v>
      </c>
      <c r="B9142" t="s">
        <v>879</v>
      </c>
      <c r="C9142" t="s">
        <v>32</v>
      </c>
      <c r="D9142" t="s">
        <v>2363</v>
      </c>
      <c r="E9142" t="s">
        <v>2364</v>
      </c>
      <c r="F9142" t="s">
        <v>2365</v>
      </c>
      <c r="G9142" t="s">
        <v>2366</v>
      </c>
      <c r="H9142" t="s">
        <v>2367</v>
      </c>
      <c r="I9142" t="s">
        <v>2368</v>
      </c>
      <c r="J9142" t="s">
        <v>2369</v>
      </c>
      <c r="K9142" t="s">
        <v>2370</v>
      </c>
      <c r="L9142" t="s">
        <v>2371</v>
      </c>
      <c r="M9142" t="s">
        <v>2372</v>
      </c>
      <c r="N9142" t="s">
        <v>2373</v>
      </c>
      <c r="O9142" t="s">
        <v>2374</v>
      </c>
      <c r="P9142" t="s">
        <v>2375</v>
      </c>
      <c r="Q9142" t="s">
        <v>2376</v>
      </c>
      <c r="R9142" t="s">
        <v>2377</v>
      </c>
      <c r="S9142" t="s">
        <v>979</v>
      </c>
      <c r="T9142" t="s">
        <v>193</v>
      </c>
      <c r="U9142" t="s">
        <v>2378</v>
      </c>
    </row>
    <row r="9143" spans="1:21" x14ac:dyDescent="0.3">
      <c r="A9143" t="s">
        <v>35</v>
      </c>
      <c r="B9143" t="s">
        <v>880</v>
      </c>
      <c r="C9143">
        <v>534</v>
      </c>
      <c r="D9143" t="s">
        <v>564</v>
      </c>
      <c r="E9143" t="s">
        <v>355</v>
      </c>
      <c r="F9143" t="s">
        <v>121</v>
      </c>
      <c r="G9143" t="s">
        <v>115</v>
      </c>
      <c r="H9143" t="s">
        <v>694</v>
      </c>
      <c r="I9143" t="s">
        <v>349</v>
      </c>
      <c r="J9143" t="s">
        <v>332</v>
      </c>
      <c r="K9143" t="s">
        <v>319</v>
      </c>
      <c r="L9143" t="s">
        <v>130</v>
      </c>
      <c r="M9143" t="s">
        <v>70</v>
      </c>
      <c r="N9143" t="s">
        <v>461</v>
      </c>
      <c r="O9143" t="s">
        <v>684</v>
      </c>
      <c r="P9143" t="s">
        <v>264</v>
      </c>
      <c r="Q9143" t="s">
        <v>328</v>
      </c>
      <c r="R9143" t="s">
        <v>332</v>
      </c>
      <c r="S9143" t="s">
        <v>332</v>
      </c>
      <c r="T9143" t="s">
        <v>101</v>
      </c>
      <c r="U9143" t="s">
        <v>104</v>
      </c>
    </row>
    <row r="9144" spans="1:21" x14ac:dyDescent="0.3">
      <c r="A9144" t="s">
        <v>35</v>
      </c>
      <c r="B9144" t="s">
        <v>881</v>
      </c>
      <c r="C9144">
        <v>1523</v>
      </c>
      <c r="D9144" t="s">
        <v>609</v>
      </c>
      <c r="E9144" t="s">
        <v>72</v>
      </c>
      <c r="F9144" t="s">
        <v>147</v>
      </c>
      <c r="G9144" t="s">
        <v>117</v>
      </c>
      <c r="H9144" t="s">
        <v>636</v>
      </c>
      <c r="I9144" t="s">
        <v>589</v>
      </c>
      <c r="J9144" t="s">
        <v>41</v>
      </c>
      <c r="K9144" t="s">
        <v>99</v>
      </c>
      <c r="L9144" t="s">
        <v>268</v>
      </c>
      <c r="M9144" t="s">
        <v>145</v>
      </c>
      <c r="N9144" t="s">
        <v>163</v>
      </c>
      <c r="O9144" t="s">
        <v>107</v>
      </c>
      <c r="P9144" t="s">
        <v>70</v>
      </c>
      <c r="Q9144" t="s">
        <v>130</v>
      </c>
      <c r="R9144" t="s">
        <v>101</v>
      </c>
      <c r="S9144" t="s">
        <v>124</v>
      </c>
      <c r="T9144" t="s">
        <v>151</v>
      </c>
      <c r="U9144" t="s">
        <v>132</v>
      </c>
    </row>
    <row r="9145" spans="1:21" x14ac:dyDescent="0.3">
      <c r="A9145" t="s">
        <v>35</v>
      </c>
      <c r="B9145" t="s">
        <v>882</v>
      </c>
      <c r="C9145">
        <v>2329</v>
      </c>
      <c r="D9145" t="s">
        <v>2132</v>
      </c>
      <c r="E9145" t="s">
        <v>368</v>
      </c>
      <c r="F9145" t="s">
        <v>151</v>
      </c>
      <c r="G9145" t="s">
        <v>319</v>
      </c>
      <c r="H9145" t="s">
        <v>201</v>
      </c>
      <c r="I9145" t="s">
        <v>741</v>
      </c>
      <c r="J9145" t="s">
        <v>412</v>
      </c>
      <c r="K9145" t="s">
        <v>136</v>
      </c>
      <c r="L9145" t="s">
        <v>101</v>
      </c>
      <c r="M9145" t="s">
        <v>158</v>
      </c>
      <c r="N9145" t="s">
        <v>675</v>
      </c>
      <c r="O9145" t="s">
        <v>154</v>
      </c>
      <c r="P9145" t="s">
        <v>39</v>
      </c>
      <c r="Q9145" t="s">
        <v>98</v>
      </c>
      <c r="R9145" t="s">
        <v>126</v>
      </c>
      <c r="S9145" t="s">
        <v>144</v>
      </c>
      <c r="T9145" t="s">
        <v>122</v>
      </c>
      <c r="U9145" t="s">
        <v>141</v>
      </c>
    </row>
    <row r="9146" spans="1:21" x14ac:dyDescent="0.3">
      <c r="A9146" t="s">
        <v>37</v>
      </c>
      <c r="B9146" t="s">
        <v>880</v>
      </c>
      <c r="C9146">
        <v>553</v>
      </c>
      <c r="D9146" t="s">
        <v>806</v>
      </c>
      <c r="E9146" t="s">
        <v>313</v>
      </c>
      <c r="F9146" t="s">
        <v>253</v>
      </c>
      <c r="G9146" t="s">
        <v>103</v>
      </c>
      <c r="H9146" t="s">
        <v>542</v>
      </c>
      <c r="I9146" t="s">
        <v>944</v>
      </c>
      <c r="J9146" t="s">
        <v>412</v>
      </c>
      <c r="K9146" t="s">
        <v>126</v>
      </c>
      <c r="L9146" t="s">
        <v>132</v>
      </c>
      <c r="M9146" t="s">
        <v>72</v>
      </c>
      <c r="N9146" t="s">
        <v>262</v>
      </c>
      <c r="O9146" t="s">
        <v>158</v>
      </c>
      <c r="P9146" t="s">
        <v>676</v>
      </c>
      <c r="Q9146" t="s">
        <v>143</v>
      </c>
      <c r="R9146" t="s">
        <v>382</v>
      </c>
      <c r="S9146" t="s">
        <v>122</v>
      </c>
      <c r="T9146" t="s">
        <v>101</v>
      </c>
      <c r="U9146" t="s">
        <v>253</v>
      </c>
    </row>
    <row r="9147" spans="1:21" x14ac:dyDescent="0.3">
      <c r="A9147" t="s">
        <v>37</v>
      </c>
      <c r="B9147" t="s">
        <v>881</v>
      </c>
      <c r="C9147">
        <v>1813</v>
      </c>
      <c r="D9147" t="s">
        <v>801</v>
      </c>
      <c r="E9147" t="s">
        <v>671</v>
      </c>
      <c r="F9147" t="s">
        <v>117</v>
      </c>
      <c r="G9147" t="s">
        <v>434</v>
      </c>
      <c r="H9147" t="s">
        <v>607</v>
      </c>
      <c r="I9147" t="s">
        <v>922</v>
      </c>
      <c r="J9147" t="s">
        <v>182</v>
      </c>
      <c r="K9147" t="s">
        <v>198</v>
      </c>
      <c r="L9147" t="s">
        <v>292</v>
      </c>
      <c r="M9147" t="s">
        <v>135</v>
      </c>
      <c r="N9147" t="s">
        <v>171</v>
      </c>
      <c r="O9147" t="s">
        <v>158</v>
      </c>
      <c r="P9147" t="s">
        <v>133</v>
      </c>
      <c r="Q9147" t="s">
        <v>105</v>
      </c>
      <c r="R9147" t="s">
        <v>111</v>
      </c>
      <c r="S9147" t="s">
        <v>204</v>
      </c>
      <c r="T9147" t="s">
        <v>207</v>
      </c>
      <c r="U9147" t="s">
        <v>136</v>
      </c>
    </row>
    <row r="9148" spans="1:21" x14ac:dyDescent="0.3">
      <c r="A9148" t="s">
        <v>37</v>
      </c>
      <c r="B9148" t="s">
        <v>882</v>
      </c>
      <c r="C9148">
        <v>2834</v>
      </c>
      <c r="D9148" t="s">
        <v>1173</v>
      </c>
      <c r="E9148" t="s">
        <v>704</v>
      </c>
      <c r="F9148" t="s">
        <v>319</v>
      </c>
      <c r="G9148" t="s">
        <v>155</v>
      </c>
      <c r="H9148" t="s">
        <v>298</v>
      </c>
      <c r="I9148" t="s">
        <v>662</v>
      </c>
      <c r="J9148" t="s">
        <v>277</v>
      </c>
      <c r="K9148" t="s">
        <v>253</v>
      </c>
      <c r="L9148" t="s">
        <v>123</v>
      </c>
      <c r="M9148" t="s">
        <v>468</v>
      </c>
      <c r="N9148" t="s">
        <v>122</v>
      </c>
      <c r="O9148" t="s">
        <v>147</v>
      </c>
      <c r="P9148" t="s">
        <v>749</v>
      </c>
      <c r="Q9148" t="s">
        <v>305</v>
      </c>
      <c r="R9148" t="s">
        <v>382</v>
      </c>
      <c r="S9148" t="s">
        <v>145</v>
      </c>
      <c r="T9148" t="s">
        <v>207</v>
      </c>
      <c r="U9148" t="s">
        <v>136</v>
      </c>
    </row>
    <row r="9149" spans="1:21" x14ac:dyDescent="0.3">
      <c r="A9149" t="s">
        <v>36</v>
      </c>
      <c r="B9149" t="s">
        <v>880</v>
      </c>
      <c r="C9149">
        <v>338</v>
      </c>
      <c r="D9149" t="s">
        <v>955</v>
      </c>
      <c r="E9149" t="s">
        <v>804</v>
      </c>
      <c r="F9149" t="s">
        <v>128</v>
      </c>
      <c r="G9149" t="s">
        <v>141</v>
      </c>
      <c r="H9149" t="s">
        <v>309</v>
      </c>
      <c r="I9149" t="s">
        <v>214</v>
      </c>
      <c r="J9149" t="s">
        <v>144</v>
      </c>
      <c r="K9149" t="s">
        <v>104</v>
      </c>
      <c r="L9149" t="s">
        <v>215</v>
      </c>
      <c r="M9149" t="s">
        <v>125</v>
      </c>
      <c r="N9149" t="s">
        <v>420</v>
      </c>
      <c r="O9149" t="s">
        <v>126</v>
      </c>
      <c r="P9149" t="s">
        <v>303</v>
      </c>
      <c r="Q9149" t="s">
        <v>204</v>
      </c>
      <c r="R9149" t="s">
        <v>101</v>
      </c>
      <c r="S9149" t="s">
        <v>296</v>
      </c>
      <c r="T9149" t="s">
        <v>104</v>
      </c>
      <c r="U9149" t="s">
        <v>104</v>
      </c>
    </row>
    <row r="9150" spans="1:21" x14ac:dyDescent="0.3">
      <c r="A9150" t="s">
        <v>36</v>
      </c>
      <c r="B9150" t="s">
        <v>881</v>
      </c>
      <c r="C9150">
        <v>1086</v>
      </c>
      <c r="D9150" t="s">
        <v>588</v>
      </c>
      <c r="E9150" t="s">
        <v>663</v>
      </c>
      <c r="F9150" t="s">
        <v>128</v>
      </c>
      <c r="G9150" t="s">
        <v>292</v>
      </c>
      <c r="H9150" t="s">
        <v>62</v>
      </c>
      <c r="I9150" t="s">
        <v>227</v>
      </c>
      <c r="J9150" t="s">
        <v>109</v>
      </c>
      <c r="K9150" t="s">
        <v>104</v>
      </c>
      <c r="L9150" t="s">
        <v>382</v>
      </c>
      <c r="M9150" t="s">
        <v>353</v>
      </c>
      <c r="N9150" t="s">
        <v>468</v>
      </c>
      <c r="O9150" t="s">
        <v>154</v>
      </c>
      <c r="P9150" t="s">
        <v>222</v>
      </c>
      <c r="Q9150" t="s">
        <v>316</v>
      </c>
      <c r="R9150" t="s">
        <v>141</v>
      </c>
      <c r="S9150" t="s">
        <v>299</v>
      </c>
      <c r="T9150" t="s">
        <v>108</v>
      </c>
      <c r="U9150" t="s">
        <v>100</v>
      </c>
    </row>
    <row r="9151" spans="1:21" x14ac:dyDescent="0.3">
      <c r="A9151" t="s">
        <v>36</v>
      </c>
      <c r="B9151" t="s">
        <v>882</v>
      </c>
      <c r="C9151">
        <v>1626</v>
      </c>
      <c r="D9151" t="s">
        <v>1159</v>
      </c>
      <c r="E9151" t="s">
        <v>231</v>
      </c>
      <c r="F9151" t="s">
        <v>292</v>
      </c>
      <c r="G9151" t="s">
        <v>121</v>
      </c>
      <c r="H9151" t="s">
        <v>491</v>
      </c>
      <c r="I9151" t="s">
        <v>156</v>
      </c>
      <c r="J9151" t="s">
        <v>157</v>
      </c>
      <c r="K9151" t="s">
        <v>132</v>
      </c>
      <c r="L9151" t="s">
        <v>101</v>
      </c>
      <c r="M9151" t="s">
        <v>74</v>
      </c>
      <c r="N9151" t="s">
        <v>184</v>
      </c>
      <c r="O9151" t="s">
        <v>253</v>
      </c>
      <c r="P9151" t="s">
        <v>700</v>
      </c>
      <c r="Q9151" t="s">
        <v>143</v>
      </c>
      <c r="R9151" t="s">
        <v>121</v>
      </c>
      <c r="S9151" t="s">
        <v>125</v>
      </c>
      <c r="T9151" t="s">
        <v>127</v>
      </c>
      <c r="U9151" t="s">
        <v>115</v>
      </c>
    </row>
    <row r="9152" spans="1:21" x14ac:dyDescent="0.3">
      <c r="A9152" t="s">
        <v>34</v>
      </c>
      <c r="B9152" t="s">
        <v>880</v>
      </c>
      <c r="C9152">
        <v>328</v>
      </c>
      <c r="D9152" t="s">
        <v>573</v>
      </c>
      <c r="E9152" t="s">
        <v>369</v>
      </c>
      <c r="F9152" t="s">
        <v>207</v>
      </c>
      <c r="G9152" t="s">
        <v>117</v>
      </c>
      <c r="H9152" t="s">
        <v>393</v>
      </c>
      <c r="I9152" t="s">
        <v>1232</v>
      </c>
      <c r="J9152" t="s">
        <v>152</v>
      </c>
      <c r="K9152" t="s">
        <v>108</v>
      </c>
      <c r="L9152" t="s">
        <v>107</v>
      </c>
      <c r="M9152" t="s">
        <v>401</v>
      </c>
      <c r="N9152" t="s">
        <v>299</v>
      </c>
      <c r="O9152" t="s">
        <v>100</v>
      </c>
      <c r="P9152" t="s">
        <v>289</v>
      </c>
      <c r="Q9152" t="s">
        <v>254</v>
      </c>
      <c r="R9152" t="s">
        <v>136</v>
      </c>
      <c r="S9152" t="s">
        <v>254</v>
      </c>
      <c r="T9152" t="s">
        <v>99</v>
      </c>
      <c r="U9152" t="s">
        <v>108</v>
      </c>
    </row>
    <row r="9153" spans="1:21" x14ac:dyDescent="0.3">
      <c r="A9153" t="s">
        <v>34</v>
      </c>
      <c r="B9153" t="s">
        <v>881</v>
      </c>
      <c r="C9153">
        <v>1047</v>
      </c>
      <c r="D9153" t="s">
        <v>576</v>
      </c>
      <c r="E9153" t="s">
        <v>124</v>
      </c>
      <c r="F9153" t="s">
        <v>127</v>
      </c>
      <c r="G9153" t="s">
        <v>138</v>
      </c>
      <c r="H9153" t="s">
        <v>719</v>
      </c>
      <c r="I9153" t="s">
        <v>1116</v>
      </c>
      <c r="J9153" t="s">
        <v>664</v>
      </c>
      <c r="K9153" t="s">
        <v>198</v>
      </c>
      <c r="L9153" t="s">
        <v>121</v>
      </c>
      <c r="M9153" t="s">
        <v>74</v>
      </c>
      <c r="N9153" t="s">
        <v>299</v>
      </c>
      <c r="O9153" t="s">
        <v>127</v>
      </c>
      <c r="P9153" t="s">
        <v>220</v>
      </c>
      <c r="Q9153" t="s">
        <v>68</v>
      </c>
      <c r="R9153" t="s">
        <v>108</v>
      </c>
      <c r="S9153" t="s">
        <v>262</v>
      </c>
      <c r="T9153" t="s">
        <v>136</v>
      </c>
      <c r="U9153" t="s">
        <v>115</v>
      </c>
    </row>
    <row r="9154" spans="1:21" x14ac:dyDescent="0.3">
      <c r="A9154" t="s">
        <v>34</v>
      </c>
      <c r="B9154" t="s">
        <v>882</v>
      </c>
      <c r="C9154">
        <v>1334</v>
      </c>
      <c r="D9154" t="s">
        <v>1340</v>
      </c>
      <c r="E9154" t="s">
        <v>38</v>
      </c>
      <c r="F9154" t="s">
        <v>121</v>
      </c>
      <c r="G9154" t="s">
        <v>101</v>
      </c>
      <c r="H9154" t="s">
        <v>499</v>
      </c>
      <c r="I9154" t="s">
        <v>1209</v>
      </c>
      <c r="J9154" t="s">
        <v>124</v>
      </c>
      <c r="K9154" t="s">
        <v>198</v>
      </c>
      <c r="L9154" t="s">
        <v>103</v>
      </c>
      <c r="M9154" t="s">
        <v>182</v>
      </c>
      <c r="N9154" t="s">
        <v>461</v>
      </c>
      <c r="O9154" t="s">
        <v>316</v>
      </c>
      <c r="P9154" t="s">
        <v>173</v>
      </c>
      <c r="Q9154" t="s">
        <v>122</v>
      </c>
      <c r="R9154" t="s">
        <v>114</v>
      </c>
      <c r="S9154" t="s">
        <v>420</v>
      </c>
      <c r="T9154" t="s">
        <v>253</v>
      </c>
      <c r="U9154" t="s">
        <v>215</v>
      </c>
    </row>
    <row r="9155" spans="1:21" x14ac:dyDescent="0.3">
      <c r="A9155" t="s">
        <v>33</v>
      </c>
      <c r="B9155" t="s">
        <v>880</v>
      </c>
      <c r="C9155">
        <v>462</v>
      </c>
      <c r="D9155" t="s">
        <v>1111</v>
      </c>
      <c r="E9155" t="s">
        <v>255</v>
      </c>
      <c r="F9155" t="s">
        <v>115</v>
      </c>
      <c r="G9155" t="s">
        <v>382</v>
      </c>
      <c r="H9155" t="s">
        <v>171</v>
      </c>
      <c r="I9155" t="s">
        <v>423</v>
      </c>
      <c r="J9155" t="s">
        <v>110</v>
      </c>
      <c r="K9155" t="s">
        <v>120</v>
      </c>
      <c r="L9155" t="s">
        <v>99</v>
      </c>
      <c r="M9155" t="s">
        <v>242</v>
      </c>
      <c r="N9155" t="s">
        <v>150</v>
      </c>
      <c r="O9155" t="s">
        <v>123</v>
      </c>
      <c r="P9155" t="s">
        <v>218</v>
      </c>
      <c r="Q9155" t="s">
        <v>287</v>
      </c>
      <c r="R9155" t="s">
        <v>207</v>
      </c>
      <c r="S9155" t="s">
        <v>118</v>
      </c>
      <c r="T9155" t="s">
        <v>141</v>
      </c>
      <c r="U9155" t="s">
        <v>115</v>
      </c>
    </row>
    <row r="9156" spans="1:21" x14ac:dyDescent="0.3">
      <c r="A9156" t="s">
        <v>33</v>
      </c>
      <c r="B9156" t="s">
        <v>881</v>
      </c>
      <c r="C9156">
        <v>926</v>
      </c>
      <c r="D9156" t="s">
        <v>515</v>
      </c>
      <c r="E9156" t="s">
        <v>804</v>
      </c>
      <c r="F9156" t="s">
        <v>101</v>
      </c>
      <c r="G9156" t="s">
        <v>332</v>
      </c>
      <c r="H9156" t="s">
        <v>1154</v>
      </c>
      <c r="I9156" t="s">
        <v>1163</v>
      </c>
      <c r="J9156" t="s">
        <v>722</v>
      </c>
      <c r="K9156" t="s">
        <v>104</v>
      </c>
      <c r="L9156" t="s">
        <v>101</v>
      </c>
      <c r="M9156" t="s">
        <v>112</v>
      </c>
      <c r="N9156" t="s">
        <v>41</v>
      </c>
      <c r="O9156" t="s">
        <v>110</v>
      </c>
      <c r="P9156" t="s">
        <v>379</v>
      </c>
      <c r="Q9156" t="s">
        <v>434</v>
      </c>
      <c r="R9156" t="s">
        <v>127</v>
      </c>
      <c r="S9156" t="s">
        <v>242</v>
      </c>
      <c r="T9156" t="s">
        <v>136</v>
      </c>
      <c r="U9156" t="s">
        <v>207</v>
      </c>
    </row>
    <row r="9157" spans="1:21" x14ac:dyDescent="0.3">
      <c r="A9157" t="s">
        <v>33</v>
      </c>
      <c r="B9157" t="s">
        <v>882</v>
      </c>
      <c r="C9157">
        <v>1415</v>
      </c>
      <c r="D9157" t="s">
        <v>558</v>
      </c>
      <c r="E9157" t="s">
        <v>726</v>
      </c>
      <c r="F9157" t="s">
        <v>121</v>
      </c>
      <c r="G9157" t="s">
        <v>111</v>
      </c>
      <c r="H9157" t="s">
        <v>76</v>
      </c>
      <c r="I9157" t="s">
        <v>805</v>
      </c>
      <c r="J9157" t="s">
        <v>110</v>
      </c>
      <c r="K9157" t="s">
        <v>108</v>
      </c>
      <c r="L9157" t="s">
        <v>115</v>
      </c>
      <c r="M9157" t="s">
        <v>158</v>
      </c>
      <c r="N9157" t="s">
        <v>122</v>
      </c>
      <c r="O9157" t="s">
        <v>147</v>
      </c>
      <c r="P9157" t="s">
        <v>833</v>
      </c>
      <c r="Q9157" t="s">
        <v>72</v>
      </c>
      <c r="R9157" t="s">
        <v>115</v>
      </c>
      <c r="S9157" t="s">
        <v>68</v>
      </c>
      <c r="T9157" t="s">
        <v>132</v>
      </c>
      <c r="U9157" t="s">
        <v>114</v>
      </c>
    </row>
    <row r="9158" spans="1:21" x14ac:dyDescent="0.3">
      <c r="A9158" t="s">
        <v>49</v>
      </c>
      <c r="B9158" t="s">
        <v>880</v>
      </c>
      <c r="C9158">
        <v>2215</v>
      </c>
      <c r="D9158" t="s">
        <v>942</v>
      </c>
      <c r="E9158" t="s">
        <v>714</v>
      </c>
      <c r="F9158" t="s">
        <v>114</v>
      </c>
      <c r="G9158" t="s">
        <v>126</v>
      </c>
      <c r="H9158" t="s">
        <v>704</v>
      </c>
      <c r="I9158" t="s">
        <v>840</v>
      </c>
      <c r="J9158" t="s">
        <v>149</v>
      </c>
      <c r="K9158" t="s">
        <v>126</v>
      </c>
      <c r="L9158" t="s">
        <v>292</v>
      </c>
      <c r="M9158" t="s">
        <v>679</v>
      </c>
      <c r="N9158" t="s">
        <v>72</v>
      </c>
      <c r="O9158" t="s">
        <v>332</v>
      </c>
      <c r="P9158" t="s">
        <v>798</v>
      </c>
      <c r="Q9158" t="s">
        <v>150</v>
      </c>
      <c r="R9158" t="s">
        <v>215</v>
      </c>
      <c r="S9158" t="s">
        <v>98</v>
      </c>
      <c r="T9158" t="s">
        <v>132</v>
      </c>
      <c r="U9158" t="s">
        <v>141</v>
      </c>
    </row>
    <row r="9159" spans="1:21" x14ac:dyDescent="0.3">
      <c r="A9159" t="s">
        <v>49</v>
      </c>
      <c r="B9159" t="s">
        <v>881</v>
      </c>
      <c r="C9159">
        <v>6395</v>
      </c>
      <c r="D9159" t="s">
        <v>549</v>
      </c>
      <c r="E9159" t="s">
        <v>363</v>
      </c>
      <c r="F9159" t="s">
        <v>111</v>
      </c>
      <c r="G9159" t="s">
        <v>138</v>
      </c>
      <c r="H9159" t="s">
        <v>561</v>
      </c>
      <c r="I9159" t="s">
        <v>558</v>
      </c>
      <c r="J9159" t="s">
        <v>72</v>
      </c>
      <c r="K9159" t="s">
        <v>104</v>
      </c>
      <c r="L9159" t="s">
        <v>127</v>
      </c>
      <c r="M9159" t="s">
        <v>74</v>
      </c>
      <c r="N9159" t="s">
        <v>722</v>
      </c>
      <c r="O9159" t="s">
        <v>134</v>
      </c>
      <c r="P9159" t="s">
        <v>133</v>
      </c>
      <c r="Q9159" t="s">
        <v>110</v>
      </c>
      <c r="R9159" t="s">
        <v>126</v>
      </c>
      <c r="S9159" t="s">
        <v>663</v>
      </c>
      <c r="T9159" t="s">
        <v>132</v>
      </c>
      <c r="U9159" t="s">
        <v>253</v>
      </c>
    </row>
    <row r="9160" spans="1:21" x14ac:dyDescent="0.3">
      <c r="A9160" t="s">
        <v>49</v>
      </c>
      <c r="B9160" t="s">
        <v>882</v>
      </c>
      <c r="C9160">
        <v>9538</v>
      </c>
      <c r="D9160" t="s">
        <v>1258</v>
      </c>
      <c r="E9160" t="s">
        <v>726</v>
      </c>
      <c r="F9160" t="s">
        <v>126</v>
      </c>
      <c r="G9160" t="s">
        <v>292</v>
      </c>
      <c r="H9160" t="s">
        <v>177</v>
      </c>
      <c r="I9160" t="s">
        <v>58</v>
      </c>
      <c r="J9160" t="s">
        <v>68</v>
      </c>
      <c r="K9160" t="s">
        <v>141</v>
      </c>
      <c r="L9160" t="s">
        <v>382</v>
      </c>
      <c r="M9160" t="s">
        <v>74</v>
      </c>
      <c r="N9160" t="s">
        <v>122</v>
      </c>
      <c r="O9160" t="s">
        <v>120</v>
      </c>
      <c r="P9160" t="s">
        <v>301</v>
      </c>
      <c r="Q9160" t="s">
        <v>664</v>
      </c>
      <c r="R9160" t="s">
        <v>101</v>
      </c>
      <c r="S9160" t="s">
        <v>663</v>
      </c>
      <c r="T9160" t="s">
        <v>316</v>
      </c>
      <c r="U9160" t="s">
        <v>132</v>
      </c>
    </row>
    <row r="9162" spans="1:21" x14ac:dyDescent="0.3">
      <c r="A9162" t="s">
        <v>2383</v>
      </c>
    </row>
    <row r="9163" spans="1:21" x14ac:dyDescent="0.3">
      <c r="A9163" t="s">
        <v>44</v>
      </c>
      <c r="B9163" t="s">
        <v>1241</v>
      </c>
      <c r="C9163" t="s">
        <v>32</v>
      </c>
      <c r="D9163" t="s">
        <v>2363</v>
      </c>
      <c r="E9163" t="s">
        <v>2364</v>
      </c>
      <c r="F9163" t="s">
        <v>2365</v>
      </c>
      <c r="G9163" t="s">
        <v>2366</v>
      </c>
      <c r="H9163" t="s">
        <v>2367</v>
      </c>
      <c r="I9163" t="s">
        <v>2368</v>
      </c>
      <c r="J9163" t="s">
        <v>2369</v>
      </c>
      <c r="K9163" t="s">
        <v>2370</v>
      </c>
      <c r="L9163" t="s">
        <v>2371</v>
      </c>
      <c r="M9163" t="s">
        <v>2372</v>
      </c>
      <c r="N9163" t="s">
        <v>2373</v>
      </c>
      <c r="O9163" t="s">
        <v>2374</v>
      </c>
      <c r="P9163" t="s">
        <v>2375</v>
      </c>
      <c r="Q9163" t="s">
        <v>2376</v>
      </c>
      <c r="R9163" t="s">
        <v>2377</v>
      </c>
      <c r="S9163" t="s">
        <v>979</v>
      </c>
      <c r="T9163" t="s">
        <v>193</v>
      </c>
      <c r="U9163" t="s">
        <v>2378</v>
      </c>
    </row>
    <row r="9164" spans="1:21" x14ac:dyDescent="0.3">
      <c r="A9164" t="s">
        <v>35</v>
      </c>
      <c r="B9164" t="s">
        <v>1242</v>
      </c>
      <c r="C9164">
        <v>4301</v>
      </c>
      <c r="D9164" t="s">
        <v>1173</v>
      </c>
      <c r="E9164" t="s">
        <v>710</v>
      </c>
      <c r="F9164" t="s">
        <v>292</v>
      </c>
      <c r="G9164" t="s">
        <v>319</v>
      </c>
      <c r="H9164" t="s">
        <v>864</v>
      </c>
      <c r="I9164" t="s">
        <v>897</v>
      </c>
      <c r="J9164" t="s">
        <v>204</v>
      </c>
      <c r="K9164" t="s">
        <v>136</v>
      </c>
      <c r="L9164" t="s">
        <v>151</v>
      </c>
      <c r="M9164" t="s">
        <v>204</v>
      </c>
      <c r="N9164" t="s">
        <v>401</v>
      </c>
      <c r="O9164" t="s">
        <v>134</v>
      </c>
      <c r="P9164" t="s">
        <v>255</v>
      </c>
      <c r="Q9164" t="s">
        <v>412</v>
      </c>
      <c r="R9164" t="s">
        <v>215</v>
      </c>
      <c r="S9164" t="s">
        <v>98</v>
      </c>
      <c r="T9164" t="s">
        <v>412</v>
      </c>
      <c r="U9164" t="s">
        <v>141</v>
      </c>
    </row>
    <row r="9165" spans="1:21" x14ac:dyDescent="0.3">
      <c r="A9165" t="s">
        <v>35</v>
      </c>
      <c r="B9165" t="s">
        <v>1243</v>
      </c>
      <c r="C9165">
        <v>49</v>
      </c>
      <c r="D9165" t="s">
        <v>56</v>
      </c>
      <c r="E9165" t="s">
        <v>434</v>
      </c>
      <c r="F9165" t="s">
        <v>311</v>
      </c>
      <c r="G9165" t="s">
        <v>99</v>
      </c>
      <c r="H9165" t="s">
        <v>538</v>
      </c>
      <c r="I9165" t="s">
        <v>819</v>
      </c>
      <c r="J9165" t="s">
        <v>664</v>
      </c>
      <c r="K9165" t="s">
        <v>99</v>
      </c>
      <c r="L9165" t="s">
        <v>99</v>
      </c>
      <c r="M9165" t="s">
        <v>99</v>
      </c>
      <c r="N9165" t="s">
        <v>179</v>
      </c>
      <c r="O9165" t="s">
        <v>99</v>
      </c>
      <c r="P9165" t="s">
        <v>680</v>
      </c>
      <c r="Q9165" t="s">
        <v>675</v>
      </c>
      <c r="R9165" t="s">
        <v>123</v>
      </c>
      <c r="S9165" t="s">
        <v>434</v>
      </c>
      <c r="T9165" t="s">
        <v>316</v>
      </c>
      <c r="U9165" t="s">
        <v>99</v>
      </c>
    </row>
    <row r="9166" spans="1:21" x14ac:dyDescent="0.3">
      <c r="A9166" t="s">
        <v>35</v>
      </c>
      <c r="B9166" t="s">
        <v>1244</v>
      </c>
      <c r="C9166">
        <v>34</v>
      </c>
      <c r="D9166" t="s">
        <v>588</v>
      </c>
      <c r="E9166" t="s">
        <v>154</v>
      </c>
      <c r="F9166" t="s">
        <v>99</v>
      </c>
      <c r="G9166" t="s">
        <v>682</v>
      </c>
      <c r="H9166" t="s">
        <v>555</v>
      </c>
      <c r="I9166" t="s">
        <v>1173</v>
      </c>
      <c r="J9166" t="s">
        <v>99</v>
      </c>
      <c r="K9166" t="s">
        <v>99</v>
      </c>
      <c r="L9166" t="s">
        <v>143</v>
      </c>
      <c r="M9166" t="s">
        <v>721</v>
      </c>
      <c r="N9166" t="s">
        <v>1057</v>
      </c>
      <c r="O9166" t="s">
        <v>363</v>
      </c>
      <c r="P9166" t="s">
        <v>98</v>
      </c>
      <c r="Q9166" t="s">
        <v>321</v>
      </c>
      <c r="R9166" t="s">
        <v>242</v>
      </c>
      <c r="S9166" t="s">
        <v>264</v>
      </c>
      <c r="T9166" t="s">
        <v>99</v>
      </c>
      <c r="U9166" t="s">
        <v>277</v>
      </c>
    </row>
    <row r="9167" spans="1:21" x14ac:dyDescent="0.3">
      <c r="A9167" t="s">
        <v>35</v>
      </c>
      <c r="B9167" t="s">
        <v>365</v>
      </c>
      <c r="C9167">
        <v>2</v>
      </c>
      <c r="D9167" t="s">
        <v>211</v>
      </c>
      <c r="E9167" t="s">
        <v>99</v>
      </c>
      <c r="F9167" t="s">
        <v>99</v>
      </c>
      <c r="G9167" t="s">
        <v>99</v>
      </c>
      <c r="H9167" t="s">
        <v>909</v>
      </c>
      <c r="I9167" t="s">
        <v>211</v>
      </c>
      <c r="J9167" t="s">
        <v>99</v>
      </c>
      <c r="K9167" t="s">
        <v>99</v>
      </c>
      <c r="L9167" t="s">
        <v>99</v>
      </c>
      <c r="M9167" t="s">
        <v>99</v>
      </c>
      <c r="N9167" t="s">
        <v>99</v>
      </c>
      <c r="O9167" t="s">
        <v>99</v>
      </c>
      <c r="P9167" t="s">
        <v>211</v>
      </c>
      <c r="Q9167" t="s">
        <v>99</v>
      </c>
      <c r="R9167" t="s">
        <v>99</v>
      </c>
      <c r="S9167" t="s">
        <v>99</v>
      </c>
      <c r="T9167" t="s">
        <v>99</v>
      </c>
      <c r="U9167" t="s">
        <v>99</v>
      </c>
    </row>
    <row r="9168" spans="1:21" x14ac:dyDescent="0.3">
      <c r="A9168" t="s">
        <v>37</v>
      </c>
      <c r="B9168" t="s">
        <v>1242</v>
      </c>
      <c r="C9168">
        <v>5047</v>
      </c>
      <c r="D9168" t="s">
        <v>1112</v>
      </c>
      <c r="E9168" t="s">
        <v>710</v>
      </c>
      <c r="F9168" t="s">
        <v>382</v>
      </c>
      <c r="G9168" t="s">
        <v>154</v>
      </c>
      <c r="H9168" t="s">
        <v>342</v>
      </c>
      <c r="I9168" t="s">
        <v>614</v>
      </c>
      <c r="J9168" t="s">
        <v>675</v>
      </c>
      <c r="K9168" t="s">
        <v>253</v>
      </c>
      <c r="L9168" t="s">
        <v>215</v>
      </c>
      <c r="M9168" t="s">
        <v>74</v>
      </c>
      <c r="N9168" t="s">
        <v>461</v>
      </c>
      <c r="O9168" t="s">
        <v>110</v>
      </c>
      <c r="P9168" t="s">
        <v>705</v>
      </c>
      <c r="Q9168" t="s">
        <v>254</v>
      </c>
      <c r="R9168" t="s">
        <v>127</v>
      </c>
      <c r="S9168" t="s">
        <v>145</v>
      </c>
      <c r="T9168" t="s">
        <v>136</v>
      </c>
      <c r="U9168" t="s">
        <v>136</v>
      </c>
    </row>
    <row r="9169" spans="1:21" x14ac:dyDescent="0.3">
      <c r="A9169" t="s">
        <v>37</v>
      </c>
      <c r="B9169" t="s">
        <v>1243</v>
      </c>
      <c r="C9169">
        <v>125</v>
      </c>
      <c r="D9169" t="s">
        <v>1185</v>
      </c>
      <c r="E9169" t="s">
        <v>481</v>
      </c>
      <c r="F9169" t="s">
        <v>382</v>
      </c>
      <c r="G9169" t="s">
        <v>382</v>
      </c>
      <c r="H9169" t="s">
        <v>604</v>
      </c>
      <c r="I9169" t="s">
        <v>616</v>
      </c>
      <c r="J9169" t="s">
        <v>125</v>
      </c>
      <c r="K9169" t="s">
        <v>99</v>
      </c>
      <c r="L9169" t="s">
        <v>204</v>
      </c>
      <c r="M9169" t="s">
        <v>248</v>
      </c>
      <c r="N9169" t="s">
        <v>145</v>
      </c>
      <c r="O9169" t="s">
        <v>134</v>
      </c>
      <c r="P9169" t="s">
        <v>416</v>
      </c>
      <c r="Q9169" t="s">
        <v>138</v>
      </c>
      <c r="R9169" t="s">
        <v>123</v>
      </c>
      <c r="S9169" t="s">
        <v>154</v>
      </c>
      <c r="T9169" t="s">
        <v>126</v>
      </c>
      <c r="U9169" t="s">
        <v>99</v>
      </c>
    </row>
    <row r="9170" spans="1:21" s="5" customFormat="1" x14ac:dyDescent="0.3">
      <c r="A9170" s="5" t="s">
        <v>37</v>
      </c>
      <c r="B9170" s="5" t="s">
        <v>1244</v>
      </c>
      <c r="C9170" s="5">
        <v>25</v>
      </c>
      <c r="D9170" s="5" t="s">
        <v>741</v>
      </c>
      <c r="E9170" s="5" t="s">
        <v>797</v>
      </c>
      <c r="F9170" s="5" t="s">
        <v>134</v>
      </c>
      <c r="G9170" s="5" t="s">
        <v>328</v>
      </c>
      <c r="H9170" s="5" t="s">
        <v>437</v>
      </c>
      <c r="I9170" s="5" t="s">
        <v>60</v>
      </c>
      <c r="J9170" s="5" t="s">
        <v>99</v>
      </c>
      <c r="K9170" s="5" t="s">
        <v>99</v>
      </c>
      <c r="L9170" s="5" t="s">
        <v>420</v>
      </c>
      <c r="M9170" s="5" t="s">
        <v>726</v>
      </c>
      <c r="N9170" s="5" t="s">
        <v>99</v>
      </c>
      <c r="O9170" s="5" t="s">
        <v>267</v>
      </c>
      <c r="P9170" s="5" t="s">
        <v>692</v>
      </c>
      <c r="Q9170" s="5" t="s">
        <v>41</v>
      </c>
      <c r="R9170" s="5" t="s">
        <v>99</v>
      </c>
      <c r="S9170" s="5" t="s">
        <v>685</v>
      </c>
      <c r="T9170" s="5" t="s">
        <v>99</v>
      </c>
      <c r="U9170" s="5" t="s">
        <v>99</v>
      </c>
    </row>
    <row r="9171" spans="1:21" x14ac:dyDescent="0.3">
      <c r="A9171" t="s">
        <v>37</v>
      </c>
      <c r="B9171" t="s">
        <v>365</v>
      </c>
      <c r="C9171">
        <v>3</v>
      </c>
      <c r="D9171" t="s">
        <v>730</v>
      </c>
      <c r="E9171" t="s">
        <v>99</v>
      </c>
      <c r="F9171" t="s">
        <v>99</v>
      </c>
      <c r="G9171" t="s">
        <v>99</v>
      </c>
      <c r="H9171" t="s">
        <v>99</v>
      </c>
      <c r="I9171" t="s">
        <v>99</v>
      </c>
      <c r="J9171" t="s">
        <v>99</v>
      </c>
      <c r="K9171" t="s">
        <v>99</v>
      </c>
      <c r="L9171" t="s">
        <v>99</v>
      </c>
      <c r="M9171" t="s">
        <v>99</v>
      </c>
      <c r="N9171" t="s">
        <v>1182</v>
      </c>
      <c r="O9171" t="s">
        <v>99</v>
      </c>
      <c r="P9171" t="s">
        <v>1183</v>
      </c>
      <c r="Q9171" t="s">
        <v>99</v>
      </c>
      <c r="R9171" t="s">
        <v>99</v>
      </c>
      <c r="S9171" t="s">
        <v>99</v>
      </c>
      <c r="T9171" t="s">
        <v>99</v>
      </c>
      <c r="U9171" t="s">
        <v>99</v>
      </c>
    </row>
    <row r="9172" spans="1:21" x14ac:dyDescent="0.3">
      <c r="A9172" t="s">
        <v>36</v>
      </c>
      <c r="B9172" t="s">
        <v>1242</v>
      </c>
      <c r="C9172">
        <v>2881</v>
      </c>
      <c r="D9172" t="s">
        <v>614</v>
      </c>
      <c r="E9172" t="s">
        <v>289</v>
      </c>
      <c r="F9172" t="s">
        <v>117</v>
      </c>
      <c r="G9172" t="s">
        <v>101</v>
      </c>
      <c r="H9172" t="s">
        <v>534</v>
      </c>
      <c r="I9172" t="s">
        <v>666</v>
      </c>
      <c r="J9172" t="s">
        <v>112</v>
      </c>
      <c r="K9172" t="s">
        <v>141</v>
      </c>
      <c r="L9172" t="s">
        <v>126</v>
      </c>
      <c r="M9172" t="s">
        <v>160</v>
      </c>
      <c r="N9172" t="s">
        <v>160</v>
      </c>
      <c r="O9172" t="s">
        <v>382</v>
      </c>
      <c r="P9172" t="s">
        <v>186</v>
      </c>
      <c r="Q9172" t="s">
        <v>242</v>
      </c>
      <c r="R9172" t="s">
        <v>114</v>
      </c>
      <c r="S9172" t="s">
        <v>41</v>
      </c>
      <c r="T9172" t="s">
        <v>121</v>
      </c>
      <c r="U9172" t="s">
        <v>115</v>
      </c>
    </row>
    <row r="9173" spans="1:21" x14ac:dyDescent="0.3">
      <c r="A9173" t="s">
        <v>36</v>
      </c>
      <c r="B9173" t="s">
        <v>1243</v>
      </c>
      <c r="C9173">
        <v>57</v>
      </c>
      <c r="D9173" t="s">
        <v>213</v>
      </c>
      <c r="E9173" t="s">
        <v>130</v>
      </c>
      <c r="F9173" t="s">
        <v>149</v>
      </c>
      <c r="G9173" t="s">
        <v>121</v>
      </c>
      <c r="H9173" t="s">
        <v>673</v>
      </c>
      <c r="I9173" t="s">
        <v>446</v>
      </c>
      <c r="J9173" t="s">
        <v>98</v>
      </c>
      <c r="K9173" t="s">
        <v>99</v>
      </c>
      <c r="L9173" t="s">
        <v>99</v>
      </c>
      <c r="M9173" t="s">
        <v>135</v>
      </c>
      <c r="N9173" t="s">
        <v>105</v>
      </c>
      <c r="O9173" t="s">
        <v>121</v>
      </c>
      <c r="P9173" t="s">
        <v>254</v>
      </c>
      <c r="Q9173" t="s">
        <v>316</v>
      </c>
      <c r="R9173" t="s">
        <v>121</v>
      </c>
      <c r="S9173" t="s">
        <v>268</v>
      </c>
      <c r="T9173" t="s">
        <v>143</v>
      </c>
      <c r="U9173" t="s">
        <v>99</v>
      </c>
    </row>
    <row r="9174" spans="1:21" x14ac:dyDescent="0.3">
      <c r="A9174" t="s">
        <v>36</v>
      </c>
      <c r="B9174" t="s">
        <v>1244</v>
      </c>
      <c r="C9174">
        <v>110</v>
      </c>
      <c r="D9174" t="s">
        <v>554</v>
      </c>
      <c r="E9174" t="s">
        <v>372</v>
      </c>
      <c r="F9174" t="s">
        <v>99</v>
      </c>
      <c r="G9174" t="s">
        <v>157</v>
      </c>
      <c r="H9174" t="s">
        <v>832</v>
      </c>
      <c r="I9174" t="s">
        <v>839</v>
      </c>
      <c r="J9174" t="s">
        <v>470</v>
      </c>
      <c r="K9174" t="s">
        <v>99</v>
      </c>
      <c r="L9174" t="s">
        <v>126</v>
      </c>
      <c r="M9174" t="s">
        <v>722</v>
      </c>
      <c r="N9174" t="s">
        <v>233</v>
      </c>
      <c r="O9174" t="s">
        <v>99</v>
      </c>
      <c r="P9174" t="s">
        <v>303</v>
      </c>
      <c r="Q9174" t="s">
        <v>416</v>
      </c>
      <c r="R9174" t="s">
        <v>268</v>
      </c>
      <c r="S9174" t="s">
        <v>684</v>
      </c>
      <c r="T9174" t="s">
        <v>100</v>
      </c>
      <c r="U9174" t="s">
        <v>99</v>
      </c>
    </row>
    <row r="9175" spans="1:21" x14ac:dyDescent="0.3">
      <c r="A9175" t="s">
        <v>36</v>
      </c>
      <c r="B9175" t="s">
        <v>365</v>
      </c>
      <c r="C9175">
        <v>2</v>
      </c>
      <c r="D9175" t="s">
        <v>211</v>
      </c>
      <c r="E9175" t="s">
        <v>99</v>
      </c>
      <c r="F9175" t="s">
        <v>99</v>
      </c>
      <c r="G9175" t="s">
        <v>99</v>
      </c>
      <c r="H9175" t="s">
        <v>99</v>
      </c>
      <c r="I9175" t="s">
        <v>909</v>
      </c>
      <c r="J9175" t="s">
        <v>99</v>
      </c>
      <c r="K9175" t="s">
        <v>99</v>
      </c>
      <c r="L9175" t="s">
        <v>99</v>
      </c>
      <c r="M9175" t="s">
        <v>99</v>
      </c>
      <c r="N9175" t="s">
        <v>99</v>
      </c>
      <c r="O9175" t="s">
        <v>99</v>
      </c>
      <c r="P9175" t="s">
        <v>99</v>
      </c>
      <c r="Q9175" t="s">
        <v>99</v>
      </c>
      <c r="R9175" t="s">
        <v>99</v>
      </c>
      <c r="S9175" t="s">
        <v>99</v>
      </c>
      <c r="T9175" t="s">
        <v>99</v>
      </c>
      <c r="U9175" t="s">
        <v>99</v>
      </c>
    </row>
    <row r="9176" spans="1:21" x14ac:dyDescent="0.3">
      <c r="A9176" t="s">
        <v>34</v>
      </c>
      <c r="B9176" t="s">
        <v>1242</v>
      </c>
      <c r="C9176">
        <v>2666</v>
      </c>
      <c r="D9176" t="s">
        <v>1049</v>
      </c>
      <c r="E9176" t="s">
        <v>289</v>
      </c>
      <c r="F9176" t="s">
        <v>101</v>
      </c>
      <c r="G9176" t="s">
        <v>151</v>
      </c>
      <c r="H9176" t="s">
        <v>894</v>
      </c>
      <c r="I9176" t="s">
        <v>913</v>
      </c>
      <c r="J9176" t="s">
        <v>74</v>
      </c>
      <c r="K9176" t="s">
        <v>207</v>
      </c>
      <c r="L9176" t="s">
        <v>111</v>
      </c>
      <c r="M9176" t="s">
        <v>353</v>
      </c>
      <c r="N9176" t="s">
        <v>363</v>
      </c>
      <c r="O9176" t="s">
        <v>292</v>
      </c>
      <c r="P9176" t="s">
        <v>731</v>
      </c>
      <c r="Q9176" t="s">
        <v>254</v>
      </c>
      <c r="R9176" t="s">
        <v>108</v>
      </c>
      <c r="S9176" t="s">
        <v>41</v>
      </c>
      <c r="T9176" t="s">
        <v>141</v>
      </c>
      <c r="U9176" t="s">
        <v>101</v>
      </c>
    </row>
    <row r="9177" spans="1:21" s="5" customFormat="1" x14ac:dyDescent="0.3">
      <c r="A9177" s="5" t="s">
        <v>34</v>
      </c>
      <c r="B9177" s="5" t="s">
        <v>1243</v>
      </c>
      <c r="C9177" s="5">
        <v>20</v>
      </c>
      <c r="D9177" s="5" t="s">
        <v>1122</v>
      </c>
      <c r="E9177" s="5" t="s">
        <v>894</v>
      </c>
      <c r="F9177" s="5" t="s">
        <v>99</v>
      </c>
      <c r="G9177" s="5" t="s">
        <v>99</v>
      </c>
      <c r="H9177" s="5" t="s">
        <v>140</v>
      </c>
      <c r="I9177" s="5" t="s">
        <v>555</v>
      </c>
      <c r="J9177" s="5" t="s">
        <v>111</v>
      </c>
      <c r="K9177" s="5" t="s">
        <v>99</v>
      </c>
      <c r="L9177" s="5" t="s">
        <v>99</v>
      </c>
      <c r="M9177" s="5" t="s">
        <v>132</v>
      </c>
      <c r="N9177" s="5" t="s">
        <v>393</v>
      </c>
      <c r="O9177" s="5" t="s">
        <v>401</v>
      </c>
      <c r="P9177" s="5" t="s">
        <v>393</v>
      </c>
      <c r="Q9177" s="5" t="s">
        <v>401</v>
      </c>
      <c r="R9177" s="5" t="s">
        <v>99</v>
      </c>
      <c r="S9177" s="5" t="s">
        <v>393</v>
      </c>
      <c r="T9177" s="5" t="s">
        <v>99</v>
      </c>
      <c r="U9177" s="5" t="s">
        <v>99</v>
      </c>
    </row>
    <row r="9178" spans="1:21" s="5" customFormat="1" x14ac:dyDescent="0.3">
      <c r="A9178" s="5" t="s">
        <v>34</v>
      </c>
      <c r="B9178" s="5" t="s">
        <v>1244</v>
      </c>
      <c r="C9178" s="5">
        <v>22</v>
      </c>
      <c r="D9178" s="5" t="s">
        <v>1116</v>
      </c>
      <c r="E9178" s="5" t="s">
        <v>113</v>
      </c>
      <c r="F9178" s="5" t="s">
        <v>99</v>
      </c>
      <c r="G9178" s="5" t="s">
        <v>254</v>
      </c>
      <c r="H9178" s="5" t="s">
        <v>1118</v>
      </c>
      <c r="I9178" s="5" t="s">
        <v>146</v>
      </c>
      <c r="J9178" s="5" t="s">
        <v>716</v>
      </c>
      <c r="K9178" s="5" t="s">
        <v>99</v>
      </c>
      <c r="L9178" s="5" t="s">
        <v>99</v>
      </c>
      <c r="M9178" s="5" t="s">
        <v>501</v>
      </c>
      <c r="N9178" s="5" t="s">
        <v>357</v>
      </c>
      <c r="O9178" s="5" t="s">
        <v>130</v>
      </c>
      <c r="P9178" s="5" t="s">
        <v>130</v>
      </c>
      <c r="Q9178" s="5" t="s">
        <v>130</v>
      </c>
      <c r="R9178" s="5" t="s">
        <v>99</v>
      </c>
      <c r="S9178" s="5" t="s">
        <v>130</v>
      </c>
      <c r="T9178" s="5" t="s">
        <v>99</v>
      </c>
      <c r="U9178" s="5" t="s">
        <v>99</v>
      </c>
    </row>
    <row r="9179" spans="1:21" x14ac:dyDescent="0.3">
      <c r="A9179" t="s">
        <v>34</v>
      </c>
      <c r="B9179" t="s">
        <v>365</v>
      </c>
      <c r="C9179">
        <v>1</v>
      </c>
      <c r="D9179" t="s">
        <v>99</v>
      </c>
      <c r="E9179" t="s">
        <v>99</v>
      </c>
      <c r="F9179" t="s">
        <v>99</v>
      </c>
      <c r="G9179" t="s">
        <v>99</v>
      </c>
      <c r="H9179" t="s">
        <v>211</v>
      </c>
      <c r="I9179" t="s">
        <v>211</v>
      </c>
      <c r="J9179" t="s">
        <v>99</v>
      </c>
      <c r="K9179" t="s">
        <v>99</v>
      </c>
      <c r="L9179" t="s">
        <v>99</v>
      </c>
      <c r="M9179" t="s">
        <v>99</v>
      </c>
      <c r="N9179" t="s">
        <v>99</v>
      </c>
      <c r="O9179" t="s">
        <v>99</v>
      </c>
      <c r="P9179" t="s">
        <v>99</v>
      </c>
      <c r="Q9179" t="s">
        <v>99</v>
      </c>
      <c r="R9179" t="s">
        <v>99</v>
      </c>
      <c r="S9179" t="s">
        <v>99</v>
      </c>
      <c r="T9179" t="s">
        <v>99</v>
      </c>
      <c r="U9179" t="s">
        <v>99</v>
      </c>
    </row>
    <row r="9180" spans="1:21" x14ac:dyDescent="0.3">
      <c r="A9180" t="s">
        <v>33</v>
      </c>
      <c r="B9180" t="s">
        <v>1242</v>
      </c>
      <c r="C9180">
        <v>2750</v>
      </c>
      <c r="D9180" t="s">
        <v>2132</v>
      </c>
      <c r="E9180" t="s">
        <v>721</v>
      </c>
      <c r="F9180" t="s">
        <v>100</v>
      </c>
      <c r="G9180" t="s">
        <v>103</v>
      </c>
      <c r="H9180" t="s">
        <v>1008</v>
      </c>
      <c r="I9180" t="s">
        <v>821</v>
      </c>
      <c r="J9180" t="s">
        <v>204</v>
      </c>
      <c r="K9180" t="s">
        <v>114</v>
      </c>
      <c r="L9180" t="s">
        <v>132</v>
      </c>
      <c r="M9180" t="s">
        <v>412</v>
      </c>
      <c r="N9180" t="s">
        <v>353</v>
      </c>
      <c r="O9180" t="s">
        <v>105</v>
      </c>
      <c r="P9180" t="s">
        <v>432</v>
      </c>
      <c r="Q9180" t="s">
        <v>70</v>
      </c>
      <c r="R9180" t="s">
        <v>114</v>
      </c>
      <c r="S9180" t="s">
        <v>139</v>
      </c>
      <c r="T9180" t="s">
        <v>253</v>
      </c>
      <c r="U9180" t="s">
        <v>115</v>
      </c>
    </row>
    <row r="9181" spans="1:21" x14ac:dyDescent="0.3">
      <c r="A9181" t="s">
        <v>33</v>
      </c>
      <c r="B9181" t="s">
        <v>1243</v>
      </c>
      <c r="C9181">
        <v>37</v>
      </c>
      <c r="D9181" t="s">
        <v>522</v>
      </c>
      <c r="E9181" t="s">
        <v>131</v>
      </c>
      <c r="F9181" t="s">
        <v>99</v>
      </c>
      <c r="G9181" t="s">
        <v>99</v>
      </c>
      <c r="H9181" t="s">
        <v>731</v>
      </c>
      <c r="I9181" t="s">
        <v>713</v>
      </c>
      <c r="J9181" t="s">
        <v>99</v>
      </c>
      <c r="K9181" t="s">
        <v>99</v>
      </c>
      <c r="L9181" t="s">
        <v>99</v>
      </c>
      <c r="M9181" t="s">
        <v>107</v>
      </c>
      <c r="N9181" t="s">
        <v>684</v>
      </c>
      <c r="O9181" t="s">
        <v>99</v>
      </c>
      <c r="P9181" t="s">
        <v>401</v>
      </c>
      <c r="Q9181" t="s">
        <v>99</v>
      </c>
      <c r="R9181" t="s">
        <v>99</v>
      </c>
      <c r="S9181" t="s">
        <v>684</v>
      </c>
      <c r="T9181" t="s">
        <v>107</v>
      </c>
      <c r="U9181" t="s">
        <v>99</v>
      </c>
    </row>
    <row r="9182" spans="1:21" s="5" customFormat="1" x14ac:dyDescent="0.3">
      <c r="A9182" s="5" t="s">
        <v>33</v>
      </c>
      <c r="B9182" s="5" t="s">
        <v>1244</v>
      </c>
      <c r="C9182" s="5">
        <v>12</v>
      </c>
      <c r="D9182" s="5" t="s">
        <v>957</v>
      </c>
      <c r="E9182" s="5" t="s">
        <v>122</v>
      </c>
      <c r="F9182" s="5" t="s">
        <v>99</v>
      </c>
      <c r="G9182" s="5" t="s">
        <v>99</v>
      </c>
      <c r="H9182" s="5" t="s">
        <v>566</v>
      </c>
      <c r="I9182" s="5" t="s">
        <v>562</v>
      </c>
      <c r="J9182" s="5" t="s">
        <v>99</v>
      </c>
      <c r="K9182" s="5" t="s">
        <v>99</v>
      </c>
      <c r="L9182" s="5" t="s">
        <v>99</v>
      </c>
      <c r="M9182" s="5" t="s">
        <v>99</v>
      </c>
      <c r="N9182" s="5" t="s">
        <v>99</v>
      </c>
      <c r="O9182" s="5" t="s">
        <v>99</v>
      </c>
      <c r="P9182" s="5" t="s">
        <v>122</v>
      </c>
      <c r="Q9182" s="5" t="s">
        <v>99</v>
      </c>
      <c r="R9182" s="5" t="s">
        <v>716</v>
      </c>
      <c r="S9182" s="5" t="s">
        <v>99</v>
      </c>
      <c r="T9182" s="5" t="s">
        <v>99</v>
      </c>
      <c r="U9182" s="5" t="s">
        <v>99</v>
      </c>
    </row>
    <row r="9183" spans="1:21" x14ac:dyDescent="0.3">
      <c r="A9183" t="s">
        <v>33</v>
      </c>
      <c r="B9183" t="s">
        <v>365</v>
      </c>
      <c r="C9183">
        <v>4</v>
      </c>
      <c r="D9183" t="s">
        <v>909</v>
      </c>
      <c r="E9183" t="s">
        <v>1059</v>
      </c>
      <c r="F9183" t="s">
        <v>99</v>
      </c>
      <c r="G9183" t="s">
        <v>1059</v>
      </c>
      <c r="H9183" t="s">
        <v>697</v>
      </c>
      <c r="I9183" t="s">
        <v>909</v>
      </c>
      <c r="J9183" t="s">
        <v>99</v>
      </c>
      <c r="K9183" t="s">
        <v>99</v>
      </c>
      <c r="L9183" t="s">
        <v>99</v>
      </c>
      <c r="M9183" t="s">
        <v>99</v>
      </c>
      <c r="N9183" t="s">
        <v>99</v>
      </c>
      <c r="O9183" t="s">
        <v>99</v>
      </c>
      <c r="P9183" t="s">
        <v>99</v>
      </c>
      <c r="Q9183" t="s">
        <v>1059</v>
      </c>
      <c r="R9183" t="s">
        <v>99</v>
      </c>
      <c r="S9183" t="s">
        <v>697</v>
      </c>
      <c r="T9183" t="s">
        <v>99</v>
      </c>
      <c r="U9183" t="s">
        <v>99</v>
      </c>
    </row>
    <row r="9184" spans="1:21" x14ac:dyDescent="0.3">
      <c r="A9184" t="s">
        <v>49</v>
      </c>
      <c r="B9184" t="s">
        <v>1242</v>
      </c>
      <c r="C9184">
        <v>17645</v>
      </c>
      <c r="D9184" t="s">
        <v>1108</v>
      </c>
      <c r="E9184" t="s">
        <v>206</v>
      </c>
      <c r="F9184" t="s">
        <v>215</v>
      </c>
      <c r="G9184" t="s">
        <v>268</v>
      </c>
      <c r="H9184" t="s">
        <v>529</v>
      </c>
      <c r="I9184" t="s">
        <v>2115</v>
      </c>
      <c r="J9184" t="s">
        <v>144</v>
      </c>
      <c r="K9184" t="s">
        <v>253</v>
      </c>
      <c r="L9184" t="s">
        <v>215</v>
      </c>
      <c r="M9184" t="s">
        <v>145</v>
      </c>
      <c r="N9184" t="s">
        <v>299</v>
      </c>
      <c r="O9184" t="s">
        <v>105</v>
      </c>
      <c r="P9184" t="s">
        <v>536</v>
      </c>
      <c r="Q9184" t="s">
        <v>143</v>
      </c>
      <c r="R9184" t="s">
        <v>319</v>
      </c>
      <c r="S9184" t="s">
        <v>675</v>
      </c>
      <c r="T9184" t="s">
        <v>127</v>
      </c>
      <c r="U9184" t="s">
        <v>115</v>
      </c>
    </row>
    <row r="9185" spans="1:21" x14ac:dyDescent="0.3">
      <c r="A9185" t="s">
        <v>49</v>
      </c>
      <c r="B9185" t="s">
        <v>1243</v>
      </c>
      <c r="C9185">
        <v>288</v>
      </c>
      <c r="D9185" t="s">
        <v>946</v>
      </c>
      <c r="E9185" t="s">
        <v>307</v>
      </c>
      <c r="F9185" t="s">
        <v>103</v>
      </c>
      <c r="G9185" t="s">
        <v>108</v>
      </c>
      <c r="H9185" t="s">
        <v>662</v>
      </c>
      <c r="I9185" t="s">
        <v>987</v>
      </c>
      <c r="J9185" t="s">
        <v>145</v>
      </c>
      <c r="K9185" t="s">
        <v>99</v>
      </c>
      <c r="L9185" t="s">
        <v>157</v>
      </c>
      <c r="M9185" t="s">
        <v>412</v>
      </c>
      <c r="N9185" t="s">
        <v>363</v>
      </c>
      <c r="O9185" t="s">
        <v>105</v>
      </c>
      <c r="P9185" t="s">
        <v>416</v>
      </c>
      <c r="Q9185" t="s">
        <v>110</v>
      </c>
      <c r="R9185" t="s">
        <v>101</v>
      </c>
      <c r="S9185" t="s">
        <v>328</v>
      </c>
      <c r="T9185" t="s">
        <v>123</v>
      </c>
      <c r="U9185" t="s">
        <v>99</v>
      </c>
    </row>
    <row r="9186" spans="1:21" x14ac:dyDescent="0.3">
      <c r="A9186" t="s">
        <v>49</v>
      </c>
      <c r="B9186" t="s">
        <v>1244</v>
      </c>
      <c r="C9186">
        <v>203</v>
      </c>
      <c r="D9186" t="s">
        <v>1183</v>
      </c>
      <c r="E9186" t="s">
        <v>76</v>
      </c>
      <c r="F9186" t="s">
        <v>115</v>
      </c>
      <c r="G9186" t="s">
        <v>296</v>
      </c>
      <c r="H9186" t="s">
        <v>1068</v>
      </c>
      <c r="I9186" t="s">
        <v>1494</v>
      </c>
      <c r="J9186" t="s">
        <v>328</v>
      </c>
      <c r="K9186" t="s">
        <v>99</v>
      </c>
      <c r="L9186" t="s">
        <v>107</v>
      </c>
      <c r="M9186" t="s">
        <v>746</v>
      </c>
      <c r="N9186" t="s">
        <v>677</v>
      </c>
      <c r="O9186" t="s">
        <v>684</v>
      </c>
      <c r="P9186" t="s">
        <v>416</v>
      </c>
      <c r="Q9186" t="s">
        <v>363</v>
      </c>
      <c r="R9186" t="s">
        <v>117</v>
      </c>
      <c r="S9186" t="s">
        <v>78</v>
      </c>
      <c r="T9186" t="s">
        <v>207</v>
      </c>
      <c r="U9186" t="s">
        <v>108</v>
      </c>
    </row>
    <row r="9187" spans="1:21" x14ac:dyDescent="0.3">
      <c r="A9187" t="s">
        <v>49</v>
      </c>
      <c r="B9187" t="s">
        <v>365</v>
      </c>
      <c r="C9187">
        <v>12</v>
      </c>
      <c r="D9187" t="s">
        <v>843</v>
      </c>
      <c r="E9187" t="s">
        <v>671</v>
      </c>
      <c r="F9187" t="s">
        <v>99</v>
      </c>
      <c r="G9187" t="s">
        <v>671</v>
      </c>
      <c r="H9187" t="s">
        <v>699</v>
      </c>
      <c r="I9187" t="s">
        <v>609</v>
      </c>
      <c r="J9187" t="s">
        <v>99</v>
      </c>
      <c r="K9187" t="s">
        <v>99</v>
      </c>
      <c r="L9187" t="s">
        <v>99</v>
      </c>
      <c r="M9187" t="s">
        <v>99</v>
      </c>
      <c r="N9187" t="s">
        <v>432</v>
      </c>
      <c r="O9187" t="s">
        <v>99</v>
      </c>
      <c r="P9187" t="s">
        <v>691</v>
      </c>
      <c r="Q9187" t="s">
        <v>671</v>
      </c>
      <c r="R9187" t="s">
        <v>99</v>
      </c>
      <c r="S9187" t="s">
        <v>171</v>
      </c>
      <c r="T9187" t="s">
        <v>99</v>
      </c>
      <c r="U9187" t="s">
        <v>99</v>
      </c>
    </row>
    <row r="9189" spans="1:21" x14ac:dyDescent="0.3">
      <c r="A9189" t="s">
        <v>2384</v>
      </c>
    </row>
    <row r="9190" spans="1:21" x14ac:dyDescent="0.3">
      <c r="A9190" t="s">
        <v>44</v>
      </c>
      <c r="B9190" t="s">
        <v>2252</v>
      </c>
      <c r="C9190" t="s">
        <v>32</v>
      </c>
      <c r="D9190" t="s">
        <v>2363</v>
      </c>
      <c r="E9190" t="s">
        <v>2364</v>
      </c>
      <c r="F9190" t="s">
        <v>2365</v>
      </c>
      <c r="G9190" t="s">
        <v>2366</v>
      </c>
      <c r="H9190" t="s">
        <v>2367</v>
      </c>
      <c r="I9190" t="s">
        <v>2368</v>
      </c>
      <c r="J9190" t="s">
        <v>2369</v>
      </c>
      <c r="K9190" t="s">
        <v>2370</v>
      </c>
      <c r="L9190" t="s">
        <v>2371</v>
      </c>
      <c r="M9190" t="s">
        <v>2372</v>
      </c>
      <c r="N9190" t="s">
        <v>2373</v>
      </c>
      <c r="O9190" t="s">
        <v>2374</v>
      </c>
      <c r="P9190" t="s">
        <v>2375</v>
      </c>
      <c r="Q9190" t="s">
        <v>2376</v>
      </c>
      <c r="R9190" t="s">
        <v>2377</v>
      </c>
      <c r="S9190" t="s">
        <v>979</v>
      </c>
      <c r="T9190" t="s">
        <v>193</v>
      </c>
      <c r="U9190" t="s">
        <v>2378</v>
      </c>
    </row>
    <row r="9191" spans="1:21" x14ac:dyDescent="0.3">
      <c r="A9191" t="s">
        <v>35</v>
      </c>
      <c r="B9191" t="s">
        <v>2253</v>
      </c>
      <c r="C9191">
        <v>2433</v>
      </c>
      <c r="D9191" t="s">
        <v>615</v>
      </c>
      <c r="E9191" t="s">
        <v>133</v>
      </c>
      <c r="F9191" t="s">
        <v>155</v>
      </c>
      <c r="G9191" t="s">
        <v>117</v>
      </c>
      <c r="H9191" t="s">
        <v>1148</v>
      </c>
      <c r="I9191" t="s">
        <v>552</v>
      </c>
      <c r="J9191" t="s">
        <v>671</v>
      </c>
      <c r="K9191" t="s">
        <v>104</v>
      </c>
      <c r="L9191" t="s">
        <v>292</v>
      </c>
      <c r="M9191" t="s">
        <v>204</v>
      </c>
      <c r="N9191" t="s">
        <v>369</v>
      </c>
      <c r="O9191" t="s">
        <v>434</v>
      </c>
      <c r="P9191" t="s">
        <v>135</v>
      </c>
      <c r="Q9191" t="s">
        <v>129</v>
      </c>
      <c r="R9191" t="s">
        <v>100</v>
      </c>
      <c r="S9191" t="s">
        <v>328</v>
      </c>
      <c r="T9191" t="s">
        <v>114</v>
      </c>
      <c r="U9191" t="s">
        <v>136</v>
      </c>
    </row>
    <row r="9192" spans="1:21" x14ac:dyDescent="0.3">
      <c r="A9192" t="s">
        <v>35</v>
      </c>
      <c r="B9192" t="s">
        <v>2254</v>
      </c>
      <c r="C9192">
        <v>1932</v>
      </c>
      <c r="D9192" t="s">
        <v>563</v>
      </c>
      <c r="E9192" t="s">
        <v>264</v>
      </c>
      <c r="F9192" t="s">
        <v>114</v>
      </c>
      <c r="G9192" t="s">
        <v>108</v>
      </c>
      <c r="H9192" t="s">
        <v>305</v>
      </c>
      <c r="I9192" t="s">
        <v>201</v>
      </c>
      <c r="J9192" t="s">
        <v>107</v>
      </c>
      <c r="K9192" t="s">
        <v>115</v>
      </c>
      <c r="L9192" t="s">
        <v>123</v>
      </c>
      <c r="M9192" t="s">
        <v>143</v>
      </c>
      <c r="N9192" t="s">
        <v>254</v>
      </c>
      <c r="O9192" t="s">
        <v>105</v>
      </c>
      <c r="P9192" t="s">
        <v>749</v>
      </c>
      <c r="Q9192" t="s">
        <v>468</v>
      </c>
      <c r="R9192" t="s">
        <v>292</v>
      </c>
      <c r="S9192" t="s">
        <v>158</v>
      </c>
      <c r="T9192" t="s">
        <v>305</v>
      </c>
      <c r="U9192" t="s">
        <v>141</v>
      </c>
    </row>
    <row r="9193" spans="1:21" x14ac:dyDescent="0.3">
      <c r="A9193" t="s">
        <v>35</v>
      </c>
      <c r="B9193" t="s">
        <v>365</v>
      </c>
      <c r="C9193">
        <v>21</v>
      </c>
      <c r="D9193" t="s">
        <v>930</v>
      </c>
      <c r="E9193" t="s">
        <v>664</v>
      </c>
      <c r="F9193" t="s">
        <v>99</v>
      </c>
      <c r="G9193" t="s">
        <v>99</v>
      </c>
      <c r="H9193" t="s">
        <v>204</v>
      </c>
      <c r="I9193" t="s">
        <v>442</v>
      </c>
      <c r="J9193" t="s">
        <v>204</v>
      </c>
      <c r="K9193" t="s">
        <v>99</v>
      </c>
      <c r="L9193" t="s">
        <v>99</v>
      </c>
      <c r="M9193" t="s">
        <v>99</v>
      </c>
      <c r="N9193" t="s">
        <v>179</v>
      </c>
      <c r="O9193" t="s">
        <v>99</v>
      </c>
      <c r="P9193" t="s">
        <v>1252</v>
      </c>
      <c r="Q9193" t="s">
        <v>1110</v>
      </c>
      <c r="R9193" t="s">
        <v>1414</v>
      </c>
      <c r="S9193" t="s">
        <v>99</v>
      </c>
      <c r="T9193" t="s">
        <v>112</v>
      </c>
      <c r="U9193" t="s">
        <v>204</v>
      </c>
    </row>
    <row r="9194" spans="1:21" x14ac:dyDescent="0.3">
      <c r="A9194" t="s">
        <v>37</v>
      </c>
      <c r="B9194" t="s">
        <v>2253</v>
      </c>
      <c r="C9194">
        <v>3048</v>
      </c>
      <c r="D9194" t="s">
        <v>862</v>
      </c>
      <c r="E9194" t="s">
        <v>722</v>
      </c>
      <c r="F9194" t="s">
        <v>123</v>
      </c>
      <c r="G9194" t="s">
        <v>130</v>
      </c>
      <c r="H9194" t="s">
        <v>817</v>
      </c>
      <c r="I9194" t="s">
        <v>1223</v>
      </c>
      <c r="J9194" t="s">
        <v>305</v>
      </c>
      <c r="K9194" t="s">
        <v>104</v>
      </c>
      <c r="L9194" t="s">
        <v>123</v>
      </c>
      <c r="M9194" t="s">
        <v>675</v>
      </c>
      <c r="N9194" t="s">
        <v>41</v>
      </c>
      <c r="O9194" t="s">
        <v>474</v>
      </c>
      <c r="P9194" t="s">
        <v>165</v>
      </c>
      <c r="Q9194" t="s">
        <v>474</v>
      </c>
      <c r="R9194" t="s">
        <v>123</v>
      </c>
      <c r="S9194" t="s">
        <v>145</v>
      </c>
      <c r="T9194" t="s">
        <v>207</v>
      </c>
      <c r="U9194" t="s">
        <v>141</v>
      </c>
    </row>
    <row r="9195" spans="1:21" x14ac:dyDescent="0.3">
      <c r="A9195" t="s">
        <v>37</v>
      </c>
      <c r="B9195" t="s">
        <v>2254</v>
      </c>
      <c r="C9195">
        <v>2148</v>
      </c>
      <c r="D9195" t="s">
        <v>2132</v>
      </c>
      <c r="E9195" t="s">
        <v>395</v>
      </c>
      <c r="F9195" t="s">
        <v>101</v>
      </c>
      <c r="G9195" t="s">
        <v>147</v>
      </c>
      <c r="H9195" t="s">
        <v>291</v>
      </c>
      <c r="I9195" t="s">
        <v>690</v>
      </c>
      <c r="J9195" t="s">
        <v>110</v>
      </c>
      <c r="K9195" t="s">
        <v>121</v>
      </c>
      <c r="L9195" t="s">
        <v>127</v>
      </c>
      <c r="M9195" t="s">
        <v>204</v>
      </c>
      <c r="N9195" t="s">
        <v>305</v>
      </c>
      <c r="O9195" t="s">
        <v>155</v>
      </c>
      <c r="P9195" t="s">
        <v>488</v>
      </c>
      <c r="Q9195" t="s">
        <v>182</v>
      </c>
      <c r="R9195" t="s">
        <v>215</v>
      </c>
      <c r="S9195" t="s">
        <v>145</v>
      </c>
      <c r="T9195" t="s">
        <v>253</v>
      </c>
      <c r="U9195" t="s">
        <v>136</v>
      </c>
    </row>
    <row r="9196" spans="1:21" x14ac:dyDescent="0.3">
      <c r="A9196" t="s">
        <v>37</v>
      </c>
      <c r="B9196" t="s">
        <v>365</v>
      </c>
      <c r="C9196">
        <v>4</v>
      </c>
      <c r="D9196" t="s">
        <v>99</v>
      </c>
      <c r="E9196" t="s">
        <v>99</v>
      </c>
      <c r="F9196" t="s">
        <v>99</v>
      </c>
      <c r="G9196" t="s">
        <v>99</v>
      </c>
      <c r="H9196" t="s">
        <v>947</v>
      </c>
      <c r="I9196" t="s">
        <v>947</v>
      </c>
      <c r="J9196" t="s">
        <v>99</v>
      </c>
      <c r="K9196" t="s">
        <v>99</v>
      </c>
      <c r="L9196" t="s">
        <v>99</v>
      </c>
      <c r="M9196" t="s">
        <v>1045</v>
      </c>
      <c r="N9196" t="s">
        <v>99</v>
      </c>
      <c r="O9196" t="s">
        <v>99</v>
      </c>
      <c r="P9196" t="s">
        <v>99</v>
      </c>
      <c r="Q9196" t="s">
        <v>99</v>
      </c>
      <c r="R9196" t="s">
        <v>99</v>
      </c>
      <c r="S9196" t="s">
        <v>99</v>
      </c>
      <c r="T9196" t="s">
        <v>99</v>
      </c>
      <c r="U9196" t="s">
        <v>99</v>
      </c>
    </row>
    <row r="9197" spans="1:21" x14ac:dyDescent="0.3">
      <c r="A9197" t="s">
        <v>36</v>
      </c>
      <c r="B9197" t="s">
        <v>2253</v>
      </c>
      <c r="C9197">
        <v>1515</v>
      </c>
      <c r="D9197" t="s">
        <v>1214</v>
      </c>
      <c r="E9197" t="s">
        <v>109</v>
      </c>
      <c r="F9197" t="s">
        <v>120</v>
      </c>
      <c r="G9197" t="s">
        <v>126</v>
      </c>
      <c r="H9197" t="s">
        <v>600</v>
      </c>
      <c r="I9197" t="s">
        <v>596</v>
      </c>
      <c r="J9197" t="s">
        <v>109</v>
      </c>
      <c r="K9197" t="s">
        <v>99</v>
      </c>
      <c r="L9197" t="s">
        <v>121</v>
      </c>
      <c r="M9197" t="s">
        <v>145</v>
      </c>
      <c r="N9197" t="s">
        <v>109</v>
      </c>
      <c r="O9197" t="s">
        <v>253</v>
      </c>
      <c r="P9197" t="s">
        <v>78</v>
      </c>
      <c r="Q9197" t="s">
        <v>118</v>
      </c>
      <c r="R9197" t="s">
        <v>108</v>
      </c>
      <c r="S9197" t="s">
        <v>184</v>
      </c>
      <c r="T9197" t="s">
        <v>151</v>
      </c>
      <c r="U9197" t="s">
        <v>121</v>
      </c>
    </row>
    <row r="9198" spans="1:21" x14ac:dyDescent="0.3">
      <c r="A9198" t="s">
        <v>36</v>
      </c>
      <c r="B9198" t="s">
        <v>2254</v>
      </c>
      <c r="C9198">
        <v>1521</v>
      </c>
      <c r="D9198" t="s">
        <v>1190</v>
      </c>
      <c r="E9198" t="s">
        <v>406</v>
      </c>
      <c r="F9198" t="s">
        <v>123</v>
      </c>
      <c r="G9198" t="s">
        <v>100</v>
      </c>
      <c r="H9198" t="s">
        <v>267</v>
      </c>
      <c r="I9198" t="s">
        <v>718</v>
      </c>
      <c r="J9198" t="s">
        <v>120</v>
      </c>
      <c r="K9198" t="s">
        <v>108</v>
      </c>
      <c r="L9198" t="s">
        <v>215</v>
      </c>
      <c r="M9198" t="s">
        <v>401</v>
      </c>
      <c r="N9198" t="s">
        <v>122</v>
      </c>
      <c r="O9198" t="s">
        <v>103</v>
      </c>
      <c r="P9198" t="s">
        <v>735</v>
      </c>
      <c r="Q9198" t="s">
        <v>74</v>
      </c>
      <c r="R9198" t="s">
        <v>100</v>
      </c>
      <c r="S9198" t="s">
        <v>470</v>
      </c>
      <c r="T9198" t="s">
        <v>253</v>
      </c>
      <c r="U9198" t="s">
        <v>198</v>
      </c>
    </row>
    <row r="9199" spans="1:21" x14ac:dyDescent="0.3">
      <c r="A9199" t="s">
        <v>36</v>
      </c>
      <c r="B9199" t="s">
        <v>365</v>
      </c>
      <c r="C9199">
        <v>14</v>
      </c>
      <c r="D9199" t="s">
        <v>1127</v>
      </c>
      <c r="E9199" t="s">
        <v>701</v>
      </c>
      <c r="F9199" t="s">
        <v>99</v>
      </c>
      <c r="G9199" t="s">
        <v>99</v>
      </c>
      <c r="H9199" t="s">
        <v>99</v>
      </c>
      <c r="I9199" t="s">
        <v>155</v>
      </c>
      <c r="J9199" t="s">
        <v>99</v>
      </c>
      <c r="K9199" t="s">
        <v>99</v>
      </c>
      <c r="L9199" t="s">
        <v>99</v>
      </c>
      <c r="M9199" t="s">
        <v>215</v>
      </c>
      <c r="N9199" t="s">
        <v>696</v>
      </c>
      <c r="O9199" t="s">
        <v>99</v>
      </c>
      <c r="P9199" t="s">
        <v>98</v>
      </c>
      <c r="Q9199" t="s">
        <v>215</v>
      </c>
      <c r="R9199" t="s">
        <v>99</v>
      </c>
      <c r="S9199" t="s">
        <v>470</v>
      </c>
      <c r="T9199" t="s">
        <v>99</v>
      </c>
      <c r="U9199" t="s">
        <v>99</v>
      </c>
    </row>
    <row r="9200" spans="1:21" x14ac:dyDescent="0.3">
      <c r="A9200" t="s">
        <v>34</v>
      </c>
      <c r="B9200" t="s">
        <v>2253</v>
      </c>
      <c r="C9200">
        <v>1476</v>
      </c>
      <c r="D9200" t="s">
        <v>1058</v>
      </c>
      <c r="E9200" t="s">
        <v>145</v>
      </c>
      <c r="F9200" t="s">
        <v>319</v>
      </c>
      <c r="G9200" t="s">
        <v>120</v>
      </c>
      <c r="H9200" t="s">
        <v>729</v>
      </c>
      <c r="I9200" t="s">
        <v>1095</v>
      </c>
      <c r="J9200" t="s">
        <v>305</v>
      </c>
      <c r="K9200" t="s">
        <v>99</v>
      </c>
      <c r="L9200" t="s">
        <v>292</v>
      </c>
      <c r="M9200" t="s">
        <v>299</v>
      </c>
      <c r="N9200" t="s">
        <v>182</v>
      </c>
      <c r="O9200" t="s">
        <v>128</v>
      </c>
      <c r="P9200" t="s">
        <v>74</v>
      </c>
      <c r="Q9200" t="s">
        <v>118</v>
      </c>
      <c r="R9200" t="s">
        <v>101</v>
      </c>
      <c r="S9200" t="s">
        <v>248</v>
      </c>
      <c r="T9200" t="s">
        <v>207</v>
      </c>
      <c r="U9200" t="s">
        <v>319</v>
      </c>
    </row>
    <row r="9201" spans="1:21" x14ac:dyDescent="0.3">
      <c r="A9201" t="s">
        <v>34</v>
      </c>
      <c r="B9201" t="s">
        <v>2254</v>
      </c>
      <c r="C9201">
        <v>1224</v>
      </c>
      <c r="D9201" t="s">
        <v>554</v>
      </c>
      <c r="E9201" t="s">
        <v>395</v>
      </c>
      <c r="F9201" t="s">
        <v>121</v>
      </c>
      <c r="G9201" t="s">
        <v>319</v>
      </c>
      <c r="H9201" t="s">
        <v>201</v>
      </c>
      <c r="I9201" t="s">
        <v>864</v>
      </c>
      <c r="J9201" t="s">
        <v>118</v>
      </c>
      <c r="K9201" t="s">
        <v>253</v>
      </c>
      <c r="L9201" t="s">
        <v>111</v>
      </c>
      <c r="M9201" t="s">
        <v>248</v>
      </c>
      <c r="N9201" t="s">
        <v>679</v>
      </c>
      <c r="O9201" t="s">
        <v>215</v>
      </c>
      <c r="P9201" t="s">
        <v>748</v>
      </c>
      <c r="Q9201" t="s">
        <v>182</v>
      </c>
      <c r="R9201" t="s">
        <v>207</v>
      </c>
      <c r="S9201" t="s">
        <v>369</v>
      </c>
      <c r="T9201" t="s">
        <v>115</v>
      </c>
      <c r="U9201" t="s">
        <v>100</v>
      </c>
    </row>
    <row r="9202" spans="1:21" x14ac:dyDescent="0.3">
      <c r="A9202" t="s">
        <v>34</v>
      </c>
      <c r="B9202" t="s">
        <v>365</v>
      </c>
      <c r="C9202">
        <v>9</v>
      </c>
      <c r="D9202" t="s">
        <v>1162</v>
      </c>
      <c r="E9202" t="s">
        <v>807</v>
      </c>
      <c r="F9202" t="s">
        <v>99</v>
      </c>
      <c r="G9202" t="s">
        <v>99</v>
      </c>
      <c r="H9202" t="s">
        <v>540</v>
      </c>
      <c r="I9202" t="s">
        <v>1704</v>
      </c>
      <c r="J9202" t="s">
        <v>457</v>
      </c>
      <c r="K9202" t="s">
        <v>99</v>
      </c>
      <c r="L9202" t="s">
        <v>99</v>
      </c>
      <c r="M9202" t="s">
        <v>457</v>
      </c>
      <c r="N9202" t="s">
        <v>735</v>
      </c>
      <c r="O9202" t="s">
        <v>99</v>
      </c>
      <c r="P9202" t="s">
        <v>99</v>
      </c>
      <c r="Q9202" t="s">
        <v>72</v>
      </c>
      <c r="R9202" t="s">
        <v>318</v>
      </c>
      <c r="S9202" t="s">
        <v>99</v>
      </c>
      <c r="T9202" t="s">
        <v>99</v>
      </c>
      <c r="U9202" t="s">
        <v>99</v>
      </c>
    </row>
    <row r="9203" spans="1:21" x14ac:dyDescent="0.3">
      <c r="A9203" t="s">
        <v>33</v>
      </c>
      <c r="B9203" t="s">
        <v>2253</v>
      </c>
      <c r="C9203">
        <v>1367</v>
      </c>
      <c r="D9203" t="s">
        <v>1113</v>
      </c>
      <c r="E9203" t="s">
        <v>133</v>
      </c>
      <c r="F9203" t="s">
        <v>319</v>
      </c>
      <c r="G9203" t="s">
        <v>120</v>
      </c>
      <c r="H9203" t="s">
        <v>932</v>
      </c>
      <c r="I9203" t="s">
        <v>644</v>
      </c>
      <c r="J9203" t="s">
        <v>461</v>
      </c>
      <c r="K9203" t="s">
        <v>104</v>
      </c>
      <c r="L9203" t="s">
        <v>132</v>
      </c>
      <c r="M9203" t="s">
        <v>112</v>
      </c>
      <c r="N9203" t="s">
        <v>420</v>
      </c>
      <c r="O9203" t="s">
        <v>129</v>
      </c>
      <c r="P9203" t="s">
        <v>671</v>
      </c>
      <c r="Q9203" t="s">
        <v>468</v>
      </c>
      <c r="R9203" t="s">
        <v>121</v>
      </c>
      <c r="S9203" t="s">
        <v>149</v>
      </c>
      <c r="T9203" t="s">
        <v>136</v>
      </c>
      <c r="U9203" t="s">
        <v>253</v>
      </c>
    </row>
    <row r="9204" spans="1:21" x14ac:dyDescent="0.3">
      <c r="A9204" t="s">
        <v>33</v>
      </c>
      <c r="B9204" t="s">
        <v>2254</v>
      </c>
      <c r="C9204">
        <v>1436</v>
      </c>
      <c r="D9204" t="s">
        <v>279</v>
      </c>
      <c r="E9204" t="s">
        <v>542</v>
      </c>
      <c r="F9204" t="s">
        <v>108</v>
      </c>
      <c r="G9204" t="s">
        <v>111</v>
      </c>
      <c r="H9204" t="s">
        <v>184</v>
      </c>
      <c r="I9204" t="s">
        <v>726</v>
      </c>
      <c r="J9204" t="s">
        <v>147</v>
      </c>
      <c r="K9204" t="s">
        <v>127</v>
      </c>
      <c r="L9204" t="s">
        <v>115</v>
      </c>
      <c r="M9204" t="s">
        <v>98</v>
      </c>
      <c r="N9204" t="s">
        <v>160</v>
      </c>
      <c r="O9204" t="s">
        <v>111</v>
      </c>
      <c r="P9204" t="s">
        <v>715</v>
      </c>
      <c r="Q9204" t="s">
        <v>671</v>
      </c>
      <c r="R9204" t="s">
        <v>115</v>
      </c>
      <c r="S9204" t="s">
        <v>139</v>
      </c>
      <c r="T9204" t="s">
        <v>132</v>
      </c>
      <c r="U9204" t="s">
        <v>132</v>
      </c>
    </row>
    <row r="9205" spans="1:21" x14ac:dyDescent="0.3">
      <c r="A9205" t="s">
        <v>49</v>
      </c>
      <c r="B9205" t="s">
        <v>2253</v>
      </c>
      <c r="C9205">
        <v>9839</v>
      </c>
      <c r="D9205" t="s">
        <v>549</v>
      </c>
      <c r="E9205" t="s">
        <v>72</v>
      </c>
      <c r="F9205" t="s">
        <v>111</v>
      </c>
      <c r="G9205" t="s">
        <v>107</v>
      </c>
      <c r="H9205" t="s">
        <v>1067</v>
      </c>
      <c r="I9205" t="s">
        <v>550</v>
      </c>
      <c r="J9205" t="s">
        <v>420</v>
      </c>
      <c r="K9205" t="s">
        <v>104</v>
      </c>
      <c r="L9205" t="s">
        <v>127</v>
      </c>
      <c r="M9205" t="s">
        <v>145</v>
      </c>
      <c r="N9205" t="s">
        <v>125</v>
      </c>
      <c r="O9205" t="s">
        <v>134</v>
      </c>
      <c r="P9205" t="s">
        <v>420</v>
      </c>
      <c r="Q9205" t="s">
        <v>474</v>
      </c>
      <c r="R9205" t="s">
        <v>319</v>
      </c>
      <c r="S9205" t="s">
        <v>74</v>
      </c>
      <c r="T9205" t="s">
        <v>253</v>
      </c>
      <c r="U9205" t="s">
        <v>115</v>
      </c>
    </row>
    <row r="9206" spans="1:21" x14ac:dyDescent="0.3">
      <c r="A9206" t="s">
        <v>49</v>
      </c>
      <c r="B9206" t="s">
        <v>2254</v>
      </c>
      <c r="C9206">
        <v>8261</v>
      </c>
      <c r="D9206" t="s">
        <v>567</v>
      </c>
      <c r="E9206" t="s">
        <v>406</v>
      </c>
      <c r="F9206" t="s">
        <v>121</v>
      </c>
      <c r="G9206" t="s">
        <v>215</v>
      </c>
      <c r="H9206" t="s">
        <v>233</v>
      </c>
      <c r="I9206" t="s">
        <v>990</v>
      </c>
      <c r="J9206" t="s">
        <v>138</v>
      </c>
      <c r="K9206" t="s">
        <v>114</v>
      </c>
      <c r="L9206" t="s">
        <v>215</v>
      </c>
      <c r="M9206" t="s">
        <v>254</v>
      </c>
      <c r="N9206" t="s">
        <v>122</v>
      </c>
      <c r="O9206" t="s">
        <v>128</v>
      </c>
      <c r="P9206" t="s">
        <v>735</v>
      </c>
      <c r="Q9206" t="s">
        <v>248</v>
      </c>
      <c r="R9206" t="s">
        <v>101</v>
      </c>
      <c r="S9206" t="s">
        <v>135</v>
      </c>
      <c r="T9206" t="s">
        <v>107</v>
      </c>
      <c r="U9206" t="s">
        <v>253</v>
      </c>
    </row>
    <row r="9207" spans="1:21" x14ac:dyDescent="0.3">
      <c r="A9207" t="s">
        <v>49</v>
      </c>
      <c r="B9207" t="s">
        <v>365</v>
      </c>
      <c r="C9207">
        <v>48</v>
      </c>
      <c r="D9207" t="s">
        <v>905</v>
      </c>
      <c r="E9207" t="s">
        <v>287</v>
      </c>
      <c r="F9207" t="s">
        <v>99</v>
      </c>
      <c r="G9207" t="s">
        <v>99</v>
      </c>
      <c r="H9207" t="s">
        <v>726</v>
      </c>
      <c r="I9207" t="s">
        <v>667</v>
      </c>
      <c r="J9207" t="s">
        <v>171</v>
      </c>
      <c r="K9207" t="s">
        <v>99</v>
      </c>
      <c r="L9207" t="s">
        <v>99</v>
      </c>
      <c r="M9207" t="s">
        <v>296</v>
      </c>
      <c r="N9207" t="s">
        <v>701</v>
      </c>
      <c r="O9207" t="s">
        <v>99</v>
      </c>
      <c r="P9207" t="s">
        <v>820</v>
      </c>
      <c r="Q9207" t="s">
        <v>534</v>
      </c>
      <c r="R9207" t="s">
        <v>720</v>
      </c>
      <c r="S9207" t="s">
        <v>253</v>
      </c>
      <c r="T9207" t="s">
        <v>103</v>
      </c>
      <c r="U9207" t="s">
        <v>138</v>
      </c>
    </row>
    <row r="9209" spans="1:21" x14ac:dyDescent="0.3">
      <c r="A9209" t="s">
        <v>2385</v>
      </c>
    </row>
    <row r="9210" spans="1:21" x14ac:dyDescent="0.3">
      <c r="A9210" t="s">
        <v>44</v>
      </c>
      <c r="B9210" t="s">
        <v>361</v>
      </c>
      <c r="C9210" t="s">
        <v>32</v>
      </c>
      <c r="D9210" t="s">
        <v>2363</v>
      </c>
      <c r="E9210" t="s">
        <v>2364</v>
      </c>
      <c r="F9210" t="s">
        <v>2365</v>
      </c>
      <c r="G9210" t="s">
        <v>2366</v>
      </c>
      <c r="H9210" t="s">
        <v>2367</v>
      </c>
      <c r="I9210" t="s">
        <v>2368</v>
      </c>
      <c r="J9210" t="s">
        <v>2369</v>
      </c>
      <c r="K9210" t="s">
        <v>2370</v>
      </c>
      <c r="L9210" t="s">
        <v>2371</v>
      </c>
      <c r="M9210" t="s">
        <v>2372</v>
      </c>
      <c r="N9210" t="s">
        <v>2373</v>
      </c>
      <c r="O9210" t="s">
        <v>2374</v>
      </c>
      <c r="P9210" t="s">
        <v>2375</v>
      </c>
      <c r="Q9210" t="s">
        <v>2376</v>
      </c>
      <c r="R9210" t="s">
        <v>2377</v>
      </c>
      <c r="S9210" t="s">
        <v>979</v>
      </c>
      <c r="T9210" t="s">
        <v>193</v>
      </c>
      <c r="U9210" t="s">
        <v>2378</v>
      </c>
    </row>
    <row r="9211" spans="1:21" x14ac:dyDescent="0.3">
      <c r="A9211" t="s">
        <v>35</v>
      </c>
      <c r="B9211" t="s">
        <v>339</v>
      </c>
      <c r="C9211">
        <v>1433</v>
      </c>
      <c r="D9211" t="s">
        <v>652</v>
      </c>
      <c r="E9211" t="s">
        <v>708</v>
      </c>
      <c r="F9211" t="s">
        <v>134</v>
      </c>
      <c r="G9211" t="s">
        <v>111</v>
      </c>
      <c r="H9211" t="s">
        <v>283</v>
      </c>
      <c r="I9211" t="s">
        <v>1112</v>
      </c>
      <c r="J9211" t="s">
        <v>165</v>
      </c>
      <c r="K9211" t="s">
        <v>198</v>
      </c>
      <c r="L9211" t="s">
        <v>268</v>
      </c>
      <c r="M9211" t="s">
        <v>70</v>
      </c>
      <c r="N9211" t="s">
        <v>296</v>
      </c>
      <c r="O9211" t="s">
        <v>474</v>
      </c>
      <c r="P9211" t="s">
        <v>804</v>
      </c>
      <c r="Q9211" t="s">
        <v>474</v>
      </c>
      <c r="R9211" t="s">
        <v>101</v>
      </c>
      <c r="S9211" t="s">
        <v>679</v>
      </c>
      <c r="T9211" t="s">
        <v>114</v>
      </c>
      <c r="U9211" t="s">
        <v>115</v>
      </c>
    </row>
    <row r="9212" spans="1:21" x14ac:dyDescent="0.3">
      <c r="A9212" t="s">
        <v>35</v>
      </c>
      <c r="B9212" t="s">
        <v>340</v>
      </c>
      <c r="C9212">
        <v>2888</v>
      </c>
      <c r="D9212" t="s">
        <v>1182</v>
      </c>
      <c r="E9212" t="s">
        <v>416</v>
      </c>
      <c r="F9212" t="s">
        <v>101</v>
      </c>
      <c r="G9212" t="s">
        <v>101</v>
      </c>
      <c r="H9212" t="s">
        <v>700</v>
      </c>
      <c r="I9212" t="s">
        <v>446</v>
      </c>
      <c r="J9212" t="s">
        <v>332</v>
      </c>
      <c r="K9212" t="s">
        <v>253</v>
      </c>
      <c r="L9212" t="s">
        <v>123</v>
      </c>
      <c r="M9212" t="s">
        <v>412</v>
      </c>
      <c r="N9212" t="s">
        <v>248</v>
      </c>
      <c r="O9212" t="s">
        <v>155</v>
      </c>
      <c r="P9212" t="s">
        <v>678</v>
      </c>
      <c r="Q9212" t="s">
        <v>98</v>
      </c>
      <c r="R9212" t="s">
        <v>151</v>
      </c>
      <c r="S9212" t="s">
        <v>474</v>
      </c>
      <c r="T9212" t="s">
        <v>152</v>
      </c>
      <c r="U9212" t="s">
        <v>136</v>
      </c>
    </row>
    <row r="9213" spans="1:21" x14ac:dyDescent="0.3">
      <c r="A9213" t="s">
        <v>35</v>
      </c>
      <c r="B9213" t="s">
        <v>365</v>
      </c>
      <c r="C9213">
        <v>65</v>
      </c>
      <c r="D9213" t="s">
        <v>1069</v>
      </c>
      <c r="E9213" t="s">
        <v>1044</v>
      </c>
      <c r="F9213" t="s">
        <v>108</v>
      </c>
      <c r="G9213" t="s">
        <v>99</v>
      </c>
      <c r="H9213" t="s">
        <v>134</v>
      </c>
      <c r="I9213" t="s">
        <v>410</v>
      </c>
      <c r="J9213" t="s">
        <v>138</v>
      </c>
      <c r="K9213" t="s">
        <v>99</v>
      </c>
      <c r="L9213" t="s">
        <v>108</v>
      </c>
      <c r="M9213" t="s">
        <v>311</v>
      </c>
      <c r="N9213" t="s">
        <v>150</v>
      </c>
      <c r="O9213" t="s">
        <v>99</v>
      </c>
      <c r="P9213" t="s">
        <v>301</v>
      </c>
      <c r="Q9213" t="s">
        <v>103</v>
      </c>
      <c r="R9213" t="s">
        <v>99</v>
      </c>
      <c r="S9213" t="s">
        <v>408</v>
      </c>
      <c r="T9213" t="s">
        <v>99</v>
      </c>
      <c r="U9213" t="s">
        <v>99</v>
      </c>
    </row>
    <row r="9214" spans="1:21" x14ac:dyDescent="0.3">
      <c r="A9214" t="s">
        <v>37</v>
      </c>
      <c r="B9214" t="s">
        <v>339</v>
      </c>
      <c r="C9214">
        <v>1836</v>
      </c>
      <c r="D9214" t="s">
        <v>591</v>
      </c>
      <c r="E9214" t="s">
        <v>163</v>
      </c>
      <c r="F9214" t="s">
        <v>117</v>
      </c>
      <c r="G9214" t="s">
        <v>712</v>
      </c>
      <c r="H9214" t="s">
        <v>703</v>
      </c>
      <c r="I9214" t="s">
        <v>1258</v>
      </c>
      <c r="J9214" t="s">
        <v>401</v>
      </c>
      <c r="K9214" t="s">
        <v>207</v>
      </c>
      <c r="L9214" t="s">
        <v>154</v>
      </c>
      <c r="M9214" t="s">
        <v>160</v>
      </c>
      <c r="N9214" t="s">
        <v>369</v>
      </c>
      <c r="O9214" t="s">
        <v>474</v>
      </c>
      <c r="P9214" t="s">
        <v>165</v>
      </c>
      <c r="Q9214" t="s">
        <v>412</v>
      </c>
      <c r="R9214" t="s">
        <v>268</v>
      </c>
      <c r="S9214" t="s">
        <v>299</v>
      </c>
      <c r="T9214" t="s">
        <v>198</v>
      </c>
      <c r="U9214" t="s">
        <v>141</v>
      </c>
    </row>
    <row r="9215" spans="1:21" x14ac:dyDescent="0.3">
      <c r="A9215" t="s">
        <v>37</v>
      </c>
      <c r="B9215" t="s">
        <v>340</v>
      </c>
      <c r="C9215">
        <v>3310</v>
      </c>
      <c r="D9215" t="s">
        <v>614</v>
      </c>
      <c r="E9215" t="s">
        <v>267</v>
      </c>
      <c r="F9215" t="s">
        <v>121</v>
      </c>
      <c r="G9215" t="s">
        <v>105</v>
      </c>
      <c r="H9215" t="s">
        <v>240</v>
      </c>
      <c r="I9215" t="s">
        <v>561</v>
      </c>
      <c r="J9215" t="s">
        <v>328</v>
      </c>
      <c r="K9215" t="s">
        <v>115</v>
      </c>
      <c r="L9215" t="s">
        <v>114</v>
      </c>
      <c r="M9215" t="s">
        <v>325</v>
      </c>
      <c r="N9215" t="s">
        <v>353</v>
      </c>
      <c r="O9215" t="s">
        <v>118</v>
      </c>
      <c r="P9215" t="s">
        <v>720</v>
      </c>
      <c r="Q9215" t="s">
        <v>160</v>
      </c>
      <c r="R9215" t="s">
        <v>382</v>
      </c>
      <c r="S9215" t="s">
        <v>412</v>
      </c>
      <c r="T9215" t="s">
        <v>141</v>
      </c>
      <c r="U9215" t="s">
        <v>207</v>
      </c>
    </row>
    <row r="9216" spans="1:21" x14ac:dyDescent="0.3">
      <c r="A9216" t="s">
        <v>37</v>
      </c>
      <c r="B9216" t="s">
        <v>365</v>
      </c>
      <c r="C9216">
        <v>54</v>
      </c>
      <c r="D9216" t="s">
        <v>1120</v>
      </c>
      <c r="E9216" t="s">
        <v>315</v>
      </c>
      <c r="F9216" t="s">
        <v>151</v>
      </c>
      <c r="G9216" t="s">
        <v>147</v>
      </c>
      <c r="H9216" t="s">
        <v>281</v>
      </c>
      <c r="I9216" t="s">
        <v>473</v>
      </c>
      <c r="J9216" t="s">
        <v>154</v>
      </c>
      <c r="K9216" t="s">
        <v>99</v>
      </c>
      <c r="L9216" t="s">
        <v>319</v>
      </c>
      <c r="M9216" t="s">
        <v>204</v>
      </c>
      <c r="N9216" t="s">
        <v>125</v>
      </c>
      <c r="O9216" t="s">
        <v>99</v>
      </c>
      <c r="P9216" t="s">
        <v>240</v>
      </c>
      <c r="Q9216" t="s">
        <v>299</v>
      </c>
      <c r="R9216" t="s">
        <v>99</v>
      </c>
      <c r="S9216" t="s">
        <v>734</v>
      </c>
      <c r="T9216" t="s">
        <v>99</v>
      </c>
      <c r="U9216" t="s">
        <v>154</v>
      </c>
    </row>
    <row r="9217" spans="1:21" x14ac:dyDescent="0.3">
      <c r="A9217" t="s">
        <v>36</v>
      </c>
      <c r="B9217" t="s">
        <v>339</v>
      </c>
      <c r="C9217">
        <v>1163</v>
      </c>
      <c r="D9217" t="s">
        <v>636</v>
      </c>
      <c r="E9217" t="s">
        <v>248</v>
      </c>
      <c r="F9217" t="s">
        <v>129</v>
      </c>
      <c r="G9217" t="s">
        <v>292</v>
      </c>
      <c r="H9217" t="s">
        <v>960</v>
      </c>
      <c r="I9217" t="s">
        <v>728</v>
      </c>
      <c r="J9217" t="s">
        <v>184</v>
      </c>
      <c r="K9217" t="s">
        <v>104</v>
      </c>
      <c r="L9217" t="s">
        <v>127</v>
      </c>
      <c r="M9217" t="s">
        <v>74</v>
      </c>
      <c r="N9217" t="s">
        <v>679</v>
      </c>
      <c r="O9217" t="s">
        <v>292</v>
      </c>
      <c r="P9217" t="s">
        <v>163</v>
      </c>
      <c r="Q9217" t="s">
        <v>107</v>
      </c>
      <c r="R9217" t="s">
        <v>253</v>
      </c>
      <c r="S9217" t="s">
        <v>206</v>
      </c>
      <c r="T9217" t="s">
        <v>319</v>
      </c>
      <c r="U9217" t="s">
        <v>121</v>
      </c>
    </row>
    <row r="9218" spans="1:21" x14ac:dyDescent="0.3">
      <c r="A9218" t="s">
        <v>36</v>
      </c>
      <c r="B9218" t="s">
        <v>340</v>
      </c>
      <c r="C9218">
        <v>1795</v>
      </c>
      <c r="D9218" t="s">
        <v>808</v>
      </c>
      <c r="E9218" t="s">
        <v>76</v>
      </c>
      <c r="F9218" t="s">
        <v>126</v>
      </c>
      <c r="G9218" t="s">
        <v>108</v>
      </c>
      <c r="H9218" t="s">
        <v>370</v>
      </c>
      <c r="I9218" t="s">
        <v>341</v>
      </c>
      <c r="J9218" t="s">
        <v>107</v>
      </c>
      <c r="K9218" t="s">
        <v>115</v>
      </c>
      <c r="L9218" t="s">
        <v>319</v>
      </c>
      <c r="M9218" t="s">
        <v>248</v>
      </c>
      <c r="N9218" t="s">
        <v>135</v>
      </c>
      <c r="O9218" t="s">
        <v>319</v>
      </c>
      <c r="P9218" t="s">
        <v>188</v>
      </c>
      <c r="Q9218" t="s">
        <v>663</v>
      </c>
      <c r="R9218" t="s">
        <v>121</v>
      </c>
      <c r="S9218" t="s">
        <v>152</v>
      </c>
      <c r="T9218" t="s">
        <v>121</v>
      </c>
      <c r="U9218" t="s">
        <v>136</v>
      </c>
    </row>
    <row r="9219" spans="1:21" x14ac:dyDescent="0.3">
      <c r="A9219" t="s">
        <v>36</v>
      </c>
      <c r="B9219" t="s">
        <v>365</v>
      </c>
      <c r="C9219">
        <v>92</v>
      </c>
      <c r="D9219" t="s">
        <v>822</v>
      </c>
      <c r="E9219" t="s">
        <v>182</v>
      </c>
      <c r="F9219" t="s">
        <v>319</v>
      </c>
      <c r="G9219" t="s">
        <v>99</v>
      </c>
      <c r="H9219" t="s">
        <v>188</v>
      </c>
      <c r="I9219" t="s">
        <v>307</v>
      </c>
      <c r="J9219" t="s">
        <v>664</v>
      </c>
      <c r="K9219" t="s">
        <v>253</v>
      </c>
      <c r="L9219" t="s">
        <v>99</v>
      </c>
      <c r="M9219" t="s">
        <v>98</v>
      </c>
      <c r="N9219" t="s">
        <v>716</v>
      </c>
      <c r="O9219" t="s">
        <v>99</v>
      </c>
      <c r="P9219" t="s">
        <v>540</v>
      </c>
      <c r="Q9219" t="s">
        <v>253</v>
      </c>
      <c r="R9219" t="s">
        <v>151</v>
      </c>
      <c r="S9219" t="s">
        <v>158</v>
      </c>
      <c r="T9219" t="s">
        <v>253</v>
      </c>
      <c r="U9219" t="s">
        <v>99</v>
      </c>
    </row>
    <row r="9220" spans="1:21" x14ac:dyDescent="0.3">
      <c r="A9220" t="s">
        <v>34</v>
      </c>
      <c r="B9220" t="s">
        <v>339</v>
      </c>
      <c r="C9220">
        <v>881</v>
      </c>
      <c r="D9220" t="s">
        <v>594</v>
      </c>
      <c r="E9220" t="s">
        <v>163</v>
      </c>
      <c r="F9220" t="s">
        <v>292</v>
      </c>
      <c r="G9220" t="s">
        <v>127</v>
      </c>
      <c r="H9220" t="s">
        <v>525</v>
      </c>
      <c r="I9220" t="s">
        <v>565</v>
      </c>
      <c r="J9220" t="s">
        <v>461</v>
      </c>
      <c r="K9220" t="s">
        <v>198</v>
      </c>
      <c r="L9220" t="s">
        <v>110</v>
      </c>
      <c r="M9220" t="s">
        <v>461</v>
      </c>
      <c r="N9220" t="s">
        <v>287</v>
      </c>
      <c r="O9220" t="s">
        <v>107</v>
      </c>
      <c r="P9220" t="s">
        <v>353</v>
      </c>
      <c r="Q9220" t="s">
        <v>328</v>
      </c>
      <c r="R9220" t="s">
        <v>121</v>
      </c>
      <c r="S9220" t="s">
        <v>677</v>
      </c>
      <c r="T9220" t="s">
        <v>141</v>
      </c>
      <c r="U9220" t="s">
        <v>101</v>
      </c>
    </row>
    <row r="9221" spans="1:21" x14ac:dyDescent="0.3">
      <c r="A9221" t="s">
        <v>34</v>
      </c>
      <c r="B9221" t="s">
        <v>340</v>
      </c>
      <c r="C9221">
        <v>1791</v>
      </c>
      <c r="D9221" t="s">
        <v>1239</v>
      </c>
      <c r="E9221" t="s">
        <v>206</v>
      </c>
      <c r="F9221" t="s">
        <v>115</v>
      </c>
      <c r="G9221" t="s">
        <v>268</v>
      </c>
      <c r="H9221" t="s">
        <v>442</v>
      </c>
      <c r="I9221" t="s">
        <v>967</v>
      </c>
      <c r="J9221" t="s">
        <v>139</v>
      </c>
      <c r="K9221" t="s">
        <v>136</v>
      </c>
      <c r="L9221" t="s">
        <v>132</v>
      </c>
      <c r="M9221" t="s">
        <v>78</v>
      </c>
      <c r="N9221" t="s">
        <v>135</v>
      </c>
      <c r="O9221" t="s">
        <v>382</v>
      </c>
      <c r="P9221" t="s">
        <v>718</v>
      </c>
      <c r="Q9221" t="s">
        <v>152</v>
      </c>
      <c r="R9221" t="s">
        <v>115</v>
      </c>
      <c r="S9221" t="s">
        <v>204</v>
      </c>
      <c r="T9221" t="s">
        <v>136</v>
      </c>
      <c r="U9221" t="s">
        <v>108</v>
      </c>
    </row>
    <row r="9222" spans="1:21" x14ac:dyDescent="0.3">
      <c r="A9222" t="s">
        <v>34</v>
      </c>
      <c r="B9222" t="s">
        <v>365</v>
      </c>
      <c r="C9222">
        <v>37</v>
      </c>
      <c r="D9222" t="s">
        <v>913</v>
      </c>
      <c r="E9222" t="s">
        <v>671</v>
      </c>
      <c r="F9222" t="s">
        <v>121</v>
      </c>
      <c r="G9222" t="s">
        <v>128</v>
      </c>
      <c r="H9222" t="s">
        <v>309</v>
      </c>
      <c r="I9222" t="s">
        <v>38</v>
      </c>
      <c r="J9222" t="s">
        <v>198</v>
      </c>
      <c r="K9222" t="s">
        <v>99</v>
      </c>
      <c r="L9222" t="s">
        <v>99</v>
      </c>
      <c r="M9222" t="s">
        <v>100</v>
      </c>
      <c r="N9222" t="s">
        <v>671</v>
      </c>
      <c r="O9222" t="s">
        <v>99</v>
      </c>
      <c r="P9222" t="s">
        <v>393</v>
      </c>
      <c r="Q9222" t="s">
        <v>248</v>
      </c>
      <c r="R9222" t="s">
        <v>99</v>
      </c>
      <c r="S9222" t="s">
        <v>353</v>
      </c>
      <c r="T9222" t="s">
        <v>99</v>
      </c>
      <c r="U9222" t="s">
        <v>372</v>
      </c>
    </row>
    <row r="9223" spans="1:21" x14ac:dyDescent="0.3">
      <c r="A9223" t="s">
        <v>33</v>
      </c>
      <c r="B9223" t="s">
        <v>339</v>
      </c>
      <c r="C9223">
        <v>812</v>
      </c>
      <c r="D9223" t="s">
        <v>1108</v>
      </c>
      <c r="E9223" t="s">
        <v>379</v>
      </c>
      <c r="F9223" t="s">
        <v>382</v>
      </c>
      <c r="G9223" t="s">
        <v>134</v>
      </c>
      <c r="H9223" t="s">
        <v>967</v>
      </c>
      <c r="I9223" t="s">
        <v>907</v>
      </c>
      <c r="J9223" t="s">
        <v>41</v>
      </c>
      <c r="K9223" t="s">
        <v>136</v>
      </c>
      <c r="L9223" t="s">
        <v>126</v>
      </c>
      <c r="M9223" t="s">
        <v>149</v>
      </c>
      <c r="N9223" t="s">
        <v>299</v>
      </c>
      <c r="O9223" t="s">
        <v>112</v>
      </c>
      <c r="P9223" t="s">
        <v>125</v>
      </c>
      <c r="Q9223" t="s">
        <v>468</v>
      </c>
      <c r="R9223" t="s">
        <v>253</v>
      </c>
      <c r="S9223" t="s">
        <v>145</v>
      </c>
      <c r="T9223" t="s">
        <v>108</v>
      </c>
      <c r="U9223" t="s">
        <v>253</v>
      </c>
    </row>
    <row r="9224" spans="1:21" x14ac:dyDescent="0.3">
      <c r="A9224" t="s">
        <v>33</v>
      </c>
      <c r="B9224" t="s">
        <v>340</v>
      </c>
      <c r="C9224">
        <v>1961</v>
      </c>
      <c r="D9224" t="s">
        <v>640</v>
      </c>
      <c r="E9224" t="s">
        <v>672</v>
      </c>
      <c r="F9224" t="s">
        <v>108</v>
      </c>
      <c r="G9224" t="s">
        <v>123</v>
      </c>
      <c r="H9224" t="s">
        <v>687</v>
      </c>
      <c r="I9224" t="s">
        <v>513</v>
      </c>
      <c r="J9224" t="s">
        <v>112</v>
      </c>
      <c r="K9224" t="s">
        <v>121</v>
      </c>
      <c r="L9224" t="s">
        <v>136</v>
      </c>
      <c r="M9224" t="s">
        <v>277</v>
      </c>
      <c r="N9224" t="s">
        <v>78</v>
      </c>
      <c r="O9224" t="s">
        <v>103</v>
      </c>
      <c r="P9224" t="s">
        <v>820</v>
      </c>
      <c r="Q9224" t="s">
        <v>299</v>
      </c>
      <c r="R9224" t="s">
        <v>100</v>
      </c>
      <c r="S9224" t="s">
        <v>129</v>
      </c>
      <c r="T9224" t="s">
        <v>141</v>
      </c>
      <c r="U9224" t="s">
        <v>132</v>
      </c>
    </row>
    <row r="9225" spans="1:21" x14ac:dyDescent="0.3">
      <c r="A9225" t="s">
        <v>33</v>
      </c>
      <c r="B9225" t="s">
        <v>365</v>
      </c>
      <c r="C9225">
        <v>30</v>
      </c>
      <c r="D9225" t="s">
        <v>279</v>
      </c>
      <c r="E9225" t="s">
        <v>745</v>
      </c>
      <c r="F9225" t="s">
        <v>99</v>
      </c>
      <c r="G9225" t="s">
        <v>294</v>
      </c>
      <c r="H9225" t="s">
        <v>294</v>
      </c>
      <c r="I9225" t="s">
        <v>688</v>
      </c>
      <c r="J9225" t="s">
        <v>99</v>
      </c>
      <c r="K9225" t="s">
        <v>157</v>
      </c>
      <c r="L9225" t="s">
        <v>110</v>
      </c>
      <c r="M9225" t="s">
        <v>99</v>
      </c>
      <c r="N9225" t="s">
        <v>68</v>
      </c>
      <c r="O9225" t="s">
        <v>117</v>
      </c>
      <c r="P9225" t="s">
        <v>748</v>
      </c>
      <c r="Q9225" t="s">
        <v>301</v>
      </c>
      <c r="R9225" t="s">
        <v>110</v>
      </c>
      <c r="S9225" t="s">
        <v>99</v>
      </c>
      <c r="T9225" t="s">
        <v>99</v>
      </c>
      <c r="U9225" t="s">
        <v>99</v>
      </c>
    </row>
    <row r="9226" spans="1:21" x14ac:dyDescent="0.3">
      <c r="A9226" t="s">
        <v>49</v>
      </c>
      <c r="B9226" t="s">
        <v>339</v>
      </c>
      <c r="C9226">
        <v>6125</v>
      </c>
      <c r="D9226" t="s">
        <v>905</v>
      </c>
      <c r="E9226" t="s">
        <v>311</v>
      </c>
      <c r="F9226" t="s">
        <v>128</v>
      </c>
      <c r="G9226" t="s">
        <v>147</v>
      </c>
      <c r="H9226" t="s">
        <v>924</v>
      </c>
      <c r="I9226" t="s">
        <v>595</v>
      </c>
      <c r="J9226" t="s">
        <v>125</v>
      </c>
      <c r="K9226" t="s">
        <v>198</v>
      </c>
      <c r="L9226" t="s">
        <v>147</v>
      </c>
      <c r="M9226" t="s">
        <v>664</v>
      </c>
      <c r="N9226" t="s">
        <v>142</v>
      </c>
      <c r="O9226" t="s">
        <v>110</v>
      </c>
      <c r="P9226" t="s">
        <v>804</v>
      </c>
      <c r="Q9226" t="s">
        <v>242</v>
      </c>
      <c r="R9226" t="s">
        <v>319</v>
      </c>
      <c r="S9226" t="s">
        <v>182</v>
      </c>
      <c r="T9226" t="s">
        <v>115</v>
      </c>
      <c r="U9226" t="s">
        <v>132</v>
      </c>
    </row>
    <row r="9227" spans="1:21" x14ac:dyDescent="0.3">
      <c r="A9227" t="s">
        <v>49</v>
      </c>
      <c r="B9227" t="s">
        <v>340</v>
      </c>
      <c r="C9227">
        <v>11745</v>
      </c>
      <c r="D9227" t="s">
        <v>818</v>
      </c>
      <c r="E9227" t="s">
        <v>677</v>
      </c>
      <c r="F9227" t="s">
        <v>100</v>
      </c>
      <c r="G9227" t="s">
        <v>292</v>
      </c>
      <c r="H9227" t="s">
        <v>425</v>
      </c>
      <c r="I9227" t="s">
        <v>214</v>
      </c>
      <c r="J9227" t="s">
        <v>112</v>
      </c>
      <c r="K9227" t="s">
        <v>115</v>
      </c>
      <c r="L9227" t="s">
        <v>100</v>
      </c>
      <c r="M9227" t="s">
        <v>204</v>
      </c>
      <c r="N9227" t="s">
        <v>679</v>
      </c>
      <c r="O9227" t="s">
        <v>147</v>
      </c>
      <c r="P9227" t="s">
        <v>501</v>
      </c>
      <c r="Q9227" t="s">
        <v>135</v>
      </c>
      <c r="R9227" t="s">
        <v>319</v>
      </c>
      <c r="S9227" t="s">
        <v>242</v>
      </c>
      <c r="T9227" t="s">
        <v>117</v>
      </c>
      <c r="U9227" t="s">
        <v>253</v>
      </c>
    </row>
    <row r="9228" spans="1:21" x14ac:dyDescent="0.3">
      <c r="A9228" t="s">
        <v>49</v>
      </c>
      <c r="B9228" t="s">
        <v>365</v>
      </c>
      <c r="C9228">
        <v>278</v>
      </c>
      <c r="D9228" t="s">
        <v>918</v>
      </c>
      <c r="E9228" t="s">
        <v>372</v>
      </c>
      <c r="F9228" t="s">
        <v>121</v>
      </c>
      <c r="G9228" t="s">
        <v>128</v>
      </c>
      <c r="H9228" t="s">
        <v>255</v>
      </c>
      <c r="I9228" t="s">
        <v>301</v>
      </c>
      <c r="J9228" t="s">
        <v>157</v>
      </c>
      <c r="K9228" t="s">
        <v>141</v>
      </c>
      <c r="L9228" t="s">
        <v>114</v>
      </c>
      <c r="M9228" t="s">
        <v>468</v>
      </c>
      <c r="N9228" t="s">
        <v>113</v>
      </c>
      <c r="O9228" t="s">
        <v>207</v>
      </c>
      <c r="P9228" t="s">
        <v>820</v>
      </c>
      <c r="Q9228" t="s">
        <v>675</v>
      </c>
      <c r="R9228" t="s">
        <v>108</v>
      </c>
      <c r="S9228" t="s">
        <v>262</v>
      </c>
      <c r="T9228" t="s">
        <v>104</v>
      </c>
      <c r="U9228" t="s">
        <v>134</v>
      </c>
    </row>
    <row r="9230" spans="1:21" x14ac:dyDescent="0.3">
      <c r="A9230" t="s">
        <v>2386</v>
      </c>
    </row>
    <row r="9231" spans="1:21" x14ac:dyDescent="0.3">
      <c r="A9231" t="s">
        <v>44</v>
      </c>
      <c r="B9231" t="s">
        <v>257</v>
      </c>
      <c r="C9231" t="s">
        <v>32</v>
      </c>
      <c r="D9231" t="s">
        <v>2363</v>
      </c>
      <c r="E9231" t="s">
        <v>2364</v>
      </c>
      <c r="F9231" t="s">
        <v>2365</v>
      </c>
      <c r="G9231" t="s">
        <v>2366</v>
      </c>
      <c r="H9231" t="s">
        <v>2367</v>
      </c>
      <c r="I9231" t="s">
        <v>2368</v>
      </c>
      <c r="J9231" t="s">
        <v>2369</v>
      </c>
      <c r="K9231" t="s">
        <v>2370</v>
      </c>
      <c r="L9231" t="s">
        <v>2371</v>
      </c>
      <c r="M9231" t="s">
        <v>2372</v>
      </c>
      <c r="N9231" t="s">
        <v>2373</v>
      </c>
      <c r="O9231" t="s">
        <v>2374</v>
      </c>
      <c r="P9231" t="s">
        <v>2375</v>
      </c>
      <c r="Q9231" t="s">
        <v>2376</v>
      </c>
      <c r="R9231" t="s">
        <v>2377</v>
      </c>
      <c r="S9231" t="s">
        <v>979</v>
      </c>
      <c r="T9231" t="s">
        <v>193</v>
      </c>
      <c r="U9231" t="s">
        <v>2378</v>
      </c>
    </row>
    <row r="9232" spans="1:21" x14ac:dyDescent="0.3">
      <c r="A9232" t="s">
        <v>35</v>
      </c>
      <c r="B9232" t="s">
        <v>258</v>
      </c>
      <c r="C9232">
        <v>4056</v>
      </c>
      <c r="D9232" t="s">
        <v>611</v>
      </c>
      <c r="E9232" t="s">
        <v>179</v>
      </c>
      <c r="F9232" t="s">
        <v>292</v>
      </c>
      <c r="G9232" t="s">
        <v>126</v>
      </c>
      <c r="H9232" t="s">
        <v>730</v>
      </c>
      <c r="I9232" t="s">
        <v>344</v>
      </c>
      <c r="J9232" t="s">
        <v>143</v>
      </c>
      <c r="K9232" t="s">
        <v>141</v>
      </c>
      <c r="L9232" t="s">
        <v>151</v>
      </c>
      <c r="M9232" t="s">
        <v>158</v>
      </c>
      <c r="N9232" t="s">
        <v>78</v>
      </c>
      <c r="O9232" t="s">
        <v>134</v>
      </c>
      <c r="P9232" t="s">
        <v>318</v>
      </c>
      <c r="Q9232" t="s">
        <v>68</v>
      </c>
      <c r="R9232" t="s">
        <v>127</v>
      </c>
      <c r="S9232" t="s">
        <v>412</v>
      </c>
      <c r="T9232" t="s">
        <v>158</v>
      </c>
      <c r="U9232" t="s">
        <v>136</v>
      </c>
    </row>
    <row r="9233" spans="1:21" x14ac:dyDescent="0.3">
      <c r="A9233" t="s">
        <v>35</v>
      </c>
      <c r="B9233" t="s">
        <v>260</v>
      </c>
      <c r="C9233">
        <v>330</v>
      </c>
      <c r="D9233" t="s">
        <v>539</v>
      </c>
      <c r="E9233" t="s">
        <v>218</v>
      </c>
      <c r="F9233" t="s">
        <v>268</v>
      </c>
      <c r="G9233" t="s">
        <v>147</v>
      </c>
      <c r="H9233" t="s">
        <v>501</v>
      </c>
      <c r="I9233" t="s">
        <v>1094</v>
      </c>
      <c r="J9233" t="s">
        <v>434</v>
      </c>
      <c r="K9233" t="s">
        <v>99</v>
      </c>
      <c r="L9233" t="s">
        <v>117</v>
      </c>
      <c r="M9233" t="s">
        <v>449</v>
      </c>
      <c r="N9233" t="s">
        <v>294</v>
      </c>
      <c r="O9233" t="s">
        <v>157</v>
      </c>
      <c r="P9233" t="s">
        <v>700</v>
      </c>
      <c r="Q9233" t="s">
        <v>160</v>
      </c>
      <c r="R9233" t="s">
        <v>121</v>
      </c>
      <c r="S9233" t="s">
        <v>722</v>
      </c>
      <c r="T9233" t="s">
        <v>114</v>
      </c>
      <c r="U9233" t="s">
        <v>319</v>
      </c>
    </row>
    <row r="9234" spans="1:21" x14ac:dyDescent="0.3">
      <c r="A9234" t="s">
        <v>37</v>
      </c>
      <c r="B9234" t="s">
        <v>258</v>
      </c>
      <c r="C9234">
        <v>5200</v>
      </c>
      <c r="D9234" t="s">
        <v>551</v>
      </c>
      <c r="E9234" t="s">
        <v>688</v>
      </c>
      <c r="F9234" t="s">
        <v>382</v>
      </c>
      <c r="G9234" t="s">
        <v>154</v>
      </c>
      <c r="H9234" t="s">
        <v>920</v>
      </c>
      <c r="I9234" t="s">
        <v>831</v>
      </c>
      <c r="J9234" t="s">
        <v>675</v>
      </c>
      <c r="K9234" t="s">
        <v>253</v>
      </c>
      <c r="L9234" t="s">
        <v>123</v>
      </c>
      <c r="M9234" t="s">
        <v>145</v>
      </c>
      <c r="N9234" t="s">
        <v>461</v>
      </c>
      <c r="O9234" t="s">
        <v>129</v>
      </c>
      <c r="P9234" t="s">
        <v>357</v>
      </c>
      <c r="Q9234" t="s">
        <v>254</v>
      </c>
      <c r="R9234" t="s">
        <v>127</v>
      </c>
      <c r="S9234" t="s">
        <v>145</v>
      </c>
      <c r="T9234" t="s">
        <v>136</v>
      </c>
      <c r="U9234" t="s">
        <v>136</v>
      </c>
    </row>
    <row r="9235" spans="1:21" x14ac:dyDescent="0.3">
      <c r="A9235" t="s">
        <v>36</v>
      </c>
      <c r="B9235" t="s">
        <v>258</v>
      </c>
      <c r="C9235">
        <v>2769</v>
      </c>
      <c r="D9235" t="s">
        <v>823</v>
      </c>
      <c r="E9235" t="s">
        <v>289</v>
      </c>
      <c r="F9235" t="s">
        <v>117</v>
      </c>
      <c r="G9235" t="s">
        <v>101</v>
      </c>
      <c r="H9235" t="s">
        <v>529</v>
      </c>
      <c r="I9235" t="s">
        <v>719</v>
      </c>
      <c r="J9235" t="s">
        <v>139</v>
      </c>
      <c r="K9235" t="s">
        <v>141</v>
      </c>
      <c r="L9235" t="s">
        <v>126</v>
      </c>
      <c r="M9235" t="s">
        <v>160</v>
      </c>
      <c r="N9235" t="s">
        <v>160</v>
      </c>
      <c r="O9235" t="s">
        <v>382</v>
      </c>
      <c r="P9235" t="s">
        <v>186</v>
      </c>
      <c r="Q9235" t="s">
        <v>277</v>
      </c>
      <c r="R9235" t="s">
        <v>114</v>
      </c>
      <c r="S9235" t="s">
        <v>461</v>
      </c>
      <c r="T9235" t="s">
        <v>101</v>
      </c>
      <c r="U9235" t="s">
        <v>115</v>
      </c>
    </row>
    <row r="9236" spans="1:21" x14ac:dyDescent="0.3">
      <c r="A9236" t="s">
        <v>36</v>
      </c>
      <c r="B9236" t="s">
        <v>260</v>
      </c>
      <c r="C9236">
        <v>281</v>
      </c>
      <c r="D9236" t="s">
        <v>906</v>
      </c>
      <c r="E9236" t="s">
        <v>726</v>
      </c>
      <c r="F9236" t="s">
        <v>100</v>
      </c>
      <c r="G9236" t="s">
        <v>127</v>
      </c>
      <c r="H9236" t="s">
        <v>309</v>
      </c>
      <c r="I9236" t="s">
        <v>924</v>
      </c>
      <c r="J9236" t="s">
        <v>363</v>
      </c>
      <c r="K9236" t="s">
        <v>136</v>
      </c>
      <c r="L9236" t="s">
        <v>100</v>
      </c>
      <c r="M9236" t="s">
        <v>38</v>
      </c>
      <c r="N9236" t="s">
        <v>218</v>
      </c>
      <c r="O9236" t="s">
        <v>110</v>
      </c>
      <c r="P9236" t="s">
        <v>393</v>
      </c>
      <c r="Q9236" t="s">
        <v>158</v>
      </c>
      <c r="R9236" t="s">
        <v>100</v>
      </c>
      <c r="S9236" t="s">
        <v>218</v>
      </c>
      <c r="T9236" t="s">
        <v>136</v>
      </c>
      <c r="U9236" t="s">
        <v>103</v>
      </c>
    </row>
    <row r="9237" spans="1:21" x14ac:dyDescent="0.3">
      <c r="A9237" t="s">
        <v>34</v>
      </c>
      <c r="B9237" t="s">
        <v>258</v>
      </c>
      <c r="C9237">
        <v>1603</v>
      </c>
      <c r="D9237" t="s">
        <v>1497</v>
      </c>
      <c r="E9237" t="s">
        <v>204</v>
      </c>
      <c r="F9237" t="s">
        <v>115</v>
      </c>
      <c r="G9237" t="s">
        <v>268</v>
      </c>
      <c r="H9237" t="s">
        <v>665</v>
      </c>
      <c r="I9237" t="s">
        <v>1570</v>
      </c>
      <c r="J9237" t="s">
        <v>152</v>
      </c>
      <c r="K9237" t="s">
        <v>99</v>
      </c>
      <c r="L9237" t="s">
        <v>108</v>
      </c>
      <c r="M9237" t="s">
        <v>124</v>
      </c>
      <c r="N9237" t="s">
        <v>325</v>
      </c>
      <c r="O9237" t="s">
        <v>121</v>
      </c>
      <c r="P9237" t="s">
        <v>798</v>
      </c>
      <c r="Q9237" t="s">
        <v>474</v>
      </c>
      <c r="R9237" t="s">
        <v>141</v>
      </c>
      <c r="S9237" t="s">
        <v>105</v>
      </c>
      <c r="T9237" t="s">
        <v>198</v>
      </c>
      <c r="U9237" t="s">
        <v>198</v>
      </c>
    </row>
    <row r="9238" spans="1:21" x14ac:dyDescent="0.3">
      <c r="A9238" t="s">
        <v>34</v>
      </c>
      <c r="B9238" t="s">
        <v>260</v>
      </c>
      <c r="C9238">
        <v>1106</v>
      </c>
      <c r="D9238" t="s">
        <v>1061</v>
      </c>
      <c r="E9238" t="s">
        <v>231</v>
      </c>
      <c r="F9238" t="s">
        <v>382</v>
      </c>
      <c r="G9238" t="s">
        <v>123</v>
      </c>
      <c r="H9238" t="s">
        <v>842</v>
      </c>
      <c r="I9238" t="s">
        <v>821</v>
      </c>
      <c r="J9238" t="s">
        <v>204</v>
      </c>
      <c r="K9238" t="s">
        <v>136</v>
      </c>
      <c r="L9238" t="s">
        <v>120</v>
      </c>
      <c r="M9238" t="s">
        <v>142</v>
      </c>
      <c r="N9238" t="s">
        <v>470</v>
      </c>
      <c r="O9238" t="s">
        <v>128</v>
      </c>
      <c r="P9238" t="s">
        <v>206</v>
      </c>
      <c r="Q9238" t="s">
        <v>679</v>
      </c>
      <c r="R9238" t="s">
        <v>100</v>
      </c>
      <c r="S9238" t="s">
        <v>710</v>
      </c>
      <c r="T9238" t="s">
        <v>253</v>
      </c>
      <c r="U9238" t="s">
        <v>127</v>
      </c>
    </row>
    <row r="9239" spans="1:21" x14ac:dyDescent="0.3">
      <c r="A9239" t="s">
        <v>33</v>
      </c>
      <c r="B9239" t="s">
        <v>258</v>
      </c>
      <c r="C9239">
        <v>2803</v>
      </c>
      <c r="D9239" t="s">
        <v>1255</v>
      </c>
      <c r="E9239" t="s">
        <v>746</v>
      </c>
      <c r="F9239" t="s">
        <v>100</v>
      </c>
      <c r="G9239" t="s">
        <v>103</v>
      </c>
      <c r="H9239" t="s">
        <v>1008</v>
      </c>
      <c r="I9239" t="s">
        <v>647</v>
      </c>
      <c r="J9239" t="s">
        <v>325</v>
      </c>
      <c r="K9239" t="s">
        <v>114</v>
      </c>
      <c r="L9239" t="s">
        <v>132</v>
      </c>
      <c r="M9239" t="s">
        <v>412</v>
      </c>
      <c r="N9239" t="s">
        <v>248</v>
      </c>
      <c r="O9239" t="s">
        <v>157</v>
      </c>
      <c r="P9239" t="s">
        <v>676</v>
      </c>
      <c r="Q9239" t="s">
        <v>679</v>
      </c>
      <c r="R9239" t="s">
        <v>114</v>
      </c>
      <c r="S9239" t="s">
        <v>139</v>
      </c>
      <c r="T9239" t="s">
        <v>253</v>
      </c>
      <c r="U9239" t="s">
        <v>115</v>
      </c>
    </row>
    <row r="9240" spans="1:21" x14ac:dyDescent="0.3">
      <c r="A9240" t="s">
        <v>49</v>
      </c>
      <c r="B9240" t="s">
        <v>258</v>
      </c>
      <c r="C9240">
        <v>16431</v>
      </c>
      <c r="D9240" t="s">
        <v>937</v>
      </c>
      <c r="E9240" t="s">
        <v>680</v>
      </c>
      <c r="F9240" t="s">
        <v>215</v>
      </c>
      <c r="G9240" t="s">
        <v>117</v>
      </c>
      <c r="H9240" t="s">
        <v>742</v>
      </c>
      <c r="I9240" t="s">
        <v>914</v>
      </c>
      <c r="J9240" t="s">
        <v>143</v>
      </c>
      <c r="K9240" t="s">
        <v>253</v>
      </c>
      <c r="L9240" t="s">
        <v>382</v>
      </c>
      <c r="M9240" t="s">
        <v>328</v>
      </c>
      <c r="N9240" t="s">
        <v>248</v>
      </c>
      <c r="O9240" t="s">
        <v>138</v>
      </c>
      <c r="P9240" t="s">
        <v>444</v>
      </c>
      <c r="Q9240" t="s">
        <v>204</v>
      </c>
      <c r="R9240" t="s">
        <v>126</v>
      </c>
      <c r="S9240" t="s">
        <v>468</v>
      </c>
      <c r="T9240" t="s">
        <v>151</v>
      </c>
      <c r="U9240" t="s">
        <v>141</v>
      </c>
    </row>
    <row r="9241" spans="1:21" x14ac:dyDescent="0.3">
      <c r="A9241" t="s">
        <v>49</v>
      </c>
      <c r="B9241" t="s">
        <v>260</v>
      </c>
      <c r="C9241">
        <v>1717</v>
      </c>
      <c r="D9241" t="s">
        <v>622</v>
      </c>
      <c r="E9241" t="s">
        <v>201</v>
      </c>
      <c r="F9241" t="s">
        <v>127</v>
      </c>
      <c r="G9241" t="s">
        <v>292</v>
      </c>
      <c r="H9241" t="s">
        <v>473</v>
      </c>
      <c r="I9241" t="s">
        <v>934</v>
      </c>
      <c r="J9241" t="s">
        <v>468</v>
      </c>
      <c r="K9241" t="s">
        <v>207</v>
      </c>
      <c r="L9241" t="s">
        <v>128</v>
      </c>
      <c r="M9241" t="s">
        <v>470</v>
      </c>
      <c r="N9241" t="s">
        <v>262</v>
      </c>
      <c r="O9241" t="s">
        <v>120</v>
      </c>
      <c r="P9241" t="s">
        <v>721</v>
      </c>
      <c r="Q9241" t="s">
        <v>184</v>
      </c>
      <c r="R9241" t="s">
        <v>100</v>
      </c>
      <c r="S9241" t="s">
        <v>289</v>
      </c>
      <c r="T9241" t="s">
        <v>253</v>
      </c>
      <c r="U9241" t="s">
        <v>127</v>
      </c>
    </row>
    <row r="9243" spans="1:21" x14ac:dyDescent="0.3">
      <c r="A9243" t="s">
        <v>2387</v>
      </c>
    </row>
    <row r="9244" spans="1:21" x14ac:dyDescent="0.3">
      <c r="A9244" t="s">
        <v>44</v>
      </c>
      <c r="B9244" t="s">
        <v>1590</v>
      </c>
      <c r="C9244" t="s">
        <v>32</v>
      </c>
      <c r="D9244" t="s">
        <v>2363</v>
      </c>
      <c r="E9244" t="s">
        <v>2364</v>
      </c>
      <c r="F9244" t="s">
        <v>2365</v>
      </c>
      <c r="G9244" t="s">
        <v>2366</v>
      </c>
      <c r="H9244" t="s">
        <v>2367</v>
      </c>
      <c r="I9244" t="s">
        <v>2368</v>
      </c>
      <c r="J9244" t="s">
        <v>2369</v>
      </c>
      <c r="K9244" t="s">
        <v>2370</v>
      </c>
      <c r="L9244" t="s">
        <v>2371</v>
      </c>
      <c r="M9244" t="s">
        <v>2372</v>
      </c>
      <c r="N9244" t="s">
        <v>2373</v>
      </c>
      <c r="O9244" t="s">
        <v>2374</v>
      </c>
      <c r="P9244" t="s">
        <v>2375</v>
      </c>
      <c r="Q9244" t="s">
        <v>2376</v>
      </c>
      <c r="R9244" t="s">
        <v>2377</v>
      </c>
      <c r="S9244" t="s">
        <v>979</v>
      </c>
      <c r="T9244" t="s">
        <v>193</v>
      </c>
      <c r="U9244" t="s">
        <v>2378</v>
      </c>
    </row>
    <row r="9245" spans="1:21" x14ac:dyDescent="0.3">
      <c r="A9245" t="s">
        <v>35</v>
      </c>
      <c r="B9245" t="s">
        <v>1591</v>
      </c>
      <c r="C9245">
        <v>2255</v>
      </c>
      <c r="D9245" t="s">
        <v>925</v>
      </c>
      <c r="E9245" t="s">
        <v>355</v>
      </c>
      <c r="F9245" t="s">
        <v>117</v>
      </c>
      <c r="G9245" t="s">
        <v>215</v>
      </c>
      <c r="H9245" t="s">
        <v>868</v>
      </c>
      <c r="I9245" t="s">
        <v>924</v>
      </c>
      <c r="J9245" t="s">
        <v>70</v>
      </c>
      <c r="K9245" t="s">
        <v>198</v>
      </c>
      <c r="L9245" t="s">
        <v>268</v>
      </c>
      <c r="M9245" t="s">
        <v>135</v>
      </c>
      <c r="N9245" t="s">
        <v>470</v>
      </c>
      <c r="O9245" t="s">
        <v>712</v>
      </c>
      <c r="P9245" t="s">
        <v>393</v>
      </c>
      <c r="Q9245" t="s">
        <v>277</v>
      </c>
      <c r="R9245" t="s">
        <v>382</v>
      </c>
      <c r="S9245" t="s">
        <v>143</v>
      </c>
      <c r="T9245" t="s">
        <v>242</v>
      </c>
      <c r="U9245" t="s">
        <v>253</v>
      </c>
    </row>
    <row r="9246" spans="1:21" x14ac:dyDescent="0.3">
      <c r="A9246" t="s">
        <v>35</v>
      </c>
      <c r="B9246" t="s">
        <v>1592</v>
      </c>
      <c r="C9246">
        <v>2088</v>
      </c>
      <c r="D9246" t="s">
        <v>1143</v>
      </c>
      <c r="E9246" t="s">
        <v>171</v>
      </c>
      <c r="F9246" t="s">
        <v>127</v>
      </c>
      <c r="G9246" t="s">
        <v>126</v>
      </c>
      <c r="H9246" t="s">
        <v>738</v>
      </c>
      <c r="I9246" t="s">
        <v>666</v>
      </c>
      <c r="J9246" t="s">
        <v>129</v>
      </c>
      <c r="K9246" t="s">
        <v>115</v>
      </c>
      <c r="L9246" t="s">
        <v>215</v>
      </c>
      <c r="M9246" t="s">
        <v>684</v>
      </c>
      <c r="N9246" t="s">
        <v>145</v>
      </c>
      <c r="O9246" t="s">
        <v>107</v>
      </c>
      <c r="P9246" t="s">
        <v>244</v>
      </c>
      <c r="Q9246" t="s">
        <v>277</v>
      </c>
      <c r="R9246" t="s">
        <v>123</v>
      </c>
      <c r="S9246" t="s">
        <v>68</v>
      </c>
      <c r="T9246" t="s">
        <v>149</v>
      </c>
      <c r="U9246" t="s">
        <v>136</v>
      </c>
    </row>
    <row r="9247" spans="1:21" x14ac:dyDescent="0.3">
      <c r="A9247" t="s">
        <v>35</v>
      </c>
      <c r="B9247" t="s">
        <v>365</v>
      </c>
      <c r="C9247">
        <v>43</v>
      </c>
      <c r="D9247" t="s">
        <v>599</v>
      </c>
      <c r="E9247" t="s">
        <v>722</v>
      </c>
      <c r="F9247" t="s">
        <v>110</v>
      </c>
      <c r="G9247" t="s">
        <v>108</v>
      </c>
      <c r="H9247" t="s">
        <v>150</v>
      </c>
      <c r="I9247" t="s">
        <v>451</v>
      </c>
      <c r="J9247" t="s">
        <v>70</v>
      </c>
      <c r="K9247" t="s">
        <v>99</v>
      </c>
      <c r="L9247" t="s">
        <v>108</v>
      </c>
      <c r="M9247" t="s">
        <v>128</v>
      </c>
      <c r="N9247" t="s">
        <v>242</v>
      </c>
      <c r="O9247" t="s">
        <v>99</v>
      </c>
      <c r="P9247" t="s">
        <v>38</v>
      </c>
      <c r="Q9247" t="s">
        <v>120</v>
      </c>
      <c r="R9247" t="s">
        <v>99</v>
      </c>
      <c r="S9247" t="s">
        <v>135</v>
      </c>
      <c r="T9247" t="s">
        <v>727</v>
      </c>
      <c r="U9247" t="s">
        <v>99</v>
      </c>
    </row>
    <row r="9248" spans="1:21" x14ac:dyDescent="0.3">
      <c r="A9248" t="s">
        <v>37</v>
      </c>
      <c r="B9248" t="s">
        <v>1591</v>
      </c>
      <c r="C9248">
        <v>2529</v>
      </c>
      <c r="D9248" t="s">
        <v>946</v>
      </c>
      <c r="E9248" t="s">
        <v>677</v>
      </c>
      <c r="F9248" t="s">
        <v>215</v>
      </c>
      <c r="G9248" t="s">
        <v>110</v>
      </c>
      <c r="H9248" t="s">
        <v>838</v>
      </c>
      <c r="I9248" t="s">
        <v>905</v>
      </c>
      <c r="J9248" t="s">
        <v>160</v>
      </c>
      <c r="K9248" t="s">
        <v>198</v>
      </c>
      <c r="L9248" t="s">
        <v>111</v>
      </c>
      <c r="M9248" t="s">
        <v>401</v>
      </c>
      <c r="N9248" t="s">
        <v>470</v>
      </c>
      <c r="O9248" t="s">
        <v>474</v>
      </c>
      <c r="P9248" t="s">
        <v>482</v>
      </c>
      <c r="Q9248" t="s">
        <v>74</v>
      </c>
      <c r="R9248" t="s">
        <v>127</v>
      </c>
      <c r="S9248" t="s">
        <v>663</v>
      </c>
      <c r="T9248" t="s">
        <v>136</v>
      </c>
      <c r="U9248" t="s">
        <v>141</v>
      </c>
    </row>
    <row r="9249" spans="1:21" x14ac:dyDescent="0.3">
      <c r="A9249" t="s">
        <v>37</v>
      </c>
      <c r="B9249" t="s">
        <v>1592</v>
      </c>
      <c r="C9249">
        <v>2578</v>
      </c>
      <c r="D9249" t="s">
        <v>620</v>
      </c>
      <c r="E9249" t="s">
        <v>708</v>
      </c>
      <c r="F9249" t="s">
        <v>126</v>
      </c>
      <c r="G9249" t="s">
        <v>138</v>
      </c>
      <c r="H9249" t="s">
        <v>137</v>
      </c>
      <c r="I9249" t="s">
        <v>496</v>
      </c>
      <c r="J9249" t="s">
        <v>143</v>
      </c>
      <c r="K9249" t="s">
        <v>108</v>
      </c>
      <c r="L9249" t="s">
        <v>215</v>
      </c>
      <c r="M9249" t="s">
        <v>139</v>
      </c>
      <c r="N9249" t="s">
        <v>122</v>
      </c>
      <c r="O9249" t="s">
        <v>154</v>
      </c>
      <c r="P9249" t="s">
        <v>188</v>
      </c>
      <c r="Q9249" t="s">
        <v>254</v>
      </c>
      <c r="R9249" t="s">
        <v>127</v>
      </c>
      <c r="S9249" t="s">
        <v>204</v>
      </c>
      <c r="T9249" t="s">
        <v>141</v>
      </c>
      <c r="U9249" t="s">
        <v>207</v>
      </c>
    </row>
    <row r="9250" spans="1:21" x14ac:dyDescent="0.3">
      <c r="A9250" t="s">
        <v>37</v>
      </c>
      <c r="B9250" t="s">
        <v>365</v>
      </c>
      <c r="C9250">
        <v>93</v>
      </c>
      <c r="D9250" t="s">
        <v>1188</v>
      </c>
      <c r="E9250" t="s">
        <v>220</v>
      </c>
      <c r="F9250" t="s">
        <v>319</v>
      </c>
      <c r="G9250" t="s">
        <v>108</v>
      </c>
      <c r="H9250" t="s">
        <v>738</v>
      </c>
      <c r="I9250" t="s">
        <v>578</v>
      </c>
      <c r="J9250" t="s">
        <v>134</v>
      </c>
      <c r="K9250" t="s">
        <v>126</v>
      </c>
      <c r="L9250" t="s">
        <v>99</v>
      </c>
      <c r="M9250" t="s">
        <v>144</v>
      </c>
      <c r="N9250" t="s">
        <v>294</v>
      </c>
      <c r="O9250" t="s">
        <v>103</v>
      </c>
      <c r="P9250" t="s">
        <v>715</v>
      </c>
      <c r="Q9250" t="s">
        <v>664</v>
      </c>
      <c r="R9250" t="s">
        <v>107</v>
      </c>
      <c r="S9250" t="s">
        <v>468</v>
      </c>
      <c r="T9250" t="s">
        <v>99</v>
      </c>
      <c r="U9250" t="s">
        <v>115</v>
      </c>
    </row>
    <row r="9251" spans="1:21" x14ac:dyDescent="0.3">
      <c r="A9251" t="s">
        <v>36</v>
      </c>
      <c r="B9251" t="s">
        <v>1591</v>
      </c>
      <c r="C9251">
        <v>2140</v>
      </c>
      <c r="D9251" t="s">
        <v>607</v>
      </c>
      <c r="E9251" t="s">
        <v>175</v>
      </c>
      <c r="F9251" t="s">
        <v>117</v>
      </c>
      <c r="G9251" t="s">
        <v>382</v>
      </c>
      <c r="H9251" t="s">
        <v>140</v>
      </c>
      <c r="I9251" t="s">
        <v>1214</v>
      </c>
      <c r="J9251" t="s">
        <v>434</v>
      </c>
      <c r="K9251" t="s">
        <v>207</v>
      </c>
      <c r="L9251" t="s">
        <v>215</v>
      </c>
      <c r="M9251" t="s">
        <v>143</v>
      </c>
      <c r="N9251" t="s">
        <v>401</v>
      </c>
      <c r="O9251" t="s">
        <v>126</v>
      </c>
      <c r="P9251" t="s">
        <v>701</v>
      </c>
      <c r="Q9251" t="s">
        <v>325</v>
      </c>
      <c r="R9251" t="s">
        <v>101</v>
      </c>
      <c r="S9251" t="s">
        <v>299</v>
      </c>
      <c r="T9251" t="s">
        <v>114</v>
      </c>
      <c r="U9251" t="s">
        <v>132</v>
      </c>
    </row>
    <row r="9252" spans="1:21" x14ac:dyDescent="0.3">
      <c r="A9252" t="s">
        <v>36</v>
      </c>
      <c r="B9252" t="s">
        <v>1592</v>
      </c>
      <c r="C9252">
        <v>885</v>
      </c>
      <c r="D9252" t="s">
        <v>629</v>
      </c>
      <c r="E9252" t="s">
        <v>679</v>
      </c>
      <c r="F9252" t="s">
        <v>268</v>
      </c>
      <c r="G9252" t="s">
        <v>108</v>
      </c>
      <c r="H9252" t="s">
        <v>442</v>
      </c>
      <c r="I9252" t="s">
        <v>832</v>
      </c>
      <c r="J9252" t="s">
        <v>124</v>
      </c>
      <c r="K9252" t="s">
        <v>132</v>
      </c>
      <c r="L9252" t="s">
        <v>114</v>
      </c>
      <c r="M9252" t="s">
        <v>125</v>
      </c>
      <c r="N9252" t="s">
        <v>277</v>
      </c>
      <c r="O9252" t="s">
        <v>215</v>
      </c>
      <c r="P9252" t="s">
        <v>357</v>
      </c>
      <c r="Q9252" t="s">
        <v>110</v>
      </c>
      <c r="R9252" t="s">
        <v>141</v>
      </c>
      <c r="S9252" t="s">
        <v>804</v>
      </c>
      <c r="T9252" t="s">
        <v>215</v>
      </c>
      <c r="U9252" t="s">
        <v>136</v>
      </c>
    </row>
    <row r="9253" spans="1:21" x14ac:dyDescent="0.3">
      <c r="A9253" t="s">
        <v>36</v>
      </c>
      <c r="B9253" t="s">
        <v>365</v>
      </c>
      <c r="C9253">
        <v>25</v>
      </c>
      <c r="D9253" t="s">
        <v>920</v>
      </c>
      <c r="E9253" t="s">
        <v>251</v>
      </c>
      <c r="F9253" t="s">
        <v>382</v>
      </c>
      <c r="G9253" t="s">
        <v>141</v>
      </c>
      <c r="H9253" t="s">
        <v>157</v>
      </c>
      <c r="I9253" t="s">
        <v>664</v>
      </c>
      <c r="J9253" t="s">
        <v>141</v>
      </c>
      <c r="K9253" t="s">
        <v>99</v>
      </c>
      <c r="L9253" t="s">
        <v>99</v>
      </c>
      <c r="M9253" t="s">
        <v>100</v>
      </c>
      <c r="N9253" t="s">
        <v>621</v>
      </c>
      <c r="O9253" t="s">
        <v>99</v>
      </c>
      <c r="P9253" t="s">
        <v>135</v>
      </c>
      <c r="Q9253" t="s">
        <v>100</v>
      </c>
      <c r="R9253" t="s">
        <v>99</v>
      </c>
      <c r="S9253" t="s">
        <v>798</v>
      </c>
      <c r="T9253" t="s">
        <v>99</v>
      </c>
      <c r="U9253" t="s">
        <v>141</v>
      </c>
    </row>
    <row r="9254" spans="1:21" x14ac:dyDescent="0.3">
      <c r="A9254" t="s">
        <v>34</v>
      </c>
      <c r="B9254" t="s">
        <v>1591</v>
      </c>
      <c r="C9254">
        <v>1353</v>
      </c>
      <c r="D9254" t="s">
        <v>1095</v>
      </c>
      <c r="E9254" t="s">
        <v>179</v>
      </c>
      <c r="F9254" t="s">
        <v>319</v>
      </c>
      <c r="G9254" t="s">
        <v>382</v>
      </c>
      <c r="H9254" t="s">
        <v>307</v>
      </c>
      <c r="I9254" t="s">
        <v>967</v>
      </c>
      <c r="J9254" t="s">
        <v>242</v>
      </c>
      <c r="K9254" t="s">
        <v>141</v>
      </c>
      <c r="L9254" t="s">
        <v>120</v>
      </c>
      <c r="M9254" t="s">
        <v>671</v>
      </c>
      <c r="N9254" t="s">
        <v>671</v>
      </c>
      <c r="O9254" t="s">
        <v>316</v>
      </c>
      <c r="P9254" t="s">
        <v>685</v>
      </c>
      <c r="Q9254" t="s">
        <v>135</v>
      </c>
      <c r="R9254" t="s">
        <v>114</v>
      </c>
      <c r="S9254" t="s">
        <v>313</v>
      </c>
      <c r="T9254" t="s">
        <v>141</v>
      </c>
      <c r="U9254" t="s">
        <v>319</v>
      </c>
    </row>
    <row r="9255" spans="1:21" x14ac:dyDescent="0.3">
      <c r="A9255" t="s">
        <v>34</v>
      </c>
      <c r="B9255" t="s">
        <v>1592</v>
      </c>
      <c r="C9255">
        <v>1271</v>
      </c>
      <c r="D9255" t="s">
        <v>1231</v>
      </c>
      <c r="E9255" t="s">
        <v>311</v>
      </c>
      <c r="F9255" t="s">
        <v>121</v>
      </c>
      <c r="G9255" t="s">
        <v>120</v>
      </c>
      <c r="H9255" t="s">
        <v>137</v>
      </c>
      <c r="I9255" t="s">
        <v>1113</v>
      </c>
      <c r="J9255" t="s">
        <v>679</v>
      </c>
      <c r="K9255" t="s">
        <v>104</v>
      </c>
      <c r="L9255" t="s">
        <v>101</v>
      </c>
      <c r="M9255" t="s">
        <v>135</v>
      </c>
      <c r="N9255" t="s">
        <v>664</v>
      </c>
      <c r="O9255" t="s">
        <v>215</v>
      </c>
      <c r="P9255" t="s">
        <v>680</v>
      </c>
      <c r="Q9255" t="s">
        <v>143</v>
      </c>
      <c r="R9255" t="s">
        <v>136</v>
      </c>
      <c r="S9255" t="s">
        <v>74</v>
      </c>
      <c r="T9255" t="s">
        <v>207</v>
      </c>
      <c r="U9255" t="s">
        <v>108</v>
      </c>
    </row>
    <row r="9256" spans="1:21" x14ac:dyDescent="0.3">
      <c r="A9256" t="s">
        <v>34</v>
      </c>
      <c r="B9256" t="s">
        <v>365</v>
      </c>
      <c r="C9256">
        <v>85</v>
      </c>
      <c r="D9256" t="s">
        <v>942</v>
      </c>
      <c r="E9256" t="s">
        <v>720</v>
      </c>
      <c r="F9256" t="s">
        <v>123</v>
      </c>
      <c r="G9256" t="s">
        <v>99</v>
      </c>
      <c r="H9256" t="s">
        <v>746</v>
      </c>
      <c r="I9256" t="s">
        <v>829</v>
      </c>
      <c r="J9256" t="s">
        <v>233</v>
      </c>
      <c r="K9256" t="s">
        <v>99</v>
      </c>
      <c r="L9256" t="s">
        <v>126</v>
      </c>
      <c r="M9256" t="s">
        <v>139</v>
      </c>
      <c r="N9256" t="s">
        <v>355</v>
      </c>
      <c r="O9256" t="s">
        <v>136</v>
      </c>
      <c r="P9256" t="s">
        <v>482</v>
      </c>
      <c r="Q9256" t="s">
        <v>124</v>
      </c>
      <c r="R9256" t="s">
        <v>675</v>
      </c>
      <c r="S9256" t="s">
        <v>255</v>
      </c>
      <c r="T9256" t="s">
        <v>103</v>
      </c>
      <c r="U9256" t="s">
        <v>328</v>
      </c>
    </row>
    <row r="9257" spans="1:21" x14ac:dyDescent="0.3">
      <c r="A9257" t="s">
        <v>33</v>
      </c>
      <c r="B9257" t="s">
        <v>1591</v>
      </c>
      <c r="C9257">
        <v>927</v>
      </c>
      <c r="D9257" t="s">
        <v>640</v>
      </c>
      <c r="E9257" t="s">
        <v>708</v>
      </c>
      <c r="F9257" t="s">
        <v>123</v>
      </c>
      <c r="G9257" t="s">
        <v>110</v>
      </c>
      <c r="H9257" t="s">
        <v>119</v>
      </c>
      <c r="I9257" t="s">
        <v>728</v>
      </c>
      <c r="J9257" t="s">
        <v>144</v>
      </c>
      <c r="K9257" t="s">
        <v>207</v>
      </c>
      <c r="L9257" t="s">
        <v>114</v>
      </c>
      <c r="M9257" t="s">
        <v>158</v>
      </c>
      <c r="N9257" t="s">
        <v>664</v>
      </c>
      <c r="O9257" t="s">
        <v>138</v>
      </c>
      <c r="P9257" t="s">
        <v>173</v>
      </c>
      <c r="Q9257" t="s">
        <v>242</v>
      </c>
      <c r="R9257" t="s">
        <v>114</v>
      </c>
      <c r="S9257" t="s">
        <v>144</v>
      </c>
      <c r="T9257" t="s">
        <v>108</v>
      </c>
      <c r="U9257" t="s">
        <v>132</v>
      </c>
    </row>
    <row r="9258" spans="1:21" x14ac:dyDescent="0.3">
      <c r="A9258" t="s">
        <v>33</v>
      </c>
      <c r="B9258" t="s">
        <v>1592</v>
      </c>
      <c r="C9258">
        <v>1860</v>
      </c>
      <c r="D9258" t="s">
        <v>1190</v>
      </c>
      <c r="E9258" t="s">
        <v>368</v>
      </c>
      <c r="F9258" t="s">
        <v>115</v>
      </c>
      <c r="G9258" t="s">
        <v>215</v>
      </c>
      <c r="H9258" t="s">
        <v>678</v>
      </c>
      <c r="I9258" t="s">
        <v>736</v>
      </c>
      <c r="J9258" t="s">
        <v>468</v>
      </c>
      <c r="K9258" t="s">
        <v>101</v>
      </c>
      <c r="L9258" t="s">
        <v>253</v>
      </c>
      <c r="M9258" t="s">
        <v>149</v>
      </c>
      <c r="N9258" t="s">
        <v>363</v>
      </c>
      <c r="O9258" t="s">
        <v>107</v>
      </c>
      <c r="P9258" t="s">
        <v>501</v>
      </c>
      <c r="Q9258" t="s">
        <v>41</v>
      </c>
      <c r="R9258" t="s">
        <v>114</v>
      </c>
      <c r="S9258" t="s">
        <v>129</v>
      </c>
      <c r="T9258" t="s">
        <v>141</v>
      </c>
      <c r="U9258" t="s">
        <v>115</v>
      </c>
    </row>
    <row r="9259" spans="1:21" x14ac:dyDescent="0.3">
      <c r="A9259" t="s">
        <v>33</v>
      </c>
      <c r="B9259" t="s">
        <v>365</v>
      </c>
      <c r="C9259">
        <v>16</v>
      </c>
      <c r="D9259" t="s">
        <v>640</v>
      </c>
      <c r="E9259" t="s">
        <v>437</v>
      </c>
      <c r="F9259" t="s">
        <v>99</v>
      </c>
      <c r="G9259" t="s">
        <v>254</v>
      </c>
      <c r="H9259" t="s">
        <v>1143</v>
      </c>
      <c r="I9259" t="s">
        <v>550</v>
      </c>
      <c r="J9259" t="s">
        <v>142</v>
      </c>
      <c r="K9259" t="s">
        <v>254</v>
      </c>
      <c r="L9259" t="s">
        <v>99</v>
      </c>
      <c r="M9259" t="s">
        <v>449</v>
      </c>
      <c r="N9259" t="s">
        <v>99</v>
      </c>
      <c r="O9259" t="s">
        <v>149</v>
      </c>
      <c r="P9259" t="s">
        <v>99</v>
      </c>
      <c r="Q9259" t="s">
        <v>149</v>
      </c>
      <c r="R9259" t="s">
        <v>99</v>
      </c>
      <c r="S9259" t="s">
        <v>99</v>
      </c>
      <c r="T9259" t="s">
        <v>99</v>
      </c>
      <c r="U9259" t="s">
        <v>99</v>
      </c>
    </row>
    <row r="9260" spans="1:21" x14ac:dyDescent="0.3">
      <c r="A9260" t="s">
        <v>49</v>
      </c>
      <c r="B9260" t="s">
        <v>1591</v>
      </c>
      <c r="C9260">
        <v>9204</v>
      </c>
      <c r="D9260" t="s">
        <v>632</v>
      </c>
      <c r="E9260" t="s">
        <v>677</v>
      </c>
      <c r="F9260" t="s">
        <v>123</v>
      </c>
      <c r="G9260" t="s">
        <v>316</v>
      </c>
      <c r="H9260" t="s">
        <v>1057</v>
      </c>
      <c r="I9260" t="s">
        <v>532</v>
      </c>
      <c r="J9260" t="s">
        <v>254</v>
      </c>
      <c r="K9260" t="s">
        <v>207</v>
      </c>
      <c r="L9260" t="s">
        <v>111</v>
      </c>
      <c r="M9260" t="s">
        <v>122</v>
      </c>
      <c r="N9260" t="s">
        <v>671</v>
      </c>
      <c r="O9260" t="s">
        <v>154</v>
      </c>
      <c r="P9260" t="s">
        <v>372</v>
      </c>
      <c r="Q9260" t="s">
        <v>325</v>
      </c>
      <c r="R9260" t="s">
        <v>319</v>
      </c>
      <c r="S9260" t="s">
        <v>184</v>
      </c>
      <c r="T9260" t="s">
        <v>127</v>
      </c>
      <c r="U9260" t="s">
        <v>132</v>
      </c>
    </row>
    <row r="9261" spans="1:21" x14ac:dyDescent="0.3">
      <c r="A9261" t="s">
        <v>49</v>
      </c>
      <c r="B9261" t="s">
        <v>1592</v>
      </c>
      <c r="C9261">
        <v>8682</v>
      </c>
      <c r="D9261" t="s">
        <v>1576</v>
      </c>
      <c r="E9261" t="s">
        <v>416</v>
      </c>
      <c r="F9261" t="s">
        <v>319</v>
      </c>
      <c r="G9261" t="s">
        <v>268</v>
      </c>
      <c r="H9261" t="s">
        <v>1008</v>
      </c>
      <c r="I9261" t="s">
        <v>797</v>
      </c>
      <c r="J9261" t="s">
        <v>468</v>
      </c>
      <c r="K9261" t="s">
        <v>132</v>
      </c>
      <c r="L9261" t="s">
        <v>101</v>
      </c>
      <c r="M9261" t="s">
        <v>98</v>
      </c>
      <c r="N9261" t="s">
        <v>160</v>
      </c>
      <c r="O9261" t="s">
        <v>147</v>
      </c>
      <c r="P9261" t="s">
        <v>393</v>
      </c>
      <c r="Q9261" t="s">
        <v>254</v>
      </c>
      <c r="R9261" t="s">
        <v>101</v>
      </c>
      <c r="S9261" t="s">
        <v>124</v>
      </c>
      <c r="T9261" t="s">
        <v>382</v>
      </c>
      <c r="U9261" t="s">
        <v>141</v>
      </c>
    </row>
    <row r="9262" spans="1:21" x14ac:dyDescent="0.3">
      <c r="A9262" t="s">
        <v>49</v>
      </c>
      <c r="B9262" t="s">
        <v>365</v>
      </c>
      <c r="C9262">
        <v>262</v>
      </c>
      <c r="D9262" t="s">
        <v>1533</v>
      </c>
      <c r="E9262" t="s">
        <v>726</v>
      </c>
      <c r="F9262" t="s">
        <v>123</v>
      </c>
      <c r="G9262" t="s">
        <v>114</v>
      </c>
      <c r="H9262" t="s">
        <v>700</v>
      </c>
      <c r="I9262" t="s">
        <v>62</v>
      </c>
      <c r="J9262" t="s">
        <v>122</v>
      </c>
      <c r="K9262" t="s">
        <v>114</v>
      </c>
      <c r="L9262" t="s">
        <v>115</v>
      </c>
      <c r="M9262" t="s">
        <v>684</v>
      </c>
      <c r="N9262" t="s">
        <v>179</v>
      </c>
      <c r="O9262" t="s">
        <v>319</v>
      </c>
      <c r="P9262" t="s">
        <v>678</v>
      </c>
      <c r="Q9262" t="s">
        <v>98</v>
      </c>
      <c r="R9262" t="s">
        <v>332</v>
      </c>
      <c r="S9262" t="s">
        <v>671</v>
      </c>
      <c r="T9262" t="s">
        <v>112</v>
      </c>
      <c r="U9262" t="s">
        <v>117</v>
      </c>
    </row>
    <row r="9264" spans="1:21" x14ac:dyDescent="0.3">
      <c r="A9264" t="s">
        <v>2388</v>
      </c>
    </row>
    <row r="9265" spans="1:17" x14ac:dyDescent="0.3">
      <c r="A9265" t="s">
        <v>44</v>
      </c>
      <c r="B9265" t="s">
        <v>32</v>
      </c>
      <c r="C9265" t="s">
        <v>2389</v>
      </c>
      <c r="D9265" t="s">
        <v>2390</v>
      </c>
      <c r="E9265" t="s">
        <v>2391</v>
      </c>
      <c r="F9265" t="s">
        <v>2392</v>
      </c>
      <c r="G9265" t="s">
        <v>2393</v>
      </c>
      <c r="H9265" t="s">
        <v>2394</v>
      </c>
      <c r="I9265" t="s">
        <v>2395</v>
      </c>
      <c r="J9265" t="s">
        <v>2396</v>
      </c>
      <c r="K9265" t="s">
        <v>2397</v>
      </c>
      <c r="L9265" t="s">
        <v>2344</v>
      </c>
      <c r="M9265" t="s">
        <v>2398</v>
      </c>
      <c r="N9265" t="s">
        <v>2399</v>
      </c>
      <c r="O9265" t="s">
        <v>2400</v>
      </c>
      <c r="P9265" t="s">
        <v>2401</v>
      </c>
    </row>
    <row r="9266" spans="1:17" x14ac:dyDescent="0.3">
      <c r="A9266" t="s">
        <v>35</v>
      </c>
      <c r="B9266">
        <v>4397</v>
      </c>
      <c r="C9266" t="s">
        <v>114</v>
      </c>
      <c r="D9266" t="s">
        <v>472</v>
      </c>
      <c r="E9266" t="s">
        <v>128</v>
      </c>
      <c r="F9266" t="s">
        <v>188</v>
      </c>
      <c r="G9266" t="s">
        <v>127</v>
      </c>
      <c r="H9266" t="s">
        <v>253</v>
      </c>
      <c r="I9266" t="s">
        <v>115</v>
      </c>
      <c r="J9266" t="s">
        <v>104</v>
      </c>
      <c r="K9266" t="s">
        <v>207</v>
      </c>
      <c r="L9266" t="s">
        <v>104</v>
      </c>
      <c r="M9266" t="s">
        <v>99</v>
      </c>
      <c r="N9266" t="s">
        <v>126</v>
      </c>
      <c r="O9266" t="s">
        <v>198</v>
      </c>
      <c r="P9266" t="s">
        <v>132</v>
      </c>
    </row>
    <row r="9267" spans="1:17" x14ac:dyDescent="0.3">
      <c r="A9267" t="s">
        <v>37</v>
      </c>
      <c r="B9267">
        <v>5213</v>
      </c>
      <c r="C9267" t="s">
        <v>151</v>
      </c>
      <c r="D9267" t="s">
        <v>1137</v>
      </c>
      <c r="E9267" t="s">
        <v>111</v>
      </c>
      <c r="F9267" t="s">
        <v>244</v>
      </c>
      <c r="G9267" t="s">
        <v>319</v>
      </c>
      <c r="H9267" t="s">
        <v>141</v>
      </c>
      <c r="I9267" t="s">
        <v>132</v>
      </c>
      <c r="J9267" t="s">
        <v>99</v>
      </c>
      <c r="K9267" t="s">
        <v>104</v>
      </c>
      <c r="L9267" t="s">
        <v>115</v>
      </c>
      <c r="M9267" t="s">
        <v>104</v>
      </c>
      <c r="N9267" t="s">
        <v>136</v>
      </c>
      <c r="O9267" t="s">
        <v>198</v>
      </c>
      <c r="P9267" t="s">
        <v>198</v>
      </c>
    </row>
    <row r="9268" spans="1:17" x14ac:dyDescent="0.3">
      <c r="A9268" t="s">
        <v>36</v>
      </c>
      <c r="B9268">
        <v>3061</v>
      </c>
      <c r="C9268" t="s">
        <v>292</v>
      </c>
      <c r="D9268" t="s">
        <v>1405</v>
      </c>
      <c r="E9268" t="s">
        <v>292</v>
      </c>
      <c r="F9268" t="s">
        <v>676</v>
      </c>
      <c r="G9268" t="s">
        <v>128</v>
      </c>
      <c r="H9268" t="s">
        <v>207</v>
      </c>
      <c r="I9268" t="s">
        <v>101</v>
      </c>
      <c r="J9268" t="s">
        <v>207</v>
      </c>
      <c r="K9268" t="s">
        <v>141</v>
      </c>
      <c r="L9268" t="s">
        <v>207</v>
      </c>
      <c r="M9268" t="s">
        <v>104</v>
      </c>
      <c r="N9268" t="s">
        <v>127</v>
      </c>
      <c r="O9268" t="s">
        <v>99</v>
      </c>
      <c r="P9268" t="s">
        <v>207</v>
      </c>
    </row>
    <row r="9269" spans="1:17" x14ac:dyDescent="0.3">
      <c r="A9269" t="s">
        <v>34</v>
      </c>
      <c r="B9269">
        <v>2714</v>
      </c>
      <c r="C9269" t="s">
        <v>101</v>
      </c>
      <c r="D9269" t="s">
        <v>569</v>
      </c>
      <c r="E9269" t="s">
        <v>332</v>
      </c>
      <c r="F9269" t="s">
        <v>670</v>
      </c>
      <c r="G9269" t="s">
        <v>319</v>
      </c>
      <c r="H9269" t="s">
        <v>141</v>
      </c>
      <c r="I9269" t="s">
        <v>115</v>
      </c>
      <c r="J9269" t="s">
        <v>253</v>
      </c>
      <c r="K9269" t="s">
        <v>100</v>
      </c>
      <c r="L9269" t="s">
        <v>99</v>
      </c>
      <c r="M9269" t="s">
        <v>104</v>
      </c>
      <c r="N9269" t="s">
        <v>151</v>
      </c>
      <c r="O9269" t="s">
        <v>132</v>
      </c>
      <c r="P9269" t="s">
        <v>207</v>
      </c>
    </row>
    <row r="9270" spans="1:17" x14ac:dyDescent="0.3">
      <c r="A9270" t="s">
        <v>33</v>
      </c>
      <c r="B9270">
        <v>2806</v>
      </c>
      <c r="C9270" t="s">
        <v>107</v>
      </c>
      <c r="D9270" t="s">
        <v>866</v>
      </c>
      <c r="E9270" t="s">
        <v>126</v>
      </c>
      <c r="F9270" t="s">
        <v>363</v>
      </c>
      <c r="G9270" t="s">
        <v>115</v>
      </c>
      <c r="H9270" t="s">
        <v>104</v>
      </c>
      <c r="I9270" t="s">
        <v>114</v>
      </c>
      <c r="J9270" t="s">
        <v>99</v>
      </c>
      <c r="K9270" t="s">
        <v>99</v>
      </c>
      <c r="L9270" t="s">
        <v>99</v>
      </c>
      <c r="M9270" t="s">
        <v>99</v>
      </c>
      <c r="N9270" t="s">
        <v>207</v>
      </c>
      <c r="O9270" t="s">
        <v>104</v>
      </c>
      <c r="P9270" t="s">
        <v>253</v>
      </c>
    </row>
    <row r="9271" spans="1:17" x14ac:dyDescent="0.3">
      <c r="A9271" t="s">
        <v>49</v>
      </c>
      <c r="B9271">
        <v>18191</v>
      </c>
      <c r="C9271" t="s">
        <v>127</v>
      </c>
      <c r="D9271" t="s">
        <v>772</v>
      </c>
      <c r="E9271" t="s">
        <v>117</v>
      </c>
      <c r="F9271" t="s">
        <v>393</v>
      </c>
      <c r="G9271" t="s">
        <v>126</v>
      </c>
      <c r="H9271" t="s">
        <v>136</v>
      </c>
      <c r="I9271" t="s">
        <v>132</v>
      </c>
      <c r="J9271" t="s">
        <v>198</v>
      </c>
      <c r="K9271" t="s">
        <v>136</v>
      </c>
      <c r="L9271" t="s">
        <v>198</v>
      </c>
      <c r="M9271" t="s">
        <v>104</v>
      </c>
      <c r="N9271" t="s">
        <v>100</v>
      </c>
      <c r="O9271" t="s">
        <v>207</v>
      </c>
      <c r="P9271" t="s">
        <v>141</v>
      </c>
    </row>
    <row r="9273" spans="1:17" x14ac:dyDescent="0.3">
      <c r="A9273" t="s">
        <v>2402</v>
      </c>
    </row>
    <row r="9274" spans="1:17" x14ac:dyDescent="0.3">
      <c r="A9274" t="s">
        <v>44</v>
      </c>
      <c r="B9274" t="s">
        <v>2267</v>
      </c>
      <c r="C9274" t="s">
        <v>32</v>
      </c>
      <c r="D9274" t="s">
        <v>2389</v>
      </c>
      <c r="E9274" t="s">
        <v>2390</v>
      </c>
      <c r="F9274" t="s">
        <v>2391</v>
      </c>
      <c r="G9274" t="s">
        <v>2392</v>
      </c>
      <c r="H9274" t="s">
        <v>2393</v>
      </c>
      <c r="I9274" t="s">
        <v>2394</v>
      </c>
      <c r="J9274" t="s">
        <v>2395</v>
      </c>
      <c r="K9274" t="s">
        <v>2396</v>
      </c>
      <c r="L9274" t="s">
        <v>2397</v>
      </c>
      <c r="M9274" t="s">
        <v>2344</v>
      </c>
      <c r="N9274" t="s">
        <v>2398</v>
      </c>
      <c r="O9274" t="s">
        <v>2399</v>
      </c>
      <c r="P9274" t="s">
        <v>2400</v>
      </c>
      <c r="Q9274" t="s">
        <v>2401</v>
      </c>
    </row>
    <row r="9275" spans="1:17" x14ac:dyDescent="0.3">
      <c r="A9275" t="s">
        <v>35</v>
      </c>
      <c r="B9275" t="s">
        <v>973</v>
      </c>
      <c r="C9275">
        <v>91</v>
      </c>
      <c r="D9275" t="s">
        <v>99</v>
      </c>
      <c r="E9275" t="s">
        <v>455</v>
      </c>
      <c r="F9275" t="s">
        <v>171</v>
      </c>
      <c r="G9275" t="s">
        <v>298</v>
      </c>
      <c r="H9275" t="s">
        <v>207</v>
      </c>
      <c r="I9275" t="s">
        <v>99</v>
      </c>
      <c r="J9275" t="s">
        <v>114</v>
      </c>
      <c r="K9275" t="s">
        <v>99</v>
      </c>
      <c r="L9275" t="s">
        <v>99</v>
      </c>
      <c r="M9275" t="s">
        <v>99</v>
      </c>
      <c r="N9275" t="s">
        <v>99</v>
      </c>
      <c r="O9275" t="s">
        <v>117</v>
      </c>
      <c r="P9275" t="s">
        <v>215</v>
      </c>
      <c r="Q9275" t="s">
        <v>99</v>
      </c>
    </row>
    <row r="9276" spans="1:17" x14ac:dyDescent="0.3">
      <c r="A9276" t="s">
        <v>35</v>
      </c>
      <c r="B9276" t="s">
        <v>2268</v>
      </c>
      <c r="C9276">
        <v>110</v>
      </c>
      <c r="D9276" t="s">
        <v>115</v>
      </c>
      <c r="E9276" t="s">
        <v>1282</v>
      </c>
      <c r="F9276" t="s">
        <v>198</v>
      </c>
      <c r="G9276" t="s">
        <v>142</v>
      </c>
      <c r="H9276" t="s">
        <v>99</v>
      </c>
      <c r="I9276" t="s">
        <v>99</v>
      </c>
      <c r="J9276" t="s">
        <v>132</v>
      </c>
      <c r="K9276" t="s">
        <v>99</v>
      </c>
      <c r="L9276" t="s">
        <v>121</v>
      </c>
      <c r="M9276" t="s">
        <v>99</v>
      </c>
      <c r="N9276" t="s">
        <v>99</v>
      </c>
      <c r="O9276" t="s">
        <v>141</v>
      </c>
      <c r="P9276" t="s">
        <v>99</v>
      </c>
      <c r="Q9276" t="s">
        <v>99</v>
      </c>
    </row>
    <row r="9277" spans="1:17" x14ac:dyDescent="0.3">
      <c r="A9277" t="s">
        <v>35</v>
      </c>
      <c r="B9277" t="s">
        <v>2269</v>
      </c>
      <c r="C9277">
        <v>107</v>
      </c>
      <c r="D9277" t="s">
        <v>104</v>
      </c>
      <c r="E9277" t="s">
        <v>467</v>
      </c>
      <c r="F9277" t="s">
        <v>100</v>
      </c>
      <c r="G9277" t="s">
        <v>68</v>
      </c>
      <c r="H9277" t="s">
        <v>99</v>
      </c>
      <c r="I9277" t="s">
        <v>99</v>
      </c>
      <c r="J9277" t="s">
        <v>99</v>
      </c>
      <c r="K9277" t="s">
        <v>99</v>
      </c>
      <c r="L9277" t="s">
        <v>99</v>
      </c>
      <c r="M9277" t="s">
        <v>99</v>
      </c>
      <c r="N9277" t="s">
        <v>99</v>
      </c>
      <c r="O9277" t="s">
        <v>99</v>
      </c>
      <c r="P9277" t="s">
        <v>99</v>
      </c>
      <c r="Q9277" t="s">
        <v>99</v>
      </c>
    </row>
    <row r="9278" spans="1:17" x14ac:dyDescent="0.3">
      <c r="A9278" t="s">
        <v>35</v>
      </c>
      <c r="B9278" t="s">
        <v>2270</v>
      </c>
      <c r="C9278">
        <v>98</v>
      </c>
      <c r="D9278" t="s">
        <v>111</v>
      </c>
      <c r="E9278" t="s">
        <v>69</v>
      </c>
      <c r="F9278" t="s">
        <v>99</v>
      </c>
      <c r="G9278" t="s">
        <v>110</v>
      </c>
      <c r="H9278" t="s">
        <v>99</v>
      </c>
      <c r="I9278" t="s">
        <v>99</v>
      </c>
      <c r="J9278" t="s">
        <v>207</v>
      </c>
      <c r="K9278" t="s">
        <v>99</v>
      </c>
      <c r="L9278" t="s">
        <v>99</v>
      </c>
      <c r="M9278" t="s">
        <v>99</v>
      </c>
      <c r="N9278" t="s">
        <v>99</v>
      </c>
      <c r="O9278" t="s">
        <v>114</v>
      </c>
      <c r="P9278" t="s">
        <v>99</v>
      </c>
      <c r="Q9278" t="s">
        <v>99</v>
      </c>
    </row>
    <row r="9279" spans="1:17" x14ac:dyDescent="0.3">
      <c r="A9279" t="s">
        <v>35</v>
      </c>
      <c r="B9279" t="s">
        <v>2271</v>
      </c>
      <c r="C9279">
        <v>691</v>
      </c>
      <c r="D9279" t="s">
        <v>253</v>
      </c>
      <c r="E9279" t="s">
        <v>441</v>
      </c>
      <c r="F9279" t="s">
        <v>151</v>
      </c>
      <c r="G9279" t="s">
        <v>440</v>
      </c>
      <c r="H9279" t="s">
        <v>132</v>
      </c>
      <c r="I9279" t="s">
        <v>99</v>
      </c>
      <c r="J9279" t="s">
        <v>136</v>
      </c>
      <c r="K9279" t="s">
        <v>99</v>
      </c>
      <c r="L9279" t="s">
        <v>253</v>
      </c>
      <c r="M9279" t="s">
        <v>99</v>
      </c>
      <c r="N9279" t="s">
        <v>99</v>
      </c>
      <c r="O9279" t="s">
        <v>151</v>
      </c>
      <c r="P9279" t="s">
        <v>207</v>
      </c>
      <c r="Q9279" t="s">
        <v>115</v>
      </c>
    </row>
    <row r="9280" spans="1:17" x14ac:dyDescent="0.3">
      <c r="A9280" t="s">
        <v>35</v>
      </c>
      <c r="B9280" t="s">
        <v>2272</v>
      </c>
      <c r="C9280">
        <v>725</v>
      </c>
      <c r="D9280" t="s">
        <v>132</v>
      </c>
      <c r="E9280" t="s">
        <v>1075</v>
      </c>
      <c r="F9280" t="s">
        <v>316</v>
      </c>
      <c r="G9280" t="s">
        <v>747</v>
      </c>
      <c r="H9280" t="s">
        <v>117</v>
      </c>
      <c r="I9280" t="s">
        <v>253</v>
      </c>
      <c r="J9280" t="s">
        <v>114</v>
      </c>
      <c r="K9280" t="s">
        <v>207</v>
      </c>
      <c r="L9280" t="s">
        <v>253</v>
      </c>
      <c r="M9280" t="s">
        <v>99</v>
      </c>
      <c r="N9280" t="s">
        <v>99</v>
      </c>
      <c r="O9280" t="s">
        <v>215</v>
      </c>
      <c r="P9280" t="s">
        <v>99</v>
      </c>
      <c r="Q9280" t="s">
        <v>132</v>
      </c>
    </row>
    <row r="9281" spans="1:17" x14ac:dyDescent="0.3">
      <c r="A9281" t="s">
        <v>35</v>
      </c>
      <c r="B9281" t="s">
        <v>2273</v>
      </c>
      <c r="C9281">
        <v>848</v>
      </c>
      <c r="D9281" t="s">
        <v>132</v>
      </c>
      <c r="E9281" t="s">
        <v>641</v>
      </c>
      <c r="F9281" t="s">
        <v>130</v>
      </c>
      <c r="G9281" t="s">
        <v>719</v>
      </c>
      <c r="H9281" t="s">
        <v>712</v>
      </c>
      <c r="I9281" t="s">
        <v>120</v>
      </c>
      <c r="J9281" t="s">
        <v>114</v>
      </c>
      <c r="K9281" t="s">
        <v>104</v>
      </c>
      <c r="L9281" t="s">
        <v>198</v>
      </c>
      <c r="M9281" t="s">
        <v>104</v>
      </c>
      <c r="N9281" t="s">
        <v>99</v>
      </c>
      <c r="O9281" t="s">
        <v>127</v>
      </c>
      <c r="P9281" t="s">
        <v>198</v>
      </c>
      <c r="Q9281" t="s">
        <v>127</v>
      </c>
    </row>
    <row r="9282" spans="1:17" x14ac:dyDescent="0.3">
      <c r="A9282" t="s">
        <v>35</v>
      </c>
      <c r="B9282" t="s">
        <v>976</v>
      </c>
      <c r="C9282">
        <v>104</v>
      </c>
      <c r="D9282" t="s">
        <v>132</v>
      </c>
      <c r="E9282" t="s">
        <v>189</v>
      </c>
      <c r="F9282" t="s">
        <v>103</v>
      </c>
      <c r="G9282" t="s">
        <v>318</v>
      </c>
      <c r="H9282" t="s">
        <v>99</v>
      </c>
      <c r="I9282" t="s">
        <v>99</v>
      </c>
      <c r="J9282" t="s">
        <v>198</v>
      </c>
      <c r="K9282" t="s">
        <v>99</v>
      </c>
      <c r="L9282" t="s">
        <v>99</v>
      </c>
      <c r="M9282" t="s">
        <v>99</v>
      </c>
      <c r="N9282" t="s">
        <v>99</v>
      </c>
      <c r="O9282" t="s">
        <v>99</v>
      </c>
      <c r="P9282" t="s">
        <v>99</v>
      </c>
      <c r="Q9282" t="s">
        <v>99</v>
      </c>
    </row>
    <row r="9283" spans="1:17" x14ac:dyDescent="0.3">
      <c r="A9283" t="s">
        <v>35</v>
      </c>
      <c r="B9283" t="s">
        <v>2274</v>
      </c>
      <c r="C9283">
        <v>108</v>
      </c>
      <c r="D9283" t="s">
        <v>141</v>
      </c>
      <c r="E9283" t="s">
        <v>778</v>
      </c>
      <c r="F9283" t="s">
        <v>99</v>
      </c>
      <c r="G9283" t="s">
        <v>130</v>
      </c>
      <c r="H9283" t="s">
        <v>104</v>
      </c>
      <c r="I9283" t="s">
        <v>99</v>
      </c>
      <c r="J9283" t="s">
        <v>198</v>
      </c>
      <c r="K9283" t="s">
        <v>99</v>
      </c>
      <c r="L9283" t="s">
        <v>99</v>
      </c>
      <c r="M9283" t="s">
        <v>99</v>
      </c>
      <c r="N9283" t="s">
        <v>99</v>
      </c>
      <c r="O9283" t="s">
        <v>99</v>
      </c>
      <c r="P9283" t="s">
        <v>99</v>
      </c>
      <c r="Q9283" t="s">
        <v>207</v>
      </c>
    </row>
    <row r="9284" spans="1:17" x14ac:dyDescent="0.3">
      <c r="A9284" t="s">
        <v>35</v>
      </c>
      <c r="B9284" t="s">
        <v>2275</v>
      </c>
      <c r="C9284">
        <v>102</v>
      </c>
      <c r="D9284" t="s">
        <v>99</v>
      </c>
      <c r="E9284" t="s">
        <v>419</v>
      </c>
      <c r="F9284" t="s">
        <v>325</v>
      </c>
      <c r="G9284" t="s">
        <v>115</v>
      </c>
      <c r="H9284" t="s">
        <v>99</v>
      </c>
      <c r="I9284" t="s">
        <v>99</v>
      </c>
      <c r="J9284" t="s">
        <v>101</v>
      </c>
      <c r="K9284" t="s">
        <v>99</v>
      </c>
      <c r="L9284" t="s">
        <v>99</v>
      </c>
      <c r="M9284" t="s">
        <v>99</v>
      </c>
      <c r="N9284" t="s">
        <v>99</v>
      </c>
      <c r="O9284" t="s">
        <v>198</v>
      </c>
      <c r="P9284" t="s">
        <v>99</v>
      </c>
      <c r="Q9284" t="s">
        <v>99</v>
      </c>
    </row>
    <row r="9285" spans="1:17" x14ac:dyDescent="0.3">
      <c r="A9285" t="s">
        <v>35</v>
      </c>
      <c r="B9285" t="s">
        <v>2276</v>
      </c>
      <c r="C9285">
        <v>56</v>
      </c>
      <c r="D9285" t="s">
        <v>111</v>
      </c>
      <c r="E9285" t="s">
        <v>422</v>
      </c>
      <c r="F9285" t="s">
        <v>99</v>
      </c>
      <c r="G9285" t="s">
        <v>150</v>
      </c>
      <c r="H9285" t="s">
        <v>99</v>
      </c>
      <c r="I9285" t="s">
        <v>99</v>
      </c>
      <c r="J9285" t="s">
        <v>99</v>
      </c>
      <c r="K9285" t="s">
        <v>99</v>
      </c>
      <c r="L9285" t="s">
        <v>99</v>
      </c>
      <c r="M9285" t="s">
        <v>99</v>
      </c>
      <c r="N9285" t="s">
        <v>99</v>
      </c>
      <c r="O9285" t="s">
        <v>126</v>
      </c>
      <c r="P9285" t="s">
        <v>292</v>
      </c>
      <c r="Q9285" t="s">
        <v>99</v>
      </c>
    </row>
    <row r="9286" spans="1:17" x14ac:dyDescent="0.3">
      <c r="A9286" t="s">
        <v>35</v>
      </c>
      <c r="B9286" t="s">
        <v>2277</v>
      </c>
      <c r="C9286">
        <v>450</v>
      </c>
      <c r="D9286" t="s">
        <v>115</v>
      </c>
      <c r="E9286" t="s">
        <v>858</v>
      </c>
      <c r="F9286" t="s">
        <v>117</v>
      </c>
      <c r="G9286" t="s">
        <v>251</v>
      </c>
      <c r="H9286" t="s">
        <v>108</v>
      </c>
      <c r="I9286" t="s">
        <v>136</v>
      </c>
      <c r="J9286" t="s">
        <v>207</v>
      </c>
      <c r="K9286" t="s">
        <v>99</v>
      </c>
      <c r="L9286" t="s">
        <v>99</v>
      </c>
      <c r="M9286" t="s">
        <v>198</v>
      </c>
      <c r="N9286" t="s">
        <v>99</v>
      </c>
      <c r="O9286" t="s">
        <v>101</v>
      </c>
      <c r="P9286" t="s">
        <v>198</v>
      </c>
      <c r="Q9286" t="s">
        <v>99</v>
      </c>
    </row>
    <row r="9287" spans="1:17" x14ac:dyDescent="0.3">
      <c r="A9287" t="s">
        <v>35</v>
      </c>
      <c r="B9287" t="s">
        <v>2278</v>
      </c>
      <c r="C9287">
        <v>448</v>
      </c>
      <c r="D9287" t="s">
        <v>115</v>
      </c>
      <c r="E9287" t="s">
        <v>535</v>
      </c>
      <c r="F9287" t="s">
        <v>128</v>
      </c>
      <c r="G9287" t="s">
        <v>673</v>
      </c>
      <c r="H9287" t="s">
        <v>103</v>
      </c>
      <c r="I9287" t="s">
        <v>104</v>
      </c>
      <c r="J9287" t="s">
        <v>100</v>
      </c>
      <c r="K9287" t="s">
        <v>198</v>
      </c>
      <c r="L9287" t="s">
        <v>253</v>
      </c>
      <c r="M9287" t="s">
        <v>207</v>
      </c>
      <c r="N9287" t="s">
        <v>99</v>
      </c>
      <c r="O9287" t="s">
        <v>319</v>
      </c>
      <c r="P9287" t="s">
        <v>104</v>
      </c>
      <c r="Q9287" t="s">
        <v>253</v>
      </c>
    </row>
    <row r="9288" spans="1:17" x14ac:dyDescent="0.3">
      <c r="A9288" t="s">
        <v>35</v>
      </c>
      <c r="B9288" t="s">
        <v>2279</v>
      </c>
      <c r="C9288">
        <v>446</v>
      </c>
      <c r="D9288" t="s">
        <v>292</v>
      </c>
      <c r="E9288" t="s">
        <v>775</v>
      </c>
      <c r="F9288" t="s">
        <v>126</v>
      </c>
      <c r="G9288" t="s">
        <v>177</v>
      </c>
      <c r="H9288" t="s">
        <v>268</v>
      </c>
      <c r="I9288" t="s">
        <v>104</v>
      </c>
      <c r="J9288" t="s">
        <v>100</v>
      </c>
      <c r="K9288" t="s">
        <v>99</v>
      </c>
      <c r="L9288" t="s">
        <v>136</v>
      </c>
      <c r="M9288" t="s">
        <v>99</v>
      </c>
      <c r="N9288" t="s">
        <v>99</v>
      </c>
      <c r="O9288" t="s">
        <v>111</v>
      </c>
      <c r="P9288" t="s">
        <v>99</v>
      </c>
      <c r="Q9288" t="s">
        <v>120</v>
      </c>
    </row>
    <row r="9289" spans="1:17" x14ac:dyDescent="0.3">
      <c r="A9289" t="s">
        <v>35</v>
      </c>
      <c r="B9289" t="s">
        <v>365</v>
      </c>
      <c r="C9289">
        <v>13</v>
      </c>
      <c r="D9289" t="s">
        <v>837</v>
      </c>
      <c r="E9289" t="s">
        <v>343</v>
      </c>
      <c r="F9289" t="s">
        <v>299</v>
      </c>
      <c r="G9289" t="s">
        <v>299</v>
      </c>
      <c r="H9289" t="s">
        <v>99</v>
      </c>
      <c r="I9289" t="s">
        <v>99</v>
      </c>
      <c r="J9289" t="s">
        <v>99</v>
      </c>
      <c r="K9289" t="s">
        <v>99</v>
      </c>
      <c r="L9289" t="s">
        <v>99</v>
      </c>
      <c r="M9289" t="s">
        <v>99</v>
      </c>
      <c r="N9289" t="s">
        <v>299</v>
      </c>
      <c r="O9289" t="s">
        <v>292</v>
      </c>
      <c r="P9289" t="s">
        <v>99</v>
      </c>
      <c r="Q9289" t="s">
        <v>99</v>
      </c>
    </row>
    <row r="9290" spans="1:17" x14ac:dyDescent="0.3">
      <c r="A9290" t="s">
        <v>37</v>
      </c>
      <c r="B9290" t="s">
        <v>973</v>
      </c>
      <c r="C9290">
        <v>103</v>
      </c>
      <c r="D9290" t="s">
        <v>115</v>
      </c>
      <c r="E9290" t="s">
        <v>779</v>
      </c>
      <c r="F9290" t="s">
        <v>132</v>
      </c>
      <c r="G9290" t="s">
        <v>157</v>
      </c>
      <c r="H9290" t="s">
        <v>99</v>
      </c>
      <c r="I9290" t="s">
        <v>99</v>
      </c>
      <c r="J9290" t="s">
        <v>99</v>
      </c>
      <c r="K9290" t="s">
        <v>99</v>
      </c>
      <c r="L9290" t="s">
        <v>99</v>
      </c>
      <c r="M9290" t="s">
        <v>99</v>
      </c>
      <c r="N9290" t="s">
        <v>99</v>
      </c>
      <c r="O9290" t="s">
        <v>99</v>
      </c>
      <c r="P9290" t="s">
        <v>99</v>
      </c>
      <c r="Q9290" t="s">
        <v>115</v>
      </c>
    </row>
    <row r="9291" spans="1:17" x14ac:dyDescent="0.3">
      <c r="A9291" t="s">
        <v>37</v>
      </c>
      <c r="B9291" t="s">
        <v>2268</v>
      </c>
      <c r="C9291">
        <v>160</v>
      </c>
      <c r="D9291" t="s">
        <v>132</v>
      </c>
      <c r="E9291" t="s">
        <v>327</v>
      </c>
      <c r="F9291" t="s">
        <v>126</v>
      </c>
      <c r="G9291" t="s">
        <v>292</v>
      </c>
      <c r="H9291" t="s">
        <v>136</v>
      </c>
      <c r="I9291" t="s">
        <v>99</v>
      </c>
      <c r="J9291" t="s">
        <v>136</v>
      </c>
      <c r="K9291" t="s">
        <v>136</v>
      </c>
      <c r="L9291" t="s">
        <v>99</v>
      </c>
      <c r="M9291" t="s">
        <v>99</v>
      </c>
      <c r="N9291" t="s">
        <v>114</v>
      </c>
      <c r="O9291" t="s">
        <v>99</v>
      </c>
      <c r="P9291" t="s">
        <v>99</v>
      </c>
      <c r="Q9291" t="s">
        <v>99</v>
      </c>
    </row>
    <row r="9292" spans="1:17" x14ac:dyDescent="0.3">
      <c r="A9292" t="s">
        <v>37</v>
      </c>
      <c r="B9292" t="s">
        <v>2269</v>
      </c>
      <c r="C9292">
        <v>151</v>
      </c>
      <c r="D9292" t="s">
        <v>128</v>
      </c>
      <c r="E9292" t="s">
        <v>337</v>
      </c>
      <c r="F9292" t="s">
        <v>132</v>
      </c>
      <c r="G9292" t="s">
        <v>136</v>
      </c>
      <c r="H9292" t="s">
        <v>141</v>
      </c>
      <c r="I9292" t="s">
        <v>99</v>
      </c>
      <c r="J9292" t="s">
        <v>99</v>
      </c>
      <c r="K9292" t="s">
        <v>99</v>
      </c>
      <c r="L9292" t="s">
        <v>99</v>
      </c>
      <c r="M9292" t="s">
        <v>99</v>
      </c>
      <c r="N9292" t="s">
        <v>99</v>
      </c>
      <c r="O9292" t="s">
        <v>99</v>
      </c>
      <c r="P9292" t="s">
        <v>99</v>
      </c>
      <c r="Q9292" t="s">
        <v>99</v>
      </c>
    </row>
    <row r="9293" spans="1:17" x14ac:dyDescent="0.3">
      <c r="A9293" t="s">
        <v>37</v>
      </c>
      <c r="B9293" t="s">
        <v>2270</v>
      </c>
      <c r="C9293">
        <v>115</v>
      </c>
      <c r="D9293" t="s">
        <v>382</v>
      </c>
      <c r="E9293" t="s">
        <v>354</v>
      </c>
      <c r="F9293" t="s">
        <v>99</v>
      </c>
      <c r="G9293" t="s">
        <v>474</v>
      </c>
      <c r="H9293" t="s">
        <v>99</v>
      </c>
      <c r="I9293" t="s">
        <v>99</v>
      </c>
      <c r="J9293" t="s">
        <v>99</v>
      </c>
      <c r="K9293" t="s">
        <v>99</v>
      </c>
      <c r="L9293" t="s">
        <v>99</v>
      </c>
      <c r="M9293" t="s">
        <v>99</v>
      </c>
      <c r="N9293" t="s">
        <v>99</v>
      </c>
      <c r="O9293" t="s">
        <v>151</v>
      </c>
      <c r="P9293" t="s">
        <v>99</v>
      </c>
      <c r="Q9293" t="s">
        <v>99</v>
      </c>
    </row>
    <row r="9294" spans="1:17" x14ac:dyDescent="0.3">
      <c r="A9294" t="s">
        <v>37</v>
      </c>
      <c r="B9294" t="s">
        <v>2271</v>
      </c>
      <c r="C9294">
        <v>669</v>
      </c>
      <c r="D9294" t="s">
        <v>128</v>
      </c>
      <c r="E9294" t="s">
        <v>764</v>
      </c>
      <c r="F9294" t="s">
        <v>117</v>
      </c>
      <c r="G9294" t="s">
        <v>248</v>
      </c>
      <c r="H9294" t="s">
        <v>253</v>
      </c>
      <c r="I9294" t="s">
        <v>104</v>
      </c>
      <c r="J9294" t="s">
        <v>99</v>
      </c>
      <c r="K9294" t="s">
        <v>99</v>
      </c>
      <c r="L9294" t="s">
        <v>104</v>
      </c>
      <c r="M9294" t="s">
        <v>99</v>
      </c>
      <c r="N9294" t="s">
        <v>104</v>
      </c>
      <c r="O9294" t="s">
        <v>108</v>
      </c>
      <c r="P9294" t="s">
        <v>198</v>
      </c>
      <c r="Q9294" t="s">
        <v>99</v>
      </c>
    </row>
    <row r="9295" spans="1:17" x14ac:dyDescent="0.3">
      <c r="A9295" t="s">
        <v>37</v>
      </c>
      <c r="B9295" t="s">
        <v>2272</v>
      </c>
      <c r="C9295">
        <v>863</v>
      </c>
      <c r="D9295" t="s">
        <v>126</v>
      </c>
      <c r="E9295" t="s">
        <v>371</v>
      </c>
      <c r="F9295" t="s">
        <v>120</v>
      </c>
      <c r="G9295" t="s">
        <v>739</v>
      </c>
      <c r="H9295" t="s">
        <v>151</v>
      </c>
      <c r="I9295" t="s">
        <v>198</v>
      </c>
      <c r="J9295" t="s">
        <v>115</v>
      </c>
      <c r="K9295" t="s">
        <v>99</v>
      </c>
      <c r="L9295" t="s">
        <v>99</v>
      </c>
      <c r="M9295" t="s">
        <v>319</v>
      </c>
      <c r="N9295" t="s">
        <v>104</v>
      </c>
      <c r="O9295" t="s">
        <v>198</v>
      </c>
      <c r="P9295" t="s">
        <v>141</v>
      </c>
      <c r="Q9295" t="s">
        <v>136</v>
      </c>
    </row>
    <row r="9296" spans="1:17" x14ac:dyDescent="0.3">
      <c r="A9296" t="s">
        <v>37</v>
      </c>
      <c r="B9296" t="s">
        <v>2273</v>
      </c>
      <c r="C9296">
        <v>1069</v>
      </c>
      <c r="D9296" t="s">
        <v>108</v>
      </c>
      <c r="E9296" t="s">
        <v>245</v>
      </c>
      <c r="F9296" t="s">
        <v>117</v>
      </c>
      <c r="G9296" t="s">
        <v>820</v>
      </c>
      <c r="H9296" t="s">
        <v>147</v>
      </c>
      <c r="I9296" t="s">
        <v>100</v>
      </c>
      <c r="J9296" t="s">
        <v>123</v>
      </c>
      <c r="K9296" t="s">
        <v>99</v>
      </c>
      <c r="L9296" t="s">
        <v>99</v>
      </c>
      <c r="M9296" t="s">
        <v>207</v>
      </c>
      <c r="N9296" t="s">
        <v>99</v>
      </c>
      <c r="O9296" t="s">
        <v>198</v>
      </c>
      <c r="P9296" t="s">
        <v>99</v>
      </c>
      <c r="Q9296" t="s">
        <v>136</v>
      </c>
    </row>
    <row r="9297" spans="1:17" x14ac:dyDescent="0.3">
      <c r="A9297" t="s">
        <v>37</v>
      </c>
      <c r="B9297" t="s">
        <v>976</v>
      </c>
      <c r="C9297">
        <v>105</v>
      </c>
      <c r="D9297" t="s">
        <v>99</v>
      </c>
      <c r="E9297" t="s">
        <v>1707</v>
      </c>
      <c r="F9297" t="s">
        <v>468</v>
      </c>
      <c r="G9297" t="s">
        <v>716</v>
      </c>
      <c r="H9297" t="s">
        <v>99</v>
      </c>
      <c r="I9297" t="s">
        <v>99</v>
      </c>
      <c r="J9297" t="s">
        <v>99</v>
      </c>
      <c r="K9297" t="s">
        <v>99</v>
      </c>
      <c r="L9297" t="s">
        <v>99</v>
      </c>
      <c r="M9297" t="s">
        <v>99</v>
      </c>
      <c r="N9297" t="s">
        <v>100</v>
      </c>
      <c r="O9297" t="s">
        <v>99</v>
      </c>
      <c r="P9297" t="s">
        <v>99</v>
      </c>
      <c r="Q9297" t="s">
        <v>108</v>
      </c>
    </row>
    <row r="9298" spans="1:17" x14ac:dyDescent="0.3">
      <c r="A9298" t="s">
        <v>37</v>
      </c>
      <c r="B9298" t="s">
        <v>2274</v>
      </c>
      <c r="C9298">
        <v>137</v>
      </c>
      <c r="D9298" t="s">
        <v>123</v>
      </c>
      <c r="E9298" t="s">
        <v>414</v>
      </c>
      <c r="F9298" t="s">
        <v>121</v>
      </c>
      <c r="G9298" t="s">
        <v>712</v>
      </c>
      <c r="H9298" t="s">
        <v>108</v>
      </c>
      <c r="I9298" t="s">
        <v>99</v>
      </c>
      <c r="J9298" t="s">
        <v>99</v>
      </c>
      <c r="K9298" t="s">
        <v>99</v>
      </c>
      <c r="L9298" t="s">
        <v>99</v>
      </c>
      <c r="M9298" t="s">
        <v>99</v>
      </c>
      <c r="N9298" t="s">
        <v>99</v>
      </c>
      <c r="O9298" t="s">
        <v>99</v>
      </c>
      <c r="P9298" t="s">
        <v>99</v>
      </c>
      <c r="Q9298" t="s">
        <v>99</v>
      </c>
    </row>
    <row r="9299" spans="1:17" x14ac:dyDescent="0.3">
      <c r="A9299" t="s">
        <v>37</v>
      </c>
      <c r="B9299" t="s">
        <v>2275</v>
      </c>
      <c r="C9299">
        <v>157</v>
      </c>
      <c r="D9299" t="s">
        <v>127</v>
      </c>
      <c r="E9299" t="s">
        <v>161</v>
      </c>
      <c r="F9299" t="s">
        <v>99</v>
      </c>
      <c r="G9299" t="s">
        <v>107</v>
      </c>
      <c r="H9299" t="s">
        <v>382</v>
      </c>
      <c r="I9299" t="s">
        <v>99</v>
      </c>
      <c r="J9299" t="s">
        <v>253</v>
      </c>
      <c r="K9299" t="s">
        <v>99</v>
      </c>
      <c r="L9299" t="s">
        <v>99</v>
      </c>
      <c r="M9299" t="s">
        <v>99</v>
      </c>
      <c r="N9299" t="s">
        <v>99</v>
      </c>
      <c r="O9299" t="s">
        <v>115</v>
      </c>
      <c r="P9299" t="s">
        <v>99</v>
      </c>
      <c r="Q9299" t="s">
        <v>99</v>
      </c>
    </row>
    <row r="9300" spans="1:17" x14ac:dyDescent="0.3">
      <c r="A9300" t="s">
        <v>37</v>
      </c>
      <c r="B9300" t="s">
        <v>2276</v>
      </c>
      <c r="C9300">
        <v>73</v>
      </c>
      <c r="D9300" t="s">
        <v>157</v>
      </c>
      <c r="E9300" t="s">
        <v>362</v>
      </c>
      <c r="F9300" t="s">
        <v>319</v>
      </c>
      <c r="G9300" t="s">
        <v>128</v>
      </c>
      <c r="H9300" t="s">
        <v>99</v>
      </c>
      <c r="I9300" t="s">
        <v>99</v>
      </c>
      <c r="J9300" t="s">
        <v>99</v>
      </c>
      <c r="K9300" t="s">
        <v>99</v>
      </c>
      <c r="L9300" t="s">
        <v>99</v>
      </c>
      <c r="M9300" t="s">
        <v>99</v>
      </c>
      <c r="N9300" t="s">
        <v>99</v>
      </c>
      <c r="O9300" t="s">
        <v>99</v>
      </c>
      <c r="P9300" t="s">
        <v>99</v>
      </c>
      <c r="Q9300" t="s">
        <v>99</v>
      </c>
    </row>
    <row r="9301" spans="1:17" x14ac:dyDescent="0.3">
      <c r="A9301" t="s">
        <v>37</v>
      </c>
      <c r="B9301" t="s">
        <v>2277</v>
      </c>
      <c r="C9301">
        <v>445</v>
      </c>
      <c r="D9301" t="s">
        <v>712</v>
      </c>
      <c r="E9301" t="s">
        <v>178</v>
      </c>
      <c r="F9301" t="s">
        <v>319</v>
      </c>
      <c r="G9301" t="s">
        <v>408</v>
      </c>
      <c r="H9301" t="s">
        <v>136</v>
      </c>
      <c r="I9301" t="s">
        <v>100</v>
      </c>
      <c r="J9301" t="s">
        <v>104</v>
      </c>
      <c r="K9301" t="s">
        <v>136</v>
      </c>
      <c r="L9301" t="s">
        <v>198</v>
      </c>
      <c r="M9301" t="s">
        <v>132</v>
      </c>
      <c r="N9301" t="s">
        <v>99</v>
      </c>
      <c r="O9301" t="s">
        <v>141</v>
      </c>
      <c r="P9301" t="s">
        <v>198</v>
      </c>
      <c r="Q9301" t="s">
        <v>99</v>
      </c>
    </row>
    <row r="9302" spans="1:17" x14ac:dyDescent="0.3">
      <c r="A9302" t="s">
        <v>37</v>
      </c>
      <c r="B9302" t="s">
        <v>2278</v>
      </c>
      <c r="C9302">
        <v>577</v>
      </c>
      <c r="D9302" t="s">
        <v>107</v>
      </c>
      <c r="E9302" t="s">
        <v>431</v>
      </c>
      <c r="F9302" t="s">
        <v>268</v>
      </c>
      <c r="G9302" t="s">
        <v>746</v>
      </c>
      <c r="H9302" t="s">
        <v>253</v>
      </c>
      <c r="I9302" t="s">
        <v>104</v>
      </c>
      <c r="J9302" t="s">
        <v>141</v>
      </c>
      <c r="K9302" t="s">
        <v>99</v>
      </c>
      <c r="L9302" t="s">
        <v>99</v>
      </c>
      <c r="M9302" t="s">
        <v>127</v>
      </c>
      <c r="N9302" t="s">
        <v>141</v>
      </c>
      <c r="O9302" t="s">
        <v>115</v>
      </c>
      <c r="P9302" t="s">
        <v>207</v>
      </c>
      <c r="Q9302" t="s">
        <v>136</v>
      </c>
    </row>
    <row r="9303" spans="1:17" x14ac:dyDescent="0.3">
      <c r="A9303" t="s">
        <v>37</v>
      </c>
      <c r="B9303" t="s">
        <v>2279</v>
      </c>
      <c r="C9303">
        <v>586</v>
      </c>
      <c r="D9303" t="s">
        <v>382</v>
      </c>
      <c r="E9303" t="s">
        <v>1012</v>
      </c>
      <c r="F9303" t="s">
        <v>157</v>
      </c>
      <c r="G9303" t="s">
        <v>508</v>
      </c>
      <c r="H9303" t="s">
        <v>101</v>
      </c>
      <c r="I9303" t="s">
        <v>132</v>
      </c>
      <c r="J9303" t="s">
        <v>382</v>
      </c>
      <c r="K9303" t="s">
        <v>99</v>
      </c>
      <c r="L9303" t="s">
        <v>198</v>
      </c>
      <c r="M9303" t="s">
        <v>108</v>
      </c>
      <c r="N9303" t="s">
        <v>99</v>
      </c>
      <c r="O9303" t="s">
        <v>198</v>
      </c>
      <c r="P9303" t="s">
        <v>198</v>
      </c>
      <c r="Q9303" t="s">
        <v>99</v>
      </c>
    </row>
    <row r="9304" spans="1:17" x14ac:dyDescent="0.3">
      <c r="A9304" t="s">
        <v>37</v>
      </c>
      <c r="B9304" t="s">
        <v>365</v>
      </c>
      <c r="C9304">
        <v>3</v>
      </c>
      <c r="D9304" t="s">
        <v>99</v>
      </c>
      <c r="E9304" t="s">
        <v>211</v>
      </c>
      <c r="F9304" t="s">
        <v>99</v>
      </c>
      <c r="G9304" t="s">
        <v>99</v>
      </c>
      <c r="H9304" t="s">
        <v>99</v>
      </c>
      <c r="I9304" t="s">
        <v>99</v>
      </c>
      <c r="J9304" t="s">
        <v>99</v>
      </c>
      <c r="K9304" t="s">
        <v>99</v>
      </c>
      <c r="L9304" t="s">
        <v>99</v>
      </c>
      <c r="M9304" t="s">
        <v>99</v>
      </c>
      <c r="N9304" t="s">
        <v>99</v>
      </c>
      <c r="O9304" t="s">
        <v>99</v>
      </c>
      <c r="P9304" t="s">
        <v>99</v>
      </c>
      <c r="Q9304" t="s">
        <v>99</v>
      </c>
    </row>
    <row r="9305" spans="1:17" x14ac:dyDescent="0.3">
      <c r="A9305" t="s">
        <v>36</v>
      </c>
      <c r="B9305" t="s">
        <v>973</v>
      </c>
      <c r="C9305">
        <v>59</v>
      </c>
      <c r="D9305" t="s">
        <v>136</v>
      </c>
      <c r="E9305" t="s">
        <v>912</v>
      </c>
      <c r="F9305" t="s">
        <v>136</v>
      </c>
      <c r="G9305" t="s">
        <v>167</v>
      </c>
      <c r="H9305" t="s">
        <v>120</v>
      </c>
      <c r="I9305" t="s">
        <v>99</v>
      </c>
      <c r="J9305" t="s">
        <v>115</v>
      </c>
      <c r="K9305" t="s">
        <v>99</v>
      </c>
      <c r="L9305" t="s">
        <v>99</v>
      </c>
      <c r="M9305" t="s">
        <v>99</v>
      </c>
      <c r="N9305" t="s">
        <v>99</v>
      </c>
      <c r="O9305" t="s">
        <v>99</v>
      </c>
      <c r="P9305" t="s">
        <v>99</v>
      </c>
      <c r="Q9305" t="s">
        <v>253</v>
      </c>
    </row>
    <row r="9306" spans="1:17" x14ac:dyDescent="0.3">
      <c r="A9306" t="s">
        <v>36</v>
      </c>
      <c r="B9306" t="s">
        <v>2268</v>
      </c>
      <c r="C9306">
        <v>88</v>
      </c>
      <c r="D9306" t="s">
        <v>150</v>
      </c>
      <c r="E9306" t="s">
        <v>460</v>
      </c>
      <c r="F9306" t="s">
        <v>316</v>
      </c>
      <c r="G9306" t="s">
        <v>144</v>
      </c>
      <c r="H9306" t="s">
        <v>207</v>
      </c>
      <c r="I9306" t="s">
        <v>136</v>
      </c>
      <c r="J9306" t="s">
        <v>99</v>
      </c>
      <c r="K9306" t="s">
        <v>99</v>
      </c>
      <c r="L9306" t="s">
        <v>292</v>
      </c>
      <c r="M9306" t="s">
        <v>99</v>
      </c>
      <c r="N9306" t="s">
        <v>99</v>
      </c>
      <c r="O9306" t="s">
        <v>207</v>
      </c>
      <c r="P9306" t="s">
        <v>99</v>
      </c>
      <c r="Q9306" t="s">
        <v>207</v>
      </c>
    </row>
    <row r="9307" spans="1:17" x14ac:dyDescent="0.3">
      <c r="A9307" t="s">
        <v>36</v>
      </c>
      <c r="B9307" t="s">
        <v>2269</v>
      </c>
      <c r="C9307">
        <v>86</v>
      </c>
      <c r="D9307" t="s">
        <v>136</v>
      </c>
      <c r="E9307" t="s">
        <v>414</v>
      </c>
      <c r="F9307" t="s">
        <v>141</v>
      </c>
      <c r="G9307" t="s">
        <v>124</v>
      </c>
      <c r="H9307" t="s">
        <v>99</v>
      </c>
      <c r="I9307" t="s">
        <v>99</v>
      </c>
      <c r="J9307" t="s">
        <v>253</v>
      </c>
      <c r="K9307" t="s">
        <v>99</v>
      </c>
      <c r="L9307" t="s">
        <v>99</v>
      </c>
      <c r="M9307" t="s">
        <v>99</v>
      </c>
      <c r="N9307" t="s">
        <v>99</v>
      </c>
      <c r="O9307" t="s">
        <v>99</v>
      </c>
      <c r="P9307" t="s">
        <v>99</v>
      </c>
      <c r="Q9307" t="s">
        <v>207</v>
      </c>
    </row>
    <row r="9308" spans="1:17" x14ac:dyDescent="0.3">
      <c r="A9308" t="s">
        <v>36</v>
      </c>
      <c r="B9308" t="s">
        <v>2270</v>
      </c>
      <c r="C9308">
        <v>87</v>
      </c>
      <c r="D9308" t="s">
        <v>253</v>
      </c>
      <c r="E9308" t="s">
        <v>908</v>
      </c>
      <c r="F9308" t="s">
        <v>253</v>
      </c>
      <c r="G9308" t="s">
        <v>186</v>
      </c>
      <c r="H9308" t="s">
        <v>108</v>
      </c>
      <c r="I9308" t="s">
        <v>99</v>
      </c>
      <c r="J9308" t="s">
        <v>141</v>
      </c>
      <c r="K9308" t="s">
        <v>99</v>
      </c>
      <c r="L9308" t="s">
        <v>141</v>
      </c>
      <c r="M9308" t="s">
        <v>99</v>
      </c>
      <c r="N9308" t="s">
        <v>99</v>
      </c>
      <c r="O9308" t="s">
        <v>111</v>
      </c>
      <c r="P9308" t="s">
        <v>99</v>
      </c>
      <c r="Q9308" t="s">
        <v>99</v>
      </c>
    </row>
    <row r="9309" spans="1:17" x14ac:dyDescent="0.3">
      <c r="A9309" t="s">
        <v>36</v>
      </c>
      <c r="B9309" t="s">
        <v>2271</v>
      </c>
      <c r="C9309">
        <v>521</v>
      </c>
      <c r="D9309" t="s">
        <v>129</v>
      </c>
      <c r="E9309" t="s">
        <v>1080</v>
      </c>
      <c r="F9309" t="s">
        <v>107</v>
      </c>
      <c r="G9309" t="s">
        <v>478</v>
      </c>
      <c r="H9309" t="s">
        <v>126</v>
      </c>
      <c r="I9309" t="s">
        <v>99</v>
      </c>
      <c r="J9309" t="s">
        <v>253</v>
      </c>
      <c r="K9309" t="s">
        <v>207</v>
      </c>
      <c r="L9309" t="s">
        <v>115</v>
      </c>
      <c r="M9309" t="s">
        <v>121</v>
      </c>
      <c r="N9309" t="s">
        <v>104</v>
      </c>
      <c r="O9309" t="s">
        <v>127</v>
      </c>
      <c r="P9309" t="s">
        <v>198</v>
      </c>
      <c r="Q9309" t="s">
        <v>207</v>
      </c>
    </row>
    <row r="9310" spans="1:17" x14ac:dyDescent="0.3">
      <c r="A9310" t="s">
        <v>36</v>
      </c>
      <c r="B9310" t="s">
        <v>2272</v>
      </c>
      <c r="C9310">
        <v>543</v>
      </c>
      <c r="D9310" t="s">
        <v>100</v>
      </c>
      <c r="E9310" t="s">
        <v>526</v>
      </c>
      <c r="F9310" t="s">
        <v>147</v>
      </c>
      <c r="G9310" t="s">
        <v>749</v>
      </c>
      <c r="H9310" t="s">
        <v>149</v>
      </c>
      <c r="I9310" t="s">
        <v>136</v>
      </c>
      <c r="J9310" t="s">
        <v>127</v>
      </c>
      <c r="K9310" t="s">
        <v>136</v>
      </c>
      <c r="L9310" t="s">
        <v>141</v>
      </c>
      <c r="M9310" t="s">
        <v>99</v>
      </c>
      <c r="N9310" t="s">
        <v>104</v>
      </c>
      <c r="O9310" t="s">
        <v>138</v>
      </c>
      <c r="P9310" t="s">
        <v>99</v>
      </c>
      <c r="Q9310" t="s">
        <v>104</v>
      </c>
    </row>
    <row r="9311" spans="1:17" x14ac:dyDescent="0.3">
      <c r="A9311" t="s">
        <v>36</v>
      </c>
      <c r="B9311" t="s">
        <v>2273</v>
      </c>
      <c r="C9311">
        <v>499</v>
      </c>
      <c r="D9311" t="s">
        <v>108</v>
      </c>
      <c r="E9311" t="s">
        <v>1457</v>
      </c>
      <c r="F9311" t="s">
        <v>215</v>
      </c>
      <c r="G9311" t="s">
        <v>749</v>
      </c>
      <c r="H9311" t="s">
        <v>242</v>
      </c>
      <c r="I9311" t="s">
        <v>253</v>
      </c>
      <c r="J9311" t="s">
        <v>117</v>
      </c>
      <c r="K9311" t="s">
        <v>99</v>
      </c>
      <c r="L9311" t="s">
        <v>99</v>
      </c>
      <c r="M9311" t="s">
        <v>99</v>
      </c>
      <c r="N9311" t="s">
        <v>99</v>
      </c>
      <c r="O9311" t="s">
        <v>108</v>
      </c>
      <c r="P9311" t="s">
        <v>99</v>
      </c>
      <c r="Q9311" t="s">
        <v>198</v>
      </c>
    </row>
    <row r="9312" spans="1:17" x14ac:dyDescent="0.3">
      <c r="A9312" t="s">
        <v>36</v>
      </c>
      <c r="B9312" t="s">
        <v>976</v>
      </c>
      <c r="C9312">
        <v>69</v>
      </c>
      <c r="D9312" t="s">
        <v>253</v>
      </c>
      <c r="E9312" t="s">
        <v>417</v>
      </c>
      <c r="F9312" t="s">
        <v>121</v>
      </c>
      <c r="G9312" t="s">
        <v>420</v>
      </c>
      <c r="H9312" t="s">
        <v>99</v>
      </c>
      <c r="I9312" t="s">
        <v>99</v>
      </c>
      <c r="J9312" t="s">
        <v>99</v>
      </c>
      <c r="K9312" t="s">
        <v>99</v>
      </c>
      <c r="L9312" t="s">
        <v>99</v>
      </c>
      <c r="M9312" t="s">
        <v>99</v>
      </c>
      <c r="N9312" t="s">
        <v>99</v>
      </c>
      <c r="O9312" t="s">
        <v>143</v>
      </c>
      <c r="P9312" t="s">
        <v>99</v>
      </c>
      <c r="Q9312" t="s">
        <v>141</v>
      </c>
    </row>
    <row r="9313" spans="1:17" x14ac:dyDescent="0.3">
      <c r="A9313" t="s">
        <v>36</v>
      </c>
      <c r="B9313" t="s">
        <v>2274</v>
      </c>
      <c r="C9313">
        <v>86</v>
      </c>
      <c r="D9313" t="s">
        <v>155</v>
      </c>
      <c r="E9313" t="s">
        <v>443</v>
      </c>
      <c r="F9313" t="s">
        <v>712</v>
      </c>
      <c r="G9313" t="s">
        <v>671</v>
      </c>
      <c r="H9313" t="s">
        <v>253</v>
      </c>
      <c r="I9313" t="s">
        <v>99</v>
      </c>
      <c r="J9313" t="s">
        <v>99</v>
      </c>
      <c r="K9313" t="s">
        <v>99</v>
      </c>
      <c r="L9313" t="s">
        <v>99</v>
      </c>
      <c r="M9313" t="s">
        <v>99</v>
      </c>
      <c r="N9313" t="s">
        <v>99</v>
      </c>
      <c r="O9313" t="s">
        <v>198</v>
      </c>
      <c r="P9313" t="s">
        <v>198</v>
      </c>
      <c r="Q9313" t="s">
        <v>141</v>
      </c>
    </row>
    <row r="9314" spans="1:17" x14ac:dyDescent="0.3">
      <c r="A9314" t="s">
        <v>36</v>
      </c>
      <c r="B9314" t="s">
        <v>2275</v>
      </c>
      <c r="C9314">
        <v>85</v>
      </c>
      <c r="D9314" t="s">
        <v>99</v>
      </c>
      <c r="E9314" t="s">
        <v>199</v>
      </c>
      <c r="F9314" t="s">
        <v>111</v>
      </c>
      <c r="G9314" t="s">
        <v>143</v>
      </c>
      <c r="H9314" t="s">
        <v>120</v>
      </c>
      <c r="I9314" t="s">
        <v>99</v>
      </c>
      <c r="J9314" t="s">
        <v>99</v>
      </c>
      <c r="K9314" t="s">
        <v>207</v>
      </c>
      <c r="L9314" t="s">
        <v>99</v>
      </c>
      <c r="M9314" t="s">
        <v>99</v>
      </c>
      <c r="N9314" t="s">
        <v>99</v>
      </c>
      <c r="O9314" t="s">
        <v>434</v>
      </c>
      <c r="P9314" t="s">
        <v>99</v>
      </c>
      <c r="Q9314" t="s">
        <v>207</v>
      </c>
    </row>
    <row r="9315" spans="1:17" x14ac:dyDescent="0.3">
      <c r="A9315" t="s">
        <v>36</v>
      </c>
      <c r="B9315" t="s">
        <v>2276</v>
      </c>
      <c r="C9315">
        <v>41</v>
      </c>
      <c r="D9315" t="s">
        <v>99</v>
      </c>
      <c r="E9315" t="s">
        <v>904</v>
      </c>
      <c r="F9315" t="s">
        <v>132</v>
      </c>
      <c r="G9315" t="s">
        <v>1183</v>
      </c>
      <c r="H9315" t="s">
        <v>138</v>
      </c>
      <c r="I9315" t="s">
        <v>99</v>
      </c>
      <c r="J9315" t="s">
        <v>121</v>
      </c>
      <c r="K9315" t="s">
        <v>99</v>
      </c>
      <c r="L9315" t="s">
        <v>99</v>
      </c>
      <c r="M9315" t="s">
        <v>99</v>
      </c>
      <c r="N9315" t="s">
        <v>114</v>
      </c>
      <c r="O9315" t="s">
        <v>132</v>
      </c>
      <c r="P9315" t="s">
        <v>99</v>
      </c>
      <c r="Q9315" t="s">
        <v>108</v>
      </c>
    </row>
    <row r="9316" spans="1:17" x14ac:dyDescent="0.3">
      <c r="A9316" t="s">
        <v>36</v>
      </c>
      <c r="B9316" t="s">
        <v>2277</v>
      </c>
      <c r="C9316">
        <v>289</v>
      </c>
      <c r="D9316" t="s">
        <v>103</v>
      </c>
      <c r="E9316" t="s">
        <v>1132</v>
      </c>
      <c r="F9316" t="s">
        <v>103</v>
      </c>
      <c r="G9316" t="s">
        <v>687</v>
      </c>
      <c r="H9316" t="s">
        <v>319</v>
      </c>
      <c r="I9316" t="s">
        <v>207</v>
      </c>
      <c r="J9316" t="s">
        <v>141</v>
      </c>
      <c r="K9316" t="s">
        <v>253</v>
      </c>
      <c r="L9316" t="s">
        <v>253</v>
      </c>
      <c r="M9316" t="s">
        <v>104</v>
      </c>
      <c r="N9316" t="s">
        <v>104</v>
      </c>
      <c r="O9316" t="s">
        <v>117</v>
      </c>
      <c r="P9316" t="s">
        <v>104</v>
      </c>
      <c r="Q9316" t="s">
        <v>99</v>
      </c>
    </row>
    <row r="9317" spans="1:17" x14ac:dyDescent="0.3">
      <c r="A9317" t="s">
        <v>36</v>
      </c>
      <c r="B9317" t="s">
        <v>2278</v>
      </c>
      <c r="C9317">
        <v>325</v>
      </c>
      <c r="D9317" t="s">
        <v>147</v>
      </c>
      <c r="E9317" t="s">
        <v>1020</v>
      </c>
      <c r="F9317" t="s">
        <v>253</v>
      </c>
      <c r="G9317" t="s">
        <v>542</v>
      </c>
      <c r="H9317" t="s">
        <v>316</v>
      </c>
      <c r="I9317" t="s">
        <v>132</v>
      </c>
      <c r="J9317" t="s">
        <v>101</v>
      </c>
      <c r="K9317" t="s">
        <v>253</v>
      </c>
      <c r="L9317" t="s">
        <v>319</v>
      </c>
      <c r="M9317" t="s">
        <v>104</v>
      </c>
      <c r="N9317" t="s">
        <v>99</v>
      </c>
      <c r="O9317" t="s">
        <v>114</v>
      </c>
      <c r="P9317" t="s">
        <v>99</v>
      </c>
      <c r="Q9317" t="s">
        <v>198</v>
      </c>
    </row>
    <row r="9318" spans="1:17" x14ac:dyDescent="0.3">
      <c r="A9318" t="s">
        <v>36</v>
      </c>
      <c r="B9318" t="s">
        <v>2279</v>
      </c>
      <c r="C9318">
        <v>277</v>
      </c>
      <c r="D9318" t="s">
        <v>132</v>
      </c>
      <c r="E9318" t="s">
        <v>436</v>
      </c>
      <c r="F9318" t="s">
        <v>127</v>
      </c>
      <c r="G9318" t="s">
        <v>687</v>
      </c>
      <c r="H9318" t="s">
        <v>147</v>
      </c>
      <c r="I9318" t="s">
        <v>253</v>
      </c>
      <c r="J9318" t="s">
        <v>103</v>
      </c>
      <c r="K9318" t="s">
        <v>99</v>
      </c>
      <c r="L9318" t="s">
        <v>207</v>
      </c>
      <c r="M9318" t="s">
        <v>198</v>
      </c>
      <c r="N9318" t="s">
        <v>198</v>
      </c>
      <c r="O9318" t="s">
        <v>319</v>
      </c>
      <c r="P9318" t="s">
        <v>99</v>
      </c>
      <c r="Q9318" t="s">
        <v>108</v>
      </c>
    </row>
    <row r="9319" spans="1:17" x14ac:dyDescent="0.3">
      <c r="A9319" t="s">
        <v>36</v>
      </c>
      <c r="B9319" t="s">
        <v>365</v>
      </c>
      <c r="C9319">
        <v>6</v>
      </c>
      <c r="D9319" t="s">
        <v>566</v>
      </c>
      <c r="E9319" t="s">
        <v>72</v>
      </c>
      <c r="F9319" t="s">
        <v>111</v>
      </c>
      <c r="G9319" t="s">
        <v>936</v>
      </c>
      <c r="H9319" t="s">
        <v>99</v>
      </c>
      <c r="I9319" t="s">
        <v>99</v>
      </c>
      <c r="J9319" t="s">
        <v>99</v>
      </c>
      <c r="K9319" t="s">
        <v>99</v>
      </c>
      <c r="L9319" t="s">
        <v>99</v>
      </c>
      <c r="M9319" t="s">
        <v>99</v>
      </c>
      <c r="N9319" t="s">
        <v>99</v>
      </c>
      <c r="O9319" t="s">
        <v>99</v>
      </c>
      <c r="P9319" t="s">
        <v>99</v>
      </c>
      <c r="Q9319" t="s">
        <v>99</v>
      </c>
    </row>
    <row r="9320" spans="1:17" x14ac:dyDescent="0.3">
      <c r="A9320" t="s">
        <v>34</v>
      </c>
      <c r="B9320" t="s">
        <v>973</v>
      </c>
      <c r="C9320">
        <v>56</v>
      </c>
      <c r="D9320" t="s">
        <v>99</v>
      </c>
      <c r="E9320" t="s">
        <v>1153</v>
      </c>
      <c r="F9320" t="s">
        <v>127</v>
      </c>
      <c r="G9320" t="s">
        <v>833</v>
      </c>
      <c r="H9320" t="s">
        <v>99</v>
      </c>
      <c r="I9320" t="s">
        <v>99</v>
      </c>
      <c r="J9320" t="s">
        <v>99</v>
      </c>
      <c r="K9320" t="s">
        <v>157</v>
      </c>
      <c r="L9320" t="s">
        <v>157</v>
      </c>
      <c r="M9320" t="s">
        <v>99</v>
      </c>
      <c r="N9320" t="s">
        <v>99</v>
      </c>
      <c r="O9320" t="s">
        <v>68</v>
      </c>
      <c r="P9320" t="s">
        <v>99</v>
      </c>
      <c r="Q9320" t="s">
        <v>132</v>
      </c>
    </row>
    <row r="9321" spans="1:17" x14ac:dyDescent="0.3">
      <c r="A9321" t="s">
        <v>34</v>
      </c>
      <c r="B9321" t="s">
        <v>2268</v>
      </c>
      <c r="C9321">
        <v>61</v>
      </c>
      <c r="D9321" t="s">
        <v>804</v>
      </c>
      <c r="E9321" t="s">
        <v>443</v>
      </c>
      <c r="F9321" t="s">
        <v>127</v>
      </c>
      <c r="G9321" t="s">
        <v>149</v>
      </c>
      <c r="H9321" t="s">
        <v>99</v>
      </c>
      <c r="I9321" t="s">
        <v>99</v>
      </c>
      <c r="J9321" t="s">
        <v>99</v>
      </c>
      <c r="K9321" t="s">
        <v>99</v>
      </c>
      <c r="L9321" t="s">
        <v>99</v>
      </c>
      <c r="M9321" t="s">
        <v>99</v>
      </c>
      <c r="N9321" t="s">
        <v>99</v>
      </c>
      <c r="O9321" t="s">
        <v>99</v>
      </c>
      <c r="P9321" t="s">
        <v>99</v>
      </c>
      <c r="Q9321" t="s">
        <v>99</v>
      </c>
    </row>
    <row r="9322" spans="1:17" x14ac:dyDescent="0.3">
      <c r="A9322" t="s">
        <v>34</v>
      </c>
      <c r="B9322" t="s">
        <v>2269</v>
      </c>
      <c r="C9322">
        <v>47</v>
      </c>
      <c r="D9322" t="s">
        <v>99</v>
      </c>
      <c r="E9322" t="s">
        <v>901</v>
      </c>
      <c r="F9322" t="s">
        <v>712</v>
      </c>
      <c r="G9322" t="s">
        <v>201</v>
      </c>
      <c r="H9322" t="s">
        <v>99</v>
      </c>
      <c r="I9322" t="s">
        <v>99</v>
      </c>
      <c r="J9322" t="s">
        <v>99</v>
      </c>
      <c r="K9322" t="s">
        <v>99</v>
      </c>
      <c r="L9322" t="s">
        <v>99</v>
      </c>
      <c r="M9322" t="s">
        <v>99</v>
      </c>
      <c r="N9322" t="s">
        <v>99</v>
      </c>
      <c r="O9322" t="s">
        <v>154</v>
      </c>
      <c r="P9322" t="s">
        <v>99</v>
      </c>
      <c r="Q9322" t="s">
        <v>99</v>
      </c>
    </row>
    <row r="9323" spans="1:17" x14ac:dyDescent="0.3">
      <c r="A9323" t="s">
        <v>34</v>
      </c>
      <c r="B9323" t="s">
        <v>2270</v>
      </c>
      <c r="C9323">
        <v>40</v>
      </c>
      <c r="D9323" t="s">
        <v>155</v>
      </c>
      <c r="E9323" t="s">
        <v>524</v>
      </c>
      <c r="F9323" t="s">
        <v>99</v>
      </c>
      <c r="G9323" t="s">
        <v>255</v>
      </c>
      <c r="H9323" t="s">
        <v>316</v>
      </c>
      <c r="I9323" t="s">
        <v>99</v>
      </c>
      <c r="J9323" t="s">
        <v>198</v>
      </c>
      <c r="K9323" t="s">
        <v>99</v>
      </c>
      <c r="L9323" t="s">
        <v>99</v>
      </c>
      <c r="M9323" t="s">
        <v>99</v>
      </c>
      <c r="N9323" t="s">
        <v>99</v>
      </c>
      <c r="O9323" t="s">
        <v>99</v>
      </c>
      <c r="P9323" t="s">
        <v>99</v>
      </c>
      <c r="Q9323" t="s">
        <v>99</v>
      </c>
    </row>
    <row r="9324" spans="1:17" x14ac:dyDescent="0.3">
      <c r="A9324" t="s">
        <v>34</v>
      </c>
      <c r="B9324" t="s">
        <v>2271</v>
      </c>
      <c r="C9324">
        <v>436</v>
      </c>
      <c r="D9324" t="s">
        <v>319</v>
      </c>
      <c r="E9324" t="s">
        <v>949</v>
      </c>
      <c r="F9324" t="s">
        <v>109</v>
      </c>
      <c r="G9324" t="s">
        <v>140</v>
      </c>
      <c r="H9324" t="s">
        <v>215</v>
      </c>
      <c r="I9324" t="s">
        <v>99</v>
      </c>
      <c r="J9324" t="s">
        <v>382</v>
      </c>
      <c r="K9324" t="s">
        <v>132</v>
      </c>
      <c r="L9324" t="s">
        <v>215</v>
      </c>
      <c r="M9324" t="s">
        <v>99</v>
      </c>
      <c r="N9324" t="s">
        <v>136</v>
      </c>
      <c r="O9324" t="s">
        <v>128</v>
      </c>
      <c r="P9324" t="s">
        <v>100</v>
      </c>
      <c r="Q9324" t="s">
        <v>136</v>
      </c>
    </row>
    <row r="9325" spans="1:17" x14ac:dyDescent="0.3">
      <c r="A9325" t="s">
        <v>34</v>
      </c>
      <c r="B9325" t="s">
        <v>2272</v>
      </c>
      <c r="C9325">
        <v>463</v>
      </c>
      <c r="D9325" t="s">
        <v>126</v>
      </c>
      <c r="E9325" t="s">
        <v>922</v>
      </c>
      <c r="F9325" t="s">
        <v>117</v>
      </c>
      <c r="G9325" t="s">
        <v>736</v>
      </c>
      <c r="H9325" t="s">
        <v>123</v>
      </c>
      <c r="I9325" t="s">
        <v>132</v>
      </c>
      <c r="J9325" t="s">
        <v>253</v>
      </c>
      <c r="K9325" t="s">
        <v>115</v>
      </c>
      <c r="L9325" t="s">
        <v>100</v>
      </c>
      <c r="M9325" t="s">
        <v>99</v>
      </c>
      <c r="N9325" t="s">
        <v>99</v>
      </c>
      <c r="O9325" t="s">
        <v>151</v>
      </c>
      <c r="P9325" t="s">
        <v>382</v>
      </c>
      <c r="Q9325" t="s">
        <v>253</v>
      </c>
    </row>
    <row r="9326" spans="1:17" x14ac:dyDescent="0.3">
      <c r="A9326" t="s">
        <v>34</v>
      </c>
      <c r="B9326" t="s">
        <v>2273</v>
      </c>
      <c r="C9326">
        <v>547</v>
      </c>
      <c r="D9326" t="s">
        <v>104</v>
      </c>
      <c r="E9326" t="s">
        <v>53</v>
      </c>
      <c r="F9326" t="s">
        <v>138</v>
      </c>
      <c r="G9326" t="s">
        <v>309</v>
      </c>
      <c r="H9326" t="s">
        <v>121</v>
      </c>
      <c r="I9326" t="s">
        <v>115</v>
      </c>
      <c r="J9326" t="s">
        <v>198</v>
      </c>
      <c r="K9326" t="s">
        <v>115</v>
      </c>
      <c r="L9326" t="s">
        <v>108</v>
      </c>
      <c r="M9326" t="s">
        <v>99</v>
      </c>
      <c r="N9326" t="s">
        <v>99</v>
      </c>
      <c r="O9326" t="s">
        <v>101</v>
      </c>
      <c r="P9326" t="s">
        <v>104</v>
      </c>
      <c r="Q9326" t="s">
        <v>253</v>
      </c>
    </row>
    <row r="9327" spans="1:17" x14ac:dyDescent="0.3">
      <c r="A9327" t="s">
        <v>34</v>
      </c>
      <c r="B9327" t="s">
        <v>976</v>
      </c>
      <c r="C9327">
        <v>57</v>
      </c>
      <c r="D9327" t="s">
        <v>99</v>
      </c>
      <c r="E9327" t="s">
        <v>1020</v>
      </c>
      <c r="F9327" t="s">
        <v>120</v>
      </c>
      <c r="G9327" t="s">
        <v>463</v>
      </c>
      <c r="H9327" t="s">
        <v>143</v>
      </c>
      <c r="I9327" t="s">
        <v>99</v>
      </c>
      <c r="J9327" t="s">
        <v>134</v>
      </c>
      <c r="K9327" t="s">
        <v>319</v>
      </c>
      <c r="L9327" t="s">
        <v>99</v>
      </c>
      <c r="M9327" t="s">
        <v>99</v>
      </c>
      <c r="N9327" t="s">
        <v>99</v>
      </c>
      <c r="O9327" t="s">
        <v>253</v>
      </c>
      <c r="P9327" t="s">
        <v>99</v>
      </c>
      <c r="Q9327" t="s">
        <v>99</v>
      </c>
    </row>
    <row r="9328" spans="1:17" x14ac:dyDescent="0.3">
      <c r="A9328" t="s">
        <v>34</v>
      </c>
      <c r="B9328" t="s">
        <v>2274</v>
      </c>
      <c r="C9328">
        <v>52</v>
      </c>
      <c r="D9328" t="s">
        <v>99</v>
      </c>
      <c r="E9328" t="s">
        <v>397</v>
      </c>
      <c r="F9328" t="s">
        <v>147</v>
      </c>
      <c r="G9328" t="s">
        <v>370</v>
      </c>
      <c r="H9328" t="s">
        <v>99</v>
      </c>
      <c r="I9328" t="s">
        <v>99</v>
      </c>
      <c r="J9328" t="s">
        <v>99</v>
      </c>
      <c r="K9328" t="s">
        <v>99</v>
      </c>
      <c r="L9328" t="s">
        <v>99</v>
      </c>
      <c r="M9328" t="s">
        <v>99</v>
      </c>
      <c r="N9328" t="s">
        <v>99</v>
      </c>
      <c r="O9328" t="s">
        <v>99</v>
      </c>
      <c r="P9328" t="s">
        <v>99</v>
      </c>
      <c r="Q9328" t="s">
        <v>99</v>
      </c>
    </row>
    <row r="9329" spans="1:17" x14ac:dyDescent="0.3">
      <c r="A9329" t="s">
        <v>34</v>
      </c>
      <c r="B9329" t="s">
        <v>2275</v>
      </c>
      <c r="C9329">
        <v>51</v>
      </c>
      <c r="D9329" t="s">
        <v>124</v>
      </c>
      <c r="E9329" t="s">
        <v>1196</v>
      </c>
      <c r="F9329" t="s">
        <v>124</v>
      </c>
      <c r="G9329" t="s">
        <v>298</v>
      </c>
      <c r="H9329" t="s">
        <v>99</v>
      </c>
      <c r="I9329" t="s">
        <v>99</v>
      </c>
      <c r="J9329" t="s">
        <v>99</v>
      </c>
      <c r="K9329" t="s">
        <v>99</v>
      </c>
      <c r="L9329" t="s">
        <v>99</v>
      </c>
      <c r="M9329" t="s">
        <v>99</v>
      </c>
      <c r="N9329" t="s">
        <v>99</v>
      </c>
      <c r="O9329" t="s">
        <v>124</v>
      </c>
      <c r="P9329" t="s">
        <v>99</v>
      </c>
      <c r="Q9329" t="s">
        <v>99</v>
      </c>
    </row>
    <row r="9330" spans="1:17" s="5" customFormat="1" x14ac:dyDescent="0.3">
      <c r="A9330" s="5" t="s">
        <v>34</v>
      </c>
      <c r="B9330" s="5" t="s">
        <v>2276</v>
      </c>
      <c r="C9330" s="5">
        <v>30</v>
      </c>
      <c r="D9330" s="5" t="s">
        <v>78</v>
      </c>
      <c r="E9330" s="5" t="s">
        <v>1020</v>
      </c>
      <c r="F9330" s="5" t="s">
        <v>182</v>
      </c>
      <c r="G9330" s="5" t="s">
        <v>182</v>
      </c>
      <c r="H9330" s="5" t="s">
        <v>99</v>
      </c>
      <c r="I9330" s="5" t="s">
        <v>99</v>
      </c>
      <c r="J9330" s="5" t="s">
        <v>99</v>
      </c>
      <c r="K9330" s="5" t="s">
        <v>99</v>
      </c>
      <c r="L9330" s="5" t="s">
        <v>99</v>
      </c>
      <c r="M9330" s="5" t="s">
        <v>99</v>
      </c>
      <c r="N9330" s="5" t="s">
        <v>99</v>
      </c>
      <c r="O9330" s="5" t="s">
        <v>121</v>
      </c>
      <c r="P9330" s="5" t="s">
        <v>99</v>
      </c>
      <c r="Q9330" s="5" t="s">
        <v>99</v>
      </c>
    </row>
    <row r="9331" spans="1:17" x14ac:dyDescent="0.3">
      <c r="A9331" t="s">
        <v>34</v>
      </c>
      <c r="B9331" t="s">
        <v>2277</v>
      </c>
      <c r="C9331">
        <v>290</v>
      </c>
      <c r="D9331" t="s">
        <v>108</v>
      </c>
      <c r="E9331" t="s">
        <v>767</v>
      </c>
      <c r="F9331" t="s">
        <v>147</v>
      </c>
      <c r="G9331" t="s">
        <v>676</v>
      </c>
      <c r="H9331" t="s">
        <v>319</v>
      </c>
      <c r="I9331" t="s">
        <v>99</v>
      </c>
      <c r="J9331" t="s">
        <v>319</v>
      </c>
      <c r="K9331" t="s">
        <v>115</v>
      </c>
      <c r="L9331" t="s">
        <v>155</v>
      </c>
      <c r="M9331" t="s">
        <v>99</v>
      </c>
      <c r="N9331" t="s">
        <v>115</v>
      </c>
      <c r="O9331" t="s">
        <v>151</v>
      </c>
      <c r="P9331" t="s">
        <v>141</v>
      </c>
      <c r="Q9331" t="s">
        <v>99</v>
      </c>
    </row>
    <row r="9332" spans="1:17" x14ac:dyDescent="0.3">
      <c r="A9332" t="s">
        <v>34</v>
      </c>
      <c r="B9332" t="s">
        <v>2278</v>
      </c>
      <c r="C9332">
        <v>279</v>
      </c>
      <c r="D9332" t="s">
        <v>127</v>
      </c>
      <c r="E9332" t="s">
        <v>1227</v>
      </c>
      <c r="F9332" t="s">
        <v>128</v>
      </c>
      <c r="G9332" t="s">
        <v>838</v>
      </c>
      <c r="H9332" t="s">
        <v>198</v>
      </c>
      <c r="I9332" t="s">
        <v>99</v>
      </c>
      <c r="J9332" t="s">
        <v>99</v>
      </c>
      <c r="K9332" t="s">
        <v>141</v>
      </c>
      <c r="L9332" t="s">
        <v>207</v>
      </c>
      <c r="M9332" t="s">
        <v>99</v>
      </c>
      <c r="N9332" t="s">
        <v>99</v>
      </c>
      <c r="O9332" t="s">
        <v>129</v>
      </c>
      <c r="P9332" t="s">
        <v>151</v>
      </c>
      <c r="Q9332" t="s">
        <v>198</v>
      </c>
    </row>
    <row r="9333" spans="1:17" x14ac:dyDescent="0.3">
      <c r="A9333" t="s">
        <v>34</v>
      </c>
      <c r="B9333" t="s">
        <v>2279</v>
      </c>
      <c r="C9333">
        <v>297</v>
      </c>
      <c r="D9333" t="s">
        <v>136</v>
      </c>
      <c r="E9333" t="s">
        <v>885</v>
      </c>
      <c r="F9333" t="s">
        <v>100</v>
      </c>
      <c r="G9333" t="s">
        <v>746</v>
      </c>
      <c r="H9333" t="s">
        <v>126</v>
      </c>
      <c r="I9333" t="s">
        <v>121</v>
      </c>
      <c r="J9333" t="s">
        <v>99</v>
      </c>
      <c r="K9333" t="s">
        <v>198</v>
      </c>
      <c r="L9333" t="s">
        <v>99</v>
      </c>
      <c r="M9333" t="s">
        <v>99</v>
      </c>
      <c r="N9333" t="s">
        <v>99</v>
      </c>
      <c r="O9333" t="s">
        <v>99</v>
      </c>
      <c r="P9333" t="s">
        <v>115</v>
      </c>
      <c r="Q9333" t="s">
        <v>99</v>
      </c>
    </row>
    <row r="9334" spans="1:17" x14ac:dyDescent="0.3">
      <c r="A9334" t="s">
        <v>34</v>
      </c>
      <c r="B9334" t="s">
        <v>365</v>
      </c>
      <c r="C9334">
        <v>8</v>
      </c>
      <c r="D9334" t="s">
        <v>99</v>
      </c>
      <c r="E9334" t="s">
        <v>1368</v>
      </c>
      <c r="F9334" t="s">
        <v>99</v>
      </c>
      <c r="G9334" t="s">
        <v>929</v>
      </c>
      <c r="H9334" t="s">
        <v>99</v>
      </c>
      <c r="I9334" t="s">
        <v>395</v>
      </c>
      <c r="J9334" t="s">
        <v>99</v>
      </c>
      <c r="K9334" t="s">
        <v>99</v>
      </c>
      <c r="L9334" t="s">
        <v>99</v>
      </c>
      <c r="M9334" t="s">
        <v>99</v>
      </c>
      <c r="N9334" t="s">
        <v>99</v>
      </c>
      <c r="O9334" t="s">
        <v>120</v>
      </c>
      <c r="P9334" t="s">
        <v>99</v>
      </c>
      <c r="Q9334" t="s">
        <v>99</v>
      </c>
    </row>
    <row r="9335" spans="1:17" x14ac:dyDescent="0.3">
      <c r="A9335" t="s">
        <v>33</v>
      </c>
      <c r="B9335" t="s">
        <v>973</v>
      </c>
      <c r="C9335">
        <v>64</v>
      </c>
      <c r="D9335" t="s">
        <v>151</v>
      </c>
      <c r="E9335" t="s">
        <v>252</v>
      </c>
      <c r="F9335" t="s">
        <v>99</v>
      </c>
      <c r="G9335" t="s">
        <v>143</v>
      </c>
      <c r="H9335" t="s">
        <v>99</v>
      </c>
      <c r="I9335" t="s">
        <v>99</v>
      </c>
      <c r="J9335" t="s">
        <v>99</v>
      </c>
      <c r="K9335" t="s">
        <v>99</v>
      </c>
      <c r="L9335" t="s">
        <v>99</v>
      </c>
      <c r="M9335" t="s">
        <v>99</v>
      </c>
      <c r="N9335" t="s">
        <v>99</v>
      </c>
      <c r="O9335" t="s">
        <v>99</v>
      </c>
      <c r="P9335" t="s">
        <v>99</v>
      </c>
      <c r="Q9335" t="s">
        <v>99</v>
      </c>
    </row>
    <row r="9336" spans="1:17" x14ac:dyDescent="0.3">
      <c r="A9336" t="s">
        <v>33</v>
      </c>
      <c r="B9336" t="s">
        <v>2268</v>
      </c>
      <c r="C9336">
        <v>69</v>
      </c>
      <c r="D9336" t="s">
        <v>663</v>
      </c>
      <c r="E9336" t="s">
        <v>293</v>
      </c>
      <c r="F9336" t="s">
        <v>215</v>
      </c>
      <c r="G9336" t="s">
        <v>382</v>
      </c>
      <c r="H9336" t="s">
        <v>99</v>
      </c>
      <c r="I9336" t="s">
        <v>99</v>
      </c>
      <c r="J9336" t="s">
        <v>99</v>
      </c>
      <c r="K9336" t="s">
        <v>99</v>
      </c>
      <c r="L9336" t="s">
        <v>99</v>
      </c>
      <c r="M9336" t="s">
        <v>99</v>
      </c>
      <c r="N9336" t="s">
        <v>99</v>
      </c>
      <c r="O9336" t="s">
        <v>99</v>
      </c>
      <c r="P9336" t="s">
        <v>99</v>
      </c>
      <c r="Q9336" t="s">
        <v>99</v>
      </c>
    </row>
    <row r="9337" spans="1:17" x14ac:dyDescent="0.3">
      <c r="A9337" t="s">
        <v>33</v>
      </c>
      <c r="B9337" t="s">
        <v>2269</v>
      </c>
      <c r="C9337">
        <v>65</v>
      </c>
      <c r="D9337" t="s">
        <v>99</v>
      </c>
      <c r="E9337" t="s">
        <v>324</v>
      </c>
      <c r="F9337" t="s">
        <v>99</v>
      </c>
      <c r="G9337" t="s">
        <v>143</v>
      </c>
      <c r="H9337" t="s">
        <v>319</v>
      </c>
      <c r="I9337" t="s">
        <v>99</v>
      </c>
      <c r="J9337" t="s">
        <v>319</v>
      </c>
      <c r="K9337" t="s">
        <v>99</v>
      </c>
      <c r="L9337" t="s">
        <v>99</v>
      </c>
      <c r="M9337" t="s">
        <v>99</v>
      </c>
      <c r="N9337" t="s">
        <v>99</v>
      </c>
      <c r="O9337" t="s">
        <v>99</v>
      </c>
      <c r="P9337" t="s">
        <v>99</v>
      </c>
      <c r="Q9337" t="s">
        <v>99</v>
      </c>
    </row>
    <row r="9338" spans="1:17" x14ac:dyDescent="0.3">
      <c r="A9338" t="s">
        <v>33</v>
      </c>
      <c r="B9338" t="s">
        <v>2270</v>
      </c>
      <c r="C9338">
        <v>87</v>
      </c>
      <c r="D9338" t="s">
        <v>316</v>
      </c>
      <c r="E9338" t="s">
        <v>414</v>
      </c>
      <c r="F9338" t="s">
        <v>114</v>
      </c>
      <c r="G9338" t="s">
        <v>277</v>
      </c>
      <c r="H9338" t="s">
        <v>99</v>
      </c>
      <c r="I9338" t="s">
        <v>99</v>
      </c>
      <c r="J9338" t="s">
        <v>99</v>
      </c>
      <c r="K9338" t="s">
        <v>99</v>
      </c>
      <c r="L9338" t="s">
        <v>99</v>
      </c>
      <c r="M9338" t="s">
        <v>99</v>
      </c>
      <c r="N9338" t="s">
        <v>99</v>
      </c>
      <c r="O9338" t="s">
        <v>99</v>
      </c>
      <c r="P9338" t="s">
        <v>99</v>
      </c>
      <c r="Q9338" t="s">
        <v>99</v>
      </c>
    </row>
    <row r="9339" spans="1:17" x14ac:dyDescent="0.3">
      <c r="A9339" t="s">
        <v>33</v>
      </c>
      <c r="B9339" t="s">
        <v>2271</v>
      </c>
      <c r="C9339">
        <v>504</v>
      </c>
      <c r="D9339" t="s">
        <v>292</v>
      </c>
      <c r="E9339" t="s">
        <v>377</v>
      </c>
      <c r="F9339" t="s">
        <v>121</v>
      </c>
      <c r="G9339" t="s">
        <v>144</v>
      </c>
      <c r="H9339" t="s">
        <v>253</v>
      </c>
      <c r="I9339" t="s">
        <v>99</v>
      </c>
      <c r="J9339" t="s">
        <v>136</v>
      </c>
      <c r="K9339" t="s">
        <v>99</v>
      </c>
      <c r="L9339" t="s">
        <v>99</v>
      </c>
      <c r="M9339" t="s">
        <v>99</v>
      </c>
      <c r="N9339" t="s">
        <v>99</v>
      </c>
      <c r="O9339" t="s">
        <v>136</v>
      </c>
      <c r="P9339" t="s">
        <v>136</v>
      </c>
      <c r="Q9339" t="s">
        <v>253</v>
      </c>
    </row>
    <row r="9340" spans="1:17" x14ac:dyDescent="0.3">
      <c r="A9340" t="s">
        <v>33</v>
      </c>
      <c r="B9340" t="s">
        <v>2272</v>
      </c>
      <c r="C9340">
        <v>443</v>
      </c>
      <c r="D9340" t="s">
        <v>112</v>
      </c>
      <c r="E9340" t="s">
        <v>178</v>
      </c>
      <c r="F9340" t="s">
        <v>215</v>
      </c>
      <c r="G9340" t="s">
        <v>405</v>
      </c>
      <c r="H9340" t="s">
        <v>121</v>
      </c>
      <c r="I9340" t="s">
        <v>99</v>
      </c>
      <c r="J9340" t="s">
        <v>123</v>
      </c>
      <c r="K9340" t="s">
        <v>207</v>
      </c>
      <c r="L9340" t="s">
        <v>99</v>
      </c>
      <c r="M9340" t="s">
        <v>99</v>
      </c>
      <c r="N9340" t="s">
        <v>99</v>
      </c>
      <c r="O9340" t="s">
        <v>136</v>
      </c>
      <c r="P9340" t="s">
        <v>99</v>
      </c>
      <c r="Q9340" t="s">
        <v>108</v>
      </c>
    </row>
    <row r="9341" spans="1:17" x14ac:dyDescent="0.3">
      <c r="A9341" t="s">
        <v>33</v>
      </c>
      <c r="B9341" t="s">
        <v>2273</v>
      </c>
      <c r="C9341">
        <v>500</v>
      </c>
      <c r="D9341" t="s">
        <v>120</v>
      </c>
      <c r="E9341" t="s">
        <v>908</v>
      </c>
      <c r="F9341" t="s">
        <v>126</v>
      </c>
      <c r="G9341" t="s">
        <v>680</v>
      </c>
      <c r="H9341" t="s">
        <v>115</v>
      </c>
      <c r="I9341" t="s">
        <v>99</v>
      </c>
      <c r="J9341" t="s">
        <v>215</v>
      </c>
      <c r="K9341" t="s">
        <v>99</v>
      </c>
      <c r="L9341" t="s">
        <v>99</v>
      </c>
      <c r="M9341" t="s">
        <v>99</v>
      </c>
      <c r="N9341" t="s">
        <v>99</v>
      </c>
      <c r="O9341" t="s">
        <v>99</v>
      </c>
      <c r="P9341" t="s">
        <v>99</v>
      </c>
      <c r="Q9341" t="s">
        <v>198</v>
      </c>
    </row>
    <row r="9342" spans="1:17" x14ac:dyDescent="0.3">
      <c r="A9342" t="s">
        <v>33</v>
      </c>
      <c r="B9342" t="s">
        <v>976</v>
      </c>
      <c r="C9342">
        <v>66</v>
      </c>
      <c r="D9342" t="s">
        <v>123</v>
      </c>
      <c r="E9342" t="s">
        <v>771</v>
      </c>
      <c r="F9342" t="s">
        <v>99</v>
      </c>
      <c r="G9342" t="s">
        <v>105</v>
      </c>
      <c r="H9342" t="s">
        <v>99</v>
      </c>
      <c r="I9342" t="s">
        <v>99</v>
      </c>
      <c r="J9342" t="s">
        <v>99</v>
      </c>
      <c r="K9342" t="s">
        <v>99</v>
      </c>
      <c r="L9342" t="s">
        <v>99</v>
      </c>
      <c r="M9342" t="s">
        <v>99</v>
      </c>
      <c r="N9342" t="s">
        <v>99</v>
      </c>
      <c r="O9342" t="s">
        <v>99</v>
      </c>
      <c r="P9342" t="s">
        <v>99</v>
      </c>
      <c r="Q9342" t="s">
        <v>126</v>
      </c>
    </row>
    <row r="9343" spans="1:17" x14ac:dyDescent="0.3">
      <c r="A9343" t="s">
        <v>33</v>
      </c>
      <c r="B9343" t="s">
        <v>2274</v>
      </c>
      <c r="C9343">
        <v>64</v>
      </c>
      <c r="D9343" t="s">
        <v>154</v>
      </c>
      <c r="E9343" t="s">
        <v>413</v>
      </c>
      <c r="F9343" t="s">
        <v>99</v>
      </c>
      <c r="G9343" t="s">
        <v>319</v>
      </c>
      <c r="H9343" t="s">
        <v>99</v>
      </c>
      <c r="I9343" t="s">
        <v>99</v>
      </c>
      <c r="J9343" t="s">
        <v>99</v>
      </c>
      <c r="K9343" t="s">
        <v>99</v>
      </c>
      <c r="L9343" t="s">
        <v>99</v>
      </c>
      <c r="M9343" t="s">
        <v>99</v>
      </c>
      <c r="N9343" t="s">
        <v>99</v>
      </c>
      <c r="O9343" t="s">
        <v>99</v>
      </c>
      <c r="P9343" t="s">
        <v>99</v>
      </c>
      <c r="Q9343" t="s">
        <v>99</v>
      </c>
    </row>
    <row r="9344" spans="1:17" x14ac:dyDescent="0.3">
      <c r="A9344" t="s">
        <v>33</v>
      </c>
      <c r="B9344" t="s">
        <v>2275</v>
      </c>
      <c r="C9344">
        <v>54</v>
      </c>
      <c r="D9344" t="s">
        <v>110</v>
      </c>
      <c r="E9344" t="s">
        <v>1510</v>
      </c>
      <c r="F9344" t="s">
        <v>292</v>
      </c>
      <c r="G9344" t="s">
        <v>311</v>
      </c>
      <c r="H9344" t="s">
        <v>215</v>
      </c>
      <c r="I9344" t="s">
        <v>99</v>
      </c>
      <c r="J9344" t="s">
        <v>99</v>
      </c>
      <c r="K9344" t="s">
        <v>99</v>
      </c>
      <c r="L9344" t="s">
        <v>99</v>
      </c>
      <c r="M9344" t="s">
        <v>99</v>
      </c>
      <c r="N9344" t="s">
        <v>99</v>
      </c>
      <c r="O9344" t="s">
        <v>130</v>
      </c>
      <c r="P9344" t="s">
        <v>99</v>
      </c>
      <c r="Q9344" t="s">
        <v>99</v>
      </c>
    </row>
    <row r="9345" spans="1:17" x14ac:dyDescent="0.3">
      <c r="A9345" t="s">
        <v>33</v>
      </c>
      <c r="B9345" t="s">
        <v>2276</v>
      </c>
      <c r="C9345">
        <v>44</v>
      </c>
      <c r="D9345" t="s">
        <v>99</v>
      </c>
      <c r="E9345" t="s">
        <v>71</v>
      </c>
      <c r="F9345" t="s">
        <v>99</v>
      </c>
      <c r="G9345" t="s">
        <v>379</v>
      </c>
      <c r="H9345" t="s">
        <v>99</v>
      </c>
      <c r="I9345" t="s">
        <v>99</v>
      </c>
      <c r="J9345" t="s">
        <v>215</v>
      </c>
      <c r="K9345" t="s">
        <v>99</v>
      </c>
      <c r="L9345" t="s">
        <v>99</v>
      </c>
      <c r="M9345" t="s">
        <v>99</v>
      </c>
      <c r="N9345" t="s">
        <v>99</v>
      </c>
      <c r="O9345" t="s">
        <v>99</v>
      </c>
      <c r="P9345" t="s">
        <v>99</v>
      </c>
      <c r="Q9345" t="s">
        <v>99</v>
      </c>
    </row>
    <row r="9346" spans="1:17" x14ac:dyDescent="0.3">
      <c r="A9346" t="s">
        <v>33</v>
      </c>
      <c r="B9346" t="s">
        <v>2277</v>
      </c>
      <c r="C9346">
        <v>283</v>
      </c>
      <c r="D9346" t="s">
        <v>129</v>
      </c>
      <c r="E9346" t="s">
        <v>1276</v>
      </c>
      <c r="F9346" t="s">
        <v>126</v>
      </c>
      <c r="G9346" t="s">
        <v>68</v>
      </c>
      <c r="H9346" t="s">
        <v>99</v>
      </c>
      <c r="I9346" t="s">
        <v>99</v>
      </c>
      <c r="J9346" t="s">
        <v>207</v>
      </c>
      <c r="K9346" t="s">
        <v>99</v>
      </c>
      <c r="L9346" t="s">
        <v>99</v>
      </c>
      <c r="M9346" t="s">
        <v>99</v>
      </c>
      <c r="N9346" t="s">
        <v>207</v>
      </c>
      <c r="O9346" t="s">
        <v>136</v>
      </c>
      <c r="P9346" t="s">
        <v>99</v>
      </c>
      <c r="Q9346" t="s">
        <v>207</v>
      </c>
    </row>
    <row r="9347" spans="1:17" x14ac:dyDescent="0.3">
      <c r="A9347" t="s">
        <v>33</v>
      </c>
      <c r="B9347" t="s">
        <v>2278</v>
      </c>
      <c r="C9347">
        <v>265</v>
      </c>
      <c r="D9347" t="s">
        <v>111</v>
      </c>
      <c r="E9347" t="s">
        <v>266</v>
      </c>
      <c r="F9347" t="s">
        <v>107</v>
      </c>
      <c r="G9347" t="s">
        <v>405</v>
      </c>
      <c r="H9347" t="s">
        <v>100</v>
      </c>
      <c r="I9347" t="s">
        <v>99</v>
      </c>
      <c r="J9347" t="s">
        <v>99</v>
      </c>
      <c r="K9347" t="s">
        <v>99</v>
      </c>
      <c r="L9347" t="s">
        <v>99</v>
      </c>
      <c r="M9347" t="s">
        <v>99</v>
      </c>
      <c r="N9347" t="s">
        <v>99</v>
      </c>
      <c r="O9347" t="s">
        <v>141</v>
      </c>
      <c r="P9347" t="s">
        <v>99</v>
      </c>
      <c r="Q9347" t="s">
        <v>126</v>
      </c>
    </row>
    <row r="9348" spans="1:17" x14ac:dyDescent="0.3">
      <c r="A9348" t="s">
        <v>33</v>
      </c>
      <c r="B9348" t="s">
        <v>2279</v>
      </c>
      <c r="C9348">
        <v>298</v>
      </c>
      <c r="D9348" t="s">
        <v>147</v>
      </c>
      <c r="E9348" t="s">
        <v>1137</v>
      </c>
      <c r="F9348" t="s">
        <v>101</v>
      </c>
      <c r="G9348" t="s">
        <v>311</v>
      </c>
      <c r="H9348" t="s">
        <v>132</v>
      </c>
      <c r="I9348" t="s">
        <v>132</v>
      </c>
      <c r="J9348" t="s">
        <v>292</v>
      </c>
      <c r="K9348" t="s">
        <v>99</v>
      </c>
      <c r="L9348" t="s">
        <v>99</v>
      </c>
      <c r="M9348" t="s">
        <v>99</v>
      </c>
      <c r="N9348" t="s">
        <v>99</v>
      </c>
      <c r="O9348" t="s">
        <v>207</v>
      </c>
      <c r="P9348" t="s">
        <v>136</v>
      </c>
      <c r="Q9348" t="s">
        <v>100</v>
      </c>
    </row>
    <row r="9349" spans="1:17" x14ac:dyDescent="0.3">
      <c r="A9349" t="s">
        <v>49</v>
      </c>
      <c r="B9349" t="s">
        <v>973</v>
      </c>
      <c r="C9349">
        <v>373</v>
      </c>
      <c r="D9349" t="s">
        <v>253</v>
      </c>
      <c r="E9349" t="s">
        <v>492</v>
      </c>
      <c r="F9349" t="s">
        <v>154</v>
      </c>
      <c r="G9349" t="s">
        <v>355</v>
      </c>
      <c r="H9349" t="s">
        <v>207</v>
      </c>
      <c r="I9349" t="s">
        <v>99</v>
      </c>
      <c r="J9349" t="s">
        <v>207</v>
      </c>
      <c r="K9349" t="s">
        <v>253</v>
      </c>
      <c r="L9349" t="s">
        <v>253</v>
      </c>
      <c r="M9349" t="s">
        <v>99</v>
      </c>
      <c r="N9349" t="s">
        <v>99</v>
      </c>
      <c r="O9349" t="s">
        <v>382</v>
      </c>
      <c r="P9349" t="s">
        <v>141</v>
      </c>
      <c r="Q9349" t="s">
        <v>136</v>
      </c>
    </row>
    <row r="9350" spans="1:17" x14ac:dyDescent="0.3">
      <c r="A9350" t="s">
        <v>49</v>
      </c>
      <c r="B9350" t="s">
        <v>2268</v>
      </c>
      <c r="C9350">
        <v>488</v>
      </c>
      <c r="D9350" t="s">
        <v>154</v>
      </c>
      <c r="E9350" t="s">
        <v>172</v>
      </c>
      <c r="F9350" t="s">
        <v>319</v>
      </c>
      <c r="G9350" t="s">
        <v>68</v>
      </c>
      <c r="H9350" t="s">
        <v>198</v>
      </c>
      <c r="I9350" t="s">
        <v>99</v>
      </c>
      <c r="J9350" t="s">
        <v>136</v>
      </c>
      <c r="K9350" t="s">
        <v>104</v>
      </c>
      <c r="L9350" t="s">
        <v>141</v>
      </c>
      <c r="M9350" t="s">
        <v>99</v>
      </c>
      <c r="N9350" t="s">
        <v>207</v>
      </c>
      <c r="O9350" t="s">
        <v>198</v>
      </c>
      <c r="P9350" t="s">
        <v>99</v>
      </c>
      <c r="Q9350" t="s">
        <v>99</v>
      </c>
    </row>
    <row r="9351" spans="1:17" x14ac:dyDescent="0.3">
      <c r="A9351" t="s">
        <v>49</v>
      </c>
      <c r="B9351" t="s">
        <v>2269</v>
      </c>
      <c r="C9351">
        <v>456</v>
      </c>
      <c r="D9351" t="s">
        <v>108</v>
      </c>
      <c r="E9351" t="s">
        <v>185</v>
      </c>
      <c r="F9351" t="s">
        <v>100</v>
      </c>
      <c r="G9351" t="s">
        <v>68</v>
      </c>
      <c r="H9351" t="s">
        <v>136</v>
      </c>
      <c r="I9351" t="s">
        <v>99</v>
      </c>
      <c r="J9351" t="s">
        <v>207</v>
      </c>
      <c r="K9351" t="s">
        <v>99</v>
      </c>
      <c r="L9351" t="s">
        <v>99</v>
      </c>
      <c r="M9351" t="s">
        <v>99</v>
      </c>
      <c r="N9351" t="s">
        <v>99</v>
      </c>
      <c r="O9351" t="s">
        <v>136</v>
      </c>
      <c r="P9351" t="s">
        <v>99</v>
      </c>
      <c r="Q9351" t="s">
        <v>99</v>
      </c>
    </row>
    <row r="9352" spans="1:17" x14ac:dyDescent="0.3">
      <c r="A9352" t="s">
        <v>49</v>
      </c>
      <c r="B9352" t="s">
        <v>2270</v>
      </c>
      <c r="C9352">
        <v>427</v>
      </c>
      <c r="D9352" t="s">
        <v>292</v>
      </c>
      <c r="E9352" t="s">
        <v>403</v>
      </c>
      <c r="F9352" t="s">
        <v>207</v>
      </c>
      <c r="G9352" t="s">
        <v>109</v>
      </c>
      <c r="H9352" t="s">
        <v>136</v>
      </c>
      <c r="I9352" t="s">
        <v>99</v>
      </c>
      <c r="J9352" t="s">
        <v>198</v>
      </c>
      <c r="K9352" t="s">
        <v>99</v>
      </c>
      <c r="L9352" t="s">
        <v>99</v>
      </c>
      <c r="M9352" t="s">
        <v>99</v>
      </c>
      <c r="N9352" t="s">
        <v>99</v>
      </c>
      <c r="O9352" t="s">
        <v>114</v>
      </c>
      <c r="P9352" t="s">
        <v>99</v>
      </c>
      <c r="Q9352" t="s">
        <v>99</v>
      </c>
    </row>
    <row r="9353" spans="1:17" x14ac:dyDescent="0.3">
      <c r="A9353" t="s">
        <v>49</v>
      </c>
      <c r="B9353" t="s">
        <v>2271</v>
      </c>
      <c r="C9353">
        <v>2821</v>
      </c>
      <c r="D9353" t="s">
        <v>127</v>
      </c>
      <c r="E9353" t="s">
        <v>968</v>
      </c>
      <c r="F9353" t="s">
        <v>157</v>
      </c>
      <c r="G9353" t="s">
        <v>694</v>
      </c>
      <c r="H9353" t="s">
        <v>114</v>
      </c>
      <c r="I9353" t="s">
        <v>99</v>
      </c>
      <c r="J9353" t="s">
        <v>253</v>
      </c>
      <c r="K9353" t="s">
        <v>198</v>
      </c>
      <c r="L9353" t="s">
        <v>253</v>
      </c>
      <c r="M9353" t="s">
        <v>104</v>
      </c>
      <c r="N9353" t="s">
        <v>104</v>
      </c>
      <c r="O9353" t="s">
        <v>382</v>
      </c>
      <c r="P9353" t="s">
        <v>136</v>
      </c>
      <c r="Q9353" t="s">
        <v>136</v>
      </c>
    </row>
    <row r="9354" spans="1:17" x14ac:dyDescent="0.3">
      <c r="A9354" t="s">
        <v>49</v>
      </c>
      <c r="B9354" t="s">
        <v>2272</v>
      </c>
      <c r="C9354">
        <v>3037</v>
      </c>
      <c r="D9354" t="s">
        <v>127</v>
      </c>
      <c r="E9354" t="s">
        <v>504</v>
      </c>
      <c r="F9354" t="s">
        <v>103</v>
      </c>
      <c r="G9354" t="s">
        <v>720</v>
      </c>
      <c r="H9354" t="s">
        <v>111</v>
      </c>
      <c r="I9354" t="s">
        <v>136</v>
      </c>
      <c r="J9354" t="s">
        <v>100</v>
      </c>
      <c r="K9354" t="s">
        <v>207</v>
      </c>
      <c r="L9354" t="s">
        <v>136</v>
      </c>
      <c r="M9354" t="s">
        <v>136</v>
      </c>
      <c r="N9354" t="s">
        <v>99</v>
      </c>
      <c r="O9354" t="s">
        <v>101</v>
      </c>
      <c r="P9354" t="s">
        <v>141</v>
      </c>
      <c r="Q9354" t="s">
        <v>253</v>
      </c>
    </row>
    <row r="9355" spans="1:17" x14ac:dyDescent="0.3">
      <c r="A9355" t="s">
        <v>49</v>
      </c>
      <c r="B9355" t="s">
        <v>2273</v>
      </c>
      <c r="C9355">
        <v>3463</v>
      </c>
      <c r="D9355" t="s">
        <v>100</v>
      </c>
      <c r="E9355" t="s">
        <v>57</v>
      </c>
      <c r="F9355" t="s">
        <v>120</v>
      </c>
      <c r="G9355" t="s">
        <v>457</v>
      </c>
      <c r="H9355" t="s">
        <v>128</v>
      </c>
      <c r="I9355" t="s">
        <v>101</v>
      </c>
      <c r="J9355" t="s">
        <v>319</v>
      </c>
      <c r="K9355" t="s">
        <v>198</v>
      </c>
      <c r="L9355" t="s">
        <v>198</v>
      </c>
      <c r="M9355" t="s">
        <v>104</v>
      </c>
      <c r="N9355" t="s">
        <v>99</v>
      </c>
      <c r="O9355" t="s">
        <v>132</v>
      </c>
      <c r="P9355" t="s">
        <v>104</v>
      </c>
      <c r="Q9355" t="s">
        <v>115</v>
      </c>
    </row>
    <row r="9356" spans="1:17" x14ac:dyDescent="0.3">
      <c r="A9356" t="s">
        <v>49</v>
      </c>
      <c r="B9356" t="s">
        <v>976</v>
      </c>
      <c r="C9356">
        <v>401</v>
      </c>
      <c r="D9356" t="s">
        <v>253</v>
      </c>
      <c r="E9356" t="s">
        <v>187</v>
      </c>
      <c r="F9356" t="s">
        <v>120</v>
      </c>
      <c r="G9356" t="s">
        <v>294</v>
      </c>
      <c r="H9356" t="s">
        <v>319</v>
      </c>
      <c r="I9356" t="s">
        <v>99</v>
      </c>
      <c r="J9356" t="s">
        <v>108</v>
      </c>
      <c r="K9356" t="s">
        <v>207</v>
      </c>
      <c r="L9356" t="s">
        <v>99</v>
      </c>
      <c r="M9356" t="s">
        <v>99</v>
      </c>
      <c r="N9356" t="s">
        <v>207</v>
      </c>
      <c r="O9356" t="s">
        <v>253</v>
      </c>
      <c r="P9356" t="s">
        <v>99</v>
      </c>
      <c r="Q9356" t="s">
        <v>141</v>
      </c>
    </row>
    <row r="9357" spans="1:17" x14ac:dyDescent="0.3">
      <c r="A9357" t="s">
        <v>49</v>
      </c>
      <c r="B9357" t="s">
        <v>2274</v>
      </c>
      <c r="C9357">
        <v>447</v>
      </c>
      <c r="D9357" t="s">
        <v>126</v>
      </c>
      <c r="E9357" t="s">
        <v>403</v>
      </c>
      <c r="F9357" t="s">
        <v>121</v>
      </c>
      <c r="G9357" t="s">
        <v>109</v>
      </c>
      <c r="H9357" t="s">
        <v>207</v>
      </c>
      <c r="I9357" t="s">
        <v>99</v>
      </c>
      <c r="J9357" t="s">
        <v>104</v>
      </c>
      <c r="K9357" t="s">
        <v>99</v>
      </c>
      <c r="L9357" t="s">
        <v>99</v>
      </c>
      <c r="M9357" t="s">
        <v>99</v>
      </c>
      <c r="N9357" t="s">
        <v>99</v>
      </c>
      <c r="O9357" t="s">
        <v>99</v>
      </c>
      <c r="P9357" t="s">
        <v>99</v>
      </c>
      <c r="Q9357" t="s">
        <v>104</v>
      </c>
    </row>
    <row r="9358" spans="1:17" x14ac:dyDescent="0.3">
      <c r="A9358" t="s">
        <v>49</v>
      </c>
      <c r="B9358" t="s">
        <v>2275</v>
      </c>
      <c r="C9358">
        <v>449</v>
      </c>
      <c r="D9358" t="s">
        <v>127</v>
      </c>
      <c r="E9358" t="s">
        <v>762</v>
      </c>
      <c r="F9358" t="s">
        <v>157</v>
      </c>
      <c r="G9358" t="s">
        <v>325</v>
      </c>
      <c r="H9358" t="s">
        <v>114</v>
      </c>
      <c r="I9358" t="s">
        <v>99</v>
      </c>
      <c r="J9358" t="s">
        <v>253</v>
      </c>
      <c r="K9358" t="s">
        <v>99</v>
      </c>
      <c r="L9358" t="s">
        <v>99</v>
      </c>
      <c r="M9358" t="s">
        <v>99</v>
      </c>
      <c r="N9358" t="s">
        <v>99</v>
      </c>
      <c r="O9358" t="s">
        <v>151</v>
      </c>
      <c r="P9358" t="s">
        <v>99</v>
      </c>
      <c r="Q9358" t="s">
        <v>99</v>
      </c>
    </row>
    <row r="9359" spans="1:17" x14ac:dyDescent="0.3">
      <c r="A9359" t="s">
        <v>49</v>
      </c>
      <c r="B9359" t="s">
        <v>2276</v>
      </c>
      <c r="C9359">
        <v>244</v>
      </c>
      <c r="D9359" t="s">
        <v>120</v>
      </c>
      <c r="E9359" t="s">
        <v>288</v>
      </c>
      <c r="F9359" t="s">
        <v>292</v>
      </c>
      <c r="G9359" t="s">
        <v>133</v>
      </c>
      <c r="H9359" t="s">
        <v>198</v>
      </c>
      <c r="I9359" t="s">
        <v>99</v>
      </c>
      <c r="J9359" t="s">
        <v>136</v>
      </c>
      <c r="K9359" t="s">
        <v>99</v>
      </c>
      <c r="L9359" t="s">
        <v>99</v>
      </c>
      <c r="M9359" t="s">
        <v>99</v>
      </c>
      <c r="N9359" t="s">
        <v>104</v>
      </c>
      <c r="O9359" t="s">
        <v>253</v>
      </c>
      <c r="P9359" t="s">
        <v>141</v>
      </c>
      <c r="Q9359" t="s">
        <v>104</v>
      </c>
    </row>
    <row r="9360" spans="1:17" x14ac:dyDescent="0.3">
      <c r="A9360" t="s">
        <v>49</v>
      </c>
      <c r="B9360" t="s">
        <v>2277</v>
      </c>
      <c r="C9360">
        <v>1757</v>
      </c>
      <c r="D9360" t="s">
        <v>268</v>
      </c>
      <c r="E9360" t="s">
        <v>785</v>
      </c>
      <c r="F9360" t="s">
        <v>292</v>
      </c>
      <c r="G9360" t="s">
        <v>289</v>
      </c>
      <c r="H9360" t="s">
        <v>132</v>
      </c>
      <c r="I9360" t="s">
        <v>136</v>
      </c>
      <c r="J9360" t="s">
        <v>141</v>
      </c>
      <c r="K9360" t="s">
        <v>207</v>
      </c>
      <c r="L9360" t="s">
        <v>132</v>
      </c>
      <c r="M9360" t="s">
        <v>198</v>
      </c>
      <c r="N9360" t="s">
        <v>198</v>
      </c>
      <c r="O9360" t="s">
        <v>121</v>
      </c>
      <c r="P9360" t="s">
        <v>198</v>
      </c>
      <c r="Q9360" t="s">
        <v>104</v>
      </c>
    </row>
    <row r="9361" spans="1:17" x14ac:dyDescent="0.3">
      <c r="A9361" t="s">
        <v>49</v>
      </c>
      <c r="B9361" t="s">
        <v>2278</v>
      </c>
      <c r="C9361">
        <v>1894</v>
      </c>
      <c r="D9361" t="s">
        <v>151</v>
      </c>
      <c r="E9361" t="s">
        <v>1012</v>
      </c>
      <c r="F9361" t="s">
        <v>117</v>
      </c>
      <c r="G9361" t="s">
        <v>432</v>
      </c>
      <c r="H9361" t="s">
        <v>101</v>
      </c>
      <c r="I9361" t="s">
        <v>104</v>
      </c>
      <c r="J9361" t="s">
        <v>253</v>
      </c>
      <c r="K9361" t="s">
        <v>198</v>
      </c>
      <c r="L9361" t="s">
        <v>207</v>
      </c>
      <c r="M9361" t="s">
        <v>115</v>
      </c>
      <c r="N9361" t="s">
        <v>198</v>
      </c>
      <c r="O9361" t="s">
        <v>126</v>
      </c>
      <c r="P9361" t="s">
        <v>141</v>
      </c>
      <c r="Q9361" t="s">
        <v>253</v>
      </c>
    </row>
    <row r="9362" spans="1:17" x14ac:dyDescent="0.3">
      <c r="A9362" t="s">
        <v>49</v>
      </c>
      <c r="B9362" t="s">
        <v>2279</v>
      </c>
      <c r="C9362">
        <v>1904</v>
      </c>
      <c r="D9362" t="s">
        <v>215</v>
      </c>
      <c r="E9362" t="s">
        <v>1453</v>
      </c>
      <c r="F9362" t="s">
        <v>151</v>
      </c>
      <c r="G9362" t="s">
        <v>542</v>
      </c>
      <c r="H9362" t="s">
        <v>126</v>
      </c>
      <c r="I9362" t="s">
        <v>115</v>
      </c>
      <c r="J9362" t="s">
        <v>319</v>
      </c>
      <c r="K9362" t="s">
        <v>99</v>
      </c>
      <c r="L9362" t="s">
        <v>198</v>
      </c>
      <c r="M9362" t="s">
        <v>207</v>
      </c>
      <c r="N9362" t="s">
        <v>99</v>
      </c>
      <c r="O9362" t="s">
        <v>115</v>
      </c>
      <c r="P9362" t="s">
        <v>207</v>
      </c>
      <c r="Q9362" t="s">
        <v>108</v>
      </c>
    </row>
    <row r="9363" spans="1:17" x14ac:dyDescent="0.3">
      <c r="A9363" t="s">
        <v>49</v>
      </c>
      <c r="B9363" t="s">
        <v>365</v>
      </c>
      <c r="C9363">
        <v>30</v>
      </c>
      <c r="D9363" t="s">
        <v>301</v>
      </c>
      <c r="E9363" t="s">
        <v>1119</v>
      </c>
      <c r="F9363" t="s">
        <v>134</v>
      </c>
      <c r="G9363" t="s">
        <v>508</v>
      </c>
      <c r="H9363" t="s">
        <v>99</v>
      </c>
      <c r="I9363" t="s">
        <v>679</v>
      </c>
      <c r="J9363" t="s">
        <v>99</v>
      </c>
      <c r="K9363" t="s">
        <v>99</v>
      </c>
      <c r="L9363" t="s">
        <v>99</v>
      </c>
      <c r="M9363" t="s">
        <v>99</v>
      </c>
      <c r="N9363" t="s">
        <v>154</v>
      </c>
      <c r="O9363" t="s">
        <v>292</v>
      </c>
      <c r="P9363" t="s">
        <v>99</v>
      </c>
      <c r="Q9363" t="s">
        <v>99</v>
      </c>
    </row>
    <row r="9365" spans="1:17" x14ac:dyDescent="0.3">
      <c r="A9365" t="s">
        <v>2403</v>
      </c>
    </row>
    <row r="9366" spans="1:17" x14ac:dyDescent="0.3">
      <c r="A9366" t="s">
        <v>44</v>
      </c>
      <c r="B9366" t="s">
        <v>361</v>
      </c>
      <c r="C9366" t="s">
        <v>32</v>
      </c>
      <c r="D9366" t="s">
        <v>2389</v>
      </c>
      <c r="E9366" t="s">
        <v>2390</v>
      </c>
      <c r="F9366" t="s">
        <v>2391</v>
      </c>
      <c r="G9366" t="s">
        <v>2392</v>
      </c>
      <c r="H9366" t="s">
        <v>2393</v>
      </c>
      <c r="I9366" t="s">
        <v>2394</v>
      </c>
      <c r="J9366" t="s">
        <v>2395</v>
      </c>
      <c r="K9366" t="s">
        <v>2396</v>
      </c>
      <c r="L9366" t="s">
        <v>2397</v>
      </c>
      <c r="M9366" t="s">
        <v>2344</v>
      </c>
      <c r="N9366" t="s">
        <v>2398</v>
      </c>
      <c r="O9366" t="s">
        <v>2399</v>
      </c>
      <c r="P9366" t="s">
        <v>2400</v>
      </c>
      <c r="Q9366" t="s">
        <v>2401</v>
      </c>
    </row>
    <row r="9367" spans="1:17" x14ac:dyDescent="0.3">
      <c r="A9367" t="s">
        <v>35</v>
      </c>
      <c r="B9367" t="s">
        <v>339</v>
      </c>
      <c r="C9367">
        <v>1435</v>
      </c>
      <c r="D9367" t="s">
        <v>121</v>
      </c>
      <c r="E9367" t="s">
        <v>1163</v>
      </c>
      <c r="F9367" t="s">
        <v>277</v>
      </c>
      <c r="G9367" t="s">
        <v>713</v>
      </c>
      <c r="H9367" t="s">
        <v>107</v>
      </c>
      <c r="I9367" t="s">
        <v>123</v>
      </c>
      <c r="J9367" t="s">
        <v>132</v>
      </c>
      <c r="K9367" t="s">
        <v>198</v>
      </c>
      <c r="L9367" t="s">
        <v>114</v>
      </c>
      <c r="M9367" t="s">
        <v>198</v>
      </c>
      <c r="N9367" t="s">
        <v>99</v>
      </c>
      <c r="O9367" t="s">
        <v>316</v>
      </c>
      <c r="P9367" t="s">
        <v>136</v>
      </c>
      <c r="Q9367" t="s">
        <v>114</v>
      </c>
    </row>
    <row r="9368" spans="1:17" x14ac:dyDescent="0.3">
      <c r="A9368" t="s">
        <v>35</v>
      </c>
      <c r="B9368" t="s">
        <v>340</v>
      </c>
      <c r="C9368">
        <v>2897</v>
      </c>
      <c r="D9368" t="s">
        <v>108</v>
      </c>
      <c r="E9368" t="s">
        <v>1135</v>
      </c>
      <c r="F9368" t="s">
        <v>382</v>
      </c>
      <c r="G9368" t="s">
        <v>233</v>
      </c>
      <c r="H9368" t="s">
        <v>101</v>
      </c>
      <c r="I9368" t="s">
        <v>99</v>
      </c>
      <c r="J9368" t="s">
        <v>115</v>
      </c>
      <c r="K9368" t="s">
        <v>99</v>
      </c>
      <c r="L9368" t="s">
        <v>99</v>
      </c>
      <c r="M9368" t="s">
        <v>99</v>
      </c>
      <c r="N9368" t="s">
        <v>99</v>
      </c>
      <c r="O9368" t="s">
        <v>108</v>
      </c>
      <c r="P9368" t="s">
        <v>104</v>
      </c>
      <c r="Q9368" t="s">
        <v>115</v>
      </c>
    </row>
    <row r="9369" spans="1:17" x14ac:dyDescent="0.3">
      <c r="A9369" t="s">
        <v>35</v>
      </c>
      <c r="B9369" t="s">
        <v>365</v>
      </c>
      <c r="C9369">
        <v>65</v>
      </c>
      <c r="D9369" t="s">
        <v>121</v>
      </c>
      <c r="E9369" t="s">
        <v>441</v>
      </c>
      <c r="F9369" t="s">
        <v>99</v>
      </c>
      <c r="G9369" t="s">
        <v>465</v>
      </c>
      <c r="H9369" t="s">
        <v>99</v>
      </c>
      <c r="I9369" t="s">
        <v>99</v>
      </c>
      <c r="J9369" t="s">
        <v>128</v>
      </c>
      <c r="K9369" t="s">
        <v>99</v>
      </c>
      <c r="L9369" t="s">
        <v>99</v>
      </c>
      <c r="M9369" t="s">
        <v>99</v>
      </c>
      <c r="N9369" t="s">
        <v>99</v>
      </c>
      <c r="O9369" t="s">
        <v>117</v>
      </c>
      <c r="P9369" t="s">
        <v>99</v>
      </c>
      <c r="Q9369" t="s">
        <v>253</v>
      </c>
    </row>
    <row r="9370" spans="1:17" x14ac:dyDescent="0.3">
      <c r="A9370" t="s">
        <v>37</v>
      </c>
      <c r="B9370" t="s">
        <v>339</v>
      </c>
      <c r="C9370">
        <v>1845</v>
      </c>
      <c r="D9370" t="s">
        <v>382</v>
      </c>
      <c r="E9370" t="s">
        <v>939</v>
      </c>
      <c r="F9370" t="s">
        <v>332</v>
      </c>
      <c r="G9370" t="s">
        <v>706</v>
      </c>
      <c r="H9370" t="s">
        <v>151</v>
      </c>
      <c r="I9370" t="s">
        <v>319</v>
      </c>
      <c r="J9370" t="s">
        <v>382</v>
      </c>
      <c r="K9370" t="s">
        <v>104</v>
      </c>
      <c r="L9370" t="s">
        <v>198</v>
      </c>
      <c r="M9370" t="s">
        <v>141</v>
      </c>
      <c r="N9370" t="s">
        <v>207</v>
      </c>
      <c r="O9370" t="s">
        <v>253</v>
      </c>
      <c r="P9370" t="s">
        <v>104</v>
      </c>
      <c r="Q9370" t="s">
        <v>198</v>
      </c>
    </row>
    <row r="9371" spans="1:17" x14ac:dyDescent="0.3">
      <c r="A9371" t="s">
        <v>37</v>
      </c>
      <c r="B9371" t="s">
        <v>340</v>
      </c>
      <c r="C9371">
        <v>3314</v>
      </c>
      <c r="D9371" t="s">
        <v>111</v>
      </c>
      <c r="E9371" t="s">
        <v>858</v>
      </c>
      <c r="F9371" t="s">
        <v>126</v>
      </c>
      <c r="G9371" t="s">
        <v>804</v>
      </c>
      <c r="H9371" t="s">
        <v>114</v>
      </c>
      <c r="I9371" t="s">
        <v>99</v>
      </c>
      <c r="J9371" t="s">
        <v>136</v>
      </c>
      <c r="K9371" t="s">
        <v>99</v>
      </c>
      <c r="L9371" t="s">
        <v>99</v>
      </c>
      <c r="M9371" t="s">
        <v>132</v>
      </c>
      <c r="N9371" t="s">
        <v>99</v>
      </c>
      <c r="O9371" t="s">
        <v>207</v>
      </c>
      <c r="P9371" t="s">
        <v>207</v>
      </c>
      <c r="Q9371" t="s">
        <v>198</v>
      </c>
    </row>
    <row r="9372" spans="1:17" x14ac:dyDescent="0.3">
      <c r="A9372" t="s">
        <v>37</v>
      </c>
      <c r="B9372" t="s">
        <v>365</v>
      </c>
      <c r="C9372">
        <v>54</v>
      </c>
      <c r="D9372" t="s">
        <v>319</v>
      </c>
      <c r="E9372" t="s">
        <v>399</v>
      </c>
      <c r="F9372" t="s">
        <v>130</v>
      </c>
      <c r="G9372" t="s">
        <v>325</v>
      </c>
      <c r="H9372" t="s">
        <v>99</v>
      </c>
      <c r="I9372" t="s">
        <v>99</v>
      </c>
      <c r="J9372" t="s">
        <v>99</v>
      </c>
      <c r="K9372" t="s">
        <v>99</v>
      </c>
      <c r="L9372" t="s">
        <v>99</v>
      </c>
      <c r="M9372" t="s">
        <v>99</v>
      </c>
      <c r="N9372" t="s">
        <v>99</v>
      </c>
      <c r="O9372" t="s">
        <v>99</v>
      </c>
      <c r="P9372" t="s">
        <v>99</v>
      </c>
      <c r="Q9372" t="s">
        <v>147</v>
      </c>
    </row>
    <row r="9373" spans="1:17" x14ac:dyDescent="0.3">
      <c r="A9373" t="s">
        <v>36</v>
      </c>
      <c r="B9373" t="s">
        <v>339</v>
      </c>
      <c r="C9373">
        <v>1168</v>
      </c>
      <c r="D9373" t="s">
        <v>121</v>
      </c>
      <c r="E9373" t="s">
        <v>575</v>
      </c>
      <c r="F9373" t="s">
        <v>127</v>
      </c>
      <c r="G9373" t="s">
        <v>106</v>
      </c>
      <c r="H9373" t="s">
        <v>712</v>
      </c>
      <c r="I9373" t="s">
        <v>115</v>
      </c>
      <c r="J9373" t="s">
        <v>382</v>
      </c>
      <c r="K9373" t="s">
        <v>115</v>
      </c>
      <c r="L9373" t="s">
        <v>115</v>
      </c>
      <c r="M9373" t="s">
        <v>99</v>
      </c>
      <c r="N9373" t="s">
        <v>99</v>
      </c>
      <c r="O9373" t="s">
        <v>120</v>
      </c>
      <c r="P9373" t="s">
        <v>99</v>
      </c>
      <c r="Q9373" t="s">
        <v>207</v>
      </c>
    </row>
    <row r="9374" spans="1:17" x14ac:dyDescent="0.3">
      <c r="A9374" t="s">
        <v>36</v>
      </c>
      <c r="B9374" t="s">
        <v>340</v>
      </c>
      <c r="C9374">
        <v>1800</v>
      </c>
      <c r="D9374" t="s">
        <v>316</v>
      </c>
      <c r="E9374" t="s">
        <v>1476</v>
      </c>
      <c r="F9374" t="s">
        <v>268</v>
      </c>
      <c r="G9374" t="s">
        <v>244</v>
      </c>
      <c r="H9374" t="s">
        <v>123</v>
      </c>
      <c r="I9374" t="s">
        <v>104</v>
      </c>
      <c r="J9374" t="s">
        <v>100</v>
      </c>
      <c r="K9374" t="s">
        <v>99</v>
      </c>
      <c r="L9374" t="s">
        <v>136</v>
      </c>
      <c r="M9374" t="s">
        <v>136</v>
      </c>
      <c r="N9374" t="s">
        <v>104</v>
      </c>
      <c r="O9374" t="s">
        <v>319</v>
      </c>
      <c r="P9374" t="s">
        <v>104</v>
      </c>
      <c r="Q9374" t="s">
        <v>207</v>
      </c>
    </row>
    <row r="9375" spans="1:17" x14ac:dyDescent="0.3">
      <c r="A9375" t="s">
        <v>36</v>
      </c>
      <c r="B9375" t="s">
        <v>365</v>
      </c>
      <c r="C9375">
        <v>93</v>
      </c>
      <c r="D9375" t="s">
        <v>108</v>
      </c>
      <c r="E9375" t="s">
        <v>1135</v>
      </c>
      <c r="F9375" t="s">
        <v>126</v>
      </c>
      <c r="G9375" t="s">
        <v>677</v>
      </c>
      <c r="H9375" t="s">
        <v>99</v>
      </c>
      <c r="I9375" t="s">
        <v>99</v>
      </c>
      <c r="J9375" t="s">
        <v>99</v>
      </c>
      <c r="K9375" t="s">
        <v>99</v>
      </c>
      <c r="L9375" t="s">
        <v>151</v>
      </c>
      <c r="M9375" t="s">
        <v>99</v>
      </c>
      <c r="N9375" t="s">
        <v>99</v>
      </c>
      <c r="O9375" t="s">
        <v>99</v>
      </c>
      <c r="P9375" t="s">
        <v>99</v>
      </c>
      <c r="Q9375" t="s">
        <v>99</v>
      </c>
    </row>
    <row r="9376" spans="1:17" x14ac:dyDescent="0.3">
      <c r="A9376" t="s">
        <v>34</v>
      </c>
      <c r="B9376" t="s">
        <v>339</v>
      </c>
      <c r="C9376">
        <v>882</v>
      </c>
      <c r="D9376" t="s">
        <v>123</v>
      </c>
      <c r="E9376" t="s">
        <v>1474</v>
      </c>
      <c r="F9376" t="s">
        <v>434</v>
      </c>
      <c r="G9376" t="s">
        <v>699</v>
      </c>
      <c r="H9376" t="s">
        <v>127</v>
      </c>
      <c r="I9376" t="s">
        <v>114</v>
      </c>
      <c r="J9376" t="s">
        <v>132</v>
      </c>
      <c r="K9376" t="s">
        <v>108</v>
      </c>
      <c r="L9376" t="s">
        <v>126</v>
      </c>
      <c r="M9376" t="s">
        <v>99</v>
      </c>
      <c r="N9376" t="s">
        <v>99</v>
      </c>
      <c r="O9376" t="s">
        <v>268</v>
      </c>
      <c r="P9376" t="s">
        <v>121</v>
      </c>
      <c r="Q9376" t="s">
        <v>207</v>
      </c>
    </row>
    <row r="9377" spans="1:17" x14ac:dyDescent="0.3">
      <c r="A9377" t="s">
        <v>34</v>
      </c>
      <c r="B9377" t="s">
        <v>340</v>
      </c>
      <c r="C9377">
        <v>1795</v>
      </c>
      <c r="D9377" t="s">
        <v>132</v>
      </c>
      <c r="E9377" t="s">
        <v>865</v>
      </c>
      <c r="F9377" t="s">
        <v>147</v>
      </c>
      <c r="G9377" t="s">
        <v>357</v>
      </c>
      <c r="H9377" t="s">
        <v>100</v>
      </c>
      <c r="I9377" t="s">
        <v>104</v>
      </c>
      <c r="J9377" t="s">
        <v>115</v>
      </c>
      <c r="K9377" t="s">
        <v>207</v>
      </c>
      <c r="L9377" t="s">
        <v>115</v>
      </c>
      <c r="M9377" t="s">
        <v>99</v>
      </c>
      <c r="N9377" t="s">
        <v>207</v>
      </c>
      <c r="O9377" t="s">
        <v>127</v>
      </c>
      <c r="P9377" t="s">
        <v>141</v>
      </c>
      <c r="Q9377" t="s">
        <v>207</v>
      </c>
    </row>
    <row r="9378" spans="1:17" x14ac:dyDescent="0.3">
      <c r="A9378" t="s">
        <v>34</v>
      </c>
      <c r="B9378" t="s">
        <v>365</v>
      </c>
      <c r="C9378">
        <v>37</v>
      </c>
      <c r="D9378" t="s">
        <v>139</v>
      </c>
      <c r="E9378" t="s">
        <v>949</v>
      </c>
      <c r="F9378" t="s">
        <v>68</v>
      </c>
      <c r="G9378" t="s">
        <v>38</v>
      </c>
      <c r="H9378" t="s">
        <v>99</v>
      </c>
      <c r="I9378" t="s">
        <v>99</v>
      </c>
      <c r="J9378" t="s">
        <v>99</v>
      </c>
      <c r="K9378" t="s">
        <v>671</v>
      </c>
      <c r="L9378" t="s">
        <v>671</v>
      </c>
      <c r="M9378" t="s">
        <v>99</v>
      </c>
      <c r="N9378" t="s">
        <v>99</v>
      </c>
      <c r="O9378" t="s">
        <v>99</v>
      </c>
      <c r="P9378" t="s">
        <v>99</v>
      </c>
      <c r="Q9378" t="s">
        <v>99</v>
      </c>
    </row>
    <row r="9379" spans="1:17" x14ac:dyDescent="0.3">
      <c r="A9379" t="s">
        <v>33</v>
      </c>
      <c r="B9379" t="s">
        <v>339</v>
      </c>
      <c r="C9379">
        <v>814</v>
      </c>
      <c r="D9379" t="s">
        <v>138</v>
      </c>
      <c r="E9379" t="s">
        <v>1407</v>
      </c>
      <c r="F9379" t="s">
        <v>151</v>
      </c>
      <c r="G9379" t="s">
        <v>231</v>
      </c>
      <c r="H9379" t="s">
        <v>101</v>
      </c>
      <c r="I9379" t="s">
        <v>207</v>
      </c>
      <c r="J9379" t="s">
        <v>126</v>
      </c>
      <c r="K9379" t="s">
        <v>104</v>
      </c>
      <c r="L9379" t="s">
        <v>99</v>
      </c>
      <c r="M9379" t="s">
        <v>99</v>
      </c>
      <c r="N9379" t="s">
        <v>99</v>
      </c>
      <c r="O9379" t="s">
        <v>207</v>
      </c>
      <c r="P9379" t="s">
        <v>207</v>
      </c>
      <c r="Q9379" t="s">
        <v>115</v>
      </c>
    </row>
    <row r="9380" spans="1:17" x14ac:dyDescent="0.3">
      <c r="A9380" t="s">
        <v>33</v>
      </c>
      <c r="B9380" t="s">
        <v>340</v>
      </c>
      <c r="C9380">
        <v>1962</v>
      </c>
      <c r="D9380" t="s">
        <v>147</v>
      </c>
      <c r="E9380" t="s">
        <v>399</v>
      </c>
      <c r="F9380" t="s">
        <v>121</v>
      </c>
      <c r="G9380" t="s">
        <v>124</v>
      </c>
      <c r="H9380" t="s">
        <v>136</v>
      </c>
      <c r="I9380" t="s">
        <v>99</v>
      </c>
      <c r="J9380" t="s">
        <v>132</v>
      </c>
      <c r="K9380" t="s">
        <v>99</v>
      </c>
      <c r="L9380" t="s">
        <v>99</v>
      </c>
      <c r="M9380" t="s">
        <v>99</v>
      </c>
      <c r="N9380" t="s">
        <v>104</v>
      </c>
      <c r="O9380" t="s">
        <v>136</v>
      </c>
      <c r="P9380" t="s">
        <v>104</v>
      </c>
      <c r="Q9380" t="s">
        <v>253</v>
      </c>
    </row>
    <row r="9381" spans="1:17" x14ac:dyDescent="0.3">
      <c r="A9381" t="s">
        <v>33</v>
      </c>
      <c r="B9381" t="s">
        <v>365</v>
      </c>
      <c r="C9381">
        <v>30</v>
      </c>
      <c r="D9381" t="s">
        <v>99</v>
      </c>
      <c r="E9381" t="s">
        <v>211</v>
      </c>
      <c r="F9381" t="s">
        <v>99</v>
      </c>
      <c r="G9381" t="s">
        <v>99</v>
      </c>
      <c r="H9381" t="s">
        <v>99</v>
      </c>
      <c r="I9381" t="s">
        <v>99</v>
      </c>
      <c r="J9381" t="s">
        <v>99</v>
      </c>
      <c r="K9381" t="s">
        <v>99</v>
      </c>
      <c r="L9381" t="s">
        <v>99</v>
      </c>
      <c r="M9381" t="s">
        <v>99</v>
      </c>
      <c r="N9381" t="s">
        <v>99</v>
      </c>
      <c r="O9381" t="s">
        <v>99</v>
      </c>
      <c r="P9381" t="s">
        <v>99</v>
      </c>
      <c r="Q9381" t="s">
        <v>99</v>
      </c>
    </row>
    <row r="9382" spans="1:17" x14ac:dyDescent="0.3">
      <c r="A9382" t="s">
        <v>49</v>
      </c>
      <c r="B9382" t="s">
        <v>339</v>
      </c>
      <c r="C9382">
        <v>6144</v>
      </c>
      <c r="D9382" t="s">
        <v>127</v>
      </c>
      <c r="E9382" t="s">
        <v>304</v>
      </c>
      <c r="F9382" t="s">
        <v>134</v>
      </c>
      <c r="G9382" t="s">
        <v>137</v>
      </c>
      <c r="H9382" t="s">
        <v>268</v>
      </c>
      <c r="I9382" t="s">
        <v>121</v>
      </c>
      <c r="J9382" t="s">
        <v>121</v>
      </c>
      <c r="K9382" t="s">
        <v>136</v>
      </c>
      <c r="L9382" t="s">
        <v>115</v>
      </c>
      <c r="M9382" t="s">
        <v>198</v>
      </c>
      <c r="N9382" t="s">
        <v>104</v>
      </c>
      <c r="O9382" t="s">
        <v>382</v>
      </c>
      <c r="P9382" t="s">
        <v>136</v>
      </c>
      <c r="Q9382" t="s">
        <v>141</v>
      </c>
    </row>
    <row r="9383" spans="1:17" x14ac:dyDescent="0.3">
      <c r="A9383" t="s">
        <v>49</v>
      </c>
      <c r="B9383" t="s">
        <v>340</v>
      </c>
      <c r="C9383">
        <v>11768</v>
      </c>
      <c r="D9383" t="s">
        <v>215</v>
      </c>
      <c r="E9383" t="s">
        <v>769</v>
      </c>
      <c r="F9383" t="s">
        <v>127</v>
      </c>
      <c r="G9383" t="s">
        <v>716</v>
      </c>
      <c r="H9383" t="s">
        <v>100</v>
      </c>
      <c r="I9383" t="s">
        <v>99</v>
      </c>
      <c r="J9383" t="s">
        <v>253</v>
      </c>
      <c r="K9383" t="s">
        <v>104</v>
      </c>
      <c r="L9383" t="s">
        <v>104</v>
      </c>
      <c r="M9383" t="s">
        <v>207</v>
      </c>
      <c r="N9383" t="s">
        <v>104</v>
      </c>
      <c r="O9383" t="s">
        <v>132</v>
      </c>
      <c r="P9383" t="s">
        <v>198</v>
      </c>
      <c r="Q9383" t="s">
        <v>136</v>
      </c>
    </row>
    <row r="9384" spans="1:17" x14ac:dyDescent="0.3">
      <c r="A9384" t="s">
        <v>49</v>
      </c>
      <c r="B9384" t="s">
        <v>365</v>
      </c>
      <c r="C9384">
        <v>279</v>
      </c>
      <c r="D9384" t="s">
        <v>215</v>
      </c>
      <c r="E9384" t="s">
        <v>230</v>
      </c>
      <c r="F9384" t="s">
        <v>292</v>
      </c>
      <c r="G9384" t="s">
        <v>287</v>
      </c>
      <c r="H9384" t="s">
        <v>99</v>
      </c>
      <c r="I9384" t="s">
        <v>99</v>
      </c>
      <c r="J9384" t="s">
        <v>115</v>
      </c>
      <c r="K9384" t="s">
        <v>215</v>
      </c>
      <c r="L9384" t="s">
        <v>292</v>
      </c>
      <c r="M9384" t="s">
        <v>99</v>
      </c>
      <c r="N9384" t="s">
        <v>99</v>
      </c>
      <c r="O9384" t="s">
        <v>115</v>
      </c>
      <c r="P9384" t="s">
        <v>99</v>
      </c>
      <c r="Q9384" t="s">
        <v>132</v>
      </c>
    </row>
    <row r="9386" spans="1:17" x14ac:dyDescent="0.3">
      <c r="A9386" t="s">
        <v>2404</v>
      </c>
    </row>
    <row r="9387" spans="1:17" x14ac:dyDescent="0.3">
      <c r="A9387" t="s">
        <v>44</v>
      </c>
      <c r="B9387" t="s">
        <v>235</v>
      </c>
      <c r="C9387" t="s">
        <v>32</v>
      </c>
      <c r="D9387" t="s">
        <v>2389</v>
      </c>
      <c r="E9387" t="s">
        <v>2390</v>
      </c>
      <c r="F9387" t="s">
        <v>2391</v>
      </c>
      <c r="G9387" t="s">
        <v>2392</v>
      </c>
      <c r="H9387" t="s">
        <v>2393</v>
      </c>
      <c r="I9387" t="s">
        <v>2394</v>
      </c>
      <c r="J9387" t="s">
        <v>2395</v>
      </c>
      <c r="K9387" t="s">
        <v>2396</v>
      </c>
      <c r="L9387" t="s">
        <v>2397</v>
      </c>
      <c r="M9387" t="s">
        <v>2344</v>
      </c>
      <c r="N9387" t="s">
        <v>2398</v>
      </c>
      <c r="O9387" t="s">
        <v>2399</v>
      </c>
      <c r="P9387" t="s">
        <v>2400</v>
      </c>
      <c r="Q9387" t="s">
        <v>2401</v>
      </c>
    </row>
    <row r="9388" spans="1:17" x14ac:dyDescent="0.3">
      <c r="A9388" t="s">
        <v>35</v>
      </c>
      <c r="B9388" t="s">
        <v>236</v>
      </c>
      <c r="C9388">
        <v>2348</v>
      </c>
      <c r="D9388" t="s">
        <v>382</v>
      </c>
      <c r="E9388" t="s">
        <v>772</v>
      </c>
      <c r="F9388" t="s">
        <v>155</v>
      </c>
      <c r="G9388" t="s">
        <v>680</v>
      </c>
      <c r="H9388" t="s">
        <v>105</v>
      </c>
      <c r="I9388" t="s">
        <v>198</v>
      </c>
      <c r="J9388" t="s">
        <v>127</v>
      </c>
      <c r="K9388" t="s">
        <v>99</v>
      </c>
      <c r="L9388" t="s">
        <v>104</v>
      </c>
      <c r="M9388" t="s">
        <v>104</v>
      </c>
      <c r="N9388" t="s">
        <v>99</v>
      </c>
      <c r="O9388" t="s">
        <v>105</v>
      </c>
      <c r="P9388" t="s">
        <v>104</v>
      </c>
      <c r="Q9388" t="s">
        <v>111</v>
      </c>
    </row>
    <row r="9389" spans="1:17" x14ac:dyDescent="0.3">
      <c r="A9389" t="s">
        <v>35</v>
      </c>
      <c r="B9389" t="s">
        <v>238</v>
      </c>
      <c r="C9389">
        <v>2049</v>
      </c>
      <c r="D9389" t="s">
        <v>115</v>
      </c>
      <c r="E9389" t="s">
        <v>518</v>
      </c>
      <c r="F9389" t="s">
        <v>117</v>
      </c>
      <c r="G9389" t="s">
        <v>751</v>
      </c>
      <c r="H9389" t="s">
        <v>100</v>
      </c>
      <c r="I9389" t="s">
        <v>132</v>
      </c>
      <c r="J9389" t="s">
        <v>198</v>
      </c>
      <c r="K9389" t="s">
        <v>104</v>
      </c>
      <c r="L9389" t="s">
        <v>141</v>
      </c>
      <c r="M9389" t="s">
        <v>99</v>
      </c>
      <c r="N9389" t="s">
        <v>99</v>
      </c>
      <c r="O9389" t="s">
        <v>115</v>
      </c>
      <c r="P9389" t="s">
        <v>198</v>
      </c>
      <c r="Q9389" t="s">
        <v>104</v>
      </c>
    </row>
    <row r="9390" spans="1:17" x14ac:dyDescent="0.3">
      <c r="A9390" t="s">
        <v>37</v>
      </c>
      <c r="B9390" t="s">
        <v>236</v>
      </c>
      <c r="C9390">
        <v>3102</v>
      </c>
      <c r="D9390" t="s">
        <v>123</v>
      </c>
      <c r="E9390" t="s">
        <v>1253</v>
      </c>
      <c r="F9390" t="s">
        <v>103</v>
      </c>
      <c r="G9390" t="s">
        <v>201</v>
      </c>
      <c r="H9390" t="s">
        <v>292</v>
      </c>
      <c r="I9390" t="s">
        <v>141</v>
      </c>
      <c r="J9390" t="s">
        <v>121</v>
      </c>
      <c r="K9390" t="s">
        <v>104</v>
      </c>
      <c r="L9390" t="s">
        <v>104</v>
      </c>
      <c r="M9390" t="s">
        <v>132</v>
      </c>
      <c r="N9390" t="s">
        <v>198</v>
      </c>
      <c r="O9390" t="s">
        <v>207</v>
      </c>
      <c r="P9390" t="s">
        <v>198</v>
      </c>
      <c r="Q9390" t="s">
        <v>207</v>
      </c>
    </row>
    <row r="9391" spans="1:17" x14ac:dyDescent="0.3">
      <c r="A9391" t="s">
        <v>37</v>
      </c>
      <c r="B9391" t="s">
        <v>238</v>
      </c>
      <c r="C9391">
        <v>2111</v>
      </c>
      <c r="D9391" t="s">
        <v>292</v>
      </c>
      <c r="E9391" t="s">
        <v>769</v>
      </c>
      <c r="F9391" t="s">
        <v>127</v>
      </c>
      <c r="G9391" t="s">
        <v>294</v>
      </c>
      <c r="H9391" t="s">
        <v>198</v>
      </c>
      <c r="I9391" t="s">
        <v>141</v>
      </c>
      <c r="J9391" t="s">
        <v>198</v>
      </c>
      <c r="K9391" t="s">
        <v>99</v>
      </c>
      <c r="L9391" t="s">
        <v>99</v>
      </c>
      <c r="M9391" t="s">
        <v>141</v>
      </c>
      <c r="N9391" t="s">
        <v>104</v>
      </c>
      <c r="O9391" t="s">
        <v>136</v>
      </c>
      <c r="P9391" t="s">
        <v>104</v>
      </c>
      <c r="Q9391" t="s">
        <v>99</v>
      </c>
    </row>
    <row r="9392" spans="1:17" x14ac:dyDescent="0.3">
      <c r="A9392" t="s">
        <v>36</v>
      </c>
      <c r="B9392" t="s">
        <v>236</v>
      </c>
      <c r="C9392">
        <v>2076</v>
      </c>
      <c r="D9392" t="s">
        <v>100</v>
      </c>
      <c r="E9392" t="s">
        <v>770</v>
      </c>
      <c r="F9392" t="s">
        <v>268</v>
      </c>
      <c r="G9392" t="s">
        <v>702</v>
      </c>
      <c r="H9392" t="s">
        <v>124</v>
      </c>
      <c r="I9392" t="s">
        <v>253</v>
      </c>
      <c r="J9392" t="s">
        <v>268</v>
      </c>
      <c r="K9392" t="s">
        <v>99</v>
      </c>
      <c r="L9392" t="s">
        <v>207</v>
      </c>
      <c r="M9392" t="s">
        <v>104</v>
      </c>
      <c r="N9392" t="s">
        <v>104</v>
      </c>
      <c r="O9392" t="s">
        <v>268</v>
      </c>
      <c r="P9392" t="s">
        <v>104</v>
      </c>
      <c r="Q9392" t="s">
        <v>136</v>
      </c>
    </row>
    <row r="9393" spans="1:17" x14ac:dyDescent="0.3">
      <c r="A9393" t="s">
        <v>36</v>
      </c>
      <c r="B9393" t="s">
        <v>238</v>
      </c>
      <c r="C9393">
        <v>985</v>
      </c>
      <c r="D9393" t="s">
        <v>147</v>
      </c>
      <c r="E9393" t="s">
        <v>317</v>
      </c>
      <c r="F9393" t="s">
        <v>123</v>
      </c>
      <c r="G9393" t="s">
        <v>746</v>
      </c>
      <c r="H9393" t="s">
        <v>136</v>
      </c>
      <c r="I9393" t="s">
        <v>104</v>
      </c>
      <c r="J9393" t="s">
        <v>136</v>
      </c>
      <c r="K9393" t="s">
        <v>141</v>
      </c>
      <c r="L9393" t="s">
        <v>115</v>
      </c>
      <c r="M9393" t="s">
        <v>136</v>
      </c>
      <c r="N9393" t="s">
        <v>99</v>
      </c>
      <c r="O9393" t="s">
        <v>126</v>
      </c>
      <c r="P9393" t="s">
        <v>99</v>
      </c>
      <c r="Q9393" t="s">
        <v>104</v>
      </c>
    </row>
    <row r="9394" spans="1:17" x14ac:dyDescent="0.3">
      <c r="A9394" t="s">
        <v>34</v>
      </c>
      <c r="B9394" t="s">
        <v>236</v>
      </c>
      <c r="C9394">
        <v>966</v>
      </c>
      <c r="D9394" t="s">
        <v>215</v>
      </c>
      <c r="E9394" t="s">
        <v>63</v>
      </c>
      <c r="F9394" t="s">
        <v>157</v>
      </c>
      <c r="G9394" t="s">
        <v>842</v>
      </c>
      <c r="H9394" t="s">
        <v>134</v>
      </c>
      <c r="I9394" t="s">
        <v>100</v>
      </c>
      <c r="J9394" t="s">
        <v>127</v>
      </c>
      <c r="K9394" t="s">
        <v>99</v>
      </c>
      <c r="L9394" t="s">
        <v>115</v>
      </c>
      <c r="M9394" t="s">
        <v>99</v>
      </c>
      <c r="N9394" t="s">
        <v>99</v>
      </c>
      <c r="O9394" t="s">
        <v>111</v>
      </c>
      <c r="P9394" t="s">
        <v>108</v>
      </c>
      <c r="Q9394" t="s">
        <v>207</v>
      </c>
    </row>
    <row r="9395" spans="1:17" x14ac:dyDescent="0.3">
      <c r="A9395" t="s">
        <v>34</v>
      </c>
      <c r="B9395" t="s">
        <v>238</v>
      </c>
      <c r="C9395">
        <v>1748</v>
      </c>
      <c r="D9395" t="s">
        <v>100</v>
      </c>
      <c r="E9395" t="s">
        <v>57</v>
      </c>
      <c r="F9395" t="s">
        <v>134</v>
      </c>
      <c r="G9395" t="s">
        <v>933</v>
      </c>
      <c r="H9395" t="s">
        <v>207</v>
      </c>
      <c r="I9395" t="s">
        <v>198</v>
      </c>
      <c r="J9395" t="s">
        <v>198</v>
      </c>
      <c r="K9395" t="s">
        <v>108</v>
      </c>
      <c r="L9395" t="s">
        <v>319</v>
      </c>
      <c r="M9395" t="s">
        <v>99</v>
      </c>
      <c r="N9395" t="s">
        <v>198</v>
      </c>
      <c r="O9395" t="s">
        <v>123</v>
      </c>
      <c r="P9395" t="s">
        <v>132</v>
      </c>
      <c r="Q9395" t="s">
        <v>207</v>
      </c>
    </row>
    <row r="9396" spans="1:17" x14ac:dyDescent="0.3">
      <c r="A9396" t="s">
        <v>33</v>
      </c>
      <c r="B9396" t="s">
        <v>236</v>
      </c>
      <c r="C9396">
        <v>1639</v>
      </c>
      <c r="D9396" t="s">
        <v>123</v>
      </c>
      <c r="E9396" t="s">
        <v>875</v>
      </c>
      <c r="F9396" t="s">
        <v>126</v>
      </c>
      <c r="G9396" t="s">
        <v>78</v>
      </c>
      <c r="H9396" t="s">
        <v>101</v>
      </c>
      <c r="I9396" t="s">
        <v>198</v>
      </c>
      <c r="J9396" t="s">
        <v>382</v>
      </c>
      <c r="K9396" t="s">
        <v>99</v>
      </c>
      <c r="L9396" t="s">
        <v>99</v>
      </c>
      <c r="M9396" t="s">
        <v>99</v>
      </c>
      <c r="N9396" t="s">
        <v>104</v>
      </c>
      <c r="O9396" t="s">
        <v>207</v>
      </c>
      <c r="P9396" t="s">
        <v>198</v>
      </c>
      <c r="Q9396" t="s">
        <v>121</v>
      </c>
    </row>
    <row r="9397" spans="1:17" x14ac:dyDescent="0.3">
      <c r="A9397" t="s">
        <v>33</v>
      </c>
      <c r="B9397" t="s">
        <v>238</v>
      </c>
      <c r="C9397">
        <v>1167</v>
      </c>
      <c r="D9397" t="s">
        <v>434</v>
      </c>
      <c r="E9397" t="s">
        <v>288</v>
      </c>
      <c r="F9397" t="s">
        <v>319</v>
      </c>
      <c r="G9397" t="s">
        <v>296</v>
      </c>
      <c r="H9397" t="s">
        <v>99</v>
      </c>
      <c r="I9397" t="s">
        <v>99</v>
      </c>
      <c r="J9397" t="s">
        <v>207</v>
      </c>
      <c r="K9397" t="s">
        <v>104</v>
      </c>
      <c r="L9397" t="s">
        <v>99</v>
      </c>
      <c r="M9397" t="s">
        <v>99</v>
      </c>
      <c r="N9397" t="s">
        <v>99</v>
      </c>
      <c r="O9397" t="s">
        <v>136</v>
      </c>
      <c r="P9397" t="s">
        <v>104</v>
      </c>
      <c r="Q9397" t="s">
        <v>99</v>
      </c>
    </row>
    <row r="9398" spans="1:17" x14ac:dyDescent="0.3">
      <c r="A9398" t="s">
        <v>49</v>
      </c>
      <c r="B9398" t="s">
        <v>236</v>
      </c>
      <c r="C9398">
        <v>10131</v>
      </c>
      <c r="D9398" t="s">
        <v>215</v>
      </c>
      <c r="E9398" t="s">
        <v>1453</v>
      </c>
      <c r="F9398" t="s">
        <v>103</v>
      </c>
      <c r="G9398" t="s">
        <v>318</v>
      </c>
      <c r="H9398" t="s">
        <v>128</v>
      </c>
      <c r="I9398" t="s">
        <v>141</v>
      </c>
      <c r="J9398" t="s">
        <v>382</v>
      </c>
      <c r="K9398" t="s">
        <v>99</v>
      </c>
      <c r="L9398" t="s">
        <v>198</v>
      </c>
      <c r="M9398" t="s">
        <v>207</v>
      </c>
      <c r="N9398" t="s">
        <v>104</v>
      </c>
      <c r="O9398" t="s">
        <v>101</v>
      </c>
      <c r="P9398" t="s">
        <v>207</v>
      </c>
      <c r="Q9398" t="s">
        <v>108</v>
      </c>
    </row>
    <row r="9399" spans="1:17" x14ac:dyDescent="0.3">
      <c r="A9399" t="s">
        <v>49</v>
      </c>
      <c r="B9399" t="s">
        <v>238</v>
      </c>
      <c r="C9399">
        <v>8060</v>
      </c>
      <c r="D9399" t="s">
        <v>127</v>
      </c>
      <c r="E9399" t="s">
        <v>912</v>
      </c>
      <c r="F9399" t="s">
        <v>117</v>
      </c>
      <c r="G9399" t="s">
        <v>357</v>
      </c>
      <c r="H9399" t="s">
        <v>141</v>
      </c>
      <c r="I9399" t="s">
        <v>136</v>
      </c>
      <c r="J9399" t="s">
        <v>198</v>
      </c>
      <c r="K9399" t="s">
        <v>207</v>
      </c>
      <c r="L9399" t="s">
        <v>141</v>
      </c>
      <c r="M9399" t="s">
        <v>198</v>
      </c>
      <c r="N9399" t="s">
        <v>104</v>
      </c>
      <c r="O9399" t="s">
        <v>114</v>
      </c>
      <c r="P9399" t="s">
        <v>207</v>
      </c>
      <c r="Q9399" t="s">
        <v>104</v>
      </c>
    </row>
    <row r="9401" spans="1:17" x14ac:dyDescent="0.3">
      <c r="A9401" t="s">
        <v>2405</v>
      </c>
    </row>
    <row r="9402" spans="1:17" x14ac:dyDescent="0.3">
      <c r="A9402" t="s">
        <v>44</v>
      </c>
      <c r="B9402" t="s">
        <v>879</v>
      </c>
      <c r="C9402" t="s">
        <v>32</v>
      </c>
      <c r="D9402" t="s">
        <v>2389</v>
      </c>
      <c r="E9402" t="s">
        <v>2390</v>
      </c>
      <c r="F9402" t="s">
        <v>2391</v>
      </c>
      <c r="G9402" t="s">
        <v>2392</v>
      </c>
      <c r="H9402" t="s">
        <v>2393</v>
      </c>
      <c r="I9402" t="s">
        <v>2394</v>
      </c>
      <c r="J9402" t="s">
        <v>2395</v>
      </c>
      <c r="K9402" t="s">
        <v>2396</v>
      </c>
      <c r="L9402" t="s">
        <v>2397</v>
      </c>
      <c r="M9402" t="s">
        <v>2344</v>
      </c>
      <c r="N9402" t="s">
        <v>2398</v>
      </c>
      <c r="O9402" t="s">
        <v>2399</v>
      </c>
      <c r="P9402" t="s">
        <v>2400</v>
      </c>
      <c r="Q9402" t="s">
        <v>2401</v>
      </c>
    </row>
    <row r="9403" spans="1:17" x14ac:dyDescent="0.3">
      <c r="A9403" t="s">
        <v>35</v>
      </c>
      <c r="B9403" t="s">
        <v>880</v>
      </c>
      <c r="C9403">
        <v>535</v>
      </c>
      <c r="D9403" t="s">
        <v>136</v>
      </c>
      <c r="E9403" t="s">
        <v>469</v>
      </c>
      <c r="F9403" t="s">
        <v>132</v>
      </c>
      <c r="G9403" t="s">
        <v>688</v>
      </c>
      <c r="H9403" t="s">
        <v>121</v>
      </c>
      <c r="I9403" t="s">
        <v>99</v>
      </c>
      <c r="J9403" t="s">
        <v>198</v>
      </c>
      <c r="K9403" t="s">
        <v>99</v>
      </c>
      <c r="L9403" t="s">
        <v>99</v>
      </c>
      <c r="M9403" t="s">
        <v>99</v>
      </c>
      <c r="N9403" t="s">
        <v>99</v>
      </c>
      <c r="O9403" t="s">
        <v>126</v>
      </c>
      <c r="P9403" t="s">
        <v>104</v>
      </c>
      <c r="Q9403" t="s">
        <v>132</v>
      </c>
    </row>
    <row r="9404" spans="1:17" x14ac:dyDescent="0.3">
      <c r="A9404" t="s">
        <v>35</v>
      </c>
      <c r="B9404" t="s">
        <v>881</v>
      </c>
      <c r="C9404">
        <v>1525</v>
      </c>
      <c r="D9404" t="s">
        <v>114</v>
      </c>
      <c r="E9404" t="s">
        <v>1650</v>
      </c>
      <c r="F9404" t="s">
        <v>68</v>
      </c>
      <c r="G9404" t="s">
        <v>832</v>
      </c>
      <c r="H9404" t="s">
        <v>139</v>
      </c>
      <c r="I9404" t="s">
        <v>111</v>
      </c>
      <c r="J9404" t="s">
        <v>215</v>
      </c>
      <c r="K9404" t="s">
        <v>207</v>
      </c>
      <c r="L9404" t="s">
        <v>114</v>
      </c>
      <c r="M9404" t="s">
        <v>99</v>
      </c>
      <c r="N9404" t="s">
        <v>99</v>
      </c>
      <c r="O9404" t="s">
        <v>316</v>
      </c>
      <c r="P9404" t="s">
        <v>141</v>
      </c>
      <c r="Q9404" t="s">
        <v>151</v>
      </c>
    </row>
    <row r="9405" spans="1:17" x14ac:dyDescent="0.3">
      <c r="A9405" t="s">
        <v>35</v>
      </c>
      <c r="B9405" t="s">
        <v>882</v>
      </c>
      <c r="C9405">
        <v>2337</v>
      </c>
      <c r="D9405" t="s">
        <v>100</v>
      </c>
      <c r="E9405" t="s">
        <v>374</v>
      </c>
      <c r="F9405" t="s">
        <v>292</v>
      </c>
      <c r="G9405" t="s">
        <v>175</v>
      </c>
      <c r="H9405" t="s">
        <v>253</v>
      </c>
      <c r="I9405" t="s">
        <v>99</v>
      </c>
      <c r="J9405" t="s">
        <v>136</v>
      </c>
      <c r="K9405" t="s">
        <v>99</v>
      </c>
      <c r="L9405" t="s">
        <v>104</v>
      </c>
      <c r="M9405" t="s">
        <v>104</v>
      </c>
      <c r="N9405" t="s">
        <v>104</v>
      </c>
      <c r="O9405" t="s">
        <v>108</v>
      </c>
      <c r="P9405" t="s">
        <v>99</v>
      </c>
      <c r="Q9405" t="s">
        <v>198</v>
      </c>
    </row>
    <row r="9406" spans="1:17" x14ac:dyDescent="0.3">
      <c r="A9406" t="s">
        <v>37</v>
      </c>
      <c r="B9406" t="s">
        <v>880</v>
      </c>
      <c r="C9406">
        <v>554</v>
      </c>
      <c r="D9406" t="s">
        <v>111</v>
      </c>
      <c r="E9406" t="s">
        <v>247</v>
      </c>
      <c r="F9406" t="s">
        <v>100</v>
      </c>
      <c r="G9406" t="s">
        <v>434</v>
      </c>
      <c r="H9406" t="s">
        <v>104</v>
      </c>
      <c r="I9406" t="s">
        <v>198</v>
      </c>
      <c r="J9406" t="s">
        <v>207</v>
      </c>
      <c r="K9406" t="s">
        <v>99</v>
      </c>
      <c r="L9406" t="s">
        <v>99</v>
      </c>
      <c r="M9406" t="s">
        <v>99</v>
      </c>
      <c r="N9406" t="s">
        <v>99</v>
      </c>
      <c r="O9406" t="s">
        <v>99</v>
      </c>
      <c r="P9406" t="s">
        <v>99</v>
      </c>
      <c r="Q9406" t="s">
        <v>136</v>
      </c>
    </row>
    <row r="9407" spans="1:17" x14ac:dyDescent="0.3">
      <c r="A9407" t="s">
        <v>37</v>
      </c>
      <c r="B9407" t="s">
        <v>881</v>
      </c>
      <c r="C9407">
        <v>1816</v>
      </c>
      <c r="D9407" t="s">
        <v>100</v>
      </c>
      <c r="E9407" t="s">
        <v>484</v>
      </c>
      <c r="F9407" t="s">
        <v>157</v>
      </c>
      <c r="G9407" t="s">
        <v>697</v>
      </c>
      <c r="H9407" t="s">
        <v>138</v>
      </c>
      <c r="I9407" t="s">
        <v>108</v>
      </c>
      <c r="J9407" t="s">
        <v>215</v>
      </c>
      <c r="K9407" t="s">
        <v>99</v>
      </c>
      <c r="L9407" t="s">
        <v>99</v>
      </c>
      <c r="M9407" t="s">
        <v>100</v>
      </c>
      <c r="N9407" t="s">
        <v>198</v>
      </c>
      <c r="O9407" t="s">
        <v>207</v>
      </c>
      <c r="P9407" t="s">
        <v>207</v>
      </c>
      <c r="Q9407" t="s">
        <v>104</v>
      </c>
    </row>
    <row r="9408" spans="1:17" x14ac:dyDescent="0.3">
      <c r="A9408" t="s">
        <v>37</v>
      </c>
      <c r="B9408" t="s">
        <v>882</v>
      </c>
      <c r="C9408">
        <v>2843</v>
      </c>
      <c r="D9408" t="s">
        <v>103</v>
      </c>
      <c r="E9408" t="s">
        <v>164</v>
      </c>
      <c r="F9408" t="s">
        <v>123</v>
      </c>
      <c r="G9408" t="s">
        <v>664</v>
      </c>
      <c r="H9408" t="s">
        <v>207</v>
      </c>
      <c r="I9408" t="s">
        <v>198</v>
      </c>
      <c r="J9408" t="s">
        <v>207</v>
      </c>
      <c r="K9408" t="s">
        <v>104</v>
      </c>
      <c r="L9408" t="s">
        <v>104</v>
      </c>
      <c r="M9408" t="s">
        <v>141</v>
      </c>
      <c r="N9408" t="s">
        <v>198</v>
      </c>
      <c r="O9408" t="s">
        <v>141</v>
      </c>
      <c r="P9408" t="s">
        <v>198</v>
      </c>
      <c r="Q9408" t="s">
        <v>207</v>
      </c>
    </row>
    <row r="9409" spans="1:17" x14ac:dyDescent="0.3">
      <c r="A9409" t="s">
        <v>36</v>
      </c>
      <c r="B9409" t="s">
        <v>880</v>
      </c>
      <c r="C9409">
        <v>340</v>
      </c>
      <c r="D9409" t="s">
        <v>68</v>
      </c>
      <c r="E9409" t="s">
        <v>568</v>
      </c>
      <c r="F9409" t="s">
        <v>100</v>
      </c>
      <c r="G9409" t="s">
        <v>678</v>
      </c>
      <c r="H9409" t="s">
        <v>132</v>
      </c>
      <c r="I9409" t="s">
        <v>198</v>
      </c>
      <c r="J9409" t="s">
        <v>115</v>
      </c>
      <c r="K9409" t="s">
        <v>99</v>
      </c>
      <c r="L9409" t="s">
        <v>136</v>
      </c>
      <c r="M9409" t="s">
        <v>121</v>
      </c>
      <c r="N9409" t="s">
        <v>198</v>
      </c>
      <c r="O9409" t="s">
        <v>253</v>
      </c>
      <c r="P9409" t="s">
        <v>104</v>
      </c>
      <c r="Q9409" t="s">
        <v>99</v>
      </c>
    </row>
    <row r="9410" spans="1:17" x14ac:dyDescent="0.3">
      <c r="A9410" t="s">
        <v>36</v>
      </c>
      <c r="B9410" t="s">
        <v>881</v>
      </c>
      <c r="C9410">
        <v>1087</v>
      </c>
      <c r="D9410" t="s">
        <v>114</v>
      </c>
      <c r="E9410" t="s">
        <v>1196</v>
      </c>
      <c r="F9410" t="s">
        <v>147</v>
      </c>
      <c r="G9410" t="s">
        <v>670</v>
      </c>
      <c r="H9410" t="s">
        <v>254</v>
      </c>
      <c r="I9410" t="s">
        <v>115</v>
      </c>
      <c r="J9410" t="s">
        <v>105</v>
      </c>
      <c r="K9410" t="s">
        <v>99</v>
      </c>
      <c r="L9410" t="s">
        <v>104</v>
      </c>
      <c r="M9410" t="s">
        <v>104</v>
      </c>
      <c r="N9410" t="s">
        <v>104</v>
      </c>
      <c r="O9410" t="s">
        <v>110</v>
      </c>
      <c r="P9410" t="s">
        <v>104</v>
      </c>
      <c r="Q9410" t="s">
        <v>253</v>
      </c>
    </row>
    <row r="9411" spans="1:17" x14ac:dyDescent="0.3">
      <c r="A9411" t="s">
        <v>36</v>
      </c>
      <c r="B9411" t="s">
        <v>882</v>
      </c>
      <c r="C9411">
        <v>1634</v>
      </c>
      <c r="D9411" t="s">
        <v>215</v>
      </c>
      <c r="E9411" t="s">
        <v>774</v>
      </c>
      <c r="F9411" t="s">
        <v>151</v>
      </c>
      <c r="G9411" t="s">
        <v>255</v>
      </c>
      <c r="H9411" t="s">
        <v>126</v>
      </c>
      <c r="I9411" t="s">
        <v>198</v>
      </c>
      <c r="J9411" t="s">
        <v>141</v>
      </c>
      <c r="K9411" t="s">
        <v>141</v>
      </c>
      <c r="L9411" t="s">
        <v>132</v>
      </c>
      <c r="M9411" t="s">
        <v>99</v>
      </c>
      <c r="N9411" t="s">
        <v>99</v>
      </c>
      <c r="O9411" t="s">
        <v>121</v>
      </c>
      <c r="P9411" t="s">
        <v>99</v>
      </c>
      <c r="Q9411" t="s">
        <v>198</v>
      </c>
    </row>
    <row r="9412" spans="1:17" x14ac:dyDescent="0.3">
      <c r="A9412" t="s">
        <v>34</v>
      </c>
      <c r="B9412" t="s">
        <v>880</v>
      </c>
      <c r="C9412">
        <v>328</v>
      </c>
      <c r="D9412" t="s">
        <v>114</v>
      </c>
      <c r="E9412" t="s">
        <v>623</v>
      </c>
      <c r="F9412" t="s">
        <v>292</v>
      </c>
      <c r="G9412" t="s">
        <v>355</v>
      </c>
      <c r="H9412" t="s">
        <v>136</v>
      </c>
      <c r="I9412" t="s">
        <v>99</v>
      </c>
      <c r="J9412" t="s">
        <v>253</v>
      </c>
      <c r="K9412" t="s">
        <v>104</v>
      </c>
      <c r="L9412" t="s">
        <v>100</v>
      </c>
      <c r="M9412" t="s">
        <v>99</v>
      </c>
      <c r="N9412" t="s">
        <v>253</v>
      </c>
      <c r="O9412" t="s">
        <v>292</v>
      </c>
      <c r="P9412" t="s">
        <v>108</v>
      </c>
      <c r="Q9412" t="s">
        <v>104</v>
      </c>
    </row>
    <row r="9413" spans="1:17" x14ac:dyDescent="0.3">
      <c r="A9413" t="s">
        <v>34</v>
      </c>
      <c r="B9413" t="s">
        <v>881</v>
      </c>
      <c r="C9413">
        <v>1048</v>
      </c>
      <c r="D9413" t="s">
        <v>136</v>
      </c>
      <c r="E9413" t="s">
        <v>1066</v>
      </c>
      <c r="F9413" t="s">
        <v>157</v>
      </c>
      <c r="G9413" t="s">
        <v>840</v>
      </c>
      <c r="H9413" t="s">
        <v>128</v>
      </c>
      <c r="I9413" t="s">
        <v>132</v>
      </c>
      <c r="J9413" t="s">
        <v>100</v>
      </c>
      <c r="K9413" t="s">
        <v>207</v>
      </c>
      <c r="L9413" t="s">
        <v>101</v>
      </c>
      <c r="M9413" t="s">
        <v>99</v>
      </c>
      <c r="N9413" t="s">
        <v>198</v>
      </c>
      <c r="O9413" t="s">
        <v>103</v>
      </c>
      <c r="P9413" t="s">
        <v>319</v>
      </c>
      <c r="Q9413" t="s">
        <v>207</v>
      </c>
    </row>
    <row r="9414" spans="1:17" x14ac:dyDescent="0.3">
      <c r="A9414" t="s">
        <v>34</v>
      </c>
      <c r="B9414" t="s">
        <v>882</v>
      </c>
      <c r="C9414">
        <v>1338</v>
      </c>
      <c r="D9414" t="s">
        <v>123</v>
      </c>
      <c r="E9414" t="s">
        <v>504</v>
      </c>
      <c r="F9414" t="s">
        <v>129</v>
      </c>
      <c r="G9414" t="s">
        <v>740</v>
      </c>
      <c r="H9414" t="s">
        <v>132</v>
      </c>
      <c r="I9414" t="s">
        <v>136</v>
      </c>
      <c r="J9414" t="s">
        <v>253</v>
      </c>
      <c r="K9414" t="s">
        <v>114</v>
      </c>
      <c r="L9414" t="s">
        <v>114</v>
      </c>
      <c r="M9414" t="s">
        <v>99</v>
      </c>
      <c r="N9414" t="s">
        <v>99</v>
      </c>
      <c r="O9414" t="s">
        <v>215</v>
      </c>
      <c r="P9414" t="s">
        <v>141</v>
      </c>
      <c r="Q9414" t="s">
        <v>207</v>
      </c>
    </row>
    <row r="9415" spans="1:17" x14ac:dyDescent="0.3">
      <c r="A9415" t="s">
        <v>33</v>
      </c>
      <c r="B9415" t="s">
        <v>880</v>
      </c>
      <c r="C9415">
        <v>462</v>
      </c>
      <c r="D9415" t="s">
        <v>332</v>
      </c>
      <c r="E9415" t="s">
        <v>79</v>
      </c>
      <c r="F9415" t="s">
        <v>382</v>
      </c>
      <c r="G9415" t="s">
        <v>157</v>
      </c>
      <c r="H9415" t="s">
        <v>198</v>
      </c>
      <c r="I9415" t="s">
        <v>99</v>
      </c>
      <c r="J9415" t="s">
        <v>198</v>
      </c>
      <c r="K9415" t="s">
        <v>99</v>
      </c>
      <c r="L9415" t="s">
        <v>99</v>
      </c>
      <c r="M9415" t="s">
        <v>99</v>
      </c>
      <c r="N9415" t="s">
        <v>99</v>
      </c>
      <c r="O9415" t="s">
        <v>99</v>
      </c>
      <c r="P9415" t="s">
        <v>99</v>
      </c>
      <c r="Q9415" t="s">
        <v>115</v>
      </c>
    </row>
    <row r="9416" spans="1:17" x14ac:dyDescent="0.3">
      <c r="A9416" t="s">
        <v>33</v>
      </c>
      <c r="B9416" t="s">
        <v>881</v>
      </c>
      <c r="C9416">
        <v>927</v>
      </c>
      <c r="D9416" t="s">
        <v>128</v>
      </c>
      <c r="E9416" t="s">
        <v>492</v>
      </c>
      <c r="F9416" t="s">
        <v>127</v>
      </c>
      <c r="G9416" t="s">
        <v>677</v>
      </c>
      <c r="H9416" t="s">
        <v>319</v>
      </c>
      <c r="I9416" t="s">
        <v>198</v>
      </c>
      <c r="J9416" t="s">
        <v>292</v>
      </c>
      <c r="K9416" t="s">
        <v>99</v>
      </c>
      <c r="L9416" t="s">
        <v>99</v>
      </c>
      <c r="M9416" t="s">
        <v>99</v>
      </c>
      <c r="N9416" t="s">
        <v>99</v>
      </c>
      <c r="O9416" t="s">
        <v>136</v>
      </c>
      <c r="P9416" t="s">
        <v>104</v>
      </c>
      <c r="Q9416" t="s">
        <v>114</v>
      </c>
    </row>
    <row r="9417" spans="1:17" x14ac:dyDescent="0.3">
      <c r="A9417" t="s">
        <v>33</v>
      </c>
      <c r="B9417" t="s">
        <v>882</v>
      </c>
      <c r="C9417">
        <v>1417</v>
      </c>
      <c r="D9417" t="s">
        <v>107</v>
      </c>
      <c r="E9417" t="s">
        <v>166</v>
      </c>
      <c r="F9417" t="s">
        <v>121</v>
      </c>
      <c r="G9417" t="s">
        <v>152</v>
      </c>
      <c r="H9417" t="s">
        <v>207</v>
      </c>
      <c r="I9417" t="s">
        <v>99</v>
      </c>
      <c r="J9417" t="s">
        <v>141</v>
      </c>
      <c r="K9417" t="s">
        <v>104</v>
      </c>
      <c r="L9417" t="s">
        <v>99</v>
      </c>
      <c r="M9417" t="s">
        <v>99</v>
      </c>
      <c r="N9417" t="s">
        <v>104</v>
      </c>
      <c r="O9417" t="s">
        <v>141</v>
      </c>
      <c r="P9417" t="s">
        <v>198</v>
      </c>
      <c r="Q9417" t="s">
        <v>207</v>
      </c>
    </row>
    <row r="9418" spans="1:17" x14ac:dyDescent="0.3">
      <c r="A9418" t="s">
        <v>49</v>
      </c>
      <c r="B9418" t="s">
        <v>880</v>
      </c>
      <c r="C9418">
        <v>2219</v>
      </c>
      <c r="D9418" t="s">
        <v>151</v>
      </c>
      <c r="E9418" t="s">
        <v>176</v>
      </c>
      <c r="F9418" t="s">
        <v>121</v>
      </c>
      <c r="G9418" t="s">
        <v>722</v>
      </c>
      <c r="H9418" t="s">
        <v>253</v>
      </c>
      <c r="I9418" t="s">
        <v>104</v>
      </c>
      <c r="J9418" t="s">
        <v>207</v>
      </c>
      <c r="K9418" t="s">
        <v>99</v>
      </c>
      <c r="L9418" t="s">
        <v>198</v>
      </c>
      <c r="M9418" t="s">
        <v>104</v>
      </c>
      <c r="N9418" t="s">
        <v>104</v>
      </c>
      <c r="O9418" t="s">
        <v>108</v>
      </c>
      <c r="P9418" t="s">
        <v>198</v>
      </c>
      <c r="Q9418" t="s">
        <v>141</v>
      </c>
    </row>
    <row r="9419" spans="1:17" x14ac:dyDescent="0.3">
      <c r="A9419" t="s">
        <v>49</v>
      </c>
      <c r="B9419" t="s">
        <v>881</v>
      </c>
      <c r="C9419">
        <v>6403</v>
      </c>
      <c r="D9419" t="s">
        <v>121</v>
      </c>
      <c r="E9419" t="s">
        <v>445</v>
      </c>
      <c r="F9419" t="s">
        <v>138</v>
      </c>
      <c r="G9419" t="s">
        <v>715</v>
      </c>
      <c r="H9419" t="s">
        <v>155</v>
      </c>
      <c r="I9419" t="s">
        <v>100</v>
      </c>
      <c r="J9419" t="s">
        <v>215</v>
      </c>
      <c r="K9419" t="s">
        <v>104</v>
      </c>
      <c r="L9419" t="s">
        <v>141</v>
      </c>
      <c r="M9419" t="s">
        <v>136</v>
      </c>
      <c r="N9419" t="s">
        <v>104</v>
      </c>
      <c r="O9419" t="s">
        <v>382</v>
      </c>
      <c r="P9419" t="s">
        <v>141</v>
      </c>
      <c r="Q9419" t="s">
        <v>132</v>
      </c>
    </row>
    <row r="9420" spans="1:17" x14ac:dyDescent="0.3">
      <c r="A9420" t="s">
        <v>49</v>
      </c>
      <c r="B9420" t="s">
        <v>882</v>
      </c>
      <c r="C9420">
        <v>9569</v>
      </c>
      <c r="D9420" t="s">
        <v>151</v>
      </c>
      <c r="E9420" t="s">
        <v>469</v>
      </c>
      <c r="F9420" t="s">
        <v>268</v>
      </c>
      <c r="G9420" t="s">
        <v>206</v>
      </c>
      <c r="H9420" t="s">
        <v>253</v>
      </c>
      <c r="I9420" t="s">
        <v>198</v>
      </c>
      <c r="J9420" t="s">
        <v>136</v>
      </c>
      <c r="K9420" t="s">
        <v>207</v>
      </c>
      <c r="L9420" t="s">
        <v>207</v>
      </c>
      <c r="M9420" t="s">
        <v>198</v>
      </c>
      <c r="N9420" t="s">
        <v>104</v>
      </c>
      <c r="O9420" t="s">
        <v>108</v>
      </c>
      <c r="P9420" t="s">
        <v>198</v>
      </c>
      <c r="Q9420" t="s">
        <v>207</v>
      </c>
    </row>
    <row r="9422" spans="1:17" x14ac:dyDescent="0.3">
      <c r="A9422" t="s">
        <v>2406</v>
      </c>
    </row>
    <row r="9423" spans="1:17" x14ac:dyDescent="0.3">
      <c r="A9423" t="s">
        <v>44</v>
      </c>
      <c r="B9423" t="s">
        <v>2252</v>
      </c>
      <c r="C9423" t="s">
        <v>32</v>
      </c>
      <c r="D9423" t="s">
        <v>2389</v>
      </c>
      <c r="E9423" t="s">
        <v>2390</v>
      </c>
      <c r="F9423" t="s">
        <v>2391</v>
      </c>
      <c r="G9423" t="s">
        <v>2392</v>
      </c>
      <c r="H9423" t="s">
        <v>2393</v>
      </c>
      <c r="I9423" t="s">
        <v>2394</v>
      </c>
      <c r="J9423" t="s">
        <v>2395</v>
      </c>
      <c r="K9423" t="s">
        <v>2396</v>
      </c>
      <c r="L9423" t="s">
        <v>2397</v>
      </c>
      <c r="M9423" t="s">
        <v>2344</v>
      </c>
      <c r="N9423" t="s">
        <v>2398</v>
      </c>
      <c r="O9423" t="s">
        <v>2399</v>
      </c>
      <c r="P9423" t="s">
        <v>2400</v>
      </c>
      <c r="Q9423" t="s">
        <v>2401</v>
      </c>
    </row>
    <row r="9424" spans="1:17" x14ac:dyDescent="0.3">
      <c r="A9424" t="s">
        <v>35</v>
      </c>
      <c r="B9424" t="s">
        <v>2253</v>
      </c>
      <c r="C9424">
        <v>2437</v>
      </c>
      <c r="D9424" t="s">
        <v>100</v>
      </c>
      <c r="E9424" t="s">
        <v>1233</v>
      </c>
      <c r="F9424" t="s">
        <v>316</v>
      </c>
      <c r="G9424" t="s">
        <v>240</v>
      </c>
      <c r="H9424" t="s">
        <v>157</v>
      </c>
      <c r="I9424" t="s">
        <v>121</v>
      </c>
      <c r="J9424" t="s">
        <v>108</v>
      </c>
      <c r="K9424" t="s">
        <v>104</v>
      </c>
      <c r="L9424" t="s">
        <v>253</v>
      </c>
      <c r="M9424" t="s">
        <v>198</v>
      </c>
      <c r="N9424" t="s">
        <v>99</v>
      </c>
      <c r="O9424" t="s">
        <v>151</v>
      </c>
      <c r="P9424" t="s">
        <v>207</v>
      </c>
      <c r="Q9424" t="s">
        <v>126</v>
      </c>
    </row>
    <row r="9425" spans="1:17" x14ac:dyDescent="0.3">
      <c r="A9425" t="s">
        <v>35</v>
      </c>
      <c r="B9425" t="s">
        <v>2254</v>
      </c>
      <c r="C9425">
        <v>1939</v>
      </c>
      <c r="D9425" t="s">
        <v>253</v>
      </c>
      <c r="E9425" t="s">
        <v>908</v>
      </c>
      <c r="F9425" t="s">
        <v>128</v>
      </c>
      <c r="G9425" t="s">
        <v>688</v>
      </c>
      <c r="H9425" t="s">
        <v>115</v>
      </c>
      <c r="I9425" t="s">
        <v>104</v>
      </c>
      <c r="J9425" t="s">
        <v>141</v>
      </c>
      <c r="K9425" t="s">
        <v>99</v>
      </c>
      <c r="L9425" t="s">
        <v>104</v>
      </c>
      <c r="M9425" t="s">
        <v>99</v>
      </c>
      <c r="N9425" t="s">
        <v>99</v>
      </c>
      <c r="O9425" t="s">
        <v>114</v>
      </c>
      <c r="P9425" t="s">
        <v>104</v>
      </c>
      <c r="Q9425" t="s">
        <v>198</v>
      </c>
    </row>
    <row r="9426" spans="1:17" x14ac:dyDescent="0.3">
      <c r="A9426" t="s">
        <v>35</v>
      </c>
      <c r="B9426" t="s">
        <v>365</v>
      </c>
      <c r="C9426">
        <v>21</v>
      </c>
      <c r="D9426" t="s">
        <v>1414</v>
      </c>
      <c r="E9426" t="s">
        <v>774</v>
      </c>
      <c r="F9426" t="s">
        <v>204</v>
      </c>
      <c r="G9426" t="s">
        <v>72</v>
      </c>
      <c r="H9426" t="s">
        <v>99</v>
      </c>
      <c r="I9426" t="s">
        <v>99</v>
      </c>
      <c r="J9426" t="s">
        <v>99</v>
      </c>
      <c r="K9426" t="s">
        <v>99</v>
      </c>
      <c r="L9426" t="s">
        <v>99</v>
      </c>
      <c r="M9426" t="s">
        <v>99</v>
      </c>
      <c r="N9426" t="s">
        <v>204</v>
      </c>
      <c r="O9426" t="s">
        <v>99</v>
      </c>
      <c r="P9426" t="s">
        <v>99</v>
      </c>
      <c r="Q9426" t="s">
        <v>99</v>
      </c>
    </row>
    <row r="9427" spans="1:17" x14ac:dyDescent="0.3">
      <c r="A9427" t="s">
        <v>37</v>
      </c>
      <c r="B9427" t="s">
        <v>2253</v>
      </c>
      <c r="C9427">
        <v>3055</v>
      </c>
      <c r="D9427" t="s">
        <v>126</v>
      </c>
      <c r="E9427" t="s">
        <v>436</v>
      </c>
      <c r="F9427" t="s">
        <v>316</v>
      </c>
      <c r="G9427" t="s">
        <v>188</v>
      </c>
      <c r="H9427" t="s">
        <v>123</v>
      </c>
      <c r="I9427" t="s">
        <v>132</v>
      </c>
      <c r="J9427" t="s">
        <v>121</v>
      </c>
      <c r="K9427" t="s">
        <v>104</v>
      </c>
      <c r="L9427" t="s">
        <v>104</v>
      </c>
      <c r="M9427" t="s">
        <v>132</v>
      </c>
      <c r="N9427" t="s">
        <v>198</v>
      </c>
      <c r="O9427" t="s">
        <v>136</v>
      </c>
      <c r="P9427" t="s">
        <v>198</v>
      </c>
      <c r="Q9427" t="s">
        <v>198</v>
      </c>
    </row>
    <row r="9428" spans="1:17" x14ac:dyDescent="0.3">
      <c r="A9428" t="s">
        <v>37</v>
      </c>
      <c r="B9428" t="s">
        <v>2254</v>
      </c>
      <c r="C9428">
        <v>2154</v>
      </c>
      <c r="D9428" t="s">
        <v>128</v>
      </c>
      <c r="E9428" t="s">
        <v>966</v>
      </c>
      <c r="F9428" t="s">
        <v>215</v>
      </c>
      <c r="G9428" t="s">
        <v>664</v>
      </c>
      <c r="H9428" t="s">
        <v>141</v>
      </c>
      <c r="I9428" t="s">
        <v>104</v>
      </c>
      <c r="J9428" t="s">
        <v>104</v>
      </c>
      <c r="K9428" t="s">
        <v>99</v>
      </c>
      <c r="L9428" t="s">
        <v>99</v>
      </c>
      <c r="M9428" t="s">
        <v>253</v>
      </c>
      <c r="N9428" t="s">
        <v>104</v>
      </c>
      <c r="O9428" t="s">
        <v>207</v>
      </c>
      <c r="P9428" t="s">
        <v>198</v>
      </c>
      <c r="Q9428" t="s">
        <v>198</v>
      </c>
    </row>
    <row r="9429" spans="1:17" x14ac:dyDescent="0.3">
      <c r="A9429" t="s">
        <v>37</v>
      </c>
      <c r="B9429" t="s">
        <v>365</v>
      </c>
      <c r="C9429">
        <v>4</v>
      </c>
      <c r="D9429" t="s">
        <v>99</v>
      </c>
      <c r="E9429" t="s">
        <v>211</v>
      </c>
      <c r="F9429" t="s">
        <v>99</v>
      </c>
      <c r="G9429" t="s">
        <v>99</v>
      </c>
      <c r="H9429" t="s">
        <v>99</v>
      </c>
      <c r="I9429" t="s">
        <v>99</v>
      </c>
      <c r="J9429" t="s">
        <v>99</v>
      </c>
      <c r="K9429" t="s">
        <v>99</v>
      </c>
      <c r="L9429" t="s">
        <v>99</v>
      </c>
      <c r="M9429" t="s">
        <v>99</v>
      </c>
      <c r="N9429" t="s">
        <v>99</v>
      </c>
      <c r="O9429" t="s">
        <v>99</v>
      </c>
      <c r="P9429" t="s">
        <v>99</v>
      </c>
      <c r="Q9429" t="s">
        <v>99</v>
      </c>
    </row>
    <row r="9430" spans="1:17" x14ac:dyDescent="0.3">
      <c r="A9430" t="s">
        <v>36</v>
      </c>
      <c r="B9430" t="s">
        <v>2253</v>
      </c>
      <c r="C9430">
        <v>1517</v>
      </c>
      <c r="D9430" t="s">
        <v>114</v>
      </c>
      <c r="E9430" t="s">
        <v>1020</v>
      </c>
      <c r="F9430" t="s">
        <v>292</v>
      </c>
      <c r="G9430" t="s">
        <v>676</v>
      </c>
      <c r="H9430" t="s">
        <v>332</v>
      </c>
      <c r="I9430" t="s">
        <v>141</v>
      </c>
      <c r="J9430" t="s">
        <v>215</v>
      </c>
      <c r="K9430" t="s">
        <v>99</v>
      </c>
      <c r="L9430" t="s">
        <v>104</v>
      </c>
      <c r="M9430" t="s">
        <v>104</v>
      </c>
      <c r="N9430" t="s">
        <v>99</v>
      </c>
      <c r="O9430" t="s">
        <v>126</v>
      </c>
      <c r="P9430" t="s">
        <v>99</v>
      </c>
      <c r="Q9430" t="s">
        <v>207</v>
      </c>
    </row>
    <row r="9431" spans="1:17" x14ac:dyDescent="0.3">
      <c r="A9431" t="s">
        <v>36</v>
      </c>
      <c r="B9431" t="s">
        <v>2254</v>
      </c>
      <c r="C9431">
        <v>1530</v>
      </c>
      <c r="D9431" t="s">
        <v>147</v>
      </c>
      <c r="E9431" t="s">
        <v>535</v>
      </c>
      <c r="F9431" t="s">
        <v>292</v>
      </c>
      <c r="G9431" t="s">
        <v>676</v>
      </c>
      <c r="H9431" t="s">
        <v>151</v>
      </c>
      <c r="I9431" t="s">
        <v>198</v>
      </c>
      <c r="J9431" t="s">
        <v>108</v>
      </c>
      <c r="K9431" t="s">
        <v>141</v>
      </c>
      <c r="L9431" t="s">
        <v>108</v>
      </c>
      <c r="M9431" t="s">
        <v>136</v>
      </c>
      <c r="N9431" t="s">
        <v>104</v>
      </c>
      <c r="O9431" t="s">
        <v>111</v>
      </c>
      <c r="P9431" t="s">
        <v>104</v>
      </c>
      <c r="Q9431" t="s">
        <v>207</v>
      </c>
    </row>
    <row r="9432" spans="1:17" x14ac:dyDescent="0.3">
      <c r="A9432" t="s">
        <v>36</v>
      </c>
      <c r="B9432" t="s">
        <v>365</v>
      </c>
      <c r="C9432">
        <v>14</v>
      </c>
      <c r="D9432" t="s">
        <v>902</v>
      </c>
      <c r="E9432" t="s">
        <v>456</v>
      </c>
      <c r="F9432" t="s">
        <v>470</v>
      </c>
      <c r="G9432" t="s">
        <v>696</v>
      </c>
      <c r="H9432" t="s">
        <v>99</v>
      </c>
      <c r="I9432" t="s">
        <v>99</v>
      </c>
      <c r="J9432" t="s">
        <v>99</v>
      </c>
      <c r="K9432" t="s">
        <v>99</v>
      </c>
      <c r="L9432" t="s">
        <v>99</v>
      </c>
      <c r="M9432" t="s">
        <v>99</v>
      </c>
      <c r="N9432" t="s">
        <v>99</v>
      </c>
      <c r="O9432" t="s">
        <v>99</v>
      </c>
      <c r="P9432" t="s">
        <v>99</v>
      </c>
      <c r="Q9432" t="s">
        <v>99</v>
      </c>
    </row>
    <row r="9433" spans="1:17" x14ac:dyDescent="0.3">
      <c r="A9433" t="s">
        <v>34</v>
      </c>
      <c r="B9433" t="s">
        <v>2253</v>
      </c>
      <c r="C9433">
        <v>1478</v>
      </c>
      <c r="D9433" t="s">
        <v>151</v>
      </c>
      <c r="E9433" t="s">
        <v>348</v>
      </c>
      <c r="F9433" t="s">
        <v>268</v>
      </c>
      <c r="G9433" t="s">
        <v>802</v>
      </c>
      <c r="H9433" t="s">
        <v>126</v>
      </c>
      <c r="I9433" t="s">
        <v>108</v>
      </c>
      <c r="J9433" t="s">
        <v>198</v>
      </c>
      <c r="K9433" t="s">
        <v>136</v>
      </c>
      <c r="L9433" t="s">
        <v>253</v>
      </c>
      <c r="M9433" t="s">
        <v>99</v>
      </c>
      <c r="N9433" t="s">
        <v>99</v>
      </c>
      <c r="O9433" t="s">
        <v>121</v>
      </c>
      <c r="P9433" t="s">
        <v>141</v>
      </c>
      <c r="Q9433" t="s">
        <v>136</v>
      </c>
    </row>
    <row r="9434" spans="1:17" x14ac:dyDescent="0.3">
      <c r="A9434" t="s">
        <v>34</v>
      </c>
      <c r="B9434" t="s">
        <v>2254</v>
      </c>
      <c r="C9434">
        <v>1227</v>
      </c>
      <c r="D9434" t="s">
        <v>253</v>
      </c>
      <c r="E9434" t="s">
        <v>275</v>
      </c>
      <c r="F9434" t="s">
        <v>68</v>
      </c>
      <c r="G9434" t="s">
        <v>665</v>
      </c>
      <c r="H9434" t="s">
        <v>121</v>
      </c>
      <c r="I9434" t="s">
        <v>99</v>
      </c>
      <c r="J9434" t="s">
        <v>101</v>
      </c>
      <c r="K9434" t="s">
        <v>108</v>
      </c>
      <c r="L9434" t="s">
        <v>215</v>
      </c>
      <c r="M9434" t="s">
        <v>99</v>
      </c>
      <c r="N9434" t="s">
        <v>207</v>
      </c>
      <c r="O9434" t="s">
        <v>120</v>
      </c>
      <c r="P9434" t="s">
        <v>121</v>
      </c>
      <c r="Q9434" t="s">
        <v>99</v>
      </c>
    </row>
    <row r="9435" spans="1:17" x14ac:dyDescent="0.3">
      <c r="A9435" t="s">
        <v>34</v>
      </c>
      <c r="B9435" t="s">
        <v>365</v>
      </c>
      <c r="C9435">
        <v>9</v>
      </c>
      <c r="D9435" t="s">
        <v>99</v>
      </c>
      <c r="E9435" t="s">
        <v>994</v>
      </c>
      <c r="F9435" t="s">
        <v>99</v>
      </c>
      <c r="G9435" t="s">
        <v>64</v>
      </c>
      <c r="H9435" t="s">
        <v>99</v>
      </c>
      <c r="I9435" t="s">
        <v>99</v>
      </c>
      <c r="J9435" t="s">
        <v>99</v>
      </c>
      <c r="K9435" t="s">
        <v>99</v>
      </c>
      <c r="L9435" t="s">
        <v>99</v>
      </c>
      <c r="M9435" t="s">
        <v>99</v>
      </c>
      <c r="N9435" t="s">
        <v>99</v>
      </c>
      <c r="O9435" t="s">
        <v>134</v>
      </c>
      <c r="P9435" t="s">
        <v>99</v>
      </c>
      <c r="Q9435" t="s">
        <v>318</v>
      </c>
    </row>
    <row r="9436" spans="1:17" x14ac:dyDescent="0.3">
      <c r="A9436" t="s">
        <v>33</v>
      </c>
      <c r="B9436" t="s">
        <v>2253</v>
      </c>
      <c r="C9436">
        <v>1368</v>
      </c>
      <c r="D9436" t="s">
        <v>105</v>
      </c>
      <c r="E9436" t="s">
        <v>443</v>
      </c>
      <c r="F9436" t="s">
        <v>319</v>
      </c>
      <c r="G9436" t="s">
        <v>171</v>
      </c>
      <c r="H9436" t="s">
        <v>108</v>
      </c>
      <c r="I9436" t="s">
        <v>198</v>
      </c>
      <c r="J9436" t="s">
        <v>382</v>
      </c>
      <c r="K9436" t="s">
        <v>99</v>
      </c>
      <c r="L9436" t="s">
        <v>99</v>
      </c>
      <c r="M9436" t="s">
        <v>99</v>
      </c>
      <c r="N9436" t="s">
        <v>104</v>
      </c>
      <c r="O9436" t="s">
        <v>198</v>
      </c>
      <c r="P9436" t="s">
        <v>104</v>
      </c>
      <c r="Q9436" t="s">
        <v>115</v>
      </c>
    </row>
    <row r="9437" spans="1:17" x14ac:dyDescent="0.3">
      <c r="A9437" t="s">
        <v>33</v>
      </c>
      <c r="B9437" t="s">
        <v>2254</v>
      </c>
      <c r="C9437">
        <v>1438</v>
      </c>
      <c r="D9437" t="s">
        <v>120</v>
      </c>
      <c r="E9437" t="s">
        <v>889</v>
      </c>
      <c r="F9437" t="s">
        <v>126</v>
      </c>
      <c r="G9437" t="s">
        <v>74</v>
      </c>
      <c r="H9437" t="s">
        <v>136</v>
      </c>
      <c r="I9437" t="s">
        <v>99</v>
      </c>
      <c r="J9437" t="s">
        <v>136</v>
      </c>
      <c r="K9437" t="s">
        <v>104</v>
      </c>
      <c r="L9437" t="s">
        <v>99</v>
      </c>
      <c r="M9437" t="s">
        <v>99</v>
      </c>
      <c r="N9437" t="s">
        <v>99</v>
      </c>
      <c r="O9437" t="s">
        <v>141</v>
      </c>
      <c r="P9437" t="s">
        <v>198</v>
      </c>
      <c r="Q9437" t="s">
        <v>253</v>
      </c>
    </row>
    <row r="9438" spans="1:17" x14ac:dyDescent="0.3">
      <c r="A9438" t="s">
        <v>49</v>
      </c>
      <c r="B9438" t="s">
        <v>2253</v>
      </c>
      <c r="C9438">
        <v>9855</v>
      </c>
      <c r="D9438" t="s">
        <v>215</v>
      </c>
      <c r="E9438" t="s">
        <v>1171</v>
      </c>
      <c r="F9438" t="s">
        <v>268</v>
      </c>
      <c r="G9438" t="s">
        <v>673</v>
      </c>
      <c r="H9438" t="s">
        <v>292</v>
      </c>
      <c r="I9438" t="s">
        <v>132</v>
      </c>
      <c r="J9438" t="s">
        <v>100</v>
      </c>
      <c r="K9438" t="s">
        <v>104</v>
      </c>
      <c r="L9438" t="s">
        <v>207</v>
      </c>
      <c r="M9438" t="s">
        <v>207</v>
      </c>
      <c r="N9438" t="s">
        <v>104</v>
      </c>
      <c r="O9438" t="s">
        <v>114</v>
      </c>
      <c r="P9438" t="s">
        <v>198</v>
      </c>
      <c r="Q9438" t="s">
        <v>253</v>
      </c>
    </row>
    <row r="9439" spans="1:17" x14ac:dyDescent="0.3">
      <c r="A9439" t="s">
        <v>49</v>
      </c>
      <c r="B9439" t="s">
        <v>2254</v>
      </c>
      <c r="C9439">
        <v>8288</v>
      </c>
      <c r="D9439" t="s">
        <v>215</v>
      </c>
      <c r="E9439" t="s">
        <v>1640</v>
      </c>
      <c r="F9439" t="s">
        <v>316</v>
      </c>
      <c r="G9439" t="s">
        <v>218</v>
      </c>
      <c r="H9439" t="s">
        <v>132</v>
      </c>
      <c r="I9439" t="s">
        <v>104</v>
      </c>
      <c r="J9439" t="s">
        <v>253</v>
      </c>
      <c r="K9439" t="s">
        <v>207</v>
      </c>
      <c r="L9439" t="s">
        <v>136</v>
      </c>
      <c r="M9439" t="s">
        <v>198</v>
      </c>
      <c r="N9439" t="s">
        <v>104</v>
      </c>
      <c r="O9439" t="s">
        <v>121</v>
      </c>
      <c r="P9439" t="s">
        <v>207</v>
      </c>
      <c r="Q9439" t="s">
        <v>207</v>
      </c>
    </row>
    <row r="9440" spans="1:17" x14ac:dyDescent="0.3">
      <c r="A9440" t="s">
        <v>49</v>
      </c>
      <c r="B9440" t="s">
        <v>365</v>
      </c>
      <c r="C9440">
        <v>48</v>
      </c>
      <c r="D9440" t="s">
        <v>676</v>
      </c>
      <c r="E9440" t="s">
        <v>1366</v>
      </c>
      <c r="F9440" t="s">
        <v>110</v>
      </c>
      <c r="G9440" t="s">
        <v>406</v>
      </c>
      <c r="H9440" t="s">
        <v>99</v>
      </c>
      <c r="I9440" t="s">
        <v>99</v>
      </c>
      <c r="J9440" t="s">
        <v>99</v>
      </c>
      <c r="K9440" t="s">
        <v>99</v>
      </c>
      <c r="L9440" t="s">
        <v>99</v>
      </c>
      <c r="M9440" t="s">
        <v>99</v>
      </c>
      <c r="N9440" t="s">
        <v>138</v>
      </c>
      <c r="O9440" t="s">
        <v>100</v>
      </c>
      <c r="P9440" t="s">
        <v>99</v>
      </c>
      <c r="Q9440" t="s">
        <v>139</v>
      </c>
    </row>
    <row r="9442" spans="1:17" x14ac:dyDescent="0.3">
      <c r="A9442" t="s">
        <v>2407</v>
      </c>
    </row>
    <row r="9443" spans="1:17" x14ac:dyDescent="0.3">
      <c r="A9443" t="s">
        <v>44</v>
      </c>
      <c r="B9443" t="s">
        <v>257</v>
      </c>
      <c r="C9443" t="s">
        <v>32</v>
      </c>
      <c r="D9443" t="s">
        <v>2389</v>
      </c>
      <c r="E9443" t="s">
        <v>2390</v>
      </c>
      <c r="F9443" t="s">
        <v>2391</v>
      </c>
      <c r="G9443" t="s">
        <v>2392</v>
      </c>
      <c r="H9443" t="s">
        <v>2393</v>
      </c>
      <c r="I9443" t="s">
        <v>2394</v>
      </c>
      <c r="J9443" t="s">
        <v>2395</v>
      </c>
      <c r="K9443" t="s">
        <v>2396</v>
      </c>
      <c r="L9443" t="s">
        <v>2397</v>
      </c>
      <c r="M9443" t="s">
        <v>2344</v>
      </c>
      <c r="N9443" t="s">
        <v>2398</v>
      </c>
      <c r="O9443" t="s">
        <v>2399</v>
      </c>
      <c r="P9443" t="s">
        <v>2400</v>
      </c>
      <c r="Q9443" t="s">
        <v>2401</v>
      </c>
    </row>
    <row r="9444" spans="1:17" x14ac:dyDescent="0.3">
      <c r="A9444" t="s">
        <v>35</v>
      </c>
      <c r="B9444" t="s">
        <v>258</v>
      </c>
      <c r="C9444">
        <v>4065</v>
      </c>
      <c r="D9444" t="s">
        <v>114</v>
      </c>
      <c r="E9444" t="s">
        <v>196</v>
      </c>
      <c r="F9444" t="s">
        <v>103</v>
      </c>
      <c r="G9444" t="s">
        <v>542</v>
      </c>
      <c r="H9444" t="s">
        <v>127</v>
      </c>
      <c r="I9444" t="s">
        <v>253</v>
      </c>
      <c r="J9444" t="s">
        <v>132</v>
      </c>
      <c r="K9444" t="s">
        <v>104</v>
      </c>
      <c r="L9444" t="s">
        <v>104</v>
      </c>
      <c r="M9444" t="s">
        <v>99</v>
      </c>
      <c r="N9444" t="s">
        <v>99</v>
      </c>
      <c r="O9444" t="s">
        <v>319</v>
      </c>
      <c r="P9444" t="s">
        <v>198</v>
      </c>
      <c r="Q9444" t="s">
        <v>108</v>
      </c>
    </row>
    <row r="9445" spans="1:17" x14ac:dyDescent="0.3">
      <c r="A9445" t="s">
        <v>35</v>
      </c>
      <c r="B9445" t="s">
        <v>260</v>
      </c>
      <c r="C9445">
        <v>332</v>
      </c>
      <c r="D9445" t="s">
        <v>253</v>
      </c>
      <c r="E9445" t="s">
        <v>1224</v>
      </c>
      <c r="F9445" t="s">
        <v>434</v>
      </c>
      <c r="G9445" t="s">
        <v>64</v>
      </c>
      <c r="H9445" t="s">
        <v>127</v>
      </c>
      <c r="I9445" t="s">
        <v>253</v>
      </c>
      <c r="J9445" t="s">
        <v>253</v>
      </c>
      <c r="K9445" t="s">
        <v>99</v>
      </c>
      <c r="L9445" t="s">
        <v>147</v>
      </c>
      <c r="M9445" t="s">
        <v>253</v>
      </c>
      <c r="N9445" t="s">
        <v>207</v>
      </c>
      <c r="O9445" t="s">
        <v>151</v>
      </c>
      <c r="P9445" t="s">
        <v>207</v>
      </c>
      <c r="Q9445" t="s">
        <v>99</v>
      </c>
    </row>
    <row r="9446" spans="1:17" x14ac:dyDescent="0.3">
      <c r="A9446" t="s">
        <v>37</v>
      </c>
      <c r="B9446" t="s">
        <v>258</v>
      </c>
      <c r="C9446">
        <v>5213</v>
      </c>
      <c r="D9446" t="s">
        <v>151</v>
      </c>
      <c r="E9446" t="s">
        <v>1137</v>
      </c>
      <c r="F9446" t="s">
        <v>111</v>
      </c>
      <c r="G9446" t="s">
        <v>244</v>
      </c>
      <c r="H9446" t="s">
        <v>319</v>
      </c>
      <c r="I9446" t="s">
        <v>141</v>
      </c>
      <c r="J9446" t="s">
        <v>132</v>
      </c>
      <c r="K9446" t="s">
        <v>99</v>
      </c>
      <c r="L9446" t="s">
        <v>104</v>
      </c>
      <c r="M9446" t="s">
        <v>115</v>
      </c>
      <c r="N9446" t="s">
        <v>104</v>
      </c>
      <c r="O9446" t="s">
        <v>136</v>
      </c>
      <c r="P9446" t="s">
        <v>198</v>
      </c>
      <c r="Q9446" t="s">
        <v>198</v>
      </c>
    </row>
    <row r="9447" spans="1:17" x14ac:dyDescent="0.3">
      <c r="A9447" t="s">
        <v>36</v>
      </c>
      <c r="B9447" t="s">
        <v>258</v>
      </c>
      <c r="C9447">
        <v>2780</v>
      </c>
      <c r="D9447" t="s">
        <v>292</v>
      </c>
      <c r="E9447" t="s">
        <v>568</v>
      </c>
      <c r="F9447" t="s">
        <v>151</v>
      </c>
      <c r="G9447" t="s">
        <v>676</v>
      </c>
      <c r="H9447" t="s">
        <v>128</v>
      </c>
      <c r="I9447" t="s">
        <v>207</v>
      </c>
      <c r="J9447" t="s">
        <v>101</v>
      </c>
      <c r="K9447" t="s">
        <v>207</v>
      </c>
      <c r="L9447" t="s">
        <v>141</v>
      </c>
      <c r="M9447" t="s">
        <v>207</v>
      </c>
      <c r="N9447" t="s">
        <v>104</v>
      </c>
      <c r="O9447" t="s">
        <v>127</v>
      </c>
      <c r="P9447" t="s">
        <v>99</v>
      </c>
      <c r="Q9447" t="s">
        <v>198</v>
      </c>
    </row>
    <row r="9448" spans="1:17" x14ac:dyDescent="0.3">
      <c r="A9448" t="s">
        <v>36</v>
      </c>
      <c r="B9448" t="s">
        <v>260</v>
      </c>
      <c r="C9448">
        <v>281</v>
      </c>
      <c r="D9448" t="s">
        <v>127</v>
      </c>
      <c r="E9448" t="s">
        <v>997</v>
      </c>
      <c r="F9448" t="s">
        <v>133</v>
      </c>
      <c r="G9448" t="s">
        <v>491</v>
      </c>
      <c r="H9448" t="s">
        <v>105</v>
      </c>
      <c r="I9448" t="s">
        <v>99</v>
      </c>
      <c r="J9448" t="s">
        <v>127</v>
      </c>
      <c r="K9448" t="s">
        <v>136</v>
      </c>
      <c r="L9448" t="s">
        <v>110</v>
      </c>
      <c r="M9448" t="s">
        <v>99</v>
      </c>
      <c r="N9448" t="s">
        <v>99</v>
      </c>
      <c r="O9448" t="s">
        <v>154</v>
      </c>
      <c r="P9448" t="s">
        <v>115</v>
      </c>
      <c r="Q9448" t="s">
        <v>154</v>
      </c>
    </row>
    <row r="9449" spans="1:17" x14ac:dyDescent="0.3">
      <c r="A9449" t="s">
        <v>34</v>
      </c>
      <c r="B9449" t="s">
        <v>258</v>
      </c>
      <c r="C9449">
        <v>1605</v>
      </c>
      <c r="D9449" t="s">
        <v>141</v>
      </c>
      <c r="E9449" t="s">
        <v>364</v>
      </c>
      <c r="F9449" t="s">
        <v>253</v>
      </c>
      <c r="G9449" t="s">
        <v>664</v>
      </c>
      <c r="H9449" t="s">
        <v>207</v>
      </c>
      <c r="I9449" t="s">
        <v>104</v>
      </c>
      <c r="J9449" t="s">
        <v>198</v>
      </c>
      <c r="K9449" t="s">
        <v>99</v>
      </c>
      <c r="L9449" t="s">
        <v>99</v>
      </c>
      <c r="M9449" t="s">
        <v>99</v>
      </c>
      <c r="N9449" t="s">
        <v>99</v>
      </c>
      <c r="O9449" t="s">
        <v>207</v>
      </c>
      <c r="P9449" t="s">
        <v>99</v>
      </c>
      <c r="Q9449" t="s">
        <v>99</v>
      </c>
    </row>
    <row r="9450" spans="1:17" x14ac:dyDescent="0.3">
      <c r="A9450" t="s">
        <v>34</v>
      </c>
      <c r="B9450" t="s">
        <v>260</v>
      </c>
      <c r="C9450">
        <v>1109</v>
      </c>
      <c r="D9450" t="s">
        <v>127</v>
      </c>
      <c r="E9450" t="s">
        <v>800</v>
      </c>
      <c r="F9450" t="s">
        <v>277</v>
      </c>
      <c r="G9450" t="s">
        <v>1062</v>
      </c>
      <c r="H9450" t="s">
        <v>151</v>
      </c>
      <c r="I9450" t="s">
        <v>115</v>
      </c>
      <c r="J9450" t="s">
        <v>100</v>
      </c>
      <c r="K9450" t="s">
        <v>114</v>
      </c>
      <c r="L9450" t="s">
        <v>127</v>
      </c>
      <c r="M9450" t="s">
        <v>99</v>
      </c>
      <c r="N9450" t="s">
        <v>198</v>
      </c>
      <c r="O9450" t="s">
        <v>147</v>
      </c>
      <c r="P9450" t="s">
        <v>101</v>
      </c>
      <c r="Q9450" t="s">
        <v>141</v>
      </c>
    </row>
    <row r="9451" spans="1:17" x14ac:dyDescent="0.3">
      <c r="A9451" t="s">
        <v>33</v>
      </c>
      <c r="B9451" t="s">
        <v>258</v>
      </c>
      <c r="C9451">
        <v>2806</v>
      </c>
      <c r="D9451" t="s">
        <v>107</v>
      </c>
      <c r="E9451" t="s">
        <v>866</v>
      </c>
      <c r="F9451" t="s">
        <v>126</v>
      </c>
      <c r="G9451" t="s">
        <v>363</v>
      </c>
      <c r="H9451" t="s">
        <v>115</v>
      </c>
      <c r="I9451" t="s">
        <v>104</v>
      </c>
      <c r="J9451" t="s">
        <v>114</v>
      </c>
      <c r="K9451" t="s">
        <v>99</v>
      </c>
      <c r="L9451" t="s">
        <v>99</v>
      </c>
      <c r="M9451" t="s">
        <v>99</v>
      </c>
      <c r="N9451" t="s">
        <v>99</v>
      </c>
      <c r="O9451" t="s">
        <v>207</v>
      </c>
      <c r="P9451" t="s">
        <v>104</v>
      </c>
      <c r="Q9451" t="s">
        <v>253</v>
      </c>
    </row>
    <row r="9452" spans="1:17" x14ac:dyDescent="0.3">
      <c r="A9452" t="s">
        <v>49</v>
      </c>
      <c r="B9452" t="s">
        <v>258</v>
      </c>
      <c r="C9452">
        <v>16469</v>
      </c>
      <c r="D9452" t="s">
        <v>127</v>
      </c>
      <c r="E9452" t="s">
        <v>870</v>
      </c>
      <c r="F9452" t="s">
        <v>151</v>
      </c>
      <c r="G9452" t="s">
        <v>368</v>
      </c>
      <c r="H9452" t="s">
        <v>319</v>
      </c>
      <c r="I9452" t="s">
        <v>136</v>
      </c>
      <c r="J9452" t="s">
        <v>132</v>
      </c>
      <c r="K9452" t="s">
        <v>104</v>
      </c>
      <c r="L9452" t="s">
        <v>104</v>
      </c>
      <c r="M9452" t="s">
        <v>207</v>
      </c>
      <c r="N9452" t="s">
        <v>104</v>
      </c>
      <c r="O9452" t="s">
        <v>132</v>
      </c>
      <c r="P9452" t="s">
        <v>104</v>
      </c>
      <c r="Q9452" t="s">
        <v>141</v>
      </c>
    </row>
    <row r="9453" spans="1:17" x14ac:dyDescent="0.3">
      <c r="A9453" t="s">
        <v>49</v>
      </c>
      <c r="B9453" t="s">
        <v>260</v>
      </c>
      <c r="C9453">
        <v>1722</v>
      </c>
      <c r="D9453" t="s">
        <v>126</v>
      </c>
      <c r="E9453" t="s">
        <v>1223</v>
      </c>
      <c r="F9453" t="s">
        <v>412</v>
      </c>
      <c r="G9453" t="s">
        <v>1046</v>
      </c>
      <c r="H9453" t="s">
        <v>151</v>
      </c>
      <c r="I9453" t="s">
        <v>115</v>
      </c>
      <c r="J9453" t="s">
        <v>114</v>
      </c>
      <c r="K9453" t="s">
        <v>132</v>
      </c>
      <c r="L9453" t="s">
        <v>151</v>
      </c>
      <c r="M9453" t="s">
        <v>104</v>
      </c>
      <c r="N9453" t="s">
        <v>198</v>
      </c>
      <c r="O9453" t="s">
        <v>120</v>
      </c>
      <c r="P9453" t="s">
        <v>100</v>
      </c>
      <c r="Q9453" t="s">
        <v>136</v>
      </c>
    </row>
    <row r="9455" spans="1:17" x14ac:dyDescent="0.3">
      <c r="A9455" t="s">
        <v>2408</v>
      </c>
    </row>
    <row r="9456" spans="1:17" x14ac:dyDescent="0.3">
      <c r="A9456" t="s">
        <v>44</v>
      </c>
      <c r="B9456" t="s">
        <v>1590</v>
      </c>
      <c r="C9456" t="s">
        <v>32</v>
      </c>
      <c r="D9456" t="s">
        <v>2389</v>
      </c>
      <c r="E9456" t="s">
        <v>2390</v>
      </c>
      <c r="F9456" t="s">
        <v>2391</v>
      </c>
      <c r="G9456" t="s">
        <v>2392</v>
      </c>
      <c r="H9456" t="s">
        <v>2393</v>
      </c>
      <c r="I9456" t="s">
        <v>2394</v>
      </c>
      <c r="J9456" t="s">
        <v>2395</v>
      </c>
      <c r="K9456" t="s">
        <v>2396</v>
      </c>
      <c r="L9456" t="s">
        <v>2397</v>
      </c>
      <c r="M9456" t="s">
        <v>2344</v>
      </c>
      <c r="N9456" t="s">
        <v>2398</v>
      </c>
      <c r="O9456" t="s">
        <v>2399</v>
      </c>
      <c r="P9456" t="s">
        <v>2400</v>
      </c>
      <c r="Q9456" t="s">
        <v>2401</v>
      </c>
    </row>
    <row r="9457" spans="1:17" x14ac:dyDescent="0.3">
      <c r="A9457" t="s">
        <v>35</v>
      </c>
      <c r="B9457" t="s">
        <v>1591</v>
      </c>
      <c r="C9457">
        <v>2260</v>
      </c>
      <c r="D9457" t="s">
        <v>132</v>
      </c>
      <c r="E9457" t="s">
        <v>61</v>
      </c>
      <c r="F9457" t="s">
        <v>110</v>
      </c>
      <c r="G9457" t="s">
        <v>681</v>
      </c>
      <c r="H9457" t="s">
        <v>105</v>
      </c>
      <c r="I9457" t="s">
        <v>100</v>
      </c>
      <c r="J9457" t="s">
        <v>101</v>
      </c>
      <c r="K9457" t="s">
        <v>104</v>
      </c>
      <c r="L9457" t="s">
        <v>115</v>
      </c>
      <c r="M9457" t="s">
        <v>99</v>
      </c>
      <c r="N9457" t="s">
        <v>99</v>
      </c>
      <c r="O9457" t="s">
        <v>103</v>
      </c>
      <c r="P9457" t="s">
        <v>207</v>
      </c>
      <c r="Q9457" t="s">
        <v>108</v>
      </c>
    </row>
    <row r="9458" spans="1:17" x14ac:dyDescent="0.3">
      <c r="A9458" t="s">
        <v>35</v>
      </c>
      <c r="B9458" t="s">
        <v>1592</v>
      </c>
      <c r="C9458">
        <v>2093</v>
      </c>
      <c r="D9458" t="s">
        <v>121</v>
      </c>
      <c r="E9458" t="s">
        <v>359</v>
      </c>
      <c r="F9458" t="s">
        <v>319</v>
      </c>
      <c r="G9458" t="s">
        <v>468</v>
      </c>
      <c r="H9458" t="s">
        <v>207</v>
      </c>
      <c r="I9458" t="s">
        <v>104</v>
      </c>
      <c r="J9458" t="s">
        <v>198</v>
      </c>
      <c r="K9458" t="s">
        <v>99</v>
      </c>
      <c r="L9458" t="s">
        <v>99</v>
      </c>
      <c r="M9458" t="s">
        <v>104</v>
      </c>
      <c r="N9458" t="s">
        <v>99</v>
      </c>
      <c r="O9458" t="s">
        <v>136</v>
      </c>
      <c r="P9458" t="s">
        <v>104</v>
      </c>
      <c r="Q9458" t="s">
        <v>115</v>
      </c>
    </row>
    <row r="9459" spans="1:17" x14ac:dyDescent="0.3">
      <c r="A9459" t="s">
        <v>35</v>
      </c>
      <c r="B9459" t="s">
        <v>365</v>
      </c>
      <c r="C9459">
        <v>44</v>
      </c>
      <c r="D9459" t="s">
        <v>141</v>
      </c>
      <c r="E9459" t="s">
        <v>2120</v>
      </c>
      <c r="F9459" t="s">
        <v>108</v>
      </c>
      <c r="G9459" t="s">
        <v>1062</v>
      </c>
      <c r="H9459" t="s">
        <v>99</v>
      </c>
      <c r="I9459" t="s">
        <v>99</v>
      </c>
      <c r="J9459" t="s">
        <v>99</v>
      </c>
      <c r="K9459" t="s">
        <v>108</v>
      </c>
      <c r="L9459" t="s">
        <v>108</v>
      </c>
      <c r="M9459" t="s">
        <v>99</v>
      </c>
      <c r="N9459" t="s">
        <v>110</v>
      </c>
      <c r="O9459" t="s">
        <v>117</v>
      </c>
      <c r="P9459" t="s">
        <v>99</v>
      </c>
      <c r="Q9459" t="s">
        <v>99</v>
      </c>
    </row>
    <row r="9460" spans="1:17" x14ac:dyDescent="0.3">
      <c r="A9460" t="s">
        <v>37</v>
      </c>
      <c r="B9460" t="s">
        <v>1591</v>
      </c>
      <c r="C9460">
        <v>2537</v>
      </c>
      <c r="D9460" t="s">
        <v>126</v>
      </c>
      <c r="E9460" t="s">
        <v>486</v>
      </c>
      <c r="F9460" t="s">
        <v>105</v>
      </c>
      <c r="G9460" t="s">
        <v>281</v>
      </c>
      <c r="H9460" t="s">
        <v>103</v>
      </c>
      <c r="I9460" t="s">
        <v>115</v>
      </c>
      <c r="J9460" t="s">
        <v>114</v>
      </c>
      <c r="K9460" t="s">
        <v>99</v>
      </c>
      <c r="L9460" t="s">
        <v>104</v>
      </c>
      <c r="M9460" t="s">
        <v>108</v>
      </c>
      <c r="N9460" t="s">
        <v>198</v>
      </c>
      <c r="O9460" t="s">
        <v>141</v>
      </c>
      <c r="P9460" t="s">
        <v>207</v>
      </c>
      <c r="Q9460" t="s">
        <v>104</v>
      </c>
    </row>
    <row r="9461" spans="1:17" x14ac:dyDescent="0.3">
      <c r="A9461" t="s">
        <v>37</v>
      </c>
      <c r="B9461" t="s">
        <v>1592</v>
      </c>
      <c r="C9461">
        <v>2583</v>
      </c>
      <c r="D9461" t="s">
        <v>117</v>
      </c>
      <c r="E9461" t="s">
        <v>73</v>
      </c>
      <c r="F9461" t="s">
        <v>319</v>
      </c>
      <c r="G9461" t="s">
        <v>139</v>
      </c>
      <c r="H9461" t="s">
        <v>207</v>
      </c>
      <c r="I9461" t="s">
        <v>207</v>
      </c>
      <c r="J9461" t="s">
        <v>253</v>
      </c>
      <c r="K9461" t="s">
        <v>104</v>
      </c>
      <c r="L9461" t="s">
        <v>99</v>
      </c>
      <c r="M9461" t="s">
        <v>141</v>
      </c>
      <c r="N9461" t="s">
        <v>104</v>
      </c>
      <c r="O9461" t="s">
        <v>198</v>
      </c>
      <c r="P9461" t="s">
        <v>104</v>
      </c>
      <c r="Q9461" t="s">
        <v>207</v>
      </c>
    </row>
    <row r="9462" spans="1:17" x14ac:dyDescent="0.3">
      <c r="A9462" t="s">
        <v>37</v>
      </c>
      <c r="B9462" t="s">
        <v>365</v>
      </c>
      <c r="C9462">
        <v>93</v>
      </c>
      <c r="D9462" t="s">
        <v>151</v>
      </c>
      <c r="E9462" t="s">
        <v>392</v>
      </c>
      <c r="F9462" t="s">
        <v>99</v>
      </c>
      <c r="G9462" t="s">
        <v>299</v>
      </c>
      <c r="H9462" t="s">
        <v>99</v>
      </c>
      <c r="I9462" t="s">
        <v>99</v>
      </c>
      <c r="J9462" t="s">
        <v>99</v>
      </c>
      <c r="K9462" t="s">
        <v>99</v>
      </c>
      <c r="L9462" t="s">
        <v>99</v>
      </c>
      <c r="M9462" t="s">
        <v>99</v>
      </c>
      <c r="N9462" t="s">
        <v>99</v>
      </c>
      <c r="O9462" t="s">
        <v>99</v>
      </c>
      <c r="P9462" t="s">
        <v>99</v>
      </c>
      <c r="Q9462" t="s">
        <v>99</v>
      </c>
    </row>
    <row r="9463" spans="1:17" x14ac:dyDescent="0.3">
      <c r="A9463" t="s">
        <v>36</v>
      </c>
      <c r="B9463" t="s">
        <v>1591</v>
      </c>
      <c r="C9463">
        <v>2147</v>
      </c>
      <c r="D9463" t="s">
        <v>382</v>
      </c>
      <c r="E9463" t="s">
        <v>455</v>
      </c>
      <c r="F9463" t="s">
        <v>128</v>
      </c>
      <c r="G9463" t="s">
        <v>534</v>
      </c>
      <c r="H9463" t="s">
        <v>134</v>
      </c>
      <c r="I9463" t="s">
        <v>141</v>
      </c>
      <c r="J9463" t="s">
        <v>382</v>
      </c>
      <c r="K9463" t="s">
        <v>136</v>
      </c>
      <c r="L9463" t="s">
        <v>132</v>
      </c>
      <c r="M9463" t="s">
        <v>136</v>
      </c>
      <c r="N9463" t="s">
        <v>104</v>
      </c>
      <c r="O9463" t="s">
        <v>117</v>
      </c>
      <c r="P9463" t="s">
        <v>104</v>
      </c>
      <c r="Q9463" t="s">
        <v>207</v>
      </c>
    </row>
    <row r="9464" spans="1:17" x14ac:dyDescent="0.3">
      <c r="A9464" t="s">
        <v>36</v>
      </c>
      <c r="B9464" t="s">
        <v>1592</v>
      </c>
      <c r="C9464">
        <v>889</v>
      </c>
      <c r="D9464" t="s">
        <v>147</v>
      </c>
      <c r="E9464" t="s">
        <v>762</v>
      </c>
      <c r="F9464" t="s">
        <v>114</v>
      </c>
      <c r="G9464" t="s">
        <v>135</v>
      </c>
      <c r="H9464" t="s">
        <v>114</v>
      </c>
      <c r="I9464" t="s">
        <v>104</v>
      </c>
      <c r="J9464" t="s">
        <v>115</v>
      </c>
      <c r="K9464" t="s">
        <v>99</v>
      </c>
      <c r="L9464" t="s">
        <v>104</v>
      </c>
      <c r="M9464" t="s">
        <v>104</v>
      </c>
      <c r="N9464" t="s">
        <v>99</v>
      </c>
      <c r="O9464" t="s">
        <v>114</v>
      </c>
      <c r="P9464" t="s">
        <v>99</v>
      </c>
      <c r="Q9464" t="s">
        <v>198</v>
      </c>
    </row>
    <row r="9465" spans="1:17" x14ac:dyDescent="0.3">
      <c r="A9465" t="s">
        <v>36</v>
      </c>
      <c r="B9465" t="s">
        <v>365</v>
      </c>
      <c r="C9465">
        <v>25</v>
      </c>
      <c r="D9465" t="s">
        <v>99</v>
      </c>
      <c r="E9465" t="s">
        <v>819</v>
      </c>
      <c r="F9465" t="s">
        <v>128</v>
      </c>
      <c r="G9465" t="s">
        <v>1045</v>
      </c>
      <c r="H9465" t="s">
        <v>291</v>
      </c>
      <c r="I9465" t="s">
        <v>99</v>
      </c>
      <c r="J9465" t="s">
        <v>151</v>
      </c>
      <c r="K9465" t="s">
        <v>99</v>
      </c>
      <c r="L9465" t="s">
        <v>100</v>
      </c>
      <c r="M9465" t="s">
        <v>99</v>
      </c>
      <c r="N9465" t="s">
        <v>99</v>
      </c>
      <c r="O9465" t="s">
        <v>105</v>
      </c>
      <c r="P9465" t="s">
        <v>99</v>
      </c>
      <c r="Q9465" t="s">
        <v>99</v>
      </c>
    </row>
    <row r="9466" spans="1:17" x14ac:dyDescent="0.3">
      <c r="A9466" t="s">
        <v>34</v>
      </c>
      <c r="B9466" t="s">
        <v>1591</v>
      </c>
      <c r="C9466">
        <v>1355</v>
      </c>
      <c r="D9466" t="s">
        <v>215</v>
      </c>
      <c r="E9466" t="s">
        <v>1052</v>
      </c>
      <c r="F9466" t="s">
        <v>242</v>
      </c>
      <c r="G9466" t="s">
        <v>1209</v>
      </c>
      <c r="H9466" t="s">
        <v>215</v>
      </c>
      <c r="I9466" t="s">
        <v>108</v>
      </c>
      <c r="J9466" t="s">
        <v>100</v>
      </c>
      <c r="K9466" t="s">
        <v>132</v>
      </c>
      <c r="L9466" t="s">
        <v>215</v>
      </c>
      <c r="M9466" t="s">
        <v>99</v>
      </c>
      <c r="N9466" t="s">
        <v>104</v>
      </c>
      <c r="O9466" t="s">
        <v>292</v>
      </c>
      <c r="P9466" t="s">
        <v>114</v>
      </c>
      <c r="Q9466" t="s">
        <v>136</v>
      </c>
    </row>
    <row r="9467" spans="1:17" x14ac:dyDescent="0.3">
      <c r="A9467" t="s">
        <v>34</v>
      </c>
      <c r="B9467" t="s">
        <v>1592</v>
      </c>
      <c r="C9467">
        <v>1274</v>
      </c>
      <c r="D9467" t="s">
        <v>114</v>
      </c>
      <c r="E9467" t="s">
        <v>443</v>
      </c>
      <c r="F9467" t="s">
        <v>151</v>
      </c>
      <c r="G9467" t="s">
        <v>165</v>
      </c>
      <c r="H9467" t="s">
        <v>114</v>
      </c>
      <c r="I9467" t="s">
        <v>99</v>
      </c>
      <c r="J9467" t="s">
        <v>198</v>
      </c>
      <c r="K9467" t="s">
        <v>141</v>
      </c>
      <c r="L9467" t="s">
        <v>253</v>
      </c>
      <c r="M9467" t="s">
        <v>99</v>
      </c>
      <c r="N9467" t="s">
        <v>198</v>
      </c>
      <c r="O9467" t="s">
        <v>123</v>
      </c>
      <c r="P9467" t="s">
        <v>141</v>
      </c>
      <c r="Q9467" t="s">
        <v>99</v>
      </c>
    </row>
    <row r="9468" spans="1:17" x14ac:dyDescent="0.3">
      <c r="A9468" t="s">
        <v>34</v>
      </c>
      <c r="B9468" t="s">
        <v>365</v>
      </c>
      <c r="C9468">
        <v>85</v>
      </c>
      <c r="D9468" t="s">
        <v>99</v>
      </c>
      <c r="E9468" t="s">
        <v>59</v>
      </c>
      <c r="F9468" t="s">
        <v>104</v>
      </c>
      <c r="G9468" t="s">
        <v>534</v>
      </c>
      <c r="H9468" t="s">
        <v>136</v>
      </c>
      <c r="I9468" t="s">
        <v>99</v>
      </c>
      <c r="J9468" t="s">
        <v>147</v>
      </c>
      <c r="K9468" t="s">
        <v>99</v>
      </c>
      <c r="L9468" t="s">
        <v>99</v>
      </c>
      <c r="M9468" t="s">
        <v>99</v>
      </c>
      <c r="N9468" t="s">
        <v>99</v>
      </c>
      <c r="O9468" t="s">
        <v>103</v>
      </c>
      <c r="P9468" t="s">
        <v>103</v>
      </c>
      <c r="Q9468" t="s">
        <v>103</v>
      </c>
    </row>
    <row r="9469" spans="1:17" x14ac:dyDescent="0.3">
      <c r="A9469" t="s">
        <v>33</v>
      </c>
      <c r="B9469" t="s">
        <v>1591</v>
      </c>
      <c r="C9469">
        <v>929</v>
      </c>
      <c r="D9469" t="s">
        <v>123</v>
      </c>
      <c r="E9469" t="s">
        <v>775</v>
      </c>
      <c r="F9469" t="s">
        <v>103</v>
      </c>
      <c r="G9469" t="s">
        <v>425</v>
      </c>
      <c r="H9469" t="s">
        <v>121</v>
      </c>
      <c r="I9469" t="s">
        <v>104</v>
      </c>
      <c r="J9469" t="s">
        <v>103</v>
      </c>
      <c r="K9469" t="s">
        <v>104</v>
      </c>
      <c r="L9469" t="s">
        <v>99</v>
      </c>
      <c r="M9469" t="s">
        <v>99</v>
      </c>
      <c r="N9469" t="s">
        <v>104</v>
      </c>
      <c r="O9469" t="s">
        <v>136</v>
      </c>
      <c r="P9469" t="s">
        <v>207</v>
      </c>
      <c r="Q9469" t="s">
        <v>126</v>
      </c>
    </row>
    <row r="9470" spans="1:17" x14ac:dyDescent="0.3">
      <c r="A9470" t="s">
        <v>33</v>
      </c>
      <c r="B9470" t="s">
        <v>1592</v>
      </c>
      <c r="C9470">
        <v>1861</v>
      </c>
      <c r="D9470" t="s">
        <v>154</v>
      </c>
      <c r="E9470" t="s">
        <v>978</v>
      </c>
      <c r="F9470" t="s">
        <v>108</v>
      </c>
      <c r="G9470" t="s">
        <v>111</v>
      </c>
      <c r="H9470" t="s">
        <v>207</v>
      </c>
      <c r="I9470" t="s">
        <v>104</v>
      </c>
      <c r="J9470" t="s">
        <v>198</v>
      </c>
      <c r="K9470" t="s">
        <v>99</v>
      </c>
      <c r="L9470" t="s">
        <v>99</v>
      </c>
      <c r="M9470" t="s">
        <v>99</v>
      </c>
      <c r="N9470" t="s">
        <v>99</v>
      </c>
      <c r="O9470" t="s">
        <v>207</v>
      </c>
      <c r="P9470" t="s">
        <v>99</v>
      </c>
      <c r="Q9470" t="s">
        <v>198</v>
      </c>
    </row>
    <row r="9471" spans="1:17" x14ac:dyDescent="0.3">
      <c r="A9471" t="s">
        <v>33</v>
      </c>
      <c r="B9471" t="s">
        <v>365</v>
      </c>
      <c r="C9471">
        <v>16</v>
      </c>
      <c r="D9471" t="s">
        <v>99</v>
      </c>
      <c r="E9471" t="s">
        <v>211</v>
      </c>
      <c r="F9471" t="s">
        <v>99</v>
      </c>
      <c r="G9471" t="s">
        <v>99</v>
      </c>
      <c r="H9471" t="s">
        <v>99</v>
      </c>
      <c r="I9471" t="s">
        <v>99</v>
      </c>
      <c r="J9471" t="s">
        <v>99</v>
      </c>
      <c r="K9471" t="s">
        <v>99</v>
      </c>
      <c r="L9471" t="s">
        <v>99</v>
      </c>
      <c r="M9471" t="s">
        <v>99</v>
      </c>
      <c r="N9471" t="s">
        <v>99</v>
      </c>
      <c r="O9471" t="s">
        <v>99</v>
      </c>
      <c r="P9471" t="s">
        <v>99</v>
      </c>
      <c r="Q9471" t="s">
        <v>99</v>
      </c>
    </row>
    <row r="9472" spans="1:17" x14ac:dyDescent="0.3">
      <c r="A9472" t="s">
        <v>49</v>
      </c>
      <c r="B9472" t="s">
        <v>1591</v>
      </c>
      <c r="C9472">
        <v>9228</v>
      </c>
      <c r="D9472" t="s">
        <v>319</v>
      </c>
      <c r="E9472" t="s">
        <v>278</v>
      </c>
      <c r="F9472" t="s">
        <v>154</v>
      </c>
      <c r="G9472" t="s">
        <v>140</v>
      </c>
      <c r="H9472" t="s">
        <v>103</v>
      </c>
      <c r="I9472" t="s">
        <v>132</v>
      </c>
      <c r="J9472" t="s">
        <v>101</v>
      </c>
      <c r="K9472" t="s">
        <v>207</v>
      </c>
      <c r="L9472" t="s">
        <v>253</v>
      </c>
      <c r="M9472" t="s">
        <v>207</v>
      </c>
      <c r="N9472" t="s">
        <v>104</v>
      </c>
      <c r="O9472" t="s">
        <v>382</v>
      </c>
      <c r="P9472" t="s">
        <v>136</v>
      </c>
      <c r="Q9472" t="s">
        <v>253</v>
      </c>
    </row>
    <row r="9473" spans="1:17" x14ac:dyDescent="0.3">
      <c r="A9473" t="s">
        <v>49</v>
      </c>
      <c r="B9473" t="s">
        <v>1592</v>
      </c>
      <c r="C9473">
        <v>8700</v>
      </c>
      <c r="D9473" t="s">
        <v>292</v>
      </c>
      <c r="E9473" t="s">
        <v>293</v>
      </c>
      <c r="F9473" t="s">
        <v>319</v>
      </c>
      <c r="G9473" t="s">
        <v>124</v>
      </c>
      <c r="H9473" t="s">
        <v>141</v>
      </c>
      <c r="I9473" t="s">
        <v>104</v>
      </c>
      <c r="J9473" t="s">
        <v>207</v>
      </c>
      <c r="K9473" t="s">
        <v>104</v>
      </c>
      <c r="L9473" t="s">
        <v>104</v>
      </c>
      <c r="M9473" t="s">
        <v>198</v>
      </c>
      <c r="N9473" t="s">
        <v>104</v>
      </c>
      <c r="O9473" t="s">
        <v>253</v>
      </c>
      <c r="P9473" t="s">
        <v>104</v>
      </c>
      <c r="Q9473" t="s">
        <v>207</v>
      </c>
    </row>
    <row r="9474" spans="1:17" x14ac:dyDescent="0.3">
      <c r="A9474" t="s">
        <v>49</v>
      </c>
      <c r="B9474" t="s">
        <v>365</v>
      </c>
      <c r="C9474">
        <v>263</v>
      </c>
      <c r="D9474" t="s">
        <v>132</v>
      </c>
      <c r="E9474" t="s">
        <v>1079</v>
      </c>
      <c r="F9474" t="s">
        <v>207</v>
      </c>
      <c r="G9474" t="s">
        <v>691</v>
      </c>
      <c r="H9474" t="s">
        <v>253</v>
      </c>
      <c r="I9474" t="s">
        <v>99</v>
      </c>
      <c r="J9474" t="s">
        <v>121</v>
      </c>
      <c r="K9474" t="s">
        <v>198</v>
      </c>
      <c r="L9474" t="s">
        <v>198</v>
      </c>
      <c r="M9474" t="s">
        <v>99</v>
      </c>
      <c r="N9474" t="s">
        <v>115</v>
      </c>
      <c r="O9474" t="s">
        <v>126</v>
      </c>
      <c r="P9474" t="s">
        <v>108</v>
      </c>
      <c r="Q9474" t="s">
        <v>108</v>
      </c>
    </row>
    <row r="9476" spans="1:17" x14ac:dyDescent="0.3">
      <c r="A9476" t="s">
        <v>2409</v>
      </c>
    </row>
    <row r="9477" spans="1:17" x14ac:dyDescent="0.3">
      <c r="A9477" t="s">
        <v>44</v>
      </c>
      <c r="B9477" t="s">
        <v>32</v>
      </c>
      <c r="C9477" t="s">
        <v>352</v>
      </c>
      <c r="D9477" t="s">
        <v>66</v>
      </c>
      <c r="E9477" t="s">
        <v>67</v>
      </c>
      <c r="F9477" t="s">
        <v>193</v>
      </c>
    </row>
    <row r="9478" spans="1:17" x14ac:dyDescent="0.3">
      <c r="A9478" t="s">
        <v>35</v>
      </c>
      <c r="B9478">
        <v>3145</v>
      </c>
      <c r="C9478" t="s">
        <v>99</v>
      </c>
      <c r="D9478" t="s">
        <v>1026</v>
      </c>
      <c r="E9478" t="s">
        <v>215</v>
      </c>
      <c r="F9478" t="s">
        <v>104</v>
      </c>
    </row>
    <row r="9479" spans="1:17" x14ac:dyDescent="0.3">
      <c r="A9479" t="s">
        <v>37</v>
      </c>
      <c r="B9479">
        <v>3806</v>
      </c>
      <c r="C9479" t="s">
        <v>99</v>
      </c>
      <c r="D9479" t="s">
        <v>476</v>
      </c>
      <c r="E9479" t="s">
        <v>268</v>
      </c>
      <c r="F9479" t="s">
        <v>99</v>
      </c>
    </row>
    <row r="9480" spans="1:17" x14ac:dyDescent="0.3">
      <c r="A9480" t="s">
        <v>36</v>
      </c>
      <c r="B9480">
        <v>2227</v>
      </c>
      <c r="C9480" t="s">
        <v>99</v>
      </c>
      <c r="D9480" t="s">
        <v>986</v>
      </c>
      <c r="E9480" t="s">
        <v>151</v>
      </c>
      <c r="F9480" t="s">
        <v>99</v>
      </c>
    </row>
    <row r="9481" spans="1:17" x14ac:dyDescent="0.3">
      <c r="A9481" t="s">
        <v>34</v>
      </c>
      <c r="B9481">
        <v>2080</v>
      </c>
      <c r="C9481" t="s">
        <v>99</v>
      </c>
      <c r="D9481" t="s">
        <v>776</v>
      </c>
      <c r="E9481" t="s">
        <v>138</v>
      </c>
      <c r="F9481" t="s">
        <v>104</v>
      </c>
    </row>
    <row r="9482" spans="1:17" x14ac:dyDescent="0.3">
      <c r="A9482" t="s">
        <v>33</v>
      </c>
      <c r="B9482">
        <v>1937</v>
      </c>
      <c r="C9482" t="s">
        <v>99</v>
      </c>
      <c r="D9482" t="s">
        <v>986</v>
      </c>
      <c r="E9482" t="s">
        <v>292</v>
      </c>
      <c r="F9482" t="s">
        <v>99</v>
      </c>
    </row>
    <row r="9483" spans="1:17" x14ac:dyDescent="0.3">
      <c r="A9483" t="s">
        <v>49</v>
      </c>
      <c r="B9483">
        <v>13195</v>
      </c>
      <c r="C9483" t="s">
        <v>99</v>
      </c>
      <c r="D9483" t="s">
        <v>386</v>
      </c>
      <c r="E9483" t="s">
        <v>268</v>
      </c>
      <c r="F9483" t="s">
        <v>99</v>
      </c>
    </row>
    <row r="9485" spans="1:17" x14ac:dyDescent="0.3">
      <c r="A9485" t="s">
        <v>2410</v>
      </c>
    </row>
    <row r="9486" spans="1:17" x14ac:dyDescent="0.3">
      <c r="A9486" t="s">
        <v>44</v>
      </c>
      <c r="B9486" t="s">
        <v>361</v>
      </c>
      <c r="C9486" t="s">
        <v>32</v>
      </c>
      <c r="D9486" t="s">
        <v>66</v>
      </c>
      <c r="E9486" t="s">
        <v>67</v>
      </c>
      <c r="F9486" t="s">
        <v>352</v>
      </c>
      <c r="G9486" t="s">
        <v>193</v>
      </c>
    </row>
    <row r="9487" spans="1:17" x14ac:dyDescent="0.3">
      <c r="A9487" t="s">
        <v>35</v>
      </c>
      <c r="B9487" t="s">
        <v>339</v>
      </c>
      <c r="C9487">
        <v>890</v>
      </c>
      <c r="D9487" t="s">
        <v>225</v>
      </c>
      <c r="E9487" t="s">
        <v>114</v>
      </c>
      <c r="F9487" t="s">
        <v>99</v>
      </c>
      <c r="G9487" t="s">
        <v>99</v>
      </c>
    </row>
    <row r="9488" spans="1:17" x14ac:dyDescent="0.3">
      <c r="A9488" t="s">
        <v>35</v>
      </c>
      <c r="B9488" t="s">
        <v>340</v>
      </c>
      <c r="C9488">
        <v>2215</v>
      </c>
      <c r="D9488" t="s">
        <v>438</v>
      </c>
      <c r="E9488" t="s">
        <v>127</v>
      </c>
      <c r="F9488" t="s">
        <v>99</v>
      </c>
      <c r="G9488" t="s">
        <v>104</v>
      </c>
    </row>
    <row r="9489" spans="1:7" x14ac:dyDescent="0.3">
      <c r="A9489" t="s">
        <v>35</v>
      </c>
      <c r="B9489" t="s">
        <v>365</v>
      </c>
      <c r="C9489">
        <v>40</v>
      </c>
      <c r="D9489" t="s">
        <v>784</v>
      </c>
      <c r="E9489" t="s">
        <v>542</v>
      </c>
      <c r="F9489" t="s">
        <v>99</v>
      </c>
      <c r="G9489" t="s">
        <v>99</v>
      </c>
    </row>
    <row r="9490" spans="1:7" x14ac:dyDescent="0.3">
      <c r="A9490" t="s">
        <v>37</v>
      </c>
      <c r="B9490" t="s">
        <v>339</v>
      </c>
      <c r="C9490">
        <v>1080</v>
      </c>
      <c r="D9490" t="s">
        <v>780</v>
      </c>
      <c r="E9490" t="s">
        <v>316</v>
      </c>
      <c r="F9490" t="s">
        <v>99</v>
      </c>
      <c r="G9490" t="s">
        <v>104</v>
      </c>
    </row>
    <row r="9491" spans="1:7" x14ac:dyDescent="0.3">
      <c r="A9491" t="s">
        <v>37</v>
      </c>
      <c r="B9491" t="s">
        <v>340</v>
      </c>
      <c r="C9491">
        <v>2685</v>
      </c>
      <c r="D9491" t="s">
        <v>386</v>
      </c>
      <c r="E9491" t="s">
        <v>111</v>
      </c>
      <c r="F9491" t="s">
        <v>99</v>
      </c>
      <c r="G9491" t="s">
        <v>99</v>
      </c>
    </row>
    <row r="9492" spans="1:7" x14ac:dyDescent="0.3">
      <c r="A9492" t="s">
        <v>37</v>
      </c>
      <c r="B9492" t="s">
        <v>365</v>
      </c>
      <c r="C9492">
        <v>41</v>
      </c>
      <c r="D9492" t="s">
        <v>398</v>
      </c>
      <c r="E9492" t="s">
        <v>147</v>
      </c>
      <c r="F9492" t="s">
        <v>99</v>
      </c>
      <c r="G9492" t="s">
        <v>99</v>
      </c>
    </row>
    <row r="9493" spans="1:7" x14ac:dyDescent="0.3">
      <c r="A9493" t="s">
        <v>36</v>
      </c>
      <c r="B9493" t="s">
        <v>339</v>
      </c>
      <c r="C9493">
        <v>752</v>
      </c>
      <c r="D9493" t="s">
        <v>766</v>
      </c>
      <c r="E9493" t="s">
        <v>151</v>
      </c>
      <c r="F9493" t="s">
        <v>99</v>
      </c>
      <c r="G9493" t="s">
        <v>99</v>
      </c>
    </row>
    <row r="9494" spans="1:7" x14ac:dyDescent="0.3">
      <c r="A9494" t="s">
        <v>36</v>
      </c>
      <c r="B9494" t="s">
        <v>340</v>
      </c>
      <c r="C9494">
        <v>1414</v>
      </c>
      <c r="D9494" t="s">
        <v>202</v>
      </c>
      <c r="E9494" t="s">
        <v>292</v>
      </c>
      <c r="F9494" t="s">
        <v>99</v>
      </c>
      <c r="G9494" t="s">
        <v>99</v>
      </c>
    </row>
    <row r="9495" spans="1:7" x14ac:dyDescent="0.3">
      <c r="A9495" t="s">
        <v>36</v>
      </c>
      <c r="B9495" t="s">
        <v>365</v>
      </c>
      <c r="C9495">
        <v>61</v>
      </c>
      <c r="D9495" t="s">
        <v>211</v>
      </c>
      <c r="E9495" t="s">
        <v>99</v>
      </c>
      <c r="F9495" t="s">
        <v>99</v>
      </c>
      <c r="G9495" t="s">
        <v>99</v>
      </c>
    </row>
    <row r="9496" spans="1:7" x14ac:dyDescent="0.3">
      <c r="A9496" t="s">
        <v>34</v>
      </c>
      <c r="B9496" t="s">
        <v>339</v>
      </c>
      <c r="C9496">
        <v>555</v>
      </c>
      <c r="D9496" t="s">
        <v>404</v>
      </c>
      <c r="E9496" t="s">
        <v>147</v>
      </c>
      <c r="F9496" t="s">
        <v>99</v>
      </c>
      <c r="G9496" t="s">
        <v>104</v>
      </c>
    </row>
    <row r="9497" spans="1:7" x14ac:dyDescent="0.3">
      <c r="A9497" t="s">
        <v>34</v>
      </c>
      <c r="B9497" t="s">
        <v>340</v>
      </c>
      <c r="C9497">
        <v>1497</v>
      </c>
      <c r="D9497" t="s">
        <v>776</v>
      </c>
      <c r="E9497" t="s">
        <v>155</v>
      </c>
      <c r="F9497" t="s">
        <v>99</v>
      </c>
      <c r="G9497" t="s">
        <v>99</v>
      </c>
    </row>
    <row r="9498" spans="1:7" x14ac:dyDescent="0.3">
      <c r="A9498" t="s">
        <v>34</v>
      </c>
      <c r="B9498" t="s">
        <v>365</v>
      </c>
      <c r="C9498">
        <v>28</v>
      </c>
      <c r="D9498" t="s">
        <v>226</v>
      </c>
      <c r="E9498" t="s">
        <v>150</v>
      </c>
      <c r="F9498" t="s">
        <v>99</v>
      </c>
      <c r="G9498" t="s">
        <v>99</v>
      </c>
    </row>
    <row r="9499" spans="1:7" x14ac:dyDescent="0.3">
      <c r="A9499" t="s">
        <v>33</v>
      </c>
      <c r="B9499" t="s">
        <v>339</v>
      </c>
      <c r="C9499">
        <v>503</v>
      </c>
      <c r="D9499" t="s">
        <v>1022</v>
      </c>
      <c r="E9499" t="s">
        <v>108</v>
      </c>
      <c r="F9499" t="s">
        <v>99</v>
      </c>
      <c r="G9499" t="s">
        <v>99</v>
      </c>
    </row>
    <row r="9500" spans="1:7" x14ac:dyDescent="0.3">
      <c r="A9500" t="s">
        <v>33</v>
      </c>
      <c r="B9500" t="s">
        <v>340</v>
      </c>
      <c r="C9500">
        <v>1415</v>
      </c>
      <c r="D9500" t="s">
        <v>249</v>
      </c>
      <c r="E9500" t="s">
        <v>316</v>
      </c>
      <c r="F9500" t="s">
        <v>104</v>
      </c>
      <c r="G9500" t="s">
        <v>99</v>
      </c>
    </row>
    <row r="9501" spans="1:7" x14ac:dyDescent="0.3">
      <c r="A9501" t="s">
        <v>33</v>
      </c>
      <c r="B9501" t="s">
        <v>365</v>
      </c>
      <c r="C9501">
        <v>19</v>
      </c>
      <c r="D9501" t="s">
        <v>211</v>
      </c>
      <c r="E9501" t="s">
        <v>99</v>
      </c>
      <c r="F9501" t="s">
        <v>99</v>
      </c>
      <c r="G9501" t="s">
        <v>99</v>
      </c>
    </row>
    <row r="9502" spans="1:7" x14ac:dyDescent="0.3">
      <c r="A9502" t="s">
        <v>49</v>
      </c>
      <c r="B9502" t="s">
        <v>339</v>
      </c>
      <c r="C9502">
        <v>3780</v>
      </c>
      <c r="D9502" t="s">
        <v>766</v>
      </c>
      <c r="E9502" t="s">
        <v>123</v>
      </c>
      <c r="F9502" t="s">
        <v>99</v>
      </c>
      <c r="G9502" t="s">
        <v>104</v>
      </c>
    </row>
    <row r="9503" spans="1:7" x14ac:dyDescent="0.3">
      <c r="A9503" t="s">
        <v>49</v>
      </c>
      <c r="B9503" t="s">
        <v>340</v>
      </c>
      <c r="C9503">
        <v>9226</v>
      </c>
      <c r="D9503" t="s">
        <v>476</v>
      </c>
      <c r="E9503" t="s">
        <v>117</v>
      </c>
      <c r="F9503" t="s">
        <v>99</v>
      </c>
      <c r="G9503" t="s">
        <v>99</v>
      </c>
    </row>
    <row r="9504" spans="1:7" x14ac:dyDescent="0.3">
      <c r="A9504" t="s">
        <v>49</v>
      </c>
      <c r="B9504" t="s">
        <v>365</v>
      </c>
      <c r="C9504">
        <v>189</v>
      </c>
      <c r="D9504" t="s">
        <v>391</v>
      </c>
      <c r="E9504" t="s">
        <v>675</v>
      </c>
      <c r="F9504" t="s">
        <v>99</v>
      </c>
      <c r="G9504" t="s">
        <v>99</v>
      </c>
    </row>
    <row r="9506" spans="1:7" x14ac:dyDescent="0.3">
      <c r="A9506" t="s">
        <v>2411</v>
      </c>
    </row>
    <row r="9507" spans="1:7" x14ac:dyDescent="0.3">
      <c r="A9507" t="s">
        <v>44</v>
      </c>
      <c r="B9507" t="s">
        <v>209</v>
      </c>
      <c r="C9507" t="s">
        <v>32</v>
      </c>
      <c r="D9507" t="s">
        <v>66</v>
      </c>
      <c r="E9507" t="s">
        <v>67</v>
      </c>
      <c r="F9507" t="s">
        <v>352</v>
      </c>
      <c r="G9507" t="s">
        <v>193</v>
      </c>
    </row>
    <row r="9508" spans="1:7" x14ac:dyDescent="0.3">
      <c r="A9508" t="s">
        <v>35</v>
      </c>
      <c r="B9508" t="s">
        <v>210</v>
      </c>
      <c r="C9508">
        <v>136</v>
      </c>
      <c r="D9508" t="s">
        <v>383</v>
      </c>
      <c r="E9508" t="s">
        <v>215</v>
      </c>
      <c r="F9508" t="s">
        <v>99</v>
      </c>
      <c r="G9508" t="s">
        <v>99</v>
      </c>
    </row>
    <row r="9509" spans="1:7" x14ac:dyDescent="0.3">
      <c r="A9509" t="s">
        <v>35</v>
      </c>
      <c r="B9509" t="s">
        <v>212</v>
      </c>
      <c r="C9509">
        <v>2442</v>
      </c>
      <c r="D9509" t="s">
        <v>982</v>
      </c>
      <c r="E9509" t="s">
        <v>100</v>
      </c>
      <c r="F9509" t="s">
        <v>99</v>
      </c>
      <c r="G9509" t="s">
        <v>104</v>
      </c>
    </row>
    <row r="9510" spans="1:7" x14ac:dyDescent="0.3">
      <c r="A9510" t="s">
        <v>35</v>
      </c>
      <c r="B9510" t="s">
        <v>216</v>
      </c>
      <c r="C9510">
        <v>567</v>
      </c>
      <c r="D9510" t="s">
        <v>265</v>
      </c>
      <c r="E9510" t="s">
        <v>155</v>
      </c>
      <c r="F9510" t="s">
        <v>99</v>
      </c>
      <c r="G9510" t="s">
        <v>104</v>
      </c>
    </row>
    <row r="9511" spans="1:7" x14ac:dyDescent="0.3">
      <c r="A9511" t="s">
        <v>37</v>
      </c>
      <c r="B9511" t="s">
        <v>210</v>
      </c>
      <c r="C9511">
        <v>138</v>
      </c>
      <c r="D9511" t="s">
        <v>237</v>
      </c>
      <c r="E9511" t="s">
        <v>130</v>
      </c>
      <c r="F9511" t="s">
        <v>99</v>
      </c>
      <c r="G9511" t="s">
        <v>99</v>
      </c>
    </row>
    <row r="9512" spans="1:7" x14ac:dyDescent="0.3">
      <c r="A9512" t="s">
        <v>37</v>
      </c>
      <c r="B9512" t="s">
        <v>212</v>
      </c>
      <c r="C9512">
        <v>3557</v>
      </c>
      <c r="D9512" t="s">
        <v>386</v>
      </c>
      <c r="E9512" t="s">
        <v>111</v>
      </c>
      <c r="F9512" t="s">
        <v>99</v>
      </c>
      <c r="G9512" t="s">
        <v>99</v>
      </c>
    </row>
    <row r="9513" spans="1:7" x14ac:dyDescent="0.3">
      <c r="A9513" t="s">
        <v>37</v>
      </c>
      <c r="B9513" t="s">
        <v>216</v>
      </c>
      <c r="C9513">
        <v>111</v>
      </c>
      <c r="D9513" t="s">
        <v>998</v>
      </c>
      <c r="E9513" t="s">
        <v>107</v>
      </c>
      <c r="F9513" t="s">
        <v>99</v>
      </c>
      <c r="G9513" t="s">
        <v>99</v>
      </c>
    </row>
    <row r="9514" spans="1:7" x14ac:dyDescent="0.3">
      <c r="A9514" t="s">
        <v>36</v>
      </c>
      <c r="B9514" t="s">
        <v>210</v>
      </c>
      <c r="C9514">
        <v>164</v>
      </c>
      <c r="D9514" t="s">
        <v>993</v>
      </c>
      <c r="E9514" t="s">
        <v>382</v>
      </c>
      <c r="F9514" t="s">
        <v>99</v>
      </c>
      <c r="G9514" t="s">
        <v>99</v>
      </c>
    </row>
    <row r="9515" spans="1:7" x14ac:dyDescent="0.3">
      <c r="A9515" t="s">
        <v>36</v>
      </c>
      <c r="B9515" t="s">
        <v>212</v>
      </c>
      <c r="C9515">
        <v>1798</v>
      </c>
      <c r="D9515" t="s">
        <v>202</v>
      </c>
      <c r="E9515" t="s">
        <v>292</v>
      </c>
      <c r="F9515" t="s">
        <v>99</v>
      </c>
      <c r="G9515" t="s">
        <v>99</v>
      </c>
    </row>
    <row r="9516" spans="1:7" x14ac:dyDescent="0.3">
      <c r="A9516" t="s">
        <v>36</v>
      </c>
      <c r="B9516" t="s">
        <v>216</v>
      </c>
      <c r="C9516">
        <v>265</v>
      </c>
      <c r="D9516" t="s">
        <v>438</v>
      </c>
      <c r="E9516" t="s">
        <v>123</v>
      </c>
      <c r="F9516" t="s">
        <v>99</v>
      </c>
      <c r="G9516" t="s">
        <v>99</v>
      </c>
    </row>
    <row r="9517" spans="1:7" x14ac:dyDescent="0.3">
      <c r="A9517" t="s">
        <v>34</v>
      </c>
      <c r="B9517" t="s">
        <v>210</v>
      </c>
      <c r="C9517">
        <v>256</v>
      </c>
      <c r="D9517" t="s">
        <v>398</v>
      </c>
      <c r="E9517" t="s">
        <v>147</v>
      </c>
      <c r="F9517" t="s">
        <v>99</v>
      </c>
      <c r="G9517" t="s">
        <v>99</v>
      </c>
    </row>
    <row r="9518" spans="1:7" x14ac:dyDescent="0.3">
      <c r="A9518" t="s">
        <v>34</v>
      </c>
      <c r="B9518" t="s">
        <v>212</v>
      </c>
      <c r="C9518">
        <v>1582</v>
      </c>
      <c r="D9518" t="s">
        <v>998</v>
      </c>
      <c r="E9518" t="s">
        <v>107</v>
      </c>
      <c r="F9518" t="s">
        <v>99</v>
      </c>
      <c r="G9518" t="s">
        <v>99</v>
      </c>
    </row>
    <row r="9519" spans="1:7" x14ac:dyDescent="0.3">
      <c r="A9519" t="s">
        <v>34</v>
      </c>
      <c r="B9519" t="s">
        <v>216</v>
      </c>
      <c r="C9519">
        <v>242</v>
      </c>
      <c r="D9519" t="s">
        <v>358</v>
      </c>
      <c r="E9519" t="s">
        <v>98</v>
      </c>
      <c r="F9519" t="s">
        <v>99</v>
      </c>
      <c r="G9519" t="s">
        <v>207</v>
      </c>
    </row>
    <row r="9520" spans="1:7" x14ac:dyDescent="0.3">
      <c r="A9520" t="s">
        <v>33</v>
      </c>
      <c r="B9520" t="s">
        <v>210</v>
      </c>
      <c r="C9520">
        <v>68</v>
      </c>
      <c r="D9520" t="s">
        <v>333</v>
      </c>
      <c r="E9520" t="s">
        <v>134</v>
      </c>
      <c r="F9520" t="s">
        <v>99</v>
      </c>
      <c r="G9520" t="s">
        <v>99</v>
      </c>
    </row>
    <row r="9521" spans="1:7" x14ac:dyDescent="0.3">
      <c r="A9521" t="s">
        <v>33</v>
      </c>
      <c r="B9521" t="s">
        <v>212</v>
      </c>
      <c r="C9521">
        <v>1800</v>
      </c>
      <c r="D9521" t="s">
        <v>202</v>
      </c>
      <c r="E9521" t="s">
        <v>292</v>
      </c>
      <c r="F9521" t="s">
        <v>99</v>
      </c>
      <c r="G9521" t="s">
        <v>99</v>
      </c>
    </row>
    <row r="9522" spans="1:7" x14ac:dyDescent="0.3">
      <c r="A9522" t="s">
        <v>33</v>
      </c>
      <c r="B9522" t="s">
        <v>216</v>
      </c>
      <c r="C9522">
        <v>69</v>
      </c>
      <c r="D9522" t="s">
        <v>211</v>
      </c>
      <c r="E9522" t="s">
        <v>99</v>
      </c>
      <c r="F9522" t="s">
        <v>99</v>
      </c>
      <c r="G9522" t="s">
        <v>99</v>
      </c>
    </row>
    <row r="9523" spans="1:7" x14ac:dyDescent="0.3">
      <c r="A9523" t="s">
        <v>49</v>
      </c>
      <c r="B9523" t="s">
        <v>210</v>
      </c>
      <c r="C9523">
        <v>762</v>
      </c>
      <c r="D9523" t="s">
        <v>780</v>
      </c>
      <c r="E9523" t="s">
        <v>128</v>
      </c>
      <c r="F9523" t="s">
        <v>99</v>
      </c>
      <c r="G9523" t="s">
        <v>99</v>
      </c>
    </row>
    <row r="9524" spans="1:7" x14ac:dyDescent="0.3">
      <c r="A9524" t="s">
        <v>49</v>
      </c>
      <c r="B9524" t="s">
        <v>212</v>
      </c>
      <c r="C9524">
        <v>11179</v>
      </c>
      <c r="D9524" t="s">
        <v>986</v>
      </c>
      <c r="E9524" t="s">
        <v>151</v>
      </c>
      <c r="F9524" t="s">
        <v>99</v>
      </c>
      <c r="G9524" t="s">
        <v>99</v>
      </c>
    </row>
    <row r="9525" spans="1:7" x14ac:dyDescent="0.3">
      <c r="A9525" t="s">
        <v>49</v>
      </c>
      <c r="B9525" t="s">
        <v>216</v>
      </c>
      <c r="C9525">
        <v>1254</v>
      </c>
      <c r="D9525" t="s">
        <v>759</v>
      </c>
      <c r="E9525" t="s">
        <v>332</v>
      </c>
      <c r="F9525" t="s">
        <v>99</v>
      </c>
      <c r="G9525" t="s">
        <v>104</v>
      </c>
    </row>
    <row r="9527" spans="1:7" x14ac:dyDescent="0.3">
      <c r="A9527" t="s">
        <v>2412</v>
      </c>
    </row>
    <row r="9528" spans="1:7" x14ac:dyDescent="0.3">
      <c r="A9528" t="s">
        <v>44</v>
      </c>
      <c r="B9528" t="s">
        <v>388</v>
      </c>
      <c r="C9528" t="s">
        <v>32</v>
      </c>
      <c r="D9528" t="s">
        <v>66</v>
      </c>
      <c r="E9528" t="s">
        <v>67</v>
      </c>
      <c r="F9528" t="s">
        <v>352</v>
      </c>
      <c r="G9528" t="s">
        <v>193</v>
      </c>
    </row>
    <row r="9529" spans="1:7" x14ac:dyDescent="0.3">
      <c r="A9529" t="s">
        <v>35</v>
      </c>
      <c r="B9529" t="s">
        <v>389</v>
      </c>
      <c r="C9529">
        <v>2141</v>
      </c>
      <c r="D9529" t="s">
        <v>982</v>
      </c>
      <c r="E9529" t="s">
        <v>100</v>
      </c>
      <c r="F9529" t="s">
        <v>99</v>
      </c>
      <c r="G9529" t="s">
        <v>99</v>
      </c>
    </row>
    <row r="9530" spans="1:7" x14ac:dyDescent="0.3">
      <c r="A9530" t="s">
        <v>35</v>
      </c>
      <c r="B9530" t="s">
        <v>390</v>
      </c>
      <c r="C9530">
        <v>875</v>
      </c>
      <c r="D9530" t="s">
        <v>779</v>
      </c>
      <c r="E9530" t="s">
        <v>134</v>
      </c>
      <c r="F9530" t="s">
        <v>99</v>
      </c>
      <c r="G9530" t="s">
        <v>198</v>
      </c>
    </row>
    <row r="9531" spans="1:7" x14ac:dyDescent="0.3">
      <c r="A9531" t="s">
        <v>35</v>
      </c>
      <c r="B9531" t="s">
        <v>365</v>
      </c>
      <c r="C9531">
        <v>129</v>
      </c>
      <c r="D9531" t="s">
        <v>999</v>
      </c>
      <c r="E9531" t="s">
        <v>101</v>
      </c>
      <c r="F9531" t="s">
        <v>99</v>
      </c>
      <c r="G9531" t="s">
        <v>99</v>
      </c>
    </row>
    <row r="9532" spans="1:7" x14ac:dyDescent="0.3">
      <c r="A9532" t="s">
        <v>37</v>
      </c>
      <c r="B9532" t="s">
        <v>389</v>
      </c>
      <c r="C9532">
        <v>2288</v>
      </c>
      <c r="D9532" t="s">
        <v>438</v>
      </c>
      <c r="E9532" t="s">
        <v>123</v>
      </c>
      <c r="F9532" t="s">
        <v>99</v>
      </c>
      <c r="G9532" t="s">
        <v>99</v>
      </c>
    </row>
    <row r="9533" spans="1:7" x14ac:dyDescent="0.3">
      <c r="A9533" t="s">
        <v>37</v>
      </c>
      <c r="B9533" t="s">
        <v>390</v>
      </c>
      <c r="C9533">
        <v>1285</v>
      </c>
      <c r="D9533" t="s">
        <v>776</v>
      </c>
      <c r="E9533" t="s">
        <v>155</v>
      </c>
      <c r="F9533" t="s">
        <v>99</v>
      </c>
      <c r="G9533" t="s">
        <v>99</v>
      </c>
    </row>
    <row r="9534" spans="1:7" x14ac:dyDescent="0.3">
      <c r="A9534" t="s">
        <v>37</v>
      </c>
      <c r="B9534" t="s">
        <v>365</v>
      </c>
      <c r="C9534">
        <v>233</v>
      </c>
      <c r="D9534" t="s">
        <v>225</v>
      </c>
      <c r="E9534" t="s">
        <v>114</v>
      </c>
      <c r="F9534" t="s">
        <v>99</v>
      </c>
      <c r="G9534" t="s">
        <v>99</v>
      </c>
    </row>
    <row r="9535" spans="1:7" x14ac:dyDescent="0.3">
      <c r="A9535" t="s">
        <v>36</v>
      </c>
      <c r="B9535" t="s">
        <v>389</v>
      </c>
      <c r="C9535">
        <v>1515</v>
      </c>
      <c r="D9535" t="s">
        <v>1022</v>
      </c>
      <c r="E9535" t="s">
        <v>108</v>
      </c>
      <c r="F9535" t="s">
        <v>99</v>
      </c>
      <c r="G9535" t="s">
        <v>99</v>
      </c>
    </row>
    <row r="9536" spans="1:7" x14ac:dyDescent="0.3">
      <c r="A9536" t="s">
        <v>36</v>
      </c>
      <c r="B9536" t="s">
        <v>390</v>
      </c>
      <c r="C9536">
        <v>614</v>
      </c>
      <c r="D9536" t="s">
        <v>1438</v>
      </c>
      <c r="E9536" t="s">
        <v>684</v>
      </c>
      <c r="F9536" t="s">
        <v>99</v>
      </c>
      <c r="G9536" t="s">
        <v>99</v>
      </c>
    </row>
    <row r="9537" spans="1:7" x14ac:dyDescent="0.3">
      <c r="A9537" t="s">
        <v>36</v>
      </c>
      <c r="B9537" t="s">
        <v>365</v>
      </c>
      <c r="C9537">
        <v>98</v>
      </c>
      <c r="D9537" t="s">
        <v>996</v>
      </c>
      <c r="E9537" t="s">
        <v>115</v>
      </c>
      <c r="F9537" t="s">
        <v>99</v>
      </c>
      <c r="G9537" t="s">
        <v>99</v>
      </c>
    </row>
    <row r="9538" spans="1:7" x14ac:dyDescent="0.3">
      <c r="A9538" t="s">
        <v>34</v>
      </c>
      <c r="B9538" t="s">
        <v>389</v>
      </c>
      <c r="C9538">
        <v>1385</v>
      </c>
      <c r="D9538" t="s">
        <v>999</v>
      </c>
      <c r="E9538" t="s">
        <v>101</v>
      </c>
      <c r="F9538" t="s">
        <v>99</v>
      </c>
      <c r="G9538" t="s">
        <v>99</v>
      </c>
    </row>
    <row r="9539" spans="1:7" x14ac:dyDescent="0.3">
      <c r="A9539" t="s">
        <v>34</v>
      </c>
      <c r="B9539" t="s">
        <v>390</v>
      </c>
      <c r="C9539">
        <v>615</v>
      </c>
      <c r="D9539" t="s">
        <v>323</v>
      </c>
      <c r="E9539" t="s">
        <v>299</v>
      </c>
      <c r="F9539" t="s">
        <v>99</v>
      </c>
      <c r="G9539" t="s">
        <v>198</v>
      </c>
    </row>
    <row r="9540" spans="1:7" x14ac:dyDescent="0.3">
      <c r="A9540" t="s">
        <v>34</v>
      </c>
      <c r="B9540" t="s">
        <v>365</v>
      </c>
      <c r="C9540">
        <v>80</v>
      </c>
      <c r="D9540" t="s">
        <v>398</v>
      </c>
      <c r="E9540" t="s">
        <v>147</v>
      </c>
      <c r="F9540" t="s">
        <v>99</v>
      </c>
      <c r="G9540" t="s">
        <v>99</v>
      </c>
    </row>
    <row r="9541" spans="1:7" x14ac:dyDescent="0.3">
      <c r="A9541" t="s">
        <v>33</v>
      </c>
      <c r="B9541" t="s">
        <v>389</v>
      </c>
      <c r="C9541">
        <v>1090</v>
      </c>
      <c r="D9541" t="s">
        <v>225</v>
      </c>
      <c r="E9541" t="s">
        <v>114</v>
      </c>
      <c r="F9541" t="s">
        <v>99</v>
      </c>
      <c r="G9541" t="s">
        <v>99</v>
      </c>
    </row>
    <row r="9542" spans="1:7" x14ac:dyDescent="0.3">
      <c r="A9542" t="s">
        <v>33</v>
      </c>
      <c r="B9542" t="s">
        <v>390</v>
      </c>
      <c r="C9542">
        <v>708</v>
      </c>
      <c r="D9542" t="s">
        <v>782</v>
      </c>
      <c r="E9542" t="s">
        <v>110</v>
      </c>
      <c r="F9542" t="s">
        <v>104</v>
      </c>
      <c r="G9542" t="s">
        <v>99</v>
      </c>
    </row>
    <row r="9543" spans="1:7" x14ac:dyDescent="0.3">
      <c r="A9543" t="s">
        <v>33</v>
      </c>
      <c r="B9543" t="s">
        <v>365</v>
      </c>
      <c r="C9543">
        <v>139</v>
      </c>
      <c r="D9543" t="s">
        <v>383</v>
      </c>
      <c r="E9543" t="s">
        <v>215</v>
      </c>
      <c r="F9543" t="s">
        <v>99</v>
      </c>
      <c r="G9543" t="s">
        <v>99</v>
      </c>
    </row>
    <row r="9544" spans="1:7" x14ac:dyDescent="0.3">
      <c r="A9544" t="s">
        <v>49</v>
      </c>
      <c r="B9544" t="s">
        <v>389</v>
      </c>
      <c r="C9544">
        <v>8419</v>
      </c>
      <c r="D9544" t="s">
        <v>999</v>
      </c>
      <c r="E9544" t="s">
        <v>101</v>
      </c>
      <c r="F9544" t="s">
        <v>99</v>
      </c>
      <c r="G9544" t="s">
        <v>99</v>
      </c>
    </row>
    <row r="9545" spans="1:7" x14ac:dyDescent="0.3">
      <c r="A9545" t="s">
        <v>49</v>
      </c>
      <c r="B9545" t="s">
        <v>390</v>
      </c>
      <c r="C9545">
        <v>4097</v>
      </c>
      <c r="D9545" t="s">
        <v>367</v>
      </c>
      <c r="E9545" t="s">
        <v>112</v>
      </c>
      <c r="F9545" t="s">
        <v>99</v>
      </c>
      <c r="G9545" t="s">
        <v>104</v>
      </c>
    </row>
    <row r="9546" spans="1:7" x14ac:dyDescent="0.3">
      <c r="A9546" t="s">
        <v>49</v>
      </c>
      <c r="B9546" t="s">
        <v>365</v>
      </c>
      <c r="C9546">
        <v>679</v>
      </c>
      <c r="D9546" t="s">
        <v>229</v>
      </c>
      <c r="E9546" t="s">
        <v>126</v>
      </c>
      <c r="F9546" t="s">
        <v>99</v>
      </c>
      <c r="G9546" t="s">
        <v>99</v>
      </c>
    </row>
    <row r="9548" spans="1:7" x14ac:dyDescent="0.3">
      <c r="A9548" t="s">
        <v>2413</v>
      </c>
    </row>
    <row r="9549" spans="1:7" x14ac:dyDescent="0.3">
      <c r="A9549" t="s">
        <v>44</v>
      </c>
      <c r="B9549" t="s">
        <v>235</v>
      </c>
      <c r="C9549" t="s">
        <v>32</v>
      </c>
      <c r="D9549" t="s">
        <v>66</v>
      </c>
      <c r="E9549" t="s">
        <v>67</v>
      </c>
      <c r="F9549" t="s">
        <v>352</v>
      </c>
      <c r="G9549" t="s">
        <v>193</v>
      </c>
    </row>
    <row r="9550" spans="1:7" x14ac:dyDescent="0.3">
      <c r="A9550" t="s">
        <v>35</v>
      </c>
      <c r="B9550" t="s">
        <v>236</v>
      </c>
      <c r="C9550">
        <v>1610</v>
      </c>
      <c r="D9550" t="s">
        <v>993</v>
      </c>
      <c r="E9550" t="s">
        <v>382</v>
      </c>
      <c r="F9550" t="s">
        <v>99</v>
      </c>
      <c r="G9550" t="s">
        <v>99</v>
      </c>
    </row>
    <row r="9551" spans="1:7" x14ac:dyDescent="0.3">
      <c r="A9551" t="s">
        <v>35</v>
      </c>
      <c r="B9551" t="s">
        <v>238</v>
      </c>
      <c r="C9551">
        <v>1535</v>
      </c>
      <c r="D9551" t="s">
        <v>438</v>
      </c>
      <c r="E9551" t="s">
        <v>127</v>
      </c>
      <c r="F9551" t="s">
        <v>99</v>
      </c>
      <c r="G9551" t="s">
        <v>104</v>
      </c>
    </row>
    <row r="9552" spans="1:7" x14ac:dyDescent="0.3">
      <c r="A9552" t="s">
        <v>37</v>
      </c>
      <c r="B9552" t="s">
        <v>236</v>
      </c>
      <c r="C9552">
        <v>2176</v>
      </c>
      <c r="D9552" t="s">
        <v>229</v>
      </c>
      <c r="E9552" t="s">
        <v>126</v>
      </c>
      <c r="F9552" t="s">
        <v>99</v>
      </c>
      <c r="G9552" t="s">
        <v>99</v>
      </c>
    </row>
    <row r="9553" spans="1:7" x14ac:dyDescent="0.3">
      <c r="A9553" t="s">
        <v>37</v>
      </c>
      <c r="B9553" t="s">
        <v>238</v>
      </c>
      <c r="C9553">
        <v>1630</v>
      </c>
      <c r="D9553" t="s">
        <v>265</v>
      </c>
      <c r="E9553" t="s">
        <v>155</v>
      </c>
      <c r="F9553" t="s">
        <v>99</v>
      </c>
      <c r="G9553" t="s">
        <v>104</v>
      </c>
    </row>
    <row r="9554" spans="1:7" x14ac:dyDescent="0.3">
      <c r="A9554" t="s">
        <v>36</v>
      </c>
      <c r="B9554" t="s">
        <v>236</v>
      </c>
      <c r="C9554">
        <v>1512</v>
      </c>
      <c r="D9554" t="s">
        <v>1026</v>
      </c>
      <c r="E9554" t="s">
        <v>127</v>
      </c>
      <c r="F9554" t="s">
        <v>99</v>
      </c>
      <c r="G9554" t="s">
        <v>104</v>
      </c>
    </row>
    <row r="9555" spans="1:7" x14ac:dyDescent="0.3">
      <c r="A9555" t="s">
        <v>36</v>
      </c>
      <c r="B9555" t="s">
        <v>238</v>
      </c>
      <c r="C9555">
        <v>715</v>
      </c>
      <c r="D9555" t="s">
        <v>386</v>
      </c>
      <c r="E9555" t="s">
        <v>268</v>
      </c>
      <c r="F9555" t="s">
        <v>99</v>
      </c>
      <c r="G9555" t="s">
        <v>99</v>
      </c>
    </row>
    <row r="9556" spans="1:7" x14ac:dyDescent="0.3">
      <c r="A9556" t="s">
        <v>34</v>
      </c>
      <c r="B9556" t="s">
        <v>236</v>
      </c>
      <c r="C9556">
        <v>717</v>
      </c>
      <c r="D9556" t="s">
        <v>249</v>
      </c>
      <c r="E9556" t="s">
        <v>316</v>
      </c>
      <c r="F9556" t="s">
        <v>99</v>
      </c>
      <c r="G9556" t="s">
        <v>99</v>
      </c>
    </row>
    <row r="9557" spans="1:7" x14ac:dyDescent="0.3">
      <c r="A9557" t="s">
        <v>34</v>
      </c>
      <c r="B9557" t="s">
        <v>238</v>
      </c>
      <c r="C9557">
        <v>1363</v>
      </c>
      <c r="D9557" t="s">
        <v>333</v>
      </c>
      <c r="E9557" t="s">
        <v>154</v>
      </c>
      <c r="F9557" t="s">
        <v>99</v>
      </c>
      <c r="G9557" t="s">
        <v>104</v>
      </c>
    </row>
    <row r="9558" spans="1:7" x14ac:dyDescent="0.3">
      <c r="A9558" t="s">
        <v>33</v>
      </c>
      <c r="B9558" t="s">
        <v>236</v>
      </c>
      <c r="C9558">
        <v>1116</v>
      </c>
      <c r="D9558" t="s">
        <v>780</v>
      </c>
      <c r="E9558" t="s">
        <v>128</v>
      </c>
      <c r="F9558" t="s">
        <v>99</v>
      </c>
      <c r="G9558" t="s">
        <v>99</v>
      </c>
    </row>
    <row r="9559" spans="1:7" x14ac:dyDescent="0.3">
      <c r="A9559" t="s">
        <v>33</v>
      </c>
      <c r="B9559" t="s">
        <v>238</v>
      </c>
      <c r="C9559">
        <v>821</v>
      </c>
      <c r="D9559" t="s">
        <v>993</v>
      </c>
      <c r="E9559" t="s">
        <v>126</v>
      </c>
      <c r="F9559" t="s">
        <v>104</v>
      </c>
      <c r="G9559" t="s">
        <v>99</v>
      </c>
    </row>
    <row r="9560" spans="1:7" x14ac:dyDescent="0.3">
      <c r="A9560" t="s">
        <v>49</v>
      </c>
      <c r="B9560" t="s">
        <v>236</v>
      </c>
      <c r="C9560">
        <v>7131</v>
      </c>
      <c r="D9560" t="s">
        <v>438</v>
      </c>
      <c r="E9560" t="s">
        <v>123</v>
      </c>
      <c r="F9560" t="s">
        <v>99</v>
      </c>
      <c r="G9560" t="s">
        <v>99</v>
      </c>
    </row>
    <row r="9561" spans="1:7" x14ac:dyDescent="0.3">
      <c r="A9561" t="s">
        <v>49</v>
      </c>
      <c r="B9561" t="s">
        <v>238</v>
      </c>
      <c r="C9561">
        <v>6064</v>
      </c>
      <c r="D9561" t="s">
        <v>249</v>
      </c>
      <c r="E9561" t="s">
        <v>103</v>
      </c>
      <c r="F9561" t="s">
        <v>99</v>
      </c>
      <c r="G9561" t="s">
        <v>104</v>
      </c>
    </row>
    <row r="9563" spans="1:7" x14ac:dyDescent="0.3">
      <c r="A9563" t="s">
        <v>2414</v>
      </c>
    </row>
    <row r="9564" spans="1:7" x14ac:dyDescent="0.3">
      <c r="A9564" t="s">
        <v>44</v>
      </c>
      <c r="B9564" t="s">
        <v>1720</v>
      </c>
      <c r="C9564" t="s">
        <v>32</v>
      </c>
      <c r="D9564" t="s">
        <v>66</v>
      </c>
      <c r="E9564" t="s">
        <v>67</v>
      </c>
      <c r="F9564" t="s">
        <v>352</v>
      </c>
      <c r="G9564" t="s">
        <v>193</v>
      </c>
    </row>
    <row r="9565" spans="1:7" x14ac:dyDescent="0.3">
      <c r="A9565" t="s">
        <v>35</v>
      </c>
      <c r="B9565" t="s">
        <v>1721</v>
      </c>
      <c r="C9565">
        <v>996</v>
      </c>
      <c r="D9565" t="s">
        <v>766</v>
      </c>
      <c r="E9565" t="s">
        <v>151</v>
      </c>
      <c r="F9565" t="s">
        <v>99</v>
      </c>
      <c r="G9565" t="s">
        <v>99</v>
      </c>
    </row>
    <row r="9566" spans="1:7" x14ac:dyDescent="0.3">
      <c r="A9566" t="s">
        <v>35</v>
      </c>
      <c r="B9566" t="s">
        <v>1722</v>
      </c>
      <c r="C9566">
        <v>2149</v>
      </c>
      <c r="D9566" t="s">
        <v>383</v>
      </c>
      <c r="E9566" t="s">
        <v>382</v>
      </c>
      <c r="F9566" t="s">
        <v>99</v>
      </c>
      <c r="G9566" t="s">
        <v>104</v>
      </c>
    </row>
    <row r="9567" spans="1:7" x14ac:dyDescent="0.3">
      <c r="A9567" t="s">
        <v>37</v>
      </c>
      <c r="B9567" t="s">
        <v>1721</v>
      </c>
      <c r="C9567">
        <v>1249</v>
      </c>
      <c r="D9567" t="s">
        <v>982</v>
      </c>
      <c r="E9567" t="s">
        <v>100</v>
      </c>
      <c r="F9567" t="s">
        <v>99</v>
      </c>
      <c r="G9567" t="s">
        <v>99</v>
      </c>
    </row>
    <row r="9568" spans="1:7" x14ac:dyDescent="0.3">
      <c r="A9568" t="s">
        <v>37</v>
      </c>
      <c r="B9568" t="s">
        <v>1722</v>
      </c>
      <c r="C9568">
        <v>2557</v>
      </c>
      <c r="D9568" t="s">
        <v>998</v>
      </c>
      <c r="E9568" t="s">
        <v>107</v>
      </c>
      <c r="F9568" t="s">
        <v>99</v>
      </c>
      <c r="G9568" t="s">
        <v>99</v>
      </c>
    </row>
    <row r="9569" spans="1:7" x14ac:dyDescent="0.3">
      <c r="A9569" t="s">
        <v>36</v>
      </c>
      <c r="B9569" t="s">
        <v>1721</v>
      </c>
      <c r="C9569">
        <v>801</v>
      </c>
      <c r="D9569" t="s">
        <v>229</v>
      </c>
      <c r="E9569" t="s">
        <v>126</v>
      </c>
      <c r="F9569" t="s">
        <v>99</v>
      </c>
      <c r="G9569" t="s">
        <v>99</v>
      </c>
    </row>
    <row r="9570" spans="1:7" x14ac:dyDescent="0.3">
      <c r="A9570" t="s">
        <v>36</v>
      </c>
      <c r="B9570" t="s">
        <v>1722</v>
      </c>
      <c r="C9570">
        <v>1426</v>
      </c>
      <c r="D9570" t="s">
        <v>476</v>
      </c>
      <c r="E9570" t="s">
        <v>268</v>
      </c>
      <c r="F9570" t="s">
        <v>99</v>
      </c>
      <c r="G9570" t="s">
        <v>99</v>
      </c>
    </row>
    <row r="9571" spans="1:7" x14ac:dyDescent="0.3">
      <c r="A9571" t="s">
        <v>34</v>
      </c>
      <c r="B9571" t="s">
        <v>1721</v>
      </c>
      <c r="C9571">
        <v>621</v>
      </c>
      <c r="D9571" t="s">
        <v>333</v>
      </c>
      <c r="E9571" t="s">
        <v>134</v>
      </c>
      <c r="F9571" t="s">
        <v>99</v>
      </c>
      <c r="G9571" t="s">
        <v>99</v>
      </c>
    </row>
    <row r="9572" spans="1:7" x14ac:dyDescent="0.3">
      <c r="A9572" t="s">
        <v>34</v>
      </c>
      <c r="B9572" t="s">
        <v>1722</v>
      </c>
      <c r="C9572">
        <v>1459</v>
      </c>
      <c r="D9572" t="s">
        <v>384</v>
      </c>
      <c r="E9572" t="s">
        <v>105</v>
      </c>
      <c r="F9572" t="s">
        <v>99</v>
      </c>
      <c r="G9572" t="s">
        <v>104</v>
      </c>
    </row>
    <row r="9573" spans="1:7" x14ac:dyDescent="0.3">
      <c r="A9573" t="s">
        <v>33</v>
      </c>
      <c r="B9573" t="s">
        <v>1721</v>
      </c>
      <c r="C9573">
        <v>557</v>
      </c>
      <c r="D9573" t="s">
        <v>1026</v>
      </c>
      <c r="E9573" t="s">
        <v>127</v>
      </c>
      <c r="F9573" t="s">
        <v>99</v>
      </c>
      <c r="G9573" t="s">
        <v>99</v>
      </c>
    </row>
    <row r="9574" spans="1:7" x14ac:dyDescent="0.3">
      <c r="A9574" t="s">
        <v>33</v>
      </c>
      <c r="B9574" t="s">
        <v>1722</v>
      </c>
      <c r="C9574">
        <v>1380</v>
      </c>
      <c r="D9574" t="s">
        <v>386</v>
      </c>
      <c r="E9574" t="s">
        <v>111</v>
      </c>
      <c r="F9574" t="s">
        <v>104</v>
      </c>
      <c r="G9574" t="s">
        <v>99</v>
      </c>
    </row>
    <row r="9575" spans="1:7" x14ac:dyDescent="0.3">
      <c r="A9575" t="s">
        <v>49</v>
      </c>
      <c r="B9575" t="s">
        <v>1721</v>
      </c>
      <c r="C9575">
        <v>4224</v>
      </c>
      <c r="D9575" t="s">
        <v>766</v>
      </c>
      <c r="E9575" t="s">
        <v>151</v>
      </c>
      <c r="F9575" t="s">
        <v>99</v>
      </c>
      <c r="G9575" t="s">
        <v>99</v>
      </c>
    </row>
    <row r="9576" spans="1:7" x14ac:dyDescent="0.3">
      <c r="A9576" t="s">
        <v>49</v>
      </c>
      <c r="B9576" t="s">
        <v>1722</v>
      </c>
      <c r="C9576">
        <v>8971</v>
      </c>
      <c r="D9576" t="s">
        <v>851</v>
      </c>
      <c r="E9576" t="s">
        <v>117</v>
      </c>
      <c r="F9576" t="s">
        <v>99</v>
      </c>
      <c r="G9576" t="s">
        <v>104</v>
      </c>
    </row>
    <row r="9578" spans="1:7" x14ac:dyDescent="0.3">
      <c r="A9578" t="s">
        <v>2415</v>
      </c>
    </row>
    <row r="9579" spans="1:7" x14ac:dyDescent="0.3">
      <c r="A9579" t="s">
        <v>44</v>
      </c>
      <c r="B9579" t="s">
        <v>2416</v>
      </c>
      <c r="C9579" t="s">
        <v>32</v>
      </c>
      <c r="D9579" t="s">
        <v>352</v>
      </c>
      <c r="E9579" t="s">
        <v>66</v>
      </c>
      <c r="F9579" t="s">
        <v>67</v>
      </c>
      <c r="G9579" t="s">
        <v>193</v>
      </c>
    </row>
    <row r="9580" spans="1:7" x14ac:dyDescent="0.3">
      <c r="A9580" t="s">
        <v>35</v>
      </c>
      <c r="B9580" t="s">
        <v>1288</v>
      </c>
      <c r="C9580">
        <v>2773</v>
      </c>
      <c r="D9580" t="s">
        <v>99</v>
      </c>
      <c r="E9580" t="s">
        <v>993</v>
      </c>
      <c r="F9580" t="s">
        <v>126</v>
      </c>
      <c r="G9580" t="s">
        <v>104</v>
      </c>
    </row>
    <row r="9581" spans="1:7" x14ac:dyDescent="0.3">
      <c r="A9581" t="s">
        <v>35</v>
      </c>
      <c r="B9581" t="s">
        <v>2417</v>
      </c>
      <c r="C9581">
        <v>357</v>
      </c>
      <c r="D9581" t="s">
        <v>99</v>
      </c>
      <c r="E9581" t="s">
        <v>759</v>
      </c>
      <c r="F9581" t="s">
        <v>154</v>
      </c>
      <c r="G9581" t="s">
        <v>99</v>
      </c>
    </row>
    <row r="9582" spans="1:7" s="5" customFormat="1" x14ac:dyDescent="0.3">
      <c r="A9582" s="5" t="s">
        <v>35</v>
      </c>
      <c r="B9582" s="5" t="s">
        <v>2418</v>
      </c>
      <c r="C9582" s="5">
        <v>11</v>
      </c>
      <c r="D9582" s="5" t="s">
        <v>99</v>
      </c>
      <c r="E9582" s="5" t="s">
        <v>211</v>
      </c>
      <c r="F9582" s="5" t="s">
        <v>99</v>
      </c>
      <c r="G9582" s="5" t="s">
        <v>99</v>
      </c>
    </row>
    <row r="9583" spans="1:7" x14ac:dyDescent="0.3">
      <c r="A9583" t="s">
        <v>35</v>
      </c>
      <c r="B9583" t="s">
        <v>365</v>
      </c>
      <c r="C9583">
        <v>4</v>
      </c>
      <c r="D9583" t="s">
        <v>99</v>
      </c>
      <c r="E9583" t="s">
        <v>211</v>
      </c>
      <c r="F9583" t="s">
        <v>99</v>
      </c>
      <c r="G9583" t="s">
        <v>99</v>
      </c>
    </row>
    <row r="9584" spans="1:7" x14ac:dyDescent="0.3">
      <c r="A9584" t="s">
        <v>37</v>
      </c>
      <c r="B9584" t="s">
        <v>1288</v>
      </c>
      <c r="C9584">
        <v>3575</v>
      </c>
      <c r="D9584" t="s">
        <v>99</v>
      </c>
      <c r="E9584" t="s">
        <v>476</v>
      </c>
      <c r="F9584" t="s">
        <v>117</v>
      </c>
      <c r="G9584" t="s">
        <v>99</v>
      </c>
    </row>
    <row r="9585" spans="1:7" x14ac:dyDescent="0.3">
      <c r="A9585" t="s">
        <v>37</v>
      </c>
      <c r="B9585" t="s">
        <v>2417</v>
      </c>
      <c r="C9585">
        <v>208</v>
      </c>
      <c r="D9585" t="s">
        <v>99</v>
      </c>
      <c r="E9585" t="s">
        <v>986</v>
      </c>
      <c r="F9585" t="s">
        <v>292</v>
      </c>
      <c r="G9585" t="s">
        <v>99</v>
      </c>
    </row>
    <row r="9586" spans="1:7" s="5" customFormat="1" x14ac:dyDescent="0.3">
      <c r="A9586" s="5" t="s">
        <v>37</v>
      </c>
      <c r="B9586" s="5" t="s">
        <v>2418</v>
      </c>
      <c r="C9586" s="5">
        <v>16</v>
      </c>
      <c r="D9586" s="5" t="s">
        <v>99</v>
      </c>
      <c r="E9586" s="5" t="s">
        <v>778</v>
      </c>
      <c r="F9586" s="5" t="s">
        <v>277</v>
      </c>
      <c r="G9586" s="5" t="s">
        <v>99</v>
      </c>
    </row>
    <row r="9587" spans="1:7" x14ac:dyDescent="0.3">
      <c r="A9587" t="s">
        <v>37</v>
      </c>
      <c r="B9587" t="s">
        <v>365</v>
      </c>
      <c r="C9587">
        <v>7</v>
      </c>
      <c r="D9587" t="s">
        <v>99</v>
      </c>
      <c r="E9587" t="s">
        <v>211</v>
      </c>
      <c r="F9587" t="s">
        <v>99</v>
      </c>
      <c r="G9587" t="s">
        <v>99</v>
      </c>
    </row>
    <row r="9588" spans="1:7" x14ac:dyDescent="0.3">
      <c r="A9588" t="s">
        <v>36</v>
      </c>
      <c r="B9588" t="s">
        <v>1288</v>
      </c>
      <c r="C9588">
        <v>1374</v>
      </c>
      <c r="D9588" t="s">
        <v>99</v>
      </c>
      <c r="E9588" t="s">
        <v>986</v>
      </c>
      <c r="F9588" t="s">
        <v>151</v>
      </c>
      <c r="G9588" t="s">
        <v>99</v>
      </c>
    </row>
    <row r="9589" spans="1:7" x14ac:dyDescent="0.3">
      <c r="A9589" t="s">
        <v>36</v>
      </c>
      <c r="B9589" t="s">
        <v>2417</v>
      </c>
      <c r="C9589">
        <v>790</v>
      </c>
      <c r="D9589" t="s">
        <v>99</v>
      </c>
      <c r="E9589" t="s">
        <v>202</v>
      </c>
      <c r="F9589" t="s">
        <v>111</v>
      </c>
      <c r="G9589" t="s">
        <v>99</v>
      </c>
    </row>
    <row r="9590" spans="1:7" x14ac:dyDescent="0.3">
      <c r="A9590" t="s">
        <v>36</v>
      </c>
      <c r="B9590" t="s">
        <v>2418</v>
      </c>
      <c r="C9590">
        <v>58</v>
      </c>
      <c r="D9590" t="s">
        <v>99</v>
      </c>
      <c r="E9590" t="s">
        <v>453</v>
      </c>
      <c r="F9590" t="s">
        <v>198</v>
      </c>
      <c r="G9590" t="s">
        <v>99</v>
      </c>
    </row>
    <row r="9591" spans="1:7" x14ac:dyDescent="0.3">
      <c r="A9591" t="s">
        <v>36</v>
      </c>
      <c r="B9591" t="s">
        <v>365</v>
      </c>
      <c r="C9591">
        <v>5</v>
      </c>
      <c r="D9591" t="s">
        <v>99</v>
      </c>
      <c r="E9591" t="s">
        <v>211</v>
      </c>
      <c r="F9591" t="s">
        <v>99</v>
      </c>
      <c r="G9591" t="s">
        <v>99</v>
      </c>
    </row>
    <row r="9592" spans="1:7" x14ac:dyDescent="0.3">
      <c r="A9592" t="s">
        <v>34</v>
      </c>
      <c r="B9592" t="s">
        <v>1288</v>
      </c>
      <c r="C9592">
        <v>1334</v>
      </c>
      <c r="D9592" t="s">
        <v>99</v>
      </c>
      <c r="E9592" t="s">
        <v>780</v>
      </c>
      <c r="F9592" t="s">
        <v>128</v>
      </c>
      <c r="G9592" t="s">
        <v>99</v>
      </c>
    </row>
    <row r="9593" spans="1:7" x14ac:dyDescent="0.3">
      <c r="A9593" t="s">
        <v>34</v>
      </c>
      <c r="B9593" t="s">
        <v>2417</v>
      </c>
      <c r="C9593">
        <v>704</v>
      </c>
      <c r="D9593" t="s">
        <v>99</v>
      </c>
      <c r="E9593" t="s">
        <v>331</v>
      </c>
      <c r="F9593" t="s">
        <v>112</v>
      </c>
      <c r="G9593" t="s">
        <v>99</v>
      </c>
    </row>
    <row r="9594" spans="1:7" x14ac:dyDescent="0.3">
      <c r="A9594" t="s">
        <v>34</v>
      </c>
      <c r="B9594" t="s">
        <v>2418</v>
      </c>
      <c r="C9594">
        <v>36</v>
      </c>
      <c r="D9594" t="s">
        <v>99</v>
      </c>
      <c r="E9594" t="s">
        <v>996</v>
      </c>
      <c r="F9594" t="s">
        <v>115</v>
      </c>
      <c r="G9594" t="s">
        <v>99</v>
      </c>
    </row>
    <row r="9595" spans="1:7" x14ac:dyDescent="0.3">
      <c r="A9595" t="s">
        <v>34</v>
      </c>
      <c r="B9595" t="s">
        <v>365</v>
      </c>
      <c r="C9595">
        <v>6</v>
      </c>
      <c r="D9595" t="s">
        <v>99</v>
      </c>
      <c r="E9595" t="s">
        <v>875</v>
      </c>
      <c r="F9595" t="s">
        <v>99</v>
      </c>
      <c r="G9595" t="s">
        <v>677</v>
      </c>
    </row>
    <row r="9596" spans="1:7" x14ac:dyDescent="0.3">
      <c r="A9596" t="s">
        <v>33</v>
      </c>
      <c r="B9596" t="s">
        <v>1288</v>
      </c>
      <c r="C9596">
        <v>1842</v>
      </c>
      <c r="D9596" t="s">
        <v>99</v>
      </c>
      <c r="E9596" t="s">
        <v>202</v>
      </c>
      <c r="F9596" t="s">
        <v>111</v>
      </c>
      <c r="G9596" t="s">
        <v>99</v>
      </c>
    </row>
    <row r="9597" spans="1:7" x14ac:dyDescent="0.3">
      <c r="A9597" t="s">
        <v>33</v>
      </c>
      <c r="B9597" t="s">
        <v>2417</v>
      </c>
      <c r="C9597">
        <v>85</v>
      </c>
      <c r="D9597" t="s">
        <v>99</v>
      </c>
      <c r="E9597" t="s">
        <v>996</v>
      </c>
      <c r="F9597" t="s">
        <v>115</v>
      </c>
      <c r="G9597" t="s">
        <v>99</v>
      </c>
    </row>
    <row r="9598" spans="1:7" s="5" customFormat="1" x14ac:dyDescent="0.3">
      <c r="A9598" s="5" t="s">
        <v>33</v>
      </c>
      <c r="B9598" s="5" t="s">
        <v>2418</v>
      </c>
      <c r="C9598" s="5">
        <v>7</v>
      </c>
      <c r="D9598" s="5" t="s">
        <v>99</v>
      </c>
      <c r="E9598" s="5" t="s">
        <v>211</v>
      </c>
      <c r="F9598" s="5" t="s">
        <v>99</v>
      </c>
      <c r="G9598" s="5" t="s">
        <v>99</v>
      </c>
    </row>
    <row r="9599" spans="1:7" x14ac:dyDescent="0.3">
      <c r="A9599" t="s">
        <v>33</v>
      </c>
      <c r="B9599" t="s">
        <v>365</v>
      </c>
      <c r="C9599">
        <v>3</v>
      </c>
      <c r="D9599" t="s">
        <v>99</v>
      </c>
      <c r="E9599" t="s">
        <v>211</v>
      </c>
      <c r="F9599" t="s">
        <v>99</v>
      </c>
      <c r="G9599" t="s">
        <v>99</v>
      </c>
    </row>
    <row r="9600" spans="1:7" x14ac:dyDescent="0.3">
      <c r="A9600" t="s">
        <v>49</v>
      </c>
      <c r="B9600" t="s">
        <v>1288</v>
      </c>
      <c r="C9600">
        <v>10898</v>
      </c>
      <c r="D9600" t="s">
        <v>99</v>
      </c>
      <c r="E9600" t="s">
        <v>986</v>
      </c>
      <c r="F9600" t="s">
        <v>292</v>
      </c>
      <c r="G9600" t="s">
        <v>99</v>
      </c>
    </row>
    <row r="9601" spans="1:7" x14ac:dyDescent="0.3">
      <c r="A9601" t="s">
        <v>49</v>
      </c>
      <c r="B9601" t="s">
        <v>2417</v>
      </c>
      <c r="C9601">
        <v>2144</v>
      </c>
      <c r="D9601" t="s">
        <v>99</v>
      </c>
      <c r="E9601" t="s">
        <v>265</v>
      </c>
      <c r="F9601" t="s">
        <v>332</v>
      </c>
      <c r="G9601" t="s">
        <v>99</v>
      </c>
    </row>
    <row r="9602" spans="1:7" x14ac:dyDescent="0.3">
      <c r="A9602" t="s">
        <v>49</v>
      </c>
      <c r="B9602" t="s">
        <v>2418</v>
      </c>
      <c r="C9602">
        <v>128</v>
      </c>
      <c r="D9602" t="s">
        <v>99</v>
      </c>
      <c r="E9602" t="s">
        <v>225</v>
      </c>
      <c r="F9602" t="s">
        <v>114</v>
      </c>
      <c r="G9602" t="s">
        <v>99</v>
      </c>
    </row>
    <row r="9603" spans="1:7" x14ac:dyDescent="0.3">
      <c r="A9603" t="s">
        <v>49</v>
      </c>
      <c r="B9603" t="s">
        <v>365</v>
      </c>
      <c r="C9603">
        <v>25</v>
      </c>
      <c r="D9603" t="s">
        <v>99</v>
      </c>
      <c r="E9603" t="s">
        <v>337</v>
      </c>
      <c r="F9603" t="s">
        <v>99</v>
      </c>
      <c r="G9603" t="s">
        <v>474</v>
      </c>
    </row>
    <row r="9605" spans="1:7" x14ac:dyDescent="0.3">
      <c r="A9605" t="s">
        <v>2419</v>
      </c>
    </row>
    <row r="9606" spans="1:7" x14ac:dyDescent="0.3">
      <c r="A9606" t="s">
        <v>44</v>
      </c>
      <c r="B9606" t="s">
        <v>32</v>
      </c>
      <c r="C9606" t="s">
        <v>45</v>
      </c>
      <c r="D9606" t="s">
        <v>46</v>
      </c>
      <c r="E9606" t="s">
        <v>47</v>
      </c>
      <c r="F9606" t="s">
        <v>48</v>
      </c>
    </row>
    <row r="9607" spans="1:7" x14ac:dyDescent="0.3">
      <c r="A9607" t="s">
        <v>35</v>
      </c>
      <c r="B9607">
        <v>56</v>
      </c>
      <c r="C9607">
        <v>1.18</v>
      </c>
      <c r="D9607">
        <v>1</v>
      </c>
      <c r="E9607">
        <v>1</v>
      </c>
      <c r="F9607">
        <v>3</v>
      </c>
    </row>
    <row r="9608" spans="1:7" x14ac:dyDescent="0.3">
      <c r="A9608" t="s">
        <v>37</v>
      </c>
      <c r="B9608">
        <v>66</v>
      </c>
      <c r="C9608">
        <v>1.36</v>
      </c>
      <c r="D9608">
        <v>1</v>
      </c>
      <c r="E9608">
        <v>1</v>
      </c>
      <c r="F9608">
        <v>3</v>
      </c>
    </row>
    <row r="9609" spans="1:7" x14ac:dyDescent="0.3">
      <c r="A9609" t="s">
        <v>36</v>
      </c>
      <c r="B9609">
        <v>52</v>
      </c>
      <c r="C9609">
        <v>1.05</v>
      </c>
      <c r="D9609">
        <v>1</v>
      </c>
      <c r="E9609">
        <v>1</v>
      </c>
      <c r="F9609">
        <v>2</v>
      </c>
    </row>
    <row r="9610" spans="1:7" x14ac:dyDescent="0.3">
      <c r="A9610" t="s">
        <v>34</v>
      </c>
      <c r="B9610">
        <v>53</v>
      </c>
      <c r="C9610">
        <v>1.34</v>
      </c>
      <c r="D9610">
        <v>1</v>
      </c>
      <c r="E9610">
        <v>1</v>
      </c>
      <c r="F9610">
        <v>3</v>
      </c>
    </row>
    <row r="9611" spans="1:7" x14ac:dyDescent="0.3">
      <c r="A9611" t="s">
        <v>33</v>
      </c>
      <c r="B9611">
        <v>40</v>
      </c>
      <c r="C9611">
        <v>1.18</v>
      </c>
      <c r="D9611">
        <v>1</v>
      </c>
      <c r="E9611">
        <v>1</v>
      </c>
      <c r="F9611">
        <v>3</v>
      </c>
    </row>
    <row r="9612" spans="1:7" x14ac:dyDescent="0.3">
      <c r="A9612" t="s">
        <v>49</v>
      </c>
      <c r="B9612">
        <v>267</v>
      </c>
      <c r="C9612">
        <v>1.26</v>
      </c>
      <c r="D9612">
        <v>1</v>
      </c>
      <c r="E9612">
        <v>1</v>
      </c>
      <c r="F9612">
        <v>3</v>
      </c>
    </row>
    <row r="9614" spans="1:7" x14ac:dyDescent="0.3">
      <c r="A9614" t="s">
        <v>2420</v>
      </c>
    </row>
    <row r="9615" spans="1:7" x14ac:dyDescent="0.3">
      <c r="A9615" t="s">
        <v>44</v>
      </c>
      <c r="B9615" t="s">
        <v>361</v>
      </c>
      <c r="C9615" t="s">
        <v>32</v>
      </c>
      <c r="D9615" t="s">
        <v>45</v>
      </c>
      <c r="E9615" t="s">
        <v>46</v>
      </c>
      <c r="F9615" t="s">
        <v>47</v>
      </c>
      <c r="G9615" t="s">
        <v>48</v>
      </c>
    </row>
    <row r="9616" spans="1:7" s="5" customFormat="1" x14ac:dyDescent="0.3">
      <c r="A9616" s="5" t="s">
        <v>35</v>
      </c>
      <c r="B9616" s="5" t="s">
        <v>339</v>
      </c>
      <c r="C9616" s="5">
        <v>13</v>
      </c>
      <c r="D9616" s="5">
        <v>1.36</v>
      </c>
      <c r="E9616" s="5">
        <v>1</v>
      </c>
      <c r="F9616" s="5">
        <v>1</v>
      </c>
      <c r="G9616" s="5">
        <v>2</v>
      </c>
    </row>
    <row r="9617" spans="1:7" x14ac:dyDescent="0.3">
      <c r="A9617" t="s">
        <v>35</v>
      </c>
      <c r="B9617" t="s">
        <v>340</v>
      </c>
      <c r="C9617">
        <v>42</v>
      </c>
      <c r="D9617">
        <v>1.17</v>
      </c>
      <c r="E9617">
        <v>1</v>
      </c>
      <c r="F9617">
        <v>1</v>
      </c>
      <c r="G9617">
        <v>3</v>
      </c>
    </row>
    <row r="9618" spans="1:7" x14ac:dyDescent="0.3">
      <c r="A9618" t="s">
        <v>35</v>
      </c>
      <c r="B9618" t="s">
        <v>365</v>
      </c>
      <c r="C9618">
        <v>1</v>
      </c>
      <c r="D9618">
        <v>1</v>
      </c>
      <c r="E9618">
        <v>1</v>
      </c>
      <c r="F9618">
        <v>1</v>
      </c>
      <c r="G9618">
        <v>1</v>
      </c>
    </row>
    <row r="9619" spans="1:7" s="5" customFormat="1" x14ac:dyDescent="0.3">
      <c r="A9619" s="5" t="s">
        <v>37</v>
      </c>
      <c r="B9619" s="5" t="s">
        <v>339</v>
      </c>
      <c r="C9619" s="5">
        <v>23</v>
      </c>
      <c r="D9619" s="5">
        <v>1.28</v>
      </c>
      <c r="E9619" s="5">
        <v>1</v>
      </c>
      <c r="F9619" s="5">
        <v>1</v>
      </c>
      <c r="G9619" s="5">
        <v>2</v>
      </c>
    </row>
    <row r="9620" spans="1:7" x14ac:dyDescent="0.3">
      <c r="A9620" t="s">
        <v>37</v>
      </c>
      <c r="B9620" t="s">
        <v>340</v>
      </c>
      <c r="C9620">
        <v>42</v>
      </c>
      <c r="D9620">
        <v>1.41</v>
      </c>
      <c r="E9620">
        <v>1</v>
      </c>
      <c r="F9620">
        <v>1</v>
      </c>
      <c r="G9620">
        <v>3</v>
      </c>
    </row>
    <row r="9621" spans="1:7" x14ac:dyDescent="0.3">
      <c r="A9621" t="s">
        <v>37</v>
      </c>
      <c r="B9621" t="s">
        <v>365</v>
      </c>
      <c r="C9621">
        <v>1</v>
      </c>
      <c r="D9621">
        <v>1</v>
      </c>
      <c r="E9621">
        <v>1</v>
      </c>
      <c r="F9621">
        <v>1</v>
      </c>
      <c r="G9621">
        <v>1</v>
      </c>
    </row>
    <row r="9622" spans="1:7" s="5" customFormat="1" x14ac:dyDescent="0.3">
      <c r="A9622" s="5" t="s">
        <v>36</v>
      </c>
      <c r="B9622" s="5" t="s">
        <v>339</v>
      </c>
      <c r="C9622" s="5">
        <v>12</v>
      </c>
      <c r="D9622" s="5">
        <v>1.02</v>
      </c>
      <c r="E9622" s="5">
        <v>1</v>
      </c>
      <c r="F9622" s="5">
        <v>1</v>
      </c>
      <c r="G9622" s="5">
        <v>2</v>
      </c>
    </row>
    <row r="9623" spans="1:7" x14ac:dyDescent="0.3">
      <c r="A9623" t="s">
        <v>36</v>
      </c>
      <c r="B9623" t="s">
        <v>340</v>
      </c>
      <c r="C9623">
        <v>40</v>
      </c>
      <c r="D9623">
        <v>1.06</v>
      </c>
      <c r="E9623">
        <v>1</v>
      </c>
      <c r="F9623">
        <v>1</v>
      </c>
      <c r="G9623">
        <v>2</v>
      </c>
    </row>
    <row r="9624" spans="1:7" s="5" customFormat="1" x14ac:dyDescent="0.3">
      <c r="A9624" s="5" t="s">
        <v>34</v>
      </c>
      <c r="B9624" s="5" t="s">
        <v>339</v>
      </c>
      <c r="C9624" s="5">
        <v>12</v>
      </c>
      <c r="D9624" s="5">
        <v>1.42</v>
      </c>
      <c r="E9624" s="5">
        <v>1</v>
      </c>
      <c r="F9624" s="5">
        <v>1</v>
      </c>
      <c r="G9624" s="5">
        <v>3</v>
      </c>
    </row>
    <row r="9625" spans="1:7" x14ac:dyDescent="0.3">
      <c r="A9625" t="s">
        <v>34</v>
      </c>
      <c r="B9625" t="s">
        <v>340</v>
      </c>
      <c r="C9625">
        <v>39</v>
      </c>
      <c r="D9625">
        <v>1.32</v>
      </c>
      <c r="E9625">
        <v>1</v>
      </c>
      <c r="F9625">
        <v>1</v>
      </c>
      <c r="G9625">
        <v>3</v>
      </c>
    </row>
    <row r="9626" spans="1:7" x14ac:dyDescent="0.3">
      <c r="A9626" t="s">
        <v>34</v>
      </c>
      <c r="B9626" t="s">
        <v>365</v>
      </c>
      <c r="C9626">
        <v>2</v>
      </c>
      <c r="D9626">
        <v>1</v>
      </c>
      <c r="E9626">
        <v>1</v>
      </c>
      <c r="F9626">
        <v>1</v>
      </c>
      <c r="G9626">
        <v>1</v>
      </c>
    </row>
    <row r="9627" spans="1:7" s="5" customFormat="1" x14ac:dyDescent="0.3">
      <c r="A9627" s="5" t="s">
        <v>33</v>
      </c>
      <c r="B9627" s="5" t="s">
        <v>339</v>
      </c>
      <c r="C9627" s="5">
        <v>5</v>
      </c>
      <c r="D9627" s="5">
        <v>1.44</v>
      </c>
      <c r="E9627" s="5">
        <v>1</v>
      </c>
      <c r="F9627" s="5">
        <v>1</v>
      </c>
      <c r="G9627" s="5">
        <v>3</v>
      </c>
    </row>
    <row r="9628" spans="1:7" x14ac:dyDescent="0.3">
      <c r="A9628" t="s">
        <v>33</v>
      </c>
      <c r="B9628" t="s">
        <v>340</v>
      </c>
      <c r="C9628">
        <v>35</v>
      </c>
      <c r="D9628">
        <v>1.1499999999999999</v>
      </c>
      <c r="E9628">
        <v>1</v>
      </c>
      <c r="F9628">
        <v>1</v>
      </c>
      <c r="G9628">
        <v>2</v>
      </c>
    </row>
    <row r="9629" spans="1:7" x14ac:dyDescent="0.3">
      <c r="A9629" t="s">
        <v>49</v>
      </c>
      <c r="B9629" t="s">
        <v>339</v>
      </c>
      <c r="C9629">
        <v>65</v>
      </c>
      <c r="D9629">
        <v>1.32</v>
      </c>
      <c r="E9629">
        <v>1</v>
      </c>
      <c r="F9629">
        <v>1</v>
      </c>
      <c r="G9629">
        <v>3</v>
      </c>
    </row>
    <row r="9630" spans="1:7" x14ac:dyDescent="0.3">
      <c r="A9630" t="s">
        <v>49</v>
      </c>
      <c r="B9630" t="s">
        <v>340</v>
      </c>
      <c r="C9630">
        <v>198</v>
      </c>
      <c r="D9630">
        <v>1.26</v>
      </c>
      <c r="E9630">
        <v>1</v>
      </c>
      <c r="F9630">
        <v>1</v>
      </c>
      <c r="G9630">
        <v>3</v>
      </c>
    </row>
    <row r="9631" spans="1:7" x14ac:dyDescent="0.3">
      <c r="A9631" t="s">
        <v>49</v>
      </c>
      <c r="B9631" t="s">
        <v>365</v>
      </c>
      <c r="C9631">
        <v>4</v>
      </c>
      <c r="D9631">
        <v>1</v>
      </c>
      <c r="E9631">
        <v>1</v>
      </c>
      <c r="F9631">
        <v>1</v>
      </c>
      <c r="G9631">
        <v>1</v>
      </c>
    </row>
    <row r="9633" spans="1:7" x14ac:dyDescent="0.3">
      <c r="A9633" t="s">
        <v>2421</v>
      </c>
    </row>
    <row r="9634" spans="1:7" x14ac:dyDescent="0.3">
      <c r="A9634" t="s">
        <v>44</v>
      </c>
      <c r="B9634" t="s">
        <v>209</v>
      </c>
      <c r="C9634" t="s">
        <v>32</v>
      </c>
      <c r="D9634" t="s">
        <v>45</v>
      </c>
      <c r="E9634" t="s">
        <v>46</v>
      </c>
      <c r="F9634" t="s">
        <v>47</v>
      </c>
      <c r="G9634" t="s">
        <v>48</v>
      </c>
    </row>
    <row r="9635" spans="1:7" s="5" customFormat="1" x14ac:dyDescent="0.3">
      <c r="A9635" s="5" t="s">
        <v>35</v>
      </c>
      <c r="B9635" s="5" t="s">
        <v>210</v>
      </c>
      <c r="C9635" s="5">
        <v>3</v>
      </c>
      <c r="D9635" s="5">
        <v>1</v>
      </c>
      <c r="E9635" s="5">
        <v>1</v>
      </c>
      <c r="F9635" s="5">
        <v>1</v>
      </c>
      <c r="G9635" s="5">
        <v>1</v>
      </c>
    </row>
    <row r="9636" spans="1:7" x14ac:dyDescent="0.3">
      <c r="A9636" t="s">
        <v>35</v>
      </c>
      <c r="B9636" t="s">
        <v>212</v>
      </c>
      <c r="C9636">
        <v>35</v>
      </c>
      <c r="D9636">
        <v>1.33</v>
      </c>
      <c r="E9636">
        <v>1</v>
      </c>
      <c r="F9636">
        <v>1</v>
      </c>
      <c r="G9636">
        <v>3</v>
      </c>
    </row>
    <row r="9637" spans="1:7" s="5" customFormat="1" x14ac:dyDescent="0.3">
      <c r="A9637" s="5" t="s">
        <v>35</v>
      </c>
      <c r="B9637" s="5" t="s">
        <v>216</v>
      </c>
      <c r="C9637" s="5">
        <v>18</v>
      </c>
      <c r="D9637" s="5">
        <v>1.08</v>
      </c>
      <c r="E9637" s="5">
        <v>1</v>
      </c>
      <c r="F9637" s="5">
        <v>1</v>
      </c>
      <c r="G9637" s="5">
        <v>2</v>
      </c>
    </row>
    <row r="9638" spans="1:7" s="5" customFormat="1" x14ac:dyDescent="0.3">
      <c r="A9638" s="5" t="s">
        <v>37</v>
      </c>
      <c r="B9638" s="5" t="s">
        <v>210</v>
      </c>
      <c r="C9638" s="5">
        <v>7</v>
      </c>
      <c r="D9638" s="5">
        <v>1.24</v>
      </c>
      <c r="E9638" s="5">
        <v>1</v>
      </c>
      <c r="F9638" s="5">
        <v>1</v>
      </c>
      <c r="G9638" s="5">
        <v>2</v>
      </c>
    </row>
    <row r="9639" spans="1:7" x14ac:dyDescent="0.3">
      <c r="A9639" t="s">
        <v>37</v>
      </c>
      <c r="B9639" t="s">
        <v>212</v>
      </c>
      <c r="C9639">
        <v>56</v>
      </c>
      <c r="D9639">
        <v>1.39</v>
      </c>
      <c r="E9639">
        <v>1</v>
      </c>
      <c r="F9639">
        <v>1</v>
      </c>
      <c r="G9639">
        <v>3</v>
      </c>
    </row>
    <row r="9640" spans="1:7" s="5" customFormat="1" x14ac:dyDescent="0.3">
      <c r="A9640" s="5" t="s">
        <v>37</v>
      </c>
      <c r="B9640" s="5" t="s">
        <v>216</v>
      </c>
      <c r="C9640" s="5">
        <v>3</v>
      </c>
      <c r="D9640" s="5">
        <v>1</v>
      </c>
      <c r="E9640" s="5">
        <v>1</v>
      </c>
      <c r="F9640" s="5">
        <v>1</v>
      </c>
      <c r="G9640" s="5">
        <v>1</v>
      </c>
    </row>
    <row r="9641" spans="1:7" s="5" customFormat="1" x14ac:dyDescent="0.3">
      <c r="A9641" s="5" t="s">
        <v>36</v>
      </c>
      <c r="B9641" s="5" t="s">
        <v>210</v>
      </c>
      <c r="C9641" s="5">
        <v>5</v>
      </c>
      <c r="D9641" s="5">
        <v>1</v>
      </c>
      <c r="E9641" s="5">
        <v>1</v>
      </c>
      <c r="F9641" s="5">
        <v>1</v>
      </c>
      <c r="G9641" s="5">
        <v>1</v>
      </c>
    </row>
    <row r="9642" spans="1:7" x14ac:dyDescent="0.3">
      <c r="A9642" t="s">
        <v>36</v>
      </c>
      <c r="B9642" t="s">
        <v>212</v>
      </c>
      <c r="C9642">
        <v>34</v>
      </c>
      <c r="D9642">
        <v>1.06</v>
      </c>
      <c r="E9642">
        <v>1</v>
      </c>
      <c r="F9642">
        <v>1</v>
      </c>
      <c r="G9642">
        <v>2</v>
      </c>
    </row>
    <row r="9643" spans="1:7" s="5" customFormat="1" x14ac:dyDescent="0.3">
      <c r="A9643" s="5" t="s">
        <v>36</v>
      </c>
      <c r="B9643" s="5" t="s">
        <v>216</v>
      </c>
      <c r="C9643" s="5">
        <v>13</v>
      </c>
      <c r="D9643" s="5">
        <v>1.04</v>
      </c>
      <c r="E9643" s="5">
        <v>1</v>
      </c>
      <c r="F9643" s="5">
        <v>1</v>
      </c>
      <c r="G9643" s="5">
        <v>2</v>
      </c>
    </row>
    <row r="9644" spans="1:7" s="5" customFormat="1" x14ac:dyDescent="0.3">
      <c r="A9644" s="5" t="s">
        <v>34</v>
      </c>
      <c r="B9644" s="5" t="s">
        <v>210</v>
      </c>
      <c r="C9644" s="5">
        <v>9</v>
      </c>
      <c r="D9644" s="5">
        <v>1.03</v>
      </c>
      <c r="E9644" s="5">
        <v>1</v>
      </c>
      <c r="F9644" s="5">
        <v>1</v>
      </c>
      <c r="G9644" s="5">
        <v>2</v>
      </c>
    </row>
    <row r="9645" spans="1:7" x14ac:dyDescent="0.3">
      <c r="A9645" t="s">
        <v>34</v>
      </c>
      <c r="B9645" t="s">
        <v>212</v>
      </c>
      <c r="C9645">
        <v>31</v>
      </c>
      <c r="D9645">
        <v>1.38</v>
      </c>
      <c r="E9645">
        <v>1</v>
      </c>
      <c r="F9645">
        <v>1</v>
      </c>
      <c r="G9645">
        <v>3</v>
      </c>
    </row>
    <row r="9646" spans="1:7" s="5" customFormat="1" x14ac:dyDescent="0.3">
      <c r="A9646" s="5" t="s">
        <v>34</v>
      </c>
      <c r="B9646" s="5" t="s">
        <v>216</v>
      </c>
      <c r="C9646" s="5">
        <v>13</v>
      </c>
      <c r="D9646" s="5">
        <v>1.42</v>
      </c>
      <c r="E9646" s="5">
        <v>1</v>
      </c>
      <c r="F9646" s="5">
        <v>1</v>
      </c>
      <c r="G9646" s="5">
        <v>3</v>
      </c>
    </row>
    <row r="9647" spans="1:7" s="5" customFormat="1" x14ac:dyDescent="0.3">
      <c r="A9647" s="5" t="s">
        <v>33</v>
      </c>
      <c r="B9647" s="5" t="s">
        <v>210</v>
      </c>
      <c r="C9647" s="5">
        <v>3</v>
      </c>
      <c r="D9647" s="5">
        <v>1.25</v>
      </c>
      <c r="E9647" s="5">
        <v>1</v>
      </c>
      <c r="F9647" s="5">
        <v>1</v>
      </c>
      <c r="G9647" s="5">
        <v>2</v>
      </c>
    </row>
    <row r="9648" spans="1:7" x14ac:dyDescent="0.3">
      <c r="A9648" t="s">
        <v>33</v>
      </c>
      <c r="B9648" t="s">
        <v>212</v>
      </c>
      <c r="C9648">
        <v>37</v>
      </c>
      <c r="D9648">
        <v>1.18</v>
      </c>
      <c r="E9648">
        <v>1</v>
      </c>
      <c r="F9648">
        <v>1</v>
      </c>
      <c r="G9648">
        <v>3</v>
      </c>
    </row>
    <row r="9649" spans="1:7" s="5" customFormat="1" x14ac:dyDescent="0.3">
      <c r="A9649" s="5" t="s">
        <v>49</v>
      </c>
      <c r="B9649" s="5" t="s">
        <v>210</v>
      </c>
      <c r="C9649" s="5">
        <v>27</v>
      </c>
      <c r="D9649" s="5">
        <v>1.1000000000000001</v>
      </c>
      <c r="E9649" s="5">
        <v>1</v>
      </c>
      <c r="F9649" s="5">
        <v>1</v>
      </c>
      <c r="G9649" s="5">
        <v>2</v>
      </c>
    </row>
    <row r="9650" spans="1:7" x14ac:dyDescent="0.3">
      <c r="A9650" t="s">
        <v>49</v>
      </c>
      <c r="B9650" t="s">
        <v>212</v>
      </c>
      <c r="C9650">
        <v>193</v>
      </c>
      <c r="D9650">
        <v>1.31</v>
      </c>
      <c r="E9650">
        <v>1</v>
      </c>
      <c r="F9650">
        <v>1</v>
      </c>
      <c r="G9650">
        <v>3</v>
      </c>
    </row>
    <row r="9651" spans="1:7" x14ac:dyDescent="0.3">
      <c r="A9651" t="s">
        <v>49</v>
      </c>
      <c r="B9651" t="s">
        <v>216</v>
      </c>
      <c r="C9651">
        <v>47</v>
      </c>
      <c r="D9651">
        <v>1.18</v>
      </c>
      <c r="E9651">
        <v>1</v>
      </c>
      <c r="F9651">
        <v>1</v>
      </c>
      <c r="G9651">
        <v>3</v>
      </c>
    </row>
    <row r="9653" spans="1:7" x14ac:dyDescent="0.3">
      <c r="A9653" t="s">
        <v>2422</v>
      </c>
    </row>
    <row r="9654" spans="1:7" x14ac:dyDescent="0.3">
      <c r="A9654" t="s">
        <v>44</v>
      </c>
      <c r="B9654" t="s">
        <v>388</v>
      </c>
      <c r="C9654" t="s">
        <v>32</v>
      </c>
      <c r="D9654" t="s">
        <v>45</v>
      </c>
      <c r="E9654" t="s">
        <v>46</v>
      </c>
      <c r="F9654" t="s">
        <v>47</v>
      </c>
      <c r="G9654" t="s">
        <v>48</v>
      </c>
    </row>
    <row r="9655" spans="1:7" s="5" customFormat="1" x14ac:dyDescent="0.3">
      <c r="A9655" s="5" t="s">
        <v>35</v>
      </c>
      <c r="B9655" s="5" t="s">
        <v>389</v>
      </c>
      <c r="C9655" s="5">
        <v>26</v>
      </c>
      <c r="D9655" s="5">
        <v>1.18</v>
      </c>
      <c r="E9655" s="5">
        <v>1</v>
      </c>
      <c r="F9655" s="5">
        <v>1</v>
      </c>
      <c r="G9655" s="5">
        <v>3</v>
      </c>
    </row>
    <row r="9656" spans="1:7" s="5" customFormat="1" x14ac:dyDescent="0.3">
      <c r="A9656" s="5" t="s">
        <v>35</v>
      </c>
      <c r="B9656" s="5" t="s">
        <v>390</v>
      </c>
      <c r="C9656" s="5">
        <v>27</v>
      </c>
      <c r="D9656" s="5">
        <v>1.18</v>
      </c>
      <c r="E9656" s="5">
        <v>1</v>
      </c>
      <c r="F9656" s="5">
        <v>1</v>
      </c>
      <c r="G9656" s="5">
        <v>2</v>
      </c>
    </row>
    <row r="9657" spans="1:7" x14ac:dyDescent="0.3">
      <c r="A9657" t="s">
        <v>35</v>
      </c>
      <c r="B9657" t="s">
        <v>365</v>
      </c>
      <c r="C9657">
        <v>3</v>
      </c>
      <c r="D9657">
        <v>1</v>
      </c>
      <c r="E9657">
        <v>1</v>
      </c>
      <c r="F9657">
        <v>1</v>
      </c>
      <c r="G9657">
        <v>1</v>
      </c>
    </row>
    <row r="9658" spans="1:7" s="5" customFormat="1" x14ac:dyDescent="0.3">
      <c r="A9658" s="5" t="s">
        <v>37</v>
      </c>
      <c r="B9658" s="5" t="s">
        <v>389</v>
      </c>
      <c r="C9658" s="5">
        <v>27</v>
      </c>
      <c r="D9658" s="5">
        <v>1.35</v>
      </c>
      <c r="E9658" s="5">
        <v>1</v>
      </c>
      <c r="F9658" s="5">
        <v>1</v>
      </c>
      <c r="G9658" s="5">
        <v>3</v>
      </c>
    </row>
    <row r="9659" spans="1:7" x14ac:dyDescent="0.3">
      <c r="A9659" t="s">
        <v>37</v>
      </c>
      <c r="B9659" t="s">
        <v>390</v>
      </c>
      <c r="C9659">
        <v>36</v>
      </c>
      <c r="D9659">
        <v>1.38</v>
      </c>
      <c r="E9659">
        <v>1</v>
      </c>
      <c r="F9659">
        <v>1</v>
      </c>
      <c r="G9659">
        <v>3</v>
      </c>
    </row>
    <row r="9660" spans="1:7" x14ac:dyDescent="0.3">
      <c r="A9660" t="s">
        <v>37</v>
      </c>
      <c r="B9660" t="s">
        <v>365</v>
      </c>
      <c r="C9660">
        <v>3</v>
      </c>
      <c r="D9660">
        <v>1.37</v>
      </c>
      <c r="E9660">
        <v>1</v>
      </c>
      <c r="F9660">
        <v>1</v>
      </c>
      <c r="G9660">
        <v>2</v>
      </c>
    </row>
    <row r="9661" spans="1:7" s="5" customFormat="1" x14ac:dyDescent="0.3">
      <c r="A9661" s="5" t="s">
        <v>36</v>
      </c>
      <c r="B9661" s="5" t="s">
        <v>389</v>
      </c>
      <c r="C9661" s="5">
        <v>16</v>
      </c>
      <c r="D9661" s="5">
        <v>1.06</v>
      </c>
      <c r="E9661" s="5">
        <v>1</v>
      </c>
      <c r="F9661" s="5">
        <v>1</v>
      </c>
      <c r="G9661" s="5">
        <v>2</v>
      </c>
    </row>
    <row r="9662" spans="1:7" x14ac:dyDescent="0.3">
      <c r="A9662" t="s">
        <v>36</v>
      </c>
      <c r="B9662" t="s">
        <v>390</v>
      </c>
      <c r="C9662">
        <v>34</v>
      </c>
      <c r="D9662">
        <v>1.05</v>
      </c>
      <c r="E9662">
        <v>1</v>
      </c>
      <c r="F9662">
        <v>1</v>
      </c>
      <c r="G9662">
        <v>2</v>
      </c>
    </row>
    <row r="9663" spans="1:7" x14ac:dyDescent="0.3">
      <c r="A9663" t="s">
        <v>36</v>
      </c>
      <c r="B9663" t="s">
        <v>365</v>
      </c>
      <c r="C9663">
        <v>2</v>
      </c>
      <c r="D9663">
        <v>1</v>
      </c>
      <c r="E9663">
        <v>1</v>
      </c>
      <c r="F9663">
        <v>1</v>
      </c>
      <c r="G9663">
        <v>1</v>
      </c>
    </row>
    <row r="9664" spans="1:7" s="5" customFormat="1" x14ac:dyDescent="0.3">
      <c r="A9664" s="5" t="s">
        <v>34</v>
      </c>
      <c r="B9664" s="5" t="s">
        <v>389</v>
      </c>
      <c r="C9664" s="5">
        <v>14</v>
      </c>
      <c r="D9664" s="5">
        <v>1.31</v>
      </c>
      <c r="E9664" s="5">
        <v>1</v>
      </c>
      <c r="F9664" s="5">
        <v>1</v>
      </c>
      <c r="G9664" s="5">
        <v>3</v>
      </c>
    </row>
    <row r="9665" spans="1:7" x14ac:dyDescent="0.3">
      <c r="A9665" t="s">
        <v>34</v>
      </c>
      <c r="B9665" t="s">
        <v>390</v>
      </c>
      <c r="C9665">
        <v>36</v>
      </c>
      <c r="D9665">
        <v>1.37</v>
      </c>
      <c r="E9665">
        <v>1</v>
      </c>
      <c r="F9665">
        <v>1</v>
      </c>
      <c r="G9665">
        <v>3</v>
      </c>
    </row>
    <row r="9666" spans="1:7" x14ac:dyDescent="0.3">
      <c r="A9666" t="s">
        <v>34</v>
      </c>
      <c r="B9666" t="s">
        <v>365</v>
      </c>
      <c r="C9666">
        <v>3</v>
      </c>
      <c r="D9666">
        <v>1</v>
      </c>
      <c r="E9666">
        <v>1</v>
      </c>
      <c r="F9666">
        <v>1</v>
      </c>
      <c r="G9666">
        <v>1</v>
      </c>
    </row>
    <row r="9667" spans="1:7" s="5" customFormat="1" x14ac:dyDescent="0.3">
      <c r="A9667" s="5" t="s">
        <v>33</v>
      </c>
      <c r="B9667" s="5" t="s">
        <v>389</v>
      </c>
      <c r="C9667" s="5">
        <v>12</v>
      </c>
      <c r="D9667" s="5">
        <v>1.36</v>
      </c>
      <c r="E9667" s="5">
        <v>1</v>
      </c>
      <c r="F9667" s="5">
        <v>1</v>
      </c>
      <c r="G9667" s="5">
        <v>3</v>
      </c>
    </row>
    <row r="9668" spans="1:7" s="5" customFormat="1" x14ac:dyDescent="0.3">
      <c r="A9668" s="5" t="s">
        <v>33</v>
      </c>
      <c r="B9668" s="5" t="s">
        <v>390</v>
      </c>
      <c r="C9668" s="5">
        <v>26</v>
      </c>
      <c r="D9668" s="5">
        <v>1.1299999999999999</v>
      </c>
      <c r="E9668" s="5">
        <v>1</v>
      </c>
      <c r="F9668" s="5">
        <v>1</v>
      </c>
      <c r="G9668" s="5">
        <v>2</v>
      </c>
    </row>
    <row r="9669" spans="1:7" x14ac:dyDescent="0.3">
      <c r="A9669" t="s">
        <v>33</v>
      </c>
      <c r="B9669" t="s">
        <v>365</v>
      </c>
      <c r="C9669">
        <v>2</v>
      </c>
      <c r="D9669">
        <v>1</v>
      </c>
      <c r="E9669">
        <v>1</v>
      </c>
      <c r="F9669">
        <v>1</v>
      </c>
      <c r="G9669">
        <v>1</v>
      </c>
    </row>
    <row r="9670" spans="1:7" x14ac:dyDescent="0.3">
      <c r="A9670" t="s">
        <v>49</v>
      </c>
      <c r="B9670" t="s">
        <v>389</v>
      </c>
      <c r="C9670">
        <v>95</v>
      </c>
      <c r="D9670">
        <v>1.28</v>
      </c>
      <c r="E9670">
        <v>1</v>
      </c>
      <c r="F9670">
        <v>1</v>
      </c>
      <c r="G9670">
        <v>3</v>
      </c>
    </row>
    <row r="9671" spans="1:7" x14ac:dyDescent="0.3">
      <c r="A9671" t="s">
        <v>49</v>
      </c>
      <c r="B9671" t="s">
        <v>390</v>
      </c>
      <c r="C9671">
        <v>159</v>
      </c>
      <c r="D9671">
        <v>1.26</v>
      </c>
      <c r="E9671">
        <v>1</v>
      </c>
      <c r="F9671">
        <v>1</v>
      </c>
      <c r="G9671">
        <v>3</v>
      </c>
    </row>
    <row r="9672" spans="1:7" x14ac:dyDescent="0.3">
      <c r="A9672" t="s">
        <v>49</v>
      </c>
      <c r="B9672" t="s">
        <v>365</v>
      </c>
      <c r="C9672">
        <v>13</v>
      </c>
      <c r="D9672">
        <v>1.08</v>
      </c>
      <c r="E9672">
        <v>1</v>
      </c>
      <c r="F9672">
        <v>1</v>
      </c>
      <c r="G9672">
        <v>2</v>
      </c>
    </row>
    <row r="9674" spans="1:7" x14ac:dyDescent="0.3">
      <c r="A9674" t="s">
        <v>2423</v>
      </c>
    </row>
    <row r="9675" spans="1:7" x14ac:dyDescent="0.3">
      <c r="A9675" t="s">
        <v>44</v>
      </c>
      <c r="B9675" t="s">
        <v>235</v>
      </c>
      <c r="C9675" t="s">
        <v>32</v>
      </c>
      <c r="D9675" t="s">
        <v>45</v>
      </c>
      <c r="E9675" t="s">
        <v>46</v>
      </c>
      <c r="F9675" t="s">
        <v>47</v>
      </c>
      <c r="G9675" t="s">
        <v>48</v>
      </c>
    </row>
    <row r="9676" spans="1:7" s="5" customFormat="1" x14ac:dyDescent="0.3">
      <c r="A9676" s="5" t="s">
        <v>35</v>
      </c>
      <c r="B9676" s="5" t="s">
        <v>236</v>
      </c>
      <c r="C9676" s="5">
        <v>25</v>
      </c>
      <c r="D9676" s="5">
        <v>1.23</v>
      </c>
      <c r="E9676" s="5">
        <v>1</v>
      </c>
      <c r="F9676" s="5">
        <v>1</v>
      </c>
      <c r="G9676" s="5">
        <v>2</v>
      </c>
    </row>
    <row r="9677" spans="1:7" x14ac:dyDescent="0.3">
      <c r="A9677" t="s">
        <v>35</v>
      </c>
      <c r="B9677" t="s">
        <v>238</v>
      </c>
      <c r="C9677">
        <v>31</v>
      </c>
      <c r="D9677">
        <v>1.1599999999999999</v>
      </c>
      <c r="E9677">
        <v>1</v>
      </c>
      <c r="F9677">
        <v>1</v>
      </c>
      <c r="G9677">
        <v>3</v>
      </c>
    </row>
    <row r="9678" spans="1:7" s="5" customFormat="1" x14ac:dyDescent="0.3">
      <c r="A9678" s="5" t="s">
        <v>37</v>
      </c>
      <c r="B9678" s="5" t="s">
        <v>236</v>
      </c>
      <c r="C9678" s="5">
        <v>26</v>
      </c>
      <c r="D9678" s="5">
        <v>1.21</v>
      </c>
      <c r="E9678" s="5">
        <v>1</v>
      </c>
      <c r="F9678" s="5">
        <v>1</v>
      </c>
      <c r="G9678" s="5">
        <v>2</v>
      </c>
    </row>
    <row r="9679" spans="1:7" x14ac:dyDescent="0.3">
      <c r="A9679" t="s">
        <v>37</v>
      </c>
      <c r="B9679" t="s">
        <v>238</v>
      </c>
      <c r="C9679">
        <v>40</v>
      </c>
      <c r="D9679">
        <v>1.45</v>
      </c>
      <c r="E9679">
        <v>1</v>
      </c>
      <c r="F9679">
        <v>1</v>
      </c>
      <c r="G9679">
        <v>3</v>
      </c>
    </row>
    <row r="9680" spans="1:7" x14ac:dyDescent="0.3">
      <c r="A9680" t="s">
        <v>36</v>
      </c>
      <c r="B9680" t="s">
        <v>236</v>
      </c>
      <c r="C9680">
        <v>35</v>
      </c>
      <c r="D9680">
        <v>1.1100000000000001</v>
      </c>
      <c r="E9680">
        <v>1</v>
      </c>
      <c r="F9680">
        <v>1</v>
      </c>
      <c r="G9680">
        <v>2</v>
      </c>
    </row>
    <row r="9681" spans="1:7" s="5" customFormat="1" x14ac:dyDescent="0.3">
      <c r="A9681" s="5" t="s">
        <v>36</v>
      </c>
      <c r="B9681" s="5" t="s">
        <v>238</v>
      </c>
      <c r="C9681" s="5">
        <v>17</v>
      </c>
      <c r="D9681" s="5">
        <v>1.02</v>
      </c>
      <c r="E9681" s="5">
        <v>1</v>
      </c>
      <c r="F9681" s="5">
        <v>1</v>
      </c>
      <c r="G9681" s="5">
        <v>2</v>
      </c>
    </row>
    <row r="9682" spans="1:7" s="5" customFormat="1" x14ac:dyDescent="0.3">
      <c r="A9682" s="5" t="s">
        <v>34</v>
      </c>
      <c r="B9682" s="5" t="s">
        <v>236</v>
      </c>
      <c r="C9682" s="5">
        <v>10</v>
      </c>
      <c r="D9682" s="5">
        <v>1.52</v>
      </c>
      <c r="E9682" s="5">
        <v>1</v>
      </c>
      <c r="F9682" s="5">
        <v>1</v>
      </c>
      <c r="G9682" s="5">
        <v>3</v>
      </c>
    </row>
    <row r="9683" spans="1:7" x14ac:dyDescent="0.3">
      <c r="A9683" t="s">
        <v>34</v>
      </c>
      <c r="B9683" t="s">
        <v>238</v>
      </c>
      <c r="C9683">
        <v>43</v>
      </c>
      <c r="D9683">
        <v>1.28</v>
      </c>
      <c r="E9683">
        <v>1</v>
      </c>
      <c r="F9683">
        <v>1</v>
      </c>
      <c r="G9683">
        <v>3</v>
      </c>
    </row>
    <row r="9684" spans="1:7" s="5" customFormat="1" x14ac:dyDescent="0.3">
      <c r="A9684" s="5" t="s">
        <v>33</v>
      </c>
      <c r="B9684" s="5" t="s">
        <v>236</v>
      </c>
      <c r="C9684" s="5">
        <v>30</v>
      </c>
      <c r="D9684" s="5">
        <v>1.22</v>
      </c>
      <c r="E9684" s="5">
        <v>1</v>
      </c>
      <c r="F9684" s="5">
        <v>1</v>
      </c>
      <c r="G9684" s="5">
        <v>3</v>
      </c>
    </row>
    <row r="9685" spans="1:7" s="5" customFormat="1" x14ac:dyDescent="0.3">
      <c r="A9685" s="5" t="s">
        <v>33</v>
      </c>
      <c r="B9685" s="5" t="s">
        <v>238</v>
      </c>
      <c r="C9685" s="5">
        <v>10</v>
      </c>
      <c r="D9685" s="5">
        <v>1.1100000000000001</v>
      </c>
      <c r="E9685" s="5">
        <v>1</v>
      </c>
      <c r="F9685" s="5">
        <v>1</v>
      </c>
      <c r="G9685" s="5">
        <v>2</v>
      </c>
    </row>
    <row r="9686" spans="1:7" x14ac:dyDescent="0.3">
      <c r="A9686" t="s">
        <v>49</v>
      </c>
      <c r="B9686" t="s">
        <v>236</v>
      </c>
      <c r="C9686">
        <v>126</v>
      </c>
      <c r="D9686">
        <v>1.27</v>
      </c>
      <c r="E9686">
        <v>1</v>
      </c>
      <c r="F9686">
        <v>1</v>
      </c>
      <c r="G9686">
        <v>3</v>
      </c>
    </row>
    <row r="9687" spans="1:7" x14ac:dyDescent="0.3">
      <c r="A9687" t="s">
        <v>49</v>
      </c>
      <c r="B9687" t="s">
        <v>238</v>
      </c>
      <c r="C9687">
        <v>141</v>
      </c>
      <c r="D9687">
        <v>1.26</v>
      </c>
      <c r="E9687">
        <v>1</v>
      </c>
      <c r="F9687">
        <v>1</v>
      </c>
      <c r="G9687">
        <v>3</v>
      </c>
    </row>
    <row r="9689" spans="1:7" x14ac:dyDescent="0.3">
      <c r="A9689" t="s">
        <v>2424</v>
      </c>
    </row>
    <row r="9690" spans="1:7" x14ac:dyDescent="0.3">
      <c r="A9690" t="s">
        <v>44</v>
      </c>
      <c r="B9690" t="s">
        <v>1720</v>
      </c>
      <c r="C9690" t="s">
        <v>32</v>
      </c>
      <c r="D9690" t="s">
        <v>45</v>
      </c>
      <c r="E9690" t="s">
        <v>46</v>
      </c>
      <c r="F9690" t="s">
        <v>47</v>
      </c>
      <c r="G9690" t="s">
        <v>48</v>
      </c>
    </row>
    <row r="9691" spans="1:7" s="5" customFormat="1" x14ac:dyDescent="0.3">
      <c r="A9691" s="5" t="s">
        <v>35</v>
      </c>
      <c r="B9691" s="5" t="s">
        <v>1721</v>
      </c>
      <c r="C9691" s="5">
        <v>16</v>
      </c>
      <c r="D9691" s="5">
        <v>1</v>
      </c>
      <c r="E9691" s="5">
        <v>1</v>
      </c>
      <c r="F9691" s="5">
        <v>1</v>
      </c>
      <c r="G9691" s="5">
        <v>1</v>
      </c>
    </row>
    <row r="9692" spans="1:7" x14ac:dyDescent="0.3">
      <c r="A9692" t="s">
        <v>35</v>
      </c>
      <c r="B9692" t="s">
        <v>1722</v>
      </c>
      <c r="C9692">
        <v>40</v>
      </c>
      <c r="D9692">
        <v>1.29</v>
      </c>
      <c r="E9692">
        <v>1</v>
      </c>
      <c r="F9692">
        <v>1</v>
      </c>
      <c r="G9692">
        <v>3</v>
      </c>
    </row>
    <row r="9693" spans="1:7" s="5" customFormat="1" x14ac:dyDescent="0.3">
      <c r="A9693" s="5" t="s">
        <v>37</v>
      </c>
      <c r="B9693" s="5" t="s">
        <v>1721</v>
      </c>
      <c r="C9693" s="5">
        <v>13</v>
      </c>
      <c r="D9693" s="5">
        <v>1.1100000000000001</v>
      </c>
      <c r="E9693" s="5">
        <v>1</v>
      </c>
      <c r="F9693" s="5">
        <v>1</v>
      </c>
      <c r="G9693" s="5">
        <v>2</v>
      </c>
    </row>
    <row r="9694" spans="1:7" x14ac:dyDescent="0.3">
      <c r="A9694" t="s">
        <v>37</v>
      </c>
      <c r="B9694" t="s">
        <v>1722</v>
      </c>
      <c r="C9694">
        <v>53</v>
      </c>
      <c r="D9694">
        <v>1.41</v>
      </c>
      <c r="E9694">
        <v>1</v>
      </c>
      <c r="F9694">
        <v>1</v>
      </c>
      <c r="G9694">
        <v>3</v>
      </c>
    </row>
    <row r="9695" spans="1:7" s="5" customFormat="1" x14ac:dyDescent="0.3">
      <c r="A9695" s="5" t="s">
        <v>36</v>
      </c>
      <c r="B9695" s="5" t="s">
        <v>1721</v>
      </c>
      <c r="C9695" s="5">
        <v>15</v>
      </c>
      <c r="D9695" s="5">
        <v>1.06</v>
      </c>
      <c r="E9695" s="5">
        <v>1</v>
      </c>
      <c r="F9695" s="5">
        <v>1</v>
      </c>
      <c r="G9695" s="5">
        <v>2</v>
      </c>
    </row>
    <row r="9696" spans="1:7" x14ac:dyDescent="0.3">
      <c r="A9696" t="s">
        <v>36</v>
      </c>
      <c r="B9696" t="s">
        <v>1722</v>
      </c>
      <c r="C9696">
        <v>37</v>
      </c>
      <c r="D9696">
        <v>1.04</v>
      </c>
      <c r="E9696">
        <v>1</v>
      </c>
      <c r="F9696">
        <v>1</v>
      </c>
      <c r="G9696">
        <v>2</v>
      </c>
    </row>
    <row r="9697" spans="1:14" s="5" customFormat="1" x14ac:dyDescent="0.3">
      <c r="A9697" s="5" t="s">
        <v>34</v>
      </c>
      <c r="B9697" s="5" t="s">
        <v>1721</v>
      </c>
      <c r="C9697" s="5">
        <v>14</v>
      </c>
      <c r="D9697" s="5">
        <v>1.1100000000000001</v>
      </c>
      <c r="E9697" s="5">
        <v>1</v>
      </c>
      <c r="F9697" s="5">
        <v>1</v>
      </c>
      <c r="G9697" s="5">
        <v>2</v>
      </c>
    </row>
    <row r="9698" spans="1:14" x14ac:dyDescent="0.3">
      <c r="A9698" t="s">
        <v>34</v>
      </c>
      <c r="B9698" t="s">
        <v>1722</v>
      </c>
      <c r="C9698">
        <v>39</v>
      </c>
      <c r="D9698">
        <v>1.47</v>
      </c>
      <c r="E9698">
        <v>1</v>
      </c>
      <c r="F9698">
        <v>1</v>
      </c>
      <c r="G9698">
        <v>3</v>
      </c>
    </row>
    <row r="9699" spans="1:14" s="5" customFormat="1" x14ac:dyDescent="0.3">
      <c r="A9699" s="5" t="s">
        <v>33</v>
      </c>
      <c r="B9699" s="5" t="s">
        <v>1721</v>
      </c>
      <c r="C9699" s="5">
        <v>10</v>
      </c>
      <c r="D9699" s="5">
        <v>1.1599999999999999</v>
      </c>
      <c r="E9699" s="5">
        <v>1</v>
      </c>
      <c r="F9699" s="5">
        <v>1</v>
      </c>
      <c r="G9699" s="5">
        <v>2</v>
      </c>
    </row>
    <row r="9700" spans="1:14" s="5" customFormat="1" x14ac:dyDescent="0.3">
      <c r="A9700" s="5" t="s">
        <v>33</v>
      </c>
      <c r="B9700" s="5" t="s">
        <v>1722</v>
      </c>
      <c r="C9700" s="5">
        <v>30</v>
      </c>
      <c r="D9700" s="5">
        <v>1.19</v>
      </c>
      <c r="E9700" s="5">
        <v>1</v>
      </c>
      <c r="F9700" s="5">
        <v>1</v>
      </c>
      <c r="G9700" s="5">
        <v>3</v>
      </c>
    </row>
    <row r="9701" spans="1:14" x14ac:dyDescent="0.3">
      <c r="A9701" t="s">
        <v>49</v>
      </c>
      <c r="B9701" t="s">
        <v>1721</v>
      </c>
      <c r="C9701">
        <v>68</v>
      </c>
      <c r="D9701">
        <v>1.08</v>
      </c>
      <c r="E9701">
        <v>1</v>
      </c>
      <c r="F9701">
        <v>1</v>
      </c>
      <c r="G9701">
        <v>2</v>
      </c>
    </row>
    <row r="9702" spans="1:14" x14ac:dyDescent="0.3">
      <c r="A9702" t="s">
        <v>49</v>
      </c>
      <c r="B9702" t="s">
        <v>1722</v>
      </c>
      <c r="C9702">
        <v>199</v>
      </c>
      <c r="D9702">
        <v>1.34</v>
      </c>
      <c r="E9702">
        <v>1</v>
      </c>
      <c r="F9702">
        <v>1</v>
      </c>
      <c r="G9702">
        <v>3</v>
      </c>
    </row>
    <row r="9704" spans="1:14" x14ac:dyDescent="0.3">
      <c r="A9704" t="s">
        <v>2425</v>
      </c>
    </row>
    <row r="9705" spans="1:14" x14ac:dyDescent="0.3">
      <c r="A9705" t="s">
        <v>44</v>
      </c>
      <c r="B9705" t="s">
        <v>32</v>
      </c>
      <c r="C9705" t="s">
        <v>2426</v>
      </c>
      <c r="D9705" t="s">
        <v>2427</v>
      </c>
      <c r="E9705" t="s">
        <v>2428</v>
      </c>
      <c r="F9705" t="s">
        <v>2429</v>
      </c>
      <c r="G9705" t="s">
        <v>2430</v>
      </c>
      <c r="H9705" t="s">
        <v>2431</v>
      </c>
      <c r="I9705" t="s">
        <v>2432</v>
      </c>
      <c r="J9705" t="s">
        <v>2433</v>
      </c>
      <c r="K9705" t="s">
        <v>2434</v>
      </c>
      <c r="L9705" t="s">
        <v>2435</v>
      </c>
      <c r="M9705" t="s">
        <v>1527</v>
      </c>
      <c r="N9705" t="s">
        <v>193</v>
      </c>
    </row>
    <row r="9706" spans="1:14" x14ac:dyDescent="0.3">
      <c r="A9706" t="s">
        <v>35</v>
      </c>
      <c r="B9706">
        <v>56</v>
      </c>
      <c r="C9706" t="s">
        <v>139</v>
      </c>
      <c r="D9706" t="s">
        <v>99</v>
      </c>
      <c r="E9706" t="s">
        <v>751</v>
      </c>
      <c r="F9706" t="s">
        <v>554</v>
      </c>
      <c r="G9706" t="s">
        <v>99</v>
      </c>
      <c r="H9706" t="s">
        <v>99</v>
      </c>
      <c r="I9706" t="s">
        <v>99</v>
      </c>
      <c r="J9706" t="s">
        <v>99</v>
      </c>
      <c r="K9706" t="s">
        <v>99</v>
      </c>
      <c r="L9706" t="s">
        <v>731</v>
      </c>
      <c r="M9706" t="s">
        <v>99</v>
      </c>
      <c r="N9706" t="s">
        <v>74</v>
      </c>
    </row>
    <row r="9707" spans="1:14" x14ac:dyDescent="0.3">
      <c r="A9707" t="s">
        <v>37</v>
      </c>
      <c r="B9707">
        <v>118</v>
      </c>
      <c r="C9707" t="s">
        <v>1233</v>
      </c>
      <c r="D9707" t="s">
        <v>434</v>
      </c>
      <c r="E9707" t="s">
        <v>689</v>
      </c>
      <c r="F9707" t="s">
        <v>112</v>
      </c>
      <c r="G9707" t="s">
        <v>138</v>
      </c>
      <c r="H9707" t="s">
        <v>99</v>
      </c>
      <c r="I9707" t="s">
        <v>99</v>
      </c>
      <c r="J9707" t="s">
        <v>99</v>
      </c>
      <c r="K9707" t="s">
        <v>253</v>
      </c>
      <c r="L9707" t="s">
        <v>663</v>
      </c>
      <c r="M9707" t="s">
        <v>126</v>
      </c>
      <c r="N9707" t="s">
        <v>292</v>
      </c>
    </row>
    <row r="9708" spans="1:14" x14ac:dyDescent="0.3">
      <c r="A9708" t="s">
        <v>36</v>
      </c>
      <c r="B9708">
        <v>134</v>
      </c>
      <c r="C9708" t="s">
        <v>506</v>
      </c>
      <c r="D9708" t="s">
        <v>506</v>
      </c>
      <c r="E9708" t="s">
        <v>676</v>
      </c>
      <c r="F9708" t="s">
        <v>125</v>
      </c>
      <c r="G9708" t="s">
        <v>382</v>
      </c>
      <c r="H9708" t="s">
        <v>99</v>
      </c>
      <c r="I9708" t="s">
        <v>253</v>
      </c>
      <c r="J9708" t="s">
        <v>99</v>
      </c>
      <c r="K9708" t="s">
        <v>152</v>
      </c>
      <c r="L9708" t="s">
        <v>437</v>
      </c>
      <c r="M9708" t="s">
        <v>99</v>
      </c>
      <c r="N9708" t="s">
        <v>207</v>
      </c>
    </row>
    <row r="9709" spans="1:14" x14ac:dyDescent="0.3">
      <c r="A9709" t="s">
        <v>34</v>
      </c>
      <c r="B9709">
        <v>53</v>
      </c>
      <c r="C9709" t="s">
        <v>416</v>
      </c>
      <c r="D9709" t="s">
        <v>104</v>
      </c>
      <c r="E9709" t="s">
        <v>681</v>
      </c>
      <c r="F9709" t="s">
        <v>585</v>
      </c>
      <c r="G9709" t="s">
        <v>99</v>
      </c>
      <c r="H9709" t="s">
        <v>99</v>
      </c>
      <c r="I9709" t="s">
        <v>99</v>
      </c>
      <c r="J9709" t="s">
        <v>99</v>
      </c>
      <c r="K9709" t="s">
        <v>99</v>
      </c>
      <c r="L9709" t="s">
        <v>305</v>
      </c>
      <c r="M9709" t="s">
        <v>129</v>
      </c>
      <c r="N9709" t="s">
        <v>316</v>
      </c>
    </row>
    <row r="9710" spans="1:14" x14ac:dyDescent="0.3">
      <c r="A9710" t="s">
        <v>33</v>
      </c>
      <c r="B9710">
        <v>41</v>
      </c>
      <c r="C9710" t="s">
        <v>298</v>
      </c>
      <c r="D9710" t="s">
        <v>144</v>
      </c>
      <c r="E9710" t="s">
        <v>745</v>
      </c>
      <c r="F9710" t="s">
        <v>173</v>
      </c>
      <c r="G9710" t="s">
        <v>99</v>
      </c>
      <c r="H9710" t="s">
        <v>99</v>
      </c>
      <c r="I9710" t="s">
        <v>99</v>
      </c>
      <c r="J9710" t="s">
        <v>99</v>
      </c>
      <c r="K9710" t="s">
        <v>117</v>
      </c>
      <c r="L9710" t="s">
        <v>119</v>
      </c>
      <c r="M9710" t="s">
        <v>99</v>
      </c>
      <c r="N9710" t="s">
        <v>151</v>
      </c>
    </row>
    <row r="9711" spans="1:14" x14ac:dyDescent="0.3">
      <c r="A9711" t="s">
        <v>49</v>
      </c>
      <c r="B9711">
        <v>402</v>
      </c>
      <c r="C9711" t="s">
        <v>698</v>
      </c>
      <c r="D9711" t="s">
        <v>109</v>
      </c>
      <c r="E9711" t="s">
        <v>747</v>
      </c>
      <c r="F9711" t="s">
        <v>106</v>
      </c>
      <c r="G9711" t="s">
        <v>382</v>
      </c>
      <c r="H9711" t="s">
        <v>99</v>
      </c>
      <c r="I9711" t="s">
        <v>104</v>
      </c>
      <c r="J9711" t="s">
        <v>99</v>
      </c>
      <c r="K9711" t="s">
        <v>121</v>
      </c>
      <c r="L9711" t="s">
        <v>710</v>
      </c>
      <c r="M9711" t="s">
        <v>319</v>
      </c>
      <c r="N9711" t="s">
        <v>316</v>
      </c>
    </row>
    <row r="9713" spans="1:15" x14ac:dyDescent="0.3">
      <c r="A9713" t="s">
        <v>2436</v>
      </c>
    </row>
    <row r="9714" spans="1:15" x14ac:dyDescent="0.3">
      <c r="A9714" t="s">
        <v>44</v>
      </c>
      <c r="B9714" t="s">
        <v>361</v>
      </c>
      <c r="C9714" t="s">
        <v>32</v>
      </c>
      <c r="D9714" t="s">
        <v>2426</v>
      </c>
      <c r="E9714" t="s">
        <v>2427</v>
      </c>
      <c r="F9714" t="s">
        <v>2428</v>
      </c>
      <c r="G9714" t="s">
        <v>2429</v>
      </c>
      <c r="H9714" t="s">
        <v>2430</v>
      </c>
      <c r="I9714" t="s">
        <v>2431</v>
      </c>
      <c r="J9714" t="s">
        <v>2432</v>
      </c>
      <c r="K9714" t="s">
        <v>2433</v>
      </c>
      <c r="L9714" t="s">
        <v>2434</v>
      </c>
      <c r="M9714" t="s">
        <v>2435</v>
      </c>
      <c r="N9714" t="s">
        <v>1527</v>
      </c>
      <c r="O9714" t="s">
        <v>193</v>
      </c>
    </row>
    <row r="9715" spans="1:15" s="5" customFormat="1" x14ac:dyDescent="0.3">
      <c r="A9715" s="5" t="s">
        <v>35</v>
      </c>
      <c r="B9715" s="5" t="s">
        <v>339</v>
      </c>
      <c r="C9715" s="5">
        <v>13</v>
      </c>
      <c r="D9715" s="5" t="s">
        <v>155</v>
      </c>
      <c r="E9715" s="5" t="s">
        <v>99</v>
      </c>
      <c r="F9715" s="5" t="s">
        <v>539</v>
      </c>
      <c r="G9715" s="5" t="s">
        <v>156</v>
      </c>
      <c r="H9715" s="5" t="s">
        <v>99</v>
      </c>
      <c r="I9715" s="5" t="s">
        <v>99</v>
      </c>
      <c r="J9715" s="5" t="s">
        <v>99</v>
      </c>
      <c r="K9715" s="5" t="s">
        <v>99</v>
      </c>
      <c r="L9715" s="5" t="s">
        <v>99</v>
      </c>
      <c r="M9715" s="5" t="s">
        <v>529</v>
      </c>
      <c r="N9715" s="5" t="s">
        <v>99</v>
      </c>
      <c r="O9715" s="5" t="s">
        <v>99</v>
      </c>
    </row>
    <row r="9716" spans="1:15" x14ac:dyDescent="0.3">
      <c r="A9716" t="s">
        <v>35</v>
      </c>
      <c r="B9716" t="s">
        <v>340</v>
      </c>
      <c r="C9716">
        <v>42</v>
      </c>
      <c r="D9716" t="s">
        <v>124</v>
      </c>
      <c r="E9716" t="s">
        <v>99</v>
      </c>
      <c r="F9716" t="s">
        <v>718</v>
      </c>
      <c r="G9716" t="s">
        <v>900</v>
      </c>
      <c r="H9716" t="s">
        <v>99</v>
      </c>
      <c r="I9716" t="s">
        <v>99</v>
      </c>
      <c r="J9716" t="s">
        <v>99</v>
      </c>
      <c r="K9716" t="s">
        <v>99</v>
      </c>
      <c r="L9716" t="s">
        <v>99</v>
      </c>
      <c r="M9716" t="s">
        <v>218</v>
      </c>
      <c r="N9716" t="s">
        <v>99</v>
      </c>
      <c r="O9716" t="s">
        <v>305</v>
      </c>
    </row>
    <row r="9717" spans="1:15" x14ac:dyDescent="0.3">
      <c r="A9717" t="s">
        <v>35</v>
      </c>
      <c r="B9717" t="s">
        <v>365</v>
      </c>
      <c r="C9717">
        <v>1</v>
      </c>
      <c r="D9717" t="s">
        <v>99</v>
      </c>
      <c r="E9717" t="s">
        <v>99</v>
      </c>
      <c r="F9717" t="s">
        <v>99</v>
      </c>
      <c r="G9717" t="s">
        <v>211</v>
      </c>
      <c r="H9717" t="s">
        <v>99</v>
      </c>
      <c r="I9717" t="s">
        <v>99</v>
      </c>
      <c r="J9717" t="s">
        <v>99</v>
      </c>
      <c r="K9717" t="s">
        <v>99</v>
      </c>
      <c r="L9717" t="s">
        <v>99</v>
      </c>
      <c r="M9717" t="s">
        <v>99</v>
      </c>
      <c r="N9717" t="s">
        <v>99</v>
      </c>
      <c r="O9717" t="s">
        <v>99</v>
      </c>
    </row>
    <row r="9718" spans="1:15" x14ac:dyDescent="0.3">
      <c r="A9718" t="s">
        <v>37</v>
      </c>
      <c r="B9718" t="s">
        <v>339</v>
      </c>
      <c r="C9718">
        <v>37</v>
      </c>
      <c r="D9718" t="s">
        <v>819</v>
      </c>
      <c r="E9718" t="s">
        <v>254</v>
      </c>
      <c r="F9718" t="s">
        <v>173</v>
      </c>
      <c r="G9718" t="s">
        <v>316</v>
      </c>
      <c r="H9718" t="s">
        <v>663</v>
      </c>
      <c r="I9718" t="s">
        <v>99</v>
      </c>
      <c r="J9718" t="s">
        <v>99</v>
      </c>
      <c r="K9718" t="s">
        <v>99</v>
      </c>
      <c r="L9718" t="s">
        <v>268</v>
      </c>
      <c r="M9718" t="s">
        <v>133</v>
      </c>
      <c r="N9718" t="s">
        <v>684</v>
      </c>
      <c r="O9718" t="s">
        <v>319</v>
      </c>
    </row>
    <row r="9719" spans="1:15" x14ac:dyDescent="0.3">
      <c r="A9719" t="s">
        <v>37</v>
      </c>
      <c r="B9719" t="s">
        <v>340</v>
      </c>
      <c r="C9719">
        <v>80</v>
      </c>
      <c r="D9719" t="s">
        <v>1279</v>
      </c>
      <c r="E9719" t="s">
        <v>155</v>
      </c>
      <c r="F9719" t="s">
        <v>463</v>
      </c>
      <c r="G9719" t="s">
        <v>712</v>
      </c>
      <c r="H9719" t="s">
        <v>292</v>
      </c>
      <c r="I9719" t="s">
        <v>99</v>
      </c>
      <c r="J9719" t="s">
        <v>99</v>
      </c>
      <c r="K9719" t="s">
        <v>99</v>
      </c>
      <c r="L9719" t="s">
        <v>99</v>
      </c>
      <c r="M9719" t="s">
        <v>124</v>
      </c>
      <c r="N9719" t="s">
        <v>99</v>
      </c>
      <c r="O9719" t="s">
        <v>117</v>
      </c>
    </row>
    <row r="9720" spans="1:15" x14ac:dyDescent="0.3">
      <c r="A9720" t="s">
        <v>37</v>
      </c>
      <c r="B9720" t="s">
        <v>365</v>
      </c>
      <c r="C9720">
        <v>1</v>
      </c>
      <c r="D9720" t="s">
        <v>99</v>
      </c>
      <c r="E9720" t="s">
        <v>99</v>
      </c>
      <c r="F9720" t="s">
        <v>99</v>
      </c>
      <c r="G9720" t="s">
        <v>211</v>
      </c>
      <c r="H9720" t="s">
        <v>99</v>
      </c>
      <c r="I9720" t="s">
        <v>99</v>
      </c>
      <c r="J9720" t="s">
        <v>99</v>
      </c>
      <c r="K9720" t="s">
        <v>99</v>
      </c>
      <c r="L9720" t="s">
        <v>99</v>
      </c>
      <c r="M9720" t="s">
        <v>99</v>
      </c>
      <c r="N9720" t="s">
        <v>99</v>
      </c>
      <c r="O9720" t="s">
        <v>99</v>
      </c>
    </row>
    <row r="9721" spans="1:15" s="5" customFormat="1" x14ac:dyDescent="0.3">
      <c r="A9721" s="5" t="s">
        <v>36</v>
      </c>
      <c r="B9721" s="5" t="s">
        <v>339</v>
      </c>
      <c r="C9721" s="5">
        <v>30</v>
      </c>
      <c r="D9721" s="5" t="s">
        <v>64</v>
      </c>
      <c r="E9721" s="5" t="s">
        <v>592</v>
      </c>
      <c r="F9721" s="5" t="s">
        <v>140</v>
      </c>
      <c r="G9721" s="5" t="s">
        <v>289</v>
      </c>
      <c r="H9721" s="5" t="s">
        <v>268</v>
      </c>
      <c r="I9721" s="5" t="s">
        <v>99</v>
      </c>
      <c r="J9721" s="5" t="s">
        <v>99</v>
      </c>
      <c r="K9721" s="5" t="s">
        <v>99</v>
      </c>
      <c r="L9721" s="5" t="s">
        <v>99</v>
      </c>
      <c r="M9721" s="5" t="s">
        <v>513</v>
      </c>
      <c r="N9721" s="5" t="s">
        <v>99</v>
      </c>
      <c r="O9721" s="5" t="s">
        <v>99</v>
      </c>
    </row>
    <row r="9722" spans="1:15" x14ac:dyDescent="0.3">
      <c r="A9722" t="s">
        <v>36</v>
      </c>
      <c r="B9722" t="s">
        <v>340</v>
      </c>
      <c r="C9722">
        <v>102</v>
      </c>
      <c r="D9722" t="s">
        <v>551</v>
      </c>
      <c r="E9722" t="s">
        <v>629</v>
      </c>
      <c r="F9722" t="s">
        <v>201</v>
      </c>
      <c r="G9722" t="s">
        <v>299</v>
      </c>
      <c r="H9722" t="s">
        <v>136</v>
      </c>
      <c r="I9722" t="s">
        <v>99</v>
      </c>
      <c r="J9722" t="s">
        <v>99</v>
      </c>
      <c r="K9722" t="s">
        <v>99</v>
      </c>
      <c r="L9722" t="s">
        <v>220</v>
      </c>
      <c r="M9722" t="s">
        <v>1044</v>
      </c>
      <c r="N9722" t="s">
        <v>99</v>
      </c>
      <c r="O9722" t="s">
        <v>141</v>
      </c>
    </row>
    <row r="9723" spans="1:15" x14ac:dyDescent="0.3">
      <c r="A9723" t="s">
        <v>36</v>
      </c>
      <c r="B9723" t="s">
        <v>365</v>
      </c>
      <c r="C9723">
        <v>2</v>
      </c>
      <c r="D9723" t="s">
        <v>713</v>
      </c>
      <c r="E9723" t="s">
        <v>713</v>
      </c>
      <c r="F9723" t="s">
        <v>99</v>
      </c>
      <c r="G9723" t="s">
        <v>99</v>
      </c>
      <c r="H9723" t="s">
        <v>2118</v>
      </c>
      <c r="I9723" t="s">
        <v>99</v>
      </c>
      <c r="J9723" t="s">
        <v>2118</v>
      </c>
      <c r="K9723" t="s">
        <v>99</v>
      </c>
      <c r="L9723" t="s">
        <v>99</v>
      </c>
      <c r="M9723" t="s">
        <v>99</v>
      </c>
      <c r="N9723" t="s">
        <v>99</v>
      </c>
      <c r="O9723" t="s">
        <v>99</v>
      </c>
    </row>
    <row r="9724" spans="1:15" s="5" customFormat="1" x14ac:dyDescent="0.3">
      <c r="A9724" s="5" t="s">
        <v>34</v>
      </c>
      <c r="B9724" s="5" t="s">
        <v>339</v>
      </c>
      <c r="C9724" s="5">
        <v>12</v>
      </c>
      <c r="D9724" s="5" t="s">
        <v>368</v>
      </c>
      <c r="E9724" s="5" t="s">
        <v>99</v>
      </c>
      <c r="F9724" s="5" t="s">
        <v>938</v>
      </c>
      <c r="G9724" s="5" t="s">
        <v>582</v>
      </c>
      <c r="H9724" s="5" t="s">
        <v>99</v>
      </c>
      <c r="I9724" s="5" t="s">
        <v>99</v>
      </c>
      <c r="J9724" s="5" t="s">
        <v>99</v>
      </c>
      <c r="K9724" s="5" t="s">
        <v>99</v>
      </c>
      <c r="L9724" s="5" t="s">
        <v>99</v>
      </c>
      <c r="M9724" s="5" t="s">
        <v>287</v>
      </c>
      <c r="N9724" s="5" t="s">
        <v>368</v>
      </c>
      <c r="O9724" s="5" t="s">
        <v>99</v>
      </c>
    </row>
    <row r="9725" spans="1:15" x14ac:dyDescent="0.3">
      <c r="A9725" t="s">
        <v>34</v>
      </c>
      <c r="B9725" t="s">
        <v>340</v>
      </c>
      <c r="C9725">
        <v>39</v>
      </c>
      <c r="D9725" t="s">
        <v>291</v>
      </c>
      <c r="E9725" t="s">
        <v>198</v>
      </c>
      <c r="F9725" t="s">
        <v>463</v>
      </c>
      <c r="G9725" t="s">
        <v>1127</v>
      </c>
      <c r="H9725" t="s">
        <v>99</v>
      </c>
      <c r="I9725" t="s">
        <v>99</v>
      </c>
      <c r="J9725" t="s">
        <v>99</v>
      </c>
      <c r="K9725" t="s">
        <v>99</v>
      </c>
      <c r="L9725" t="s">
        <v>99</v>
      </c>
      <c r="M9725" t="s">
        <v>78</v>
      </c>
      <c r="N9725" t="s">
        <v>99</v>
      </c>
      <c r="O9725" t="s">
        <v>110</v>
      </c>
    </row>
    <row r="9726" spans="1:15" x14ac:dyDescent="0.3">
      <c r="A9726" t="s">
        <v>34</v>
      </c>
      <c r="B9726" t="s">
        <v>365</v>
      </c>
      <c r="C9726">
        <v>2</v>
      </c>
      <c r="D9726" t="s">
        <v>99</v>
      </c>
      <c r="E9726" t="s">
        <v>99</v>
      </c>
      <c r="F9726" t="s">
        <v>1362</v>
      </c>
      <c r="G9726" t="s">
        <v>743</v>
      </c>
      <c r="H9726" t="s">
        <v>99</v>
      </c>
      <c r="I9726" t="s">
        <v>99</v>
      </c>
      <c r="J9726" t="s">
        <v>99</v>
      </c>
      <c r="K9726" t="s">
        <v>99</v>
      </c>
      <c r="L9726" t="s">
        <v>99</v>
      </c>
      <c r="M9726" t="s">
        <v>99</v>
      </c>
      <c r="N9726" t="s">
        <v>99</v>
      </c>
      <c r="O9726" t="s">
        <v>99</v>
      </c>
    </row>
    <row r="9727" spans="1:15" s="5" customFormat="1" x14ac:dyDescent="0.3">
      <c r="A9727" s="5" t="s">
        <v>33</v>
      </c>
      <c r="B9727" s="5" t="s">
        <v>339</v>
      </c>
      <c r="C9727" s="5">
        <v>5</v>
      </c>
      <c r="D9727" s="5" t="s">
        <v>99</v>
      </c>
      <c r="E9727" s="5" t="s">
        <v>741</v>
      </c>
      <c r="F9727" s="5" t="s">
        <v>99</v>
      </c>
      <c r="G9727" s="5" t="s">
        <v>639</v>
      </c>
      <c r="H9727" s="5" t="s">
        <v>99</v>
      </c>
      <c r="I9727" s="5" t="s">
        <v>99</v>
      </c>
      <c r="J9727" s="5" t="s">
        <v>99</v>
      </c>
      <c r="K9727" s="5" t="s">
        <v>99</v>
      </c>
      <c r="L9727" s="5" t="s">
        <v>99</v>
      </c>
      <c r="M9727" s="5" t="s">
        <v>638</v>
      </c>
      <c r="N9727" s="5" t="s">
        <v>99</v>
      </c>
      <c r="O9727" s="5" t="s">
        <v>99</v>
      </c>
    </row>
    <row r="9728" spans="1:15" x14ac:dyDescent="0.3">
      <c r="A9728" t="s">
        <v>33</v>
      </c>
      <c r="B9728" t="s">
        <v>340</v>
      </c>
      <c r="C9728">
        <v>36</v>
      </c>
      <c r="D9728" t="s">
        <v>730</v>
      </c>
      <c r="E9728" t="s">
        <v>134</v>
      </c>
      <c r="F9728" t="s">
        <v>1067</v>
      </c>
      <c r="G9728" t="s">
        <v>804</v>
      </c>
      <c r="H9728" t="s">
        <v>99</v>
      </c>
      <c r="I9728" t="s">
        <v>99</v>
      </c>
      <c r="J9728" t="s">
        <v>99</v>
      </c>
      <c r="K9728" t="s">
        <v>99</v>
      </c>
      <c r="L9728" t="s">
        <v>128</v>
      </c>
      <c r="M9728" t="s">
        <v>668</v>
      </c>
      <c r="N9728" t="s">
        <v>99</v>
      </c>
      <c r="O9728" t="s">
        <v>111</v>
      </c>
    </row>
    <row r="9729" spans="1:15" x14ac:dyDescent="0.3">
      <c r="A9729" t="s">
        <v>49</v>
      </c>
      <c r="B9729" t="s">
        <v>339</v>
      </c>
      <c r="C9729">
        <v>97</v>
      </c>
      <c r="D9729" t="s">
        <v>1068</v>
      </c>
      <c r="E9729" t="s">
        <v>401</v>
      </c>
      <c r="F9729" t="s">
        <v>519</v>
      </c>
      <c r="G9729" t="s">
        <v>501</v>
      </c>
      <c r="H9729" t="s">
        <v>332</v>
      </c>
      <c r="I9729" t="s">
        <v>99</v>
      </c>
      <c r="J9729" t="s">
        <v>99</v>
      </c>
      <c r="K9729" t="s">
        <v>99</v>
      </c>
      <c r="L9729" t="s">
        <v>100</v>
      </c>
      <c r="M9729" t="s">
        <v>255</v>
      </c>
      <c r="N9729" t="s">
        <v>325</v>
      </c>
      <c r="O9729" t="s">
        <v>115</v>
      </c>
    </row>
    <row r="9730" spans="1:15" x14ac:dyDescent="0.3">
      <c r="A9730" t="s">
        <v>49</v>
      </c>
      <c r="B9730" t="s">
        <v>340</v>
      </c>
      <c r="C9730">
        <v>299</v>
      </c>
      <c r="D9730" t="s">
        <v>506</v>
      </c>
      <c r="E9730" t="s">
        <v>663</v>
      </c>
      <c r="F9730" t="s">
        <v>683</v>
      </c>
      <c r="G9730" t="s">
        <v>959</v>
      </c>
      <c r="H9730" t="s">
        <v>108</v>
      </c>
      <c r="I9730" t="s">
        <v>99</v>
      </c>
      <c r="J9730" t="s">
        <v>99</v>
      </c>
      <c r="K9730" t="s">
        <v>99</v>
      </c>
      <c r="L9730" t="s">
        <v>101</v>
      </c>
      <c r="M9730" t="s">
        <v>408</v>
      </c>
      <c r="N9730" t="s">
        <v>99</v>
      </c>
      <c r="O9730" t="s">
        <v>155</v>
      </c>
    </row>
    <row r="9731" spans="1:15" x14ac:dyDescent="0.3">
      <c r="A9731" t="s">
        <v>49</v>
      </c>
      <c r="B9731" t="s">
        <v>365</v>
      </c>
      <c r="C9731">
        <v>6</v>
      </c>
      <c r="D9731" t="s">
        <v>121</v>
      </c>
      <c r="E9731" t="s">
        <v>121</v>
      </c>
      <c r="F9731" t="s">
        <v>807</v>
      </c>
      <c r="G9731" t="s">
        <v>865</v>
      </c>
      <c r="H9731" t="s">
        <v>268</v>
      </c>
      <c r="I9731" t="s">
        <v>99</v>
      </c>
      <c r="J9731" t="s">
        <v>268</v>
      </c>
      <c r="K9731" t="s">
        <v>99</v>
      </c>
      <c r="L9731" t="s">
        <v>99</v>
      </c>
      <c r="M9731" t="s">
        <v>99</v>
      </c>
      <c r="N9731" t="s">
        <v>99</v>
      </c>
      <c r="O9731" t="s">
        <v>99</v>
      </c>
    </row>
    <row r="9733" spans="1:15" x14ac:dyDescent="0.3">
      <c r="A9733" t="s">
        <v>2437</v>
      </c>
    </row>
    <row r="9734" spans="1:15" x14ac:dyDescent="0.3">
      <c r="A9734" t="s">
        <v>44</v>
      </c>
      <c r="B9734" t="s">
        <v>209</v>
      </c>
      <c r="C9734" t="s">
        <v>32</v>
      </c>
      <c r="D9734" t="s">
        <v>2426</v>
      </c>
      <c r="E9734" t="s">
        <v>2427</v>
      </c>
      <c r="F9734" t="s">
        <v>2428</v>
      </c>
      <c r="G9734" t="s">
        <v>2429</v>
      </c>
      <c r="H9734" t="s">
        <v>2430</v>
      </c>
      <c r="I9734" t="s">
        <v>2431</v>
      </c>
      <c r="J9734" t="s">
        <v>2432</v>
      </c>
      <c r="K9734" t="s">
        <v>2433</v>
      </c>
      <c r="L9734" t="s">
        <v>2434</v>
      </c>
      <c r="M9734" t="s">
        <v>2435</v>
      </c>
      <c r="N9734" t="s">
        <v>1527</v>
      </c>
      <c r="O9734" t="s">
        <v>193</v>
      </c>
    </row>
    <row r="9735" spans="1:15" s="5" customFormat="1" x14ac:dyDescent="0.3">
      <c r="A9735" s="5" t="s">
        <v>35</v>
      </c>
      <c r="B9735" s="5" t="s">
        <v>210</v>
      </c>
      <c r="C9735" s="5">
        <v>3</v>
      </c>
      <c r="D9735" s="5" t="s">
        <v>99</v>
      </c>
      <c r="E9735" s="5" t="s">
        <v>99</v>
      </c>
      <c r="F9735" s="5" t="s">
        <v>211</v>
      </c>
      <c r="G9735" s="5" t="s">
        <v>99</v>
      </c>
      <c r="H9735" s="5" t="s">
        <v>99</v>
      </c>
      <c r="I9735" s="5" t="s">
        <v>99</v>
      </c>
      <c r="J9735" s="5" t="s">
        <v>99</v>
      </c>
      <c r="K9735" s="5" t="s">
        <v>99</v>
      </c>
      <c r="L9735" s="5" t="s">
        <v>99</v>
      </c>
      <c r="M9735" s="5" t="s">
        <v>614</v>
      </c>
      <c r="N9735" s="5" t="s">
        <v>99</v>
      </c>
      <c r="O9735" s="5" t="s">
        <v>99</v>
      </c>
    </row>
    <row r="9736" spans="1:15" x14ac:dyDescent="0.3">
      <c r="A9736" t="s">
        <v>35</v>
      </c>
      <c r="B9736" t="s">
        <v>212</v>
      </c>
      <c r="C9736">
        <v>35</v>
      </c>
      <c r="D9736" t="s">
        <v>165</v>
      </c>
      <c r="E9736" t="s">
        <v>99</v>
      </c>
      <c r="F9736" t="s">
        <v>513</v>
      </c>
      <c r="G9736" t="s">
        <v>723</v>
      </c>
      <c r="H9736" t="s">
        <v>99</v>
      </c>
      <c r="I9736" t="s">
        <v>99</v>
      </c>
      <c r="J9736" t="s">
        <v>99</v>
      </c>
      <c r="K9736" t="s">
        <v>99</v>
      </c>
      <c r="L9736" t="s">
        <v>99</v>
      </c>
      <c r="M9736" t="s">
        <v>749</v>
      </c>
      <c r="N9736" t="s">
        <v>99</v>
      </c>
      <c r="O9736" t="s">
        <v>318</v>
      </c>
    </row>
    <row r="9737" spans="1:15" s="5" customFormat="1" x14ac:dyDescent="0.3">
      <c r="A9737" s="5" t="s">
        <v>35</v>
      </c>
      <c r="B9737" s="5" t="s">
        <v>216</v>
      </c>
      <c r="C9737" s="5">
        <v>18</v>
      </c>
      <c r="D9737" s="5" t="s">
        <v>99</v>
      </c>
      <c r="E9737" s="5" t="s">
        <v>99</v>
      </c>
      <c r="F9737" s="5" t="s">
        <v>150</v>
      </c>
      <c r="G9737" s="5" t="s">
        <v>250</v>
      </c>
      <c r="H9737" s="5" t="s">
        <v>99</v>
      </c>
      <c r="I9737" s="5" t="s">
        <v>99</v>
      </c>
      <c r="J9737" s="5" t="s">
        <v>99</v>
      </c>
      <c r="K9737" s="5" t="s">
        <v>99</v>
      </c>
      <c r="L9737" s="5" t="s">
        <v>99</v>
      </c>
      <c r="M9737" s="5" t="s">
        <v>107</v>
      </c>
      <c r="N9737" s="5" t="s">
        <v>99</v>
      </c>
      <c r="O9737" s="5" t="s">
        <v>99</v>
      </c>
    </row>
    <row r="9738" spans="1:15" s="5" customFormat="1" x14ac:dyDescent="0.3">
      <c r="A9738" s="5" t="s">
        <v>37</v>
      </c>
      <c r="B9738" s="5" t="s">
        <v>210</v>
      </c>
      <c r="C9738" s="5">
        <v>7</v>
      </c>
      <c r="D9738" s="5" t="s">
        <v>717</v>
      </c>
      <c r="E9738" s="5" t="s">
        <v>99</v>
      </c>
      <c r="F9738" s="5" t="s">
        <v>838</v>
      </c>
      <c r="G9738" s="5" t="s">
        <v>41</v>
      </c>
      <c r="H9738" s="5" t="s">
        <v>99</v>
      </c>
      <c r="I9738" s="5" t="s">
        <v>99</v>
      </c>
      <c r="J9738" s="5" t="s">
        <v>99</v>
      </c>
      <c r="K9738" s="5" t="s">
        <v>99</v>
      </c>
      <c r="L9738" s="5" t="s">
        <v>99</v>
      </c>
      <c r="M9738" s="5" t="s">
        <v>1570</v>
      </c>
      <c r="N9738" s="5" t="s">
        <v>99</v>
      </c>
      <c r="O9738" s="5" t="s">
        <v>99</v>
      </c>
    </row>
    <row r="9739" spans="1:15" x14ac:dyDescent="0.3">
      <c r="A9739" t="s">
        <v>37</v>
      </c>
      <c r="B9739" t="s">
        <v>212</v>
      </c>
      <c r="C9739">
        <v>108</v>
      </c>
      <c r="D9739" t="s">
        <v>302</v>
      </c>
      <c r="E9739" t="s">
        <v>474</v>
      </c>
      <c r="F9739" t="s">
        <v>687</v>
      </c>
      <c r="G9739" t="s">
        <v>474</v>
      </c>
      <c r="H9739" t="s">
        <v>332</v>
      </c>
      <c r="I9739" t="s">
        <v>99</v>
      </c>
      <c r="J9739" t="s">
        <v>99</v>
      </c>
      <c r="K9739" t="s">
        <v>99</v>
      </c>
      <c r="L9739" t="s">
        <v>115</v>
      </c>
      <c r="M9739" t="s">
        <v>68</v>
      </c>
      <c r="N9739" t="s">
        <v>126</v>
      </c>
      <c r="O9739" t="s">
        <v>111</v>
      </c>
    </row>
    <row r="9740" spans="1:15" s="5" customFormat="1" x14ac:dyDescent="0.3">
      <c r="A9740" s="5" t="s">
        <v>37</v>
      </c>
      <c r="B9740" s="5" t="s">
        <v>216</v>
      </c>
      <c r="C9740" s="5">
        <v>3</v>
      </c>
      <c r="D9740" s="5" t="s">
        <v>99</v>
      </c>
      <c r="E9740" s="5" t="s">
        <v>99</v>
      </c>
      <c r="F9740" s="5" t="s">
        <v>1020</v>
      </c>
      <c r="G9740" s="5" t="s">
        <v>99</v>
      </c>
      <c r="H9740" s="5" t="s">
        <v>99</v>
      </c>
      <c r="I9740" s="5" t="s">
        <v>99</v>
      </c>
      <c r="J9740" s="5" t="s">
        <v>99</v>
      </c>
      <c r="K9740" s="5" t="s">
        <v>99</v>
      </c>
      <c r="L9740" s="5" t="s">
        <v>99</v>
      </c>
      <c r="M9740" s="5" t="s">
        <v>670</v>
      </c>
      <c r="N9740" s="5" t="s">
        <v>99</v>
      </c>
      <c r="O9740" s="5" t="s">
        <v>99</v>
      </c>
    </row>
    <row r="9741" spans="1:15" s="5" customFormat="1" x14ac:dyDescent="0.3">
      <c r="A9741" s="5" t="s">
        <v>36</v>
      </c>
      <c r="B9741" s="5" t="s">
        <v>210</v>
      </c>
      <c r="C9741" s="5">
        <v>6</v>
      </c>
      <c r="D9741" s="5" t="s">
        <v>410</v>
      </c>
      <c r="E9741" s="5" t="s">
        <v>315</v>
      </c>
      <c r="F9741" s="5" t="s">
        <v>99</v>
      </c>
      <c r="G9741" s="5" t="s">
        <v>500</v>
      </c>
      <c r="H9741" s="5" t="s">
        <v>99</v>
      </c>
      <c r="I9741" s="5" t="s">
        <v>99</v>
      </c>
      <c r="J9741" s="5" t="s">
        <v>99</v>
      </c>
      <c r="K9741" s="5" t="s">
        <v>99</v>
      </c>
      <c r="L9741" s="5" t="s">
        <v>99</v>
      </c>
      <c r="M9741" s="5" t="s">
        <v>151</v>
      </c>
      <c r="N9741" s="5" t="s">
        <v>99</v>
      </c>
      <c r="O9741" s="5" t="s">
        <v>99</v>
      </c>
    </row>
    <row r="9742" spans="1:15" x14ac:dyDescent="0.3">
      <c r="A9742" t="s">
        <v>36</v>
      </c>
      <c r="B9742" t="s">
        <v>212</v>
      </c>
      <c r="C9742">
        <v>115</v>
      </c>
      <c r="D9742" t="s">
        <v>607</v>
      </c>
      <c r="E9742" t="s">
        <v>621</v>
      </c>
      <c r="F9742" t="s">
        <v>395</v>
      </c>
      <c r="G9742" t="s">
        <v>68</v>
      </c>
      <c r="H9742" t="s">
        <v>127</v>
      </c>
      <c r="I9742" t="s">
        <v>99</v>
      </c>
      <c r="J9742" t="s">
        <v>115</v>
      </c>
      <c r="K9742" t="s">
        <v>99</v>
      </c>
      <c r="L9742" t="s">
        <v>248</v>
      </c>
      <c r="M9742" t="s">
        <v>727</v>
      </c>
      <c r="N9742" t="s">
        <v>99</v>
      </c>
      <c r="O9742" t="s">
        <v>136</v>
      </c>
    </row>
    <row r="9743" spans="1:15" s="5" customFormat="1" x14ac:dyDescent="0.3">
      <c r="A9743" s="5" t="s">
        <v>36</v>
      </c>
      <c r="B9743" s="5" t="s">
        <v>216</v>
      </c>
      <c r="C9743" s="5">
        <v>13</v>
      </c>
      <c r="D9743" s="5" t="s">
        <v>127</v>
      </c>
      <c r="E9743" s="5" t="s">
        <v>99</v>
      </c>
      <c r="F9743" s="5" t="s">
        <v>597</v>
      </c>
      <c r="G9743" s="5" t="s">
        <v>664</v>
      </c>
      <c r="H9743" s="5" t="s">
        <v>99</v>
      </c>
      <c r="I9743" s="5" t="s">
        <v>99</v>
      </c>
      <c r="J9743" s="5" t="s">
        <v>99</v>
      </c>
      <c r="K9743" s="5" t="s">
        <v>99</v>
      </c>
      <c r="L9743" s="5" t="s">
        <v>99</v>
      </c>
      <c r="M9743" s="5" t="s">
        <v>616</v>
      </c>
      <c r="N9743" s="5" t="s">
        <v>99</v>
      </c>
      <c r="O9743" s="5" t="s">
        <v>99</v>
      </c>
    </row>
    <row r="9744" spans="1:15" s="5" customFormat="1" x14ac:dyDescent="0.3">
      <c r="A9744" s="5" t="s">
        <v>34</v>
      </c>
      <c r="B9744" s="5" t="s">
        <v>210</v>
      </c>
      <c r="C9744" s="5">
        <v>9</v>
      </c>
      <c r="D9744" s="5" t="s">
        <v>99</v>
      </c>
      <c r="E9744" s="5" t="s">
        <v>108</v>
      </c>
      <c r="F9744" s="5" t="s">
        <v>994</v>
      </c>
      <c r="G9744" s="5" t="s">
        <v>618</v>
      </c>
      <c r="H9744" s="5" t="s">
        <v>99</v>
      </c>
      <c r="I9744" s="5" t="s">
        <v>99</v>
      </c>
      <c r="J9744" s="5" t="s">
        <v>99</v>
      </c>
      <c r="K9744" s="5" t="s">
        <v>99</v>
      </c>
      <c r="L9744" s="5" t="s">
        <v>99</v>
      </c>
      <c r="M9744" s="5" t="s">
        <v>1046</v>
      </c>
      <c r="N9744" s="5" t="s">
        <v>99</v>
      </c>
      <c r="O9744" s="5" t="s">
        <v>99</v>
      </c>
    </row>
    <row r="9745" spans="1:15" x14ac:dyDescent="0.3">
      <c r="A9745" t="s">
        <v>34</v>
      </c>
      <c r="B9745" t="s">
        <v>212</v>
      </c>
      <c r="C9745">
        <v>31</v>
      </c>
      <c r="D9745" t="s">
        <v>468</v>
      </c>
      <c r="E9745" t="s">
        <v>99</v>
      </c>
      <c r="F9745" t="s">
        <v>810</v>
      </c>
      <c r="G9745" t="s">
        <v>625</v>
      </c>
      <c r="H9745" t="s">
        <v>99</v>
      </c>
      <c r="I9745" t="s">
        <v>99</v>
      </c>
      <c r="J9745" t="s">
        <v>99</v>
      </c>
      <c r="K9745" t="s">
        <v>99</v>
      </c>
      <c r="L9745" t="s">
        <v>99</v>
      </c>
      <c r="M9745" t="s">
        <v>434</v>
      </c>
      <c r="N9745" t="s">
        <v>254</v>
      </c>
      <c r="O9745" t="s">
        <v>99</v>
      </c>
    </row>
    <row r="9746" spans="1:15" s="5" customFormat="1" x14ac:dyDescent="0.3">
      <c r="A9746" s="5" t="s">
        <v>34</v>
      </c>
      <c r="B9746" s="5" t="s">
        <v>216</v>
      </c>
      <c r="C9746" s="5">
        <v>13</v>
      </c>
      <c r="D9746" s="5" t="s">
        <v>695</v>
      </c>
      <c r="E9746" s="5" t="s">
        <v>99</v>
      </c>
      <c r="F9746" s="5" t="s">
        <v>99</v>
      </c>
      <c r="G9746" s="5" t="s">
        <v>904</v>
      </c>
      <c r="H9746" s="5" t="s">
        <v>99</v>
      </c>
      <c r="I9746" s="5" t="s">
        <v>99</v>
      </c>
      <c r="J9746" s="5" t="s">
        <v>99</v>
      </c>
      <c r="K9746" s="5" t="s">
        <v>99</v>
      </c>
      <c r="L9746" s="5" t="s">
        <v>99</v>
      </c>
      <c r="M9746" s="5" t="s">
        <v>98</v>
      </c>
      <c r="N9746" s="5" t="s">
        <v>99</v>
      </c>
      <c r="O9746" s="5" t="s">
        <v>165</v>
      </c>
    </row>
    <row r="9747" spans="1:15" s="5" customFormat="1" x14ac:dyDescent="0.3">
      <c r="A9747" s="5" t="s">
        <v>33</v>
      </c>
      <c r="B9747" s="5" t="s">
        <v>210</v>
      </c>
      <c r="C9747" s="5">
        <v>3</v>
      </c>
      <c r="D9747" s="5" t="s">
        <v>99</v>
      </c>
      <c r="E9747" s="5" t="s">
        <v>99</v>
      </c>
      <c r="F9747" s="5" t="s">
        <v>99</v>
      </c>
      <c r="G9747" s="5" t="s">
        <v>570</v>
      </c>
      <c r="H9747" s="5" t="s">
        <v>99</v>
      </c>
      <c r="I9747" s="5" t="s">
        <v>99</v>
      </c>
      <c r="J9747" s="5" t="s">
        <v>99</v>
      </c>
      <c r="K9747" s="5" t="s">
        <v>99</v>
      </c>
      <c r="L9747" s="5" t="s">
        <v>99</v>
      </c>
      <c r="M9747" s="5" t="s">
        <v>959</v>
      </c>
      <c r="N9747" s="5" t="s">
        <v>99</v>
      </c>
      <c r="O9747" s="5" t="s">
        <v>1107</v>
      </c>
    </row>
    <row r="9748" spans="1:15" x14ac:dyDescent="0.3">
      <c r="A9748" t="s">
        <v>33</v>
      </c>
      <c r="B9748" t="s">
        <v>212</v>
      </c>
      <c r="C9748">
        <v>38</v>
      </c>
      <c r="D9748" t="s">
        <v>820</v>
      </c>
      <c r="E9748" t="s">
        <v>254</v>
      </c>
      <c r="F9748" t="s">
        <v>707</v>
      </c>
      <c r="G9748" t="s">
        <v>355</v>
      </c>
      <c r="H9748" t="s">
        <v>99</v>
      </c>
      <c r="I9748" t="s">
        <v>99</v>
      </c>
      <c r="J9748" t="s">
        <v>99</v>
      </c>
      <c r="K9748" t="s">
        <v>99</v>
      </c>
      <c r="L9748" t="s">
        <v>103</v>
      </c>
      <c r="M9748" t="s">
        <v>828</v>
      </c>
      <c r="N9748" t="s">
        <v>99</v>
      </c>
      <c r="O9748" t="s">
        <v>99</v>
      </c>
    </row>
    <row r="9749" spans="1:15" s="5" customFormat="1" x14ac:dyDescent="0.3">
      <c r="A9749" s="5" t="s">
        <v>49</v>
      </c>
      <c r="B9749" s="5" t="s">
        <v>210</v>
      </c>
      <c r="C9749" s="5">
        <v>28</v>
      </c>
      <c r="D9749" s="5" t="s">
        <v>353</v>
      </c>
      <c r="E9749" s="5" t="s">
        <v>319</v>
      </c>
      <c r="F9749" s="5" t="s">
        <v>937</v>
      </c>
      <c r="G9749" s="5" t="s">
        <v>459</v>
      </c>
      <c r="H9749" s="5" t="s">
        <v>99</v>
      </c>
      <c r="I9749" s="5" t="s">
        <v>99</v>
      </c>
      <c r="J9749" s="5" t="s">
        <v>99</v>
      </c>
      <c r="K9749" s="5" t="s">
        <v>99</v>
      </c>
      <c r="L9749" s="5" t="s">
        <v>99</v>
      </c>
      <c r="M9749" s="5" t="s">
        <v>344</v>
      </c>
      <c r="N9749" s="5" t="s">
        <v>99</v>
      </c>
      <c r="O9749" s="5" t="s">
        <v>105</v>
      </c>
    </row>
    <row r="9750" spans="1:15" x14ac:dyDescent="0.3">
      <c r="A9750" t="s">
        <v>49</v>
      </c>
      <c r="B9750" t="s">
        <v>212</v>
      </c>
      <c r="C9750">
        <v>327</v>
      </c>
      <c r="D9750" t="s">
        <v>955</v>
      </c>
      <c r="E9750" t="s">
        <v>420</v>
      </c>
      <c r="F9750" t="s">
        <v>686</v>
      </c>
      <c r="G9750" t="s">
        <v>186</v>
      </c>
      <c r="H9750" t="s">
        <v>151</v>
      </c>
      <c r="I9750" t="s">
        <v>99</v>
      </c>
      <c r="J9750" t="s">
        <v>104</v>
      </c>
      <c r="K9750" t="s">
        <v>99</v>
      </c>
      <c r="L9750" t="s">
        <v>382</v>
      </c>
      <c r="M9750" t="s">
        <v>291</v>
      </c>
      <c r="N9750" t="s">
        <v>127</v>
      </c>
      <c r="O9750" t="s">
        <v>117</v>
      </c>
    </row>
    <row r="9751" spans="1:15" x14ac:dyDescent="0.3">
      <c r="A9751" t="s">
        <v>49</v>
      </c>
      <c r="B9751" t="s">
        <v>216</v>
      </c>
      <c r="C9751">
        <v>47</v>
      </c>
      <c r="D9751" t="s">
        <v>163</v>
      </c>
      <c r="E9751" t="s">
        <v>99</v>
      </c>
      <c r="F9751" t="s">
        <v>804</v>
      </c>
      <c r="G9751" t="s">
        <v>1455</v>
      </c>
      <c r="H9751" t="s">
        <v>99</v>
      </c>
      <c r="I9751" t="s">
        <v>99</v>
      </c>
      <c r="J9751" t="s">
        <v>99</v>
      </c>
      <c r="K9751" t="s">
        <v>99</v>
      </c>
      <c r="L9751" t="s">
        <v>99</v>
      </c>
      <c r="M9751" t="s">
        <v>150</v>
      </c>
      <c r="N9751" t="s">
        <v>99</v>
      </c>
      <c r="O9751" t="s">
        <v>332</v>
      </c>
    </row>
    <row r="9753" spans="1:15" x14ac:dyDescent="0.3">
      <c r="A9753" t="s">
        <v>2438</v>
      </c>
    </row>
    <row r="9754" spans="1:15" x14ac:dyDescent="0.3">
      <c r="A9754" t="s">
        <v>44</v>
      </c>
      <c r="B9754" t="s">
        <v>388</v>
      </c>
      <c r="C9754" t="s">
        <v>32</v>
      </c>
      <c r="D9754" t="s">
        <v>2426</v>
      </c>
      <c r="E9754" t="s">
        <v>2427</v>
      </c>
      <c r="F9754" t="s">
        <v>2428</v>
      </c>
      <c r="G9754" t="s">
        <v>2429</v>
      </c>
      <c r="H9754" t="s">
        <v>2430</v>
      </c>
      <c r="I9754" t="s">
        <v>2431</v>
      </c>
      <c r="J9754" t="s">
        <v>2432</v>
      </c>
      <c r="K9754" t="s">
        <v>2433</v>
      </c>
      <c r="L9754" t="s">
        <v>2434</v>
      </c>
      <c r="M9754" t="s">
        <v>2435</v>
      </c>
      <c r="N9754" t="s">
        <v>1527</v>
      </c>
      <c r="O9754" t="s">
        <v>193</v>
      </c>
    </row>
    <row r="9755" spans="1:15" s="5" customFormat="1" x14ac:dyDescent="0.3">
      <c r="A9755" s="5" t="s">
        <v>35</v>
      </c>
      <c r="B9755" s="5" t="s">
        <v>389</v>
      </c>
      <c r="C9755" s="5">
        <v>26</v>
      </c>
      <c r="D9755" s="5" t="s">
        <v>313</v>
      </c>
      <c r="E9755" s="5" t="s">
        <v>99</v>
      </c>
      <c r="F9755" s="5" t="s">
        <v>842</v>
      </c>
      <c r="G9755" s="5" t="s">
        <v>927</v>
      </c>
      <c r="H9755" s="5" t="s">
        <v>99</v>
      </c>
      <c r="I9755" s="5" t="s">
        <v>99</v>
      </c>
      <c r="J9755" s="5" t="s">
        <v>99</v>
      </c>
      <c r="K9755" s="5" t="s">
        <v>99</v>
      </c>
      <c r="L9755" s="5" t="s">
        <v>99</v>
      </c>
      <c r="M9755" s="5" t="s">
        <v>76</v>
      </c>
      <c r="N9755" s="5" t="s">
        <v>99</v>
      </c>
      <c r="O9755" s="5" t="s">
        <v>99</v>
      </c>
    </row>
    <row r="9756" spans="1:15" s="5" customFormat="1" x14ac:dyDescent="0.3">
      <c r="A9756" s="5" t="s">
        <v>35</v>
      </c>
      <c r="B9756" s="5" t="s">
        <v>390</v>
      </c>
      <c r="C9756" s="5">
        <v>27</v>
      </c>
      <c r="D9756" s="5" t="s">
        <v>99</v>
      </c>
      <c r="E9756" s="5" t="s">
        <v>99</v>
      </c>
      <c r="F9756" s="5" t="s">
        <v>175</v>
      </c>
      <c r="G9756" s="5" t="s">
        <v>1146</v>
      </c>
      <c r="H9756" s="5" t="s">
        <v>99</v>
      </c>
      <c r="I9756" s="5" t="s">
        <v>99</v>
      </c>
      <c r="J9756" s="5" t="s">
        <v>99</v>
      </c>
      <c r="K9756" s="5" t="s">
        <v>99</v>
      </c>
      <c r="L9756" s="5" t="s">
        <v>99</v>
      </c>
      <c r="M9756" s="5" t="s">
        <v>731</v>
      </c>
      <c r="N9756" s="5" t="s">
        <v>99</v>
      </c>
      <c r="O9756" s="5" t="s">
        <v>408</v>
      </c>
    </row>
    <row r="9757" spans="1:15" x14ac:dyDescent="0.3">
      <c r="A9757" t="s">
        <v>35</v>
      </c>
      <c r="B9757" t="s">
        <v>365</v>
      </c>
      <c r="C9757">
        <v>3</v>
      </c>
      <c r="D9757" t="s">
        <v>99</v>
      </c>
      <c r="E9757" t="s">
        <v>99</v>
      </c>
      <c r="F9757" t="s">
        <v>211</v>
      </c>
      <c r="G9757" t="s">
        <v>99</v>
      </c>
      <c r="H9757" t="s">
        <v>99</v>
      </c>
      <c r="I9757" t="s">
        <v>99</v>
      </c>
      <c r="J9757" t="s">
        <v>99</v>
      </c>
      <c r="K9757" t="s">
        <v>99</v>
      </c>
      <c r="L9757" t="s">
        <v>99</v>
      </c>
      <c r="M9757" t="s">
        <v>99</v>
      </c>
      <c r="N9757" t="s">
        <v>99</v>
      </c>
      <c r="O9757" t="s">
        <v>99</v>
      </c>
    </row>
    <row r="9758" spans="1:15" x14ac:dyDescent="0.3">
      <c r="A9758" t="s">
        <v>37</v>
      </c>
      <c r="B9758" t="s">
        <v>389</v>
      </c>
      <c r="C9758">
        <v>45</v>
      </c>
      <c r="D9758" t="s">
        <v>1370</v>
      </c>
      <c r="E9758" t="s">
        <v>268</v>
      </c>
      <c r="F9758" t="s">
        <v>410</v>
      </c>
      <c r="G9758" t="s">
        <v>147</v>
      </c>
      <c r="H9758" t="s">
        <v>117</v>
      </c>
      <c r="I9758" t="s">
        <v>99</v>
      </c>
      <c r="J9758" t="s">
        <v>99</v>
      </c>
      <c r="K9758" t="s">
        <v>99</v>
      </c>
      <c r="L9758" t="s">
        <v>215</v>
      </c>
      <c r="M9758" t="s">
        <v>121</v>
      </c>
      <c r="N9758" t="s">
        <v>99</v>
      </c>
      <c r="O9758" t="s">
        <v>157</v>
      </c>
    </row>
    <row r="9759" spans="1:15" x14ac:dyDescent="0.3">
      <c r="A9759" t="s">
        <v>37</v>
      </c>
      <c r="B9759" t="s">
        <v>390</v>
      </c>
      <c r="C9759">
        <v>62</v>
      </c>
      <c r="D9759" t="s">
        <v>304</v>
      </c>
      <c r="E9759" t="s">
        <v>663</v>
      </c>
      <c r="F9759" t="s">
        <v>355</v>
      </c>
      <c r="G9759" t="s">
        <v>135</v>
      </c>
      <c r="H9759" t="s">
        <v>68</v>
      </c>
      <c r="I9759" t="s">
        <v>99</v>
      </c>
      <c r="J9759" t="s">
        <v>99</v>
      </c>
      <c r="K9759" t="s">
        <v>99</v>
      </c>
      <c r="L9759" t="s">
        <v>99</v>
      </c>
      <c r="M9759" t="s">
        <v>714</v>
      </c>
      <c r="N9759" t="s">
        <v>147</v>
      </c>
      <c r="O9759" t="s">
        <v>215</v>
      </c>
    </row>
    <row r="9760" spans="1:15" x14ac:dyDescent="0.3">
      <c r="A9760" t="s">
        <v>37</v>
      </c>
      <c r="B9760" t="s">
        <v>365</v>
      </c>
      <c r="C9760">
        <v>11</v>
      </c>
      <c r="D9760" t="s">
        <v>1001</v>
      </c>
      <c r="E9760" t="s">
        <v>99</v>
      </c>
      <c r="F9760" t="s">
        <v>924</v>
      </c>
      <c r="G9760" t="s">
        <v>99</v>
      </c>
      <c r="H9760" t="s">
        <v>99</v>
      </c>
      <c r="I9760" t="s">
        <v>99</v>
      </c>
      <c r="J9760" t="s">
        <v>99</v>
      </c>
      <c r="K9760" t="s">
        <v>99</v>
      </c>
      <c r="L9760" t="s">
        <v>99</v>
      </c>
      <c r="M9760" t="s">
        <v>99</v>
      </c>
      <c r="N9760" t="s">
        <v>99</v>
      </c>
      <c r="O9760" t="s">
        <v>99</v>
      </c>
    </row>
    <row r="9761" spans="1:15" x14ac:dyDescent="0.3">
      <c r="A9761" t="s">
        <v>36</v>
      </c>
      <c r="B9761" t="s">
        <v>389</v>
      </c>
      <c r="C9761">
        <v>82</v>
      </c>
      <c r="D9761" t="s">
        <v>953</v>
      </c>
      <c r="E9761" t="s">
        <v>1103</v>
      </c>
      <c r="F9761" t="s">
        <v>749</v>
      </c>
      <c r="G9761" t="s">
        <v>268</v>
      </c>
      <c r="H9761" t="s">
        <v>147</v>
      </c>
      <c r="I9761" t="s">
        <v>99</v>
      </c>
      <c r="J9761" t="s">
        <v>121</v>
      </c>
      <c r="K9761" t="s">
        <v>99</v>
      </c>
      <c r="L9761" t="s">
        <v>99</v>
      </c>
      <c r="M9761" t="s">
        <v>679</v>
      </c>
      <c r="N9761" t="s">
        <v>99</v>
      </c>
      <c r="O9761" t="s">
        <v>99</v>
      </c>
    </row>
    <row r="9762" spans="1:15" x14ac:dyDescent="0.3">
      <c r="A9762" t="s">
        <v>36</v>
      </c>
      <c r="B9762" t="s">
        <v>390</v>
      </c>
      <c r="C9762">
        <v>48</v>
      </c>
      <c r="D9762" t="s">
        <v>700</v>
      </c>
      <c r="E9762" t="s">
        <v>685</v>
      </c>
      <c r="F9762" t="s">
        <v>311</v>
      </c>
      <c r="G9762" t="s">
        <v>373</v>
      </c>
      <c r="H9762" t="s">
        <v>99</v>
      </c>
      <c r="I9762" t="s">
        <v>99</v>
      </c>
      <c r="J9762" t="s">
        <v>99</v>
      </c>
      <c r="K9762" t="s">
        <v>99</v>
      </c>
      <c r="L9762" t="s">
        <v>372</v>
      </c>
      <c r="M9762" t="s">
        <v>827</v>
      </c>
      <c r="N9762" t="s">
        <v>99</v>
      </c>
      <c r="O9762" t="s">
        <v>132</v>
      </c>
    </row>
    <row r="9763" spans="1:15" x14ac:dyDescent="0.3">
      <c r="A9763" t="s">
        <v>36</v>
      </c>
      <c r="B9763" t="s">
        <v>365</v>
      </c>
      <c r="C9763">
        <v>4</v>
      </c>
      <c r="D9763" t="s">
        <v>1706</v>
      </c>
      <c r="E9763" t="s">
        <v>503</v>
      </c>
      <c r="F9763" t="s">
        <v>948</v>
      </c>
      <c r="G9763" t="s">
        <v>99</v>
      </c>
      <c r="H9763" t="s">
        <v>99</v>
      </c>
      <c r="I9763" t="s">
        <v>99</v>
      </c>
      <c r="J9763" t="s">
        <v>99</v>
      </c>
      <c r="K9763" t="s">
        <v>99</v>
      </c>
      <c r="L9763" t="s">
        <v>99</v>
      </c>
      <c r="M9763" t="s">
        <v>99</v>
      </c>
      <c r="N9763" t="s">
        <v>99</v>
      </c>
      <c r="O9763" t="s">
        <v>99</v>
      </c>
    </row>
    <row r="9764" spans="1:15" s="5" customFormat="1" x14ac:dyDescent="0.3">
      <c r="A9764" s="5" t="s">
        <v>34</v>
      </c>
      <c r="B9764" s="5" t="s">
        <v>389</v>
      </c>
      <c r="C9764" s="5">
        <v>14</v>
      </c>
      <c r="D9764" s="5" t="s">
        <v>38</v>
      </c>
      <c r="E9764" s="5" t="s">
        <v>99</v>
      </c>
      <c r="F9764" s="5" t="s">
        <v>646</v>
      </c>
      <c r="G9764" s="5" t="s">
        <v>827</v>
      </c>
      <c r="H9764" s="5" t="s">
        <v>99</v>
      </c>
      <c r="I9764" s="5" t="s">
        <v>99</v>
      </c>
      <c r="J9764" s="5" t="s">
        <v>99</v>
      </c>
      <c r="K9764" s="5" t="s">
        <v>99</v>
      </c>
      <c r="L9764" s="5" t="s">
        <v>99</v>
      </c>
      <c r="M9764" s="5" t="s">
        <v>175</v>
      </c>
      <c r="N9764" s="5" t="s">
        <v>99</v>
      </c>
      <c r="O9764" s="5" t="s">
        <v>99</v>
      </c>
    </row>
    <row r="9765" spans="1:15" x14ac:dyDescent="0.3">
      <c r="A9765" t="s">
        <v>34</v>
      </c>
      <c r="B9765" t="s">
        <v>390</v>
      </c>
      <c r="C9765">
        <v>36</v>
      </c>
      <c r="D9765" t="s">
        <v>470</v>
      </c>
      <c r="E9765" t="s">
        <v>198</v>
      </c>
      <c r="F9765" t="s">
        <v>309</v>
      </c>
      <c r="G9765" t="s">
        <v>1748</v>
      </c>
      <c r="H9765" t="s">
        <v>99</v>
      </c>
      <c r="I9765" t="s">
        <v>99</v>
      </c>
      <c r="J9765" t="s">
        <v>99</v>
      </c>
      <c r="K9765" t="s">
        <v>99</v>
      </c>
      <c r="L9765" t="s">
        <v>99</v>
      </c>
      <c r="M9765" t="s">
        <v>135</v>
      </c>
      <c r="N9765" t="s">
        <v>468</v>
      </c>
      <c r="O9765" t="s">
        <v>154</v>
      </c>
    </row>
    <row r="9766" spans="1:15" x14ac:dyDescent="0.3">
      <c r="A9766" t="s">
        <v>34</v>
      </c>
      <c r="B9766" t="s">
        <v>365</v>
      </c>
      <c r="C9766">
        <v>3</v>
      </c>
      <c r="D9766" t="s">
        <v>206</v>
      </c>
      <c r="E9766" t="s">
        <v>99</v>
      </c>
      <c r="F9766" t="s">
        <v>99</v>
      </c>
      <c r="G9766" t="s">
        <v>447</v>
      </c>
      <c r="H9766" t="s">
        <v>99</v>
      </c>
      <c r="I9766" t="s">
        <v>99</v>
      </c>
      <c r="J9766" t="s">
        <v>99</v>
      </c>
      <c r="K9766" t="s">
        <v>99</v>
      </c>
      <c r="L9766" t="s">
        <v>99</v>
      </c>
      <c r="M9766" t="s">
        <v>99</v>
      </c>
      <c r="N9766" t="s">
        <v>99</v>
      </c>
      <c r="O9766" t="s">
        <v>99</v>
      </c>
    </row>
    <row r="9767" spans="1:15" s="5" customFormat="1" x14ac:dyDescent="0.3">
      <c r="A9767" s="5" t="s">
        <v>33</v>
      </c>
      <c r="B9767" s="5" t="s">
        <v>389</v>
      </c>
      <c r="C9767" s="5">
        <v>12</v>
      </c>
      <c r="D9767" s="5" t="s">
        <v>691</v>
      </c>
      <c r="E9767" s="5" t="s">
        <v>692</v>
      </c>
      <c r="F9767" s="5" t="s">
        <v>948</v>
      </c>
      <c r="G9767" s="5" t="s">
        <v>262</v>
      </c>
      <c r="H9767" s="5" t="s">
        <v>99</v>
      </c>
      <c r="I9767" s="5" t="s">
        <v>99</v>
      </c>
      <c r="J9767" s="5" t="s">
        <v>99</v>
      </c>
      <c r="K9767" s="5" t="s">
        <v>99</v>
      </c>
      <c r="L9767" s="5" t="s">
        <v>182</v>
      </c>
      <c r="M9767" s="5" t="s">
        <v>672</v>
      </c>
      <c r="N9767" s="5" t="s">
        <v>99</v>
      </c>
      <c r="O9767" s="5" t="s">
        <v>99</v>
      </c>
    </row>
    <row r="9768" spans="1:15" s="5" customFormat="1" x14ac:dyDescent="0.3">
      <c r="A9768" s="5" t="s">
        <v>33</v>
      </c>
      <c r="B9768" s="5" t="s">
        <v>390</v>
      </c>
      <c r="C9768" s="5">
        <v>27</v>
      </c>
      <c r="D9768" s="5" t="s">
        <v>705</v>
      </c>
      <c r="E9768" s="5" t="s">
        <v>99</v>
      </c>
      <c r="F9768" s="5" t="s">
        <v>834</v>
      </c>
      <c r="G9768" s="5" t="s">
        <v>536</v>
      </c>
      <c r="H9768" s="5" t="s">
        <v>99</v>
      </c>
      <c r="I9768" s="5" t="s">
        <v>99</v>
      </c>
      <c r="J9768" s="5" t="s">
        <v>99</v>
      </c>
      <c r="K9768" s="5" t="s">
        <v>99</v>
      </c>
      <c r="L9768" s="5" t="s">
        <v>99</v>
      </c>
      <c r="M9768" s="5" t="s">
        <v>956</v>
      </c>
      <c r="N9768" s="5" t="s">
        <v>99</v>
      </c>
      <c r="O9768" s="5" t="s">
        <v>147</v>
      </c>
    </row>
    <row r="9769" spans="1:15" x14ac:dyDescent="0.3">
      <c r="A9769" t="s">
        <v>33</v>
      </c>
      <c r="B9769" t="s">
        <v>365</v>
      </c>
      <c r="C9769">
        <v>2</v>
      </c>
      <c r="D9769" t="s">
        <v>61</v>
      </c>
      <c r="E9769" t="s">
        <v>99</v>
      </c>
      <c r="F9769" t="s">
        <v>99</v>
      </c>
      <c r="G9769" t="s">
        <v>62</v>
      </c>
      <c r="H9769" t="s">
        <v>99</v>
      </c>
      <c r="I9769" t="s">
        <v>99</v>
      </c>
      <c r="J9769" t="s">
        <v>99</v>
      </c>
      <c r="K9769" t="s">
        <v>99</v>
      </c>
      <c r="L9769" t="s">
        <v>99</v>
      </c>
      <c r="M9769" t="s">
        <v>99</v>
      </c>
      <c r="N9769" t="s">
        <v>99</v>
      </c>
      <c r="O9769" t="s">
        <v>99</v>
      </c>
    </row>
    <row r="9770" spans="1:15" x14ac:dyDescent="0.3">
      <c r="A9770" t="s">
        <v>49</v>
      </c>
      <c r="B9770" t="s">
        <v>389</v>
      </c>
      <c r="C9770">
        <v>179</v>
      </c>
      <c r="D9770" t="s">
        <v>808</v>
      </c>
      <c r="E9770" t="s">
        <v>737</v>
      </c>
      <c r="F9770" t="s">
        <v>668</v>
      </c>
      <c r="G9770" t="s">
        <v>478</v>
      </c>
      <c r="H9770" t="s">
        <v>126</v>
      </c>
      <c r="I9770" t="s">
        <v>99</v>
      </c>
      <c r="J9770" t="s">
        <v>198</v>
      </c>
      <c r="K9770" t="s">
        <v>99</v>
      </c>
      <c r="L9770" t="s">
        <v>319</v>
      </c>
      <c r="M9770" t="s">
        <v>664</v>
      </c>
      <c r="N9770" t="s">
        <v>99</v>
      </c>
      <c r="O9770" t="s">
        <v>319</v>
      </c>
    </row>
    <row r="9771" spans="1:15" x14ac:dyDescent="0.3">
      <c r="A9771" t="s">
        <v>49</v>
      </c>
      <c r="B9771" t="s">
        <v>390</v>
      </c>
      <c r="C9771">
        <v>200</v>
      </c>
      <c r="D9771" t="s">
        <v>836</v>
      </c>
      <c r="E9771" t="s">
        <v>118</v>
      </c>
      <c r="F9771" t="s">
        <v>395</v>
      </c>
      <c r="G9771" t="s">
        <v>699</v>
      </c>
      <c r="H9771" t="s">
        <v>123</v>
      </c>
      <c r="I9771" t="s">
        <v>99</v>
      </c>
      <c r="J9771" t="s">
        <v>99</v>
      </c>
      <c r="K9771" t="s">
        <v>99</v>
      </c>
      <c r="L9771" t="s">
        <v>101</v>
      </c>
      <c r="M9771" t="s">
        <v>542</v>
      </c>
      <c r="N9771" t="s">
        <v>103</v>
      </c>
      <c r="O9771" t="s">
        <v>134</v>
      </c>
    </row>
    <row r="9772" spans="1:15" x14ac:dyDescent="0.3">
      <c r="A9772" t="s">
        <v>49</v>
      </c>
      <c r="B9772" t="s">
        <v>365</v>
      </c>
      <c r="C9772">
        <v>23</v>
      </c>
      <c r="D9772" t="s">
        <v>552</v>
      </c>
      <c r="E9772" t="s">
        <v>114</v>
      </c>
      <c r="F9772" t="s">
        <v>1102</v>
      </c>
      <c r="G9772" t="s">
        <v>222</v>
      </c>
      <c r="H9772" t="s">
        <v>99</v>
      </c>
      <c r="I9772" t="s">
        <v>99</v>
      </c>
      <c r="J9772" t="s">
        <v>99</v>
      </c>
      <c r="K9772" t="s">
        <v>99</v>
      </c>
      <c r="L9772" t="s">
        <v>99</v>
      </c>
      <c r="M9772" t="s">
        <v>99</v>
      </c>
      <c r="N9772" t="s">
        <v>99</v>
      </c>
      <c r="O9772" t="s">
        <v>99</v>
      </c>
    </row>
    <row r="9774" spans="1:15" x14ac:dyDescent="0.3">
      <c r="A9774" t="s">
        <v>2439</v>
      </c>
    </row>
    <row r="9775" spans="1:15" x14ac:dyDescent="0.3">
      <c r="A9775" t="s">
        <v>44</v>
      </c>
      <c r="B9775" t="s">
        <v>235</v>
      </c>
      <c r="C9775" t="s">
        <v>32</v>
      </c>
      <c r="D9775" t="s">
        <v>2426</v>
      </c>
      <c r="E9775" t="s">
        <v>2427</v>
      </c>
      <c r="F9775" t="s">
        <v>2428</v>
      </c>
      <c r="G9775" t="s">
        <v>2429</v>
      </c>
      <c r="H9775" t="s">
        <v>2430</v>
      </c>
      <c r="I9775" t="s">
        <v>2431</v>
      </c>
      <c r="J9775" t="s">
        <v>2432</v>
      </c>
      <c r="K9775" t="s">
        <v>2433</v>
      </c>
      <c r="L9775" t="s">
        <v>2434</v>
      </c>
      <c r="M9775" t="s">
        <v>2435</v>
      </c>
      <c r="N9775" t="s">
        <v>1527</v>
      </c>
      <c r="O9775" t="s">
        <v>193</v>
      </c>
    </row>
    <row r="9776" spans="1:15" s="5" customFormat="1" x14ac:dyDescent="0.3">
      <c r="A9776" s="5" t="s">
        <v>35</v>
      </c>
      <c r="B9776" s="5" t="s">
        <v>236</v>
      </c>
      <c r="C9776" s="5">
        <v>25</v>
      </c>
      <c r="D9776" s="5" t="s">
        <v>718</v>
      </c>
      <c r="E9776" s="5" t="s">
        <v>99</v>
      </c>
      <c r="F9776" s="5" t="s">
        <v>816</v>
      </c>
      <c r="G9776" s="5" t="s">
        <v>797</v>
      </c>
      <c r="H9776" s="5" t="s">
        <v>99</v>
      </c>
      <c r="I9776" s="5" t="s">
        <v>99</v>
      </c>
      <c r="J9776" s="5" t="s">
        <v>99</v>
      </c>
      <c r="K9776" s="5" t="s">
        <v>99</v>
      </c>
      <c r="L9776" s="5" t="s">
        <v>99</v>
      </c>
      <c r="M9776" s="5" t="s">
        <v>368</v>
      </c>
      <c r="N9776" s="5" t="s">
        <v>99</v>
      </c>
      <c r="O9776" s="5" t="s">
        <v>99</v>
      </c>
    </row>
    <row r="9777" spans="1:15" x14ac:dyDescent="0.3">
      <c r="A9777" t="s">
        <v>35</v>
      </c>
      <c r="B9777" t="s">
        <v>238</v>
      </c>
      <c r="C9777">
        <v>31</v>
      </c>
      <c r="D9777" t="s">
        <v>99</v>
      </c>
      <c r="E9777" t="s">
        <v>99</v>
      </c>
      <c r="F9777" t="s">
        <v>393</v>
      </c>
      <c r="G9777" t="s">
        <v>1082</v>
      </c>
      <c r="H9777" t="s">
        <v>99</v>
      </c>
      <c r="I9777" t="s">
        <v>99</v>
      </c>
      <c r="J9777" t="s">
        <v>99</v>
      </c>
      <c r="K9777" t="s">
        <v>99</v>
      </c>
      <c r="L9777" t="s">
        <v>99</v>
      </c>
      <c r="M9777" t="s">
        <v>746</v>
      </c>
      <c r="N9777" t="s">
        <v>99</v>
      </c>
      <c r="O9777" t="s">
        <v>420</v>
      </c>
    </row>
    <row r="9778" spans="1:15" x14ac:dyDescent="0.3">
      <c r="A9778" t="s">
        <v>37</v>
      </c>
      <c r="B9778" t="s">
        <v>236</v>
      </c>
      <c r="C9778">
        <v>63</v>
      </c>
      <c r="D9778" t="s">
        <v>1403</v>
      </c>
      <c r="E9778" t="s">
        <v>242</v>
      </c>
      <c r="F9778" t="s">
        <v>298</v>
      </c>
      <c r="G9778" t="s">
        <v>712</v>
      </c>
      <c r="H9778" t="s">
        <v>135</v>
      </c>
      <c r="I9778" t="s">
        <v>99</v>
      </c>
      <c r="J9778" t="s">
        <v>99</v>
      </c>
      <c r="K9778" t="s">
        <v>99</v>
      </c>
      <c r="L9778" t="s">
        <v>99</v>
      </c>
      <c r="M9778" t="s">
        <v>74</v>
      </c>
      <c r="N9778" t="s">
        <v>99</v>
      </c>
      <c r="O9778" t="s">
        <v>99</v>
      </c>
    </row>
    <row r="9779" spans="1:15" x14ac:dyDescent="0.3">
      <c r="A9779" t="s">
        <v>37</v>
      </c>
      <c r="B9779" t="s">
        <v>238</v>
      </c>
      <c r="C9779">
        <v>55</v>
      </c>
      <c r="D9779" t="s">
        <v>1230</v>
      </c>
      <c r="E9779" t="s">
        <v>332</v>
      </c>
      <c r="F9779" t="s">
        <v>393</v>
      </c>
      <c r="G9779" t="s">
        <v>149</v>
      </c>
      <c r="H9779" t="s">
        <v>99</v>
      </c>
      <c r="I9779" t="s">
        <v>99</v>
      </c>
      <c r="J9779" t="s">
        <v>99</v>
      </c>
      <c r="K9779" t="s">
        <v>99</v>
      </c>
      <c r="L9779" t="s">
        <v>101</v>
      </c>
      <c r="M9779" t="s">
        <v>152</v>
      </c>
      <c r="N9779" t="s">
        <v>147</v>
      </c>
      <c r="O9779" t="s">
        <v>130</v>
      </c>
    </row>
    <row r="9780" spans="1:15" x14ac:dyDescent="0.3">
      <c r="A9780" t="s">
        <v>36</v>
      </c>
      <c r="B9780" t="s">
        <v>236</v>
      </c>
      <c r="C9780">
        <v>93</v>
      </c>
      <c r="D9780" t="s">
        <v>625</v>
      </c>
      <c r="E9780" t="s">
        <v>622</v>
      </c>
      <c r="F9780" t="s">
        <v>488</v>
      </c>
      <c r="G9780" t="s">
        <v>155</v>
      </c>
      <c r="H9780" t="s">
        <v>157</v>
      </c>
      <c r="I9780" t="s">
        <v>99</v>
      </c>
      <c r="J9780" t="s">
        <v>121</v>
      </c>
      <c r="K9780" t="s">
        <v>99</v>
      </c>
      <c r="L9780" t="s">
        <v>99</v>
      </c>
      <c r="M9780" t="s">
        <v>363</v>
      </c>
      <c r="N9780" t="s">
        <v>99</v>
      </c>
      <c r="O9780" t="s">
        <v>115</v>
      </c>
    </row>
    <row r="9781" spans="1:15" x14ac:dyDescent="0.3">
      <c r="A9781" t="s">
        <v>36</v>
      </c>
      <c r="B9781" t="s">
        <v>238</v>
      </c>
      <c r="C9781">
        <v>41</v>
      </c>
      <c r="D9781" t="s">
        <v>959</v>
      </c>
      <c r="E9781" t="s">
        <v>668</v>
      </c>
      <c r="F9781" t="s">
        <v>671</v>
      </c>
      <c r="G9781" t="s">
        <v>726</v>
      </c>
      <c r="H9781" t="s">
        <v>99</v>
      </c>
      <c r="I9781" t="s">
        <v>99</v>
      </c>
      <c r="J9781" t="s">
        <v>99</v>
      </c>
      <c r="K9781" t="s">
        <v>99</v>
      </c>
      <c r="L9781" t="s">
        <v>672</v>
      </c>
      <c r="M9781" t="s">
        <v>489</v>
      </c>
      <c r="N9781" t="s">
        <v>99</v>
      </c>
      <c r="O9781" t="s">
        <v>99</v>
      </c>
    </row>
    <row r="9782" spans="1:15" s="5" customFormat="1" x14ac:dyDescent="0.3">
      <c r="A9782" s="5" t="s">
        <v>34</v>
      </c>
      <c r="B9782" s="5" t="s">
        <v>236</v>
      </c>
      <c r="C9782" s="5">
        <v>10</v>
      </c>
      <c r="D9782" s="5" t="s">
        <v>718</v>
      </c>
      <c r="E9782" s="5" t="s">
        <v>253</v>
      </c>
      <c r="F9782" s="5" t="s">
        <v>1061</v>
      </c>
      <c r="G9782" s="5" t="s">
        <v>737</v>
      </c>
      <c r="H9782" s="5" t="s">
        <v>99</v>
      </c>
      <c r="I9782" s="5" t="s">
        <v>99</v>
      </c>
      <c r="J9782" s="5" t="s">
        <v>99</v>
      </c>
      <c r="K9782" s="5" t="s">
        <v>99</v>
      </c>
      <c r="L9782" s="5" t="s">
        <v>99</v>
      </c>
      <c r="M9782" s="5" t="s">
        <v>99</v>
      </c>
      <c r="N9782" s="5" t="s">
        <v>718</v>
      </c>
      <c r="O9782" s="5" t="s">
        <v>99</v>
      </c>
    </row>
    <row r="9783" spans="1:15" x14ac:dyDescent="0.3">
      <c r="A9783" t="s">
        <v>34</v>
      </c>
      <c r="B9783" t="s">
        <v>238</v>
      </c>
      <c r="C9783">
        <v>43</v>
      </c>
      <c r="D9783" t="s">
        <v>405</v>
      </c>
      <c r="E9783" t="s">
        <v>99</v>
      </c>
      <c r="F9783" t="s">
        <v>1008</v>
      </c>
      <c r="G9783" t="s">
        <v>1455</v>
      </c>
      <c r="H9783" t="s">
        <v>99</v>
      </c>
      <c r="I9783" t="s">
        <v>99</v>
      </c>
      <c r="J9783" t="s">
        <v>99</v>
      </c>
      <c r="K9783" t="s">
        <v>99</v>
      </c>
      <c r="L9783" t="s">
        <v>99</v>
      </c>
      <c r="M9783" t="s">
        <v>311</v>
      </c>
      <c r="N9783" t="s">
        <v>99</v>
      </c>
      <c r="O9783" t="s">
        <v>155</v>
      </c>
    </row>
    <row r="9784" spans="1:15" s="5" customFormat="1" x14ac:dyDescent="0.3">
      <c r="A9784" s="5" t="s">
        <v>33</v>
      </c>
      <c r="B9784" s="5" t="s">
        <v>236</v>
      </c>
      <c r="C9784" s="5">
        <v>30</v>
      </c>
      <c r="D9784" s="5" t="s">
        <v>171</v>
      </c>
      <c r="E9784" s="5" t="s">
        <v>133</v>
      </c>
      <c r="F9784" s="5" t="s">
        <v>1068</v>
      </c>
      <c r="G9784" s="5" t="s">
        <v>255</v>
      </c>
      <c r="H9784" s="5" t="s">
        <v>99</v>
      </c>
      <c r="I9784" s="5" t="s">
        <v>99</v>
      </c>
      <c r="J9784" s="5" t="s">
        <v>99</v>
      </c>
      <c r="K9784" s="5" t="s">
        <v>99</v>
      </c>
      <c r="L9784" s="5" t="s">
        <v>134</v>
      </c>
      <c r="M9784" s="5" t="s">
        <v>481</v>
      </c>
      <c r="N9784" s="5" t="s">
        <v>99</v>
      </c>
      <c r="O9784" s="5" t="s">
        <v>157</v>
      </c>
    </row>
    <row r="9785" spans="1:15" s="5" customFormat="1" x14ac:dyDescent="0.3">
      <c r="A9785" s="5" t="s">
        <v>33</v>
      </c>
      <c r="B9785" s="5" t="s">
        <v>238</v>
      </c>
      <c r="C9785" s="5">
        <v>11</v>
      </c>
      <c r="D9785" s="5" t="s">
        <v>1222</v>
      </c>
      <c r="E9785" s="5" t="s">
        <v>99</v>
      </c>
      <c r="F9785" s="5" t="s">
        <v>503</v>
      </c>
      <c r="G9785" s="5" t="s">
        <v>167</v>
      </c>
      <c r="H9785" s="5" t="s">
        <v>99</v>
      </c>
      <c r="I9785" s="5" t="s">
        <v>99</v>
      </c>
      <c r="J9785" s="5" t="s">
        <v>99</v>
      </c>
      <c r="K9785" s="5" t="s">
        <v>99</v>
      </c>
      <c r="L9785" s="5" t="s">
        <v>99</v>
      </c>
      <c r="M9785" s="5" t="s">
        <v>116</v>
      </c>
      <c r="N9785" s="5" t="s">
        <v>99</v>
      </c>
      <c r="O9785" s="5" t="s">
        <v>99</v>
      </c>
    </row>
    <row r="9786" spans="1:15" x14ac:dyDescent="0.3">
      <c r="A9786" t="s">
        <v>49</v>
      </c>
      <c r="B9786" t="s">
        <v>236</v>
      </c>
      <c r="C9786">
        <v>221</v>
      </c>
      <c r="D9786" t="s">
        <v>571</v>
      </c>
      <c r="E9786" t="s">
        <v>287</v>
      </c>
      <c r="F9786" t="s">
        <v>832</v>
      </c>
      <c r="G9786" t="s">
        <v>369</v>
      </c>
      <c r="H9786" t="s">
        <v>118</v>
      </c>
      <c r="I9786" t="s">
        <v>99</v>
      </c>
      <c r="J9786" t="s">
        <v>198</v>
      </c>
      <c r="K9786" t="s">
        <v>99</v>
      </c>
      <c r="L9786" t="s">
        <v>253</v>
      </c>
      <c r="M9786" t="s">
        <v>262</v>
      </c>
      <c r="N9786" t="s">
        <v>123</v>
      </c>
      <c r="O9786" t="s">
        <v>253</v>
      </c>
    </row>
    <row r="9787" spans="1:15" x14ac:dyDescent="0.3">
      <c r="A9787" t="s">
        <v>49</v>
      </c>
      <c r="B9787" t="s">
        <v>238</v>
      </c>
      <c r="C9787">
        <v>181</v>
      </c>
      <c r="D9787" t="s">
        <v>214</v>
      </c>
      <c r="E9787" t="s">
        <v>110</v>
      </c>
      <c r="F9787" t="s">
        <v>676</v>
      </c>
      <c r="G9787" t="s">
        <v>62</v>
      </c>
      <c r="H9787" t="s">
        <v>99</v>
      </c>
      <c r="I9787" t="s">
        <v>99</v>
      </c>
      <c r="J9787" t="s">
        <v>99</v>
      </c>
      <c r="K9787" t="s">
        <v>99</v>
      </c>
      <c r="L9787" t="s">
        <v>215</v>
      </c>
      <c r="M9787" t="s">
        <v>731</v>
      </c>
      <c r="N9787" t="s">
        <v>100</v>
      </c>
      <c r="O9787" t="s">
        <v>434</v>
      </c>
    </row>
    <row r="9789" spans="1:15" x14ac:dyDescent="0.3">
      <c r="A9789" t="s">
        <v>2440</v>
      </c>
    </row>
    <row r="9790" spans="1:15" x14ac:dyDescent="0.3">
      <c r="A9790" t="s">
        <v>44</v>
      </c>
      <c r="B9790" t="s">
        <v>1720</v>
      </c>
      <c r="C9790" t="s">
        <v>32</v>
      </c>
      <c r="D9790" t="s">
        <v>2426</v>
      </c>
      <c r="E9790" t="s">
        <v>2427</v>
      </c>
      <c r="F9790" t="s">
        <v>2428</v>
      </c>
      <c r="G9790" t="s">
        <v>2429</v>
      </c>
      <c r="H9790" t="s">
        <v>2430</v>
      </c>
      <c r="I9790" t="s">
        <v>2431</v>
      </c>
      <c r="J9790" t="s">
        <v>2432</v>
      </c>
      <c r="K9790" t="s">
        <v>2433</v>
      </c>
      <c r="L9790" t="s">
        <v>2434</v>
      </c>
      <c r="M9790" t="s">
        <v>2435</v>
      </c>
      <c r="N9790" t="s">
        <v>1527</v>
      </c>
      <c r="O9790" t="s">
        <v>193</v>
      </c>
    </row>
    <row r="9791" spans="1:15" s="5" customFormat="1" x14ac:dyDescent="0.3">
      <c r="A9791" s="5" t="s">
        <v>35</v>
      </c>
      <c r="B9791" s="5" t="s">
        <v>1721</v>
      </c>
      <c r="C9791" s="5">
        <v>16</v>
      </c>
      <c r="D9791" s="5" t="s">
        <v>319</v>
      </c>
      <c r="E9791" s="5" t="s">
        <v>99</v>
      </c>
      <c r="F9791" s="5" t="s">
        <v>916</v>
      </c>
      <c r="G9791" s="5" t="s">
        <v>279</v>
      </c>
      <c r="H9791" s="5" t="s">
        <v>99</v>
      </c>
      <c r="I9791" s="5" t="s">
        <v>99</v>
      </c>
      <c r="J9791" s="5" t="s">
        <v>99</v>
      </c>
      <c r="K9791" s="5" t="s">
        <v>99</v>
      </c>
      <c r="L9791" s="5" t="s">
        <v>99</v>
      </c>
      <c r="M9791" s="5" t="s">
        <v>355</v>
      </c>
      <c r="N9791" s="5" t="s">
        <v>99</v>
      </c>
      <c r="O9791" s="5" t="s">
        <v>99</v>
      </c>
    </row>
    <row r="9792" spans="1:15" x14ac:dyDescent="0.3">
      <c r="A9792" t="s">
        <v>35</v>
      </c>
      <c r="B9792" t="s">
        <v>1722</v>
      </c>
      <c r="C9792">
        <v>40</v>
      </c>
      <c r="D9792" t="s">
        <v>663</v>
      </c>
      <c r="E9792" t="s">
        <v>99</v>
      </c>
      <c r="F9792" t="s">
        <v>694</v>
      </c>
      <c r="G9792" t="s">
        <v>641</v>
      </c>
      <c r="H9792" t="s">
        <v>99</v>
      </c>
      <c r="I9792" t="s">
        <v>99</v>
      </c>
      <c r="J9792" t="s">
        <v>99</v>
      </c>
      <c r="K9792" t="s">
        <v>99</v>
      </c>
      <c r="L9792" t="s">
        <v>99</v>
      </c>
      <c r="M9792" t="s">
        <v>746</v>
      </c>
      <c r="N9792" t="s">
        <v>99</v>
      </c>
      <c r="O9792" t="s">
        <v>251</v>
      </c>
    </row>
    <row r="9793" spans="1:22" s="5" customFormat="1" x14ac:dyDescent="0.3">
      <c r="A9793" s="5" t="s">
        <v>37</v>
      </c>
      <c r="B9793" s="5" t="s">
        <v>1721</v>
      </c>
      <c r="C9793" s="5">
        <v>16</v>
      </c>
      <c r="D9793" s="5" t="s">
        <v>499</v>
      </c>
      <c r="E9793" s="5" t="s">
        <v>99</v>
      </c>
      <c r="F9793" s="5" t="s">
        <v>1215</v>
      </c>
      <c r="G9793" s="5" t="s">
        <v>677</v>
      </c>
      <c r="H9793" s="5" t="s">
        <v>124</v>
      </c>
      <c r="I9793" s="5" t="s">
        <v>99</v>
      </c>
      <c r="J9793" s="5" t="s">
        <v>99</v>
      </c>
      <c r="K9793" s="5" t="s">
        <v>99</v>
      </c>
      <c r="L9793" s="5" t="s">
        <v>99</v>
      </c>
      <c r="M9793" s="5" t="s">
        <v>150</v>
      </c>
      <c r="N9793" s="5" t="s">
        <v>99</v>
      </c>
      <c r="O9793" s="5" t="s">
        <v>99</v>
      </c>
    </row>
    <row r="9794" spans="1:22" x14ac:dyDescent="0.3">
      <c r="A9794" t="s">
        <v>37</v>
      </c>
      <c r="B9794" t="s">
        <v>1722</v>
      </c>
      <c r="C9794">
        <v>102</v>
      </c>
      <c r="D9794" t="s">
        <v>869</v>
      </c>
      <c r="E9794" t="s">
        <v>149</v>
      </c>
      <c r="F9794" t="s">
        <v>321</v>
      </c>
      <c r="G9794" t="s">
        <v>332</v>
      </c>
      <c r="H9794" t="s">
        <v>157</v>
      </c>
      <c r="I9794" t="s">
        <v>99</v>
      </c>
      <c r="J9794" t="s">
        <v>99</v>
      </c>
      <c r="K9794" t="s">
        <v>99</v>
      </c>
      <c r="L9794" t="s">
        <v>115</v>
      </c>
      <c r="M9794" t="s">
        <v>675</v>
      </c>
      <c r="N9794" t="s">
        <v>382</v>
      </c>
      <c r="O9794" t="s">
        <v>268</v>
      </c>
    </row>
    <row r="9795" spans="1:22" s="5" customFormat="1" x14ac:dyDescent="0.3">
      <c r="A9795" s="5" t="s">
        <v>36</v>
      </c>
      <c r="B9795" s="5" t="s">
        <v>1721</v>
      </c>
      <c r="C9795" s="5">
        <v>27</v>
      </c>
      <c r="D9795" s="5" t="s">
        <v>395</v>
      </c>
      <c r="E9795" s="5" t="s">
        <v>523</v>
      </c>
      <c r="F9795" s="5" t="s">
        <v>705</v>
      </c>
      <c r="G9795" s="5" t="s">
        <v>313</v>
      </c>
      <c r="H9795" s="5" t="s">
        <v>468</v>
      </c>
      <c r="I9795" s="5" t="s">
        <v>99</v>
      </c>
      <c r="J9795" s="5" t="s">
        <v>120</v>
      </c>
      <c r="K9795" s="5" t="s">
        <v>99</v>
      </c>
      <c r="L9795" s="5" t="s">
        <v>99</v>
      </c>
      <c r="M9795" s="5" t="s">
        <v>557</v>
      </c>
      <c r="N9795" s="5" t="s">
        <v>99</v>
      </c>
      <c r="O9795" s="5" t="s">
        <v>99</v>
      </c>
    </row>
    <row r="9796" spans="1:22" x14ac:dyDescent="0.3">
      <c r="A9796" t="s">
        <v>36</v>
      </c>
      <c r="B9796" t="s">
        <v>1722</v>
      </c>
      <c r="C9796">
        <v>107</v>
      </c>
      <c r="D9796" t="s">
        <v>595</v>
      </c>
      <c r="E9796" t="s">
        <v>1118</v>
      </c>
      <c r="F9796" t="s">
        <v>432</v>
      </c>
      <c r="G9796" t="s">
        <v>420</v>
      </c>
      <c r="H9796" t="s">
        <v>136</v>
      </c>
      <c r="I9796" t="s">
        <v>99</v>
      </c>
      <c r="J9796" t="s">
        <v>99</v>
      </c>
      <c r="K9796" t="s">
        <v>99</v>
      </c>
      <c r="L9796" t="s">
        <v>41</v>
      </c>
      <c r="M9796" t="s">
        <v>482</v>
      </c>
      <c r="N9796" t="s">
        <v>99</v>
      </c>
      <c r="O9796" t="s">
        <v>136</v>
      </c>
    </row>
    <row r="9797" spans="1:22" s="5" customFormat="1" x14ac:dyDescent="0.3">
      <c r="A9797" s="5" t="s">
        <v>34</v>
      </c>
      <c r="B9797" s="5" t="s">
        <v>1721</v>
      </c>
      <c r="C9797" s="5">
        <v>14</v>
      </c>
      <c r="D9797" s="5" t="s">
        <v>508</v>
      </c>
      <c r="E9797" s="5" t="s">
        <v>99</v>
      </c>
      <c r="F9797" s="5" t="s">
        <v>489</v>
      </c>
      <c r="G9797" s="5" t="s">
        <v>595</v>
      </c>
      <c r="H9797" s="5" t="s">
        <v>99</v>
      </c>
      <c r="I9797" s="5" t="s">
        <v>99</v>
      </c>
      <c r="J9797" s="5" t="s">
        <v>99</v>
      </c>
      <c r="K9797" s="5" t="s">
        <v>99</v>
      </c>
      <c r="L9797" s="5" t="s">
        <v>99</v>
      </c>
      <c r="M9797" s="5" t="s">
        <v>465</v>
      </c>
      <c r="N9797" s="5" t="s">
        <v>99</v>
      </c>
      <c r="O9797" s="5" t="s">
        <v>664</v>
      </c>
    </row>
    <row r="9798" spans="1:22" x14ac:dyDescent="0.3">
      <c r="A9798" t="s">
        <v>34</v>
      </c>
      <c r="B9798" t="s">
        <v>1722</v>
      </c>
      <c r="C9798">
        <v>39</v>
      </c>
      <c r="D9798" t="s">
        <v>74</v>
      </c>
      <c r="E9798" t="s">
        <v>198</v>
      </c>
      <c r="F9798" t="s">
        <v>54</v>
      </c>
      <c r="G9798" t="s">
        <v>1237</v>
      </c>
      <c r="H9798" t="s">
        <v>99</v>
      </c>
      <c r="I9798" t="s">
        <v>99</v>
      </c>
      <c r="J9798" t="s">
        <v>99</v>
      </c>
      <c r="K9798" t="s">
        <v>99</v>
      </c>
      <c r="L9798" t="s">
        <v>99</v>
      </c>
      <c r="M9798" t="s">
        <v>412</v>
      </c>
      <c r="N9798" t="s">
        <v>74</v>
      </c>
      <c r="O9798" t="s">
        <v>99</v>
      </c>
    </row>
    <row r="9799" spans="1:22" s="5" customFormat="1" x14ac:dyDescent="0.3">
      <c r="A9799" s="5" t="s">
        <v>33</v>
      </c>
      <c r="B9799" s="5" t="s">
        <v>1721</v>
      </c>
      <c r="C9799" s="5">
        <v>10</v>
      </c>
      <c r="D9799" s="5" t="s">
        <v>281</v>
      </c>
      <c r="E9799" s="5" t="s">
        <v>731</v>
      </c>
      <c r="F9799" s="5" t="s">
        <v>983</v>
      </c>
      <c r="G9799" s="5" t="s">
        <v>99</v>
      </c>
      <c r="H9799" s="5" t="s">
        <v>99</v>
      </c>
      <c r="I9799" s="5" t="s">
        <v>99</v>
      </c>
      <c r="J9799" s="5" t="s">
        <v>99</v>
      </c>
      <c r="K9799" s="5" t="s">
        <v>99</v>
      </c>
      <c r="L9799" s="5" t="s">
        <v>142</v>
      </c>
      <c r="M9799" s="5" t="s">
        <v>663</v>
      </c>
      <c r="N9799" s="5" t="s">
        <v>99</v>
      </c>
      <c r="O9799" s="5" t="s">
        <v>99</v>
      </c>
    </row>
    <row r="9800" spans="1:22" x14ac:dyDescent="0.3">
      <c r="A9800" t="s">
        <v>33</v>
      </c>
      <c r="B9800" t="s">
        <v>1722</v>
      </c>
      <c r="C9800">
        <v>31</v>
      </c>
      <c r="D9800" t="s">
        <v>501</v>
      </c>
      <c r="E9800" t="s">
        <v>154</v>
      </c>
      <c r="F9800" t="s">
        <v>534</v>
      </c>
      <c r="G9800" t="s">
        <v>683</v>
      </c>
      <c r="H9800" t="s">
        <v>99</v>
      </c>
      <c r="I9800" t="s">
        <v>99</v>
      </c>
      <c r="J9800" t="s">
        <v>99</v>
      </c>
      <c r="K9800" t="s">
        <v>99</v>
      </c>
      <c r="L9800" t="s">
        <v>99</v>
      </c>
      <c r="M9800" t="s">
        <v>1110</v>
      </c>
      <c r="N9800" t="s">
        <v>99</v>
      </c>
      <c r="O9800" t="s">
        <v>316</v>
      </c>
    </row>
    <row r="9801" spans="1:22" x14ac:dyDescent="0.3">
      <c r="A9801" t="s">
        <v>49</v>
      </c>
      <c r="B9801" t="s">
        <v>1721</v>
      </c>
      <c r="C9801">
        <v>83</v>
      </c>
      <c r="D9801" t="s">
        <v>173</v>
      </c>
      <c r="E9801" t="s">
        <v>155</v>
      </c>
      <c r="F9801" t="s">
        <v>930</v>
      </c>
      <c r="G9801" t="s">
        <v>146</v>
      </c>
      <c r="H9801" t="s">
        <v>215</v>
      </c>
      <c r="I9801" t="s">
        <v>99</v>
      </c>
      <c r="J9801" t="s">
        <v>207</v>
      </c>
      <c r="K9801" t="s">
        <v>99</v>
      </c>
      <c r="L9801" t="s">
        <v>100</v>
      </c>
      <c r="M9801" t="s">
        <v>318</v>
      </c>
      <c r="N9801" t="s">
        <v>99</v>
      </c>
      <c r="O9801" t="s">
        <v>268</v>
      </c>
    </row>
    <row r="9802" spans="1:22" x14ac:dyDescent="0.3">
      <c r="A9802" t="s">
        <v>49</v>
      </c>
      <c r="B9802" t="s">
        <v>1722</v>
      </c>
      <c r="C9802">
        <v>319</v>
      </c>
      <c r="D9802" t="s">
        <v>826</v>
      </c>
      <c r="E9802" t="s">
        <v>248</v>
      </c>
      <c r="F9802" t="s">
        <v>177</v>
      </c>
      <c r="G9802" t="s">
        <v>933</v>
      </c>
      <c r="H9802" t="s">
        <v>382</v>
      </c>
      <c r="I9802" t="s">
        <v>99</v>
      </c>
      <c r="J9802" t="s">
        <v>99</v>
      </c>
      <c r="K9802" t="s">
        <v>99</v>
      </c>
      <c r="L9802" t="s">
        <v>101</v>
      </c>
      <c r="M9802" t="s">
        <v>291</v>
      </c>
      <c r="N9802" t="s">
        <v>127</v>
      </c>
      <c r="O9802" t="s">
        <v>128</v>
      </c>
    </row>
    <row r="9804" spans="1:22" x14ac:dyDescent="0.3">
      <c r="A9804" t="s">
        <v>2441</v>
      </c>
    </row>
    <row r="9805" spans="1:22" x14ac:dyDescent="0.3">
      <c r="A9805" t="s">
        <v>44</v>
      </c>
      <c r="B9805" t="s">
        <v>32</v>
      </c>
      <c r="C9805" t="s">
        <v>2442</v>
      </c>
      <c r="D9805" t="s">
        <v>2443</v>
      </c>
      <c r="E9805" t="s">
        <v>2444</v>
      </c>
      <c r="F9805" t="s">
        <v>2445</v>
      </c>
      <c r="G9805" t="s">
        <v>2446</v>
      </c>
      <c r="H9805" t="s">
        <v>2447</v>
      </c>
      <c r="I9805" t="s">
        <v>2448</v>
      </c>
      <c r="J9805" t="s">
        <v>2449</v>
      </c>
      <c r="K9805" t="s">
        <v>2450</v>
      </c>
      <c r="L9805" t="s">
        <v>2451</v>
      </c>
      <c r="M9805" t="s">
        <v>2452</v>
      </c>
      <c r="N9805" t="s">
        <v>2453</v>
      </c>
      <c r="O9805" t="s">
        <v>2454</v>
      </c>
      <c r="P9805" t="s">
        <v>2455</v>
      </c>
      <c r="Q9805" t="s">
        <v>2456</v>
      </c>
      <c r="R9805" t="s">
        <v>2457</v>
      </c>
      <c r="S9805" t="s">
        <v>2458</v>
      </c>
      <c r="T9805" t="s">
        <v>979</v>
      </c>
      <c r="U9805" t="s">
        <v>2459</v>
      </c>
      <c r="V9805" t="s">
        <v>193</v>
      </c>
    </row>
    <row r="9806" spans="1:22" x14ac:dyDescent="0.3">
      <c r="A9806" t="s">
        <v>35</v>
      </c>
      <c r="B9806">
        <v>3141</v>
      </c>
      <c r="C9806" t="s">
        <v>268</v>
      </c>
      <c r="D9806" t="s">
        <v>108</v>
      </c>
      <c r="E9806" t="s">
        <v>132</v>
      </c>
      <c r="F9806" t="s">
        <v>198</v>
      </c>
      <c r="G9806" t="s">
        <v>198</v>
      </c>
      <c r="H9806" t="s">
        <v>104</v>
      </c>
      <c r="I9806" t="s">
        <v>104</v>
      </c>
      <c r="J9806" t="s">
        <v>136</v>
      </c>
      <c r="K9806" t="s">
        <v>253</v>
      </c>
      <c r="L9806" t="s">
        <v>99</v>
      </c>
      <c r="M9806" t="s">
        <v>104</v>
      </c>
      <c r="N9806" t="s">
        <v>99</v>
      </c>
      <c r="O9806" t="s">
        <v>99</v>
      </c>
      <c r="P9806" t="s">
        <v>136</v>
      </c>
      <c r="Q9806" t="s">
        <v>104</v>
      </c>
      <c r="R9806" t="s">
        <v>104</v>
      </c>
      <c r="S9806" t="s">
        <v>207</v>
      </c>
      <c r="T9806" t="s">
        <v>198</v>
      </c>
      <c r="U9806" t="s">
        <v>505</v>
      </c>
      <c r="V9806" t="s">
        <v>141</v>
      </c>
    </row>
    <row r="9807" spans="1:22" x14ac:dyDescent="0.3">
      <c r="A9807" t="s">
        <v>37</v>
      </c>
      <c r="B9807">
        <v>3854</v>
      </c>
      <c r="C9807" t="s">
        <v>100</v>
      </c>
      <c r="D9807" t="s">
        <v>99</v>
      </c>
      <c r="E9807" t="s">
        <v>99</v>
      </c>
      <c r="F9807" t="s">
        <v>99</v>
      </c>
      <c r="G9807" t="s">
        <v>99</v>
      </c>
      <c r="H9807" t="s">
        <v>104</v>
      </c>
      <c r="I9807" t="s">
        <v>99</v>
      </c>
      <c r="J9807" t="s">
        <v>104</v>
      </c>
      <c r="K9807" t="s">
        <v>136</v>
      </c>
      <c r="L9807" t="s">
        <v>99</v>
      </c>
      <c r="M9807" t="s">
        <v>104</v>
      </c>
      <c r="N9807" t="s">
        <v>99</v>
      </c>
      <c r="O9807" t="s">
        <v>104</v>
      </c>
      <c r="P9807" t="s">
        <v>198</v>
      </c>
      <c r="Q9807" t="s">
        <v>207</v>
      </c>
      <c r="R9807" t="s">
        <v>104</v>
      </c>
      <c r="S9807" t="s">
        <v>198</v>
      </c>
      <c r="T9807" t="s">
        <v>104</v>
      </c>
      <c r="U9807" t="s">
        <v>466</v>
      </c>
      <c r="V9807" t="s">
        <v>198</v>
      </c>
    </row>
    <row r="9808" spans="1:22" x14ac:dyDescent="0.3">
      <c r="A9808" t="s">
        <v>36</v>
      </c>
      <c r="B9808">
        <v>2302</v>
      </c>
      <c r="C9808" t="s">
        <v>152</v>
      </c>
      <c r="D9808" t="s">
        <v>114</v>
      </c>
      <c r="E9808" t="s">
        <v>115</v>
      </c>
      <c r="F9808" t="s">
        <v>136</v>
      </c>
      <c r="G9808" t="s">
        <v>207</v>
      </c>
      <c r="H9808" t="s">
        <v>136</v>
      </c>
      <c r="I9808" t="s">
        <v>104</v>
      </c>
      <c r="J9808" t="s">
        <v>141</v>
      </c>
      <c r="K9808" t="s">
        <v>100</v>
      </c>
      <c r="L9808" t="s">
        <v>99</v>
      </c>
      <c r="M9808" t="s">
        <v>136</v>
      </c>
      <c r="N9808" t="s">
        <v>99</v>
      </c>
      <c r="O9808" t="s">
        <v>99</v>
      </c>
      <c r="P9808" t="s">
        <v>136</v>
      </c>
      <c r="Q9808" t="s">
        <v>104</v>
      </c>
      <c r="R9808" t="s">
        <v>136</v>
      </c>
      <c r="S9808" t="s">
        <v>104</v>
      </c>
      <c r="T9808" t="s">
        <v>198</v>
      </c>
      <c r="U9808" t="s">
        <v>1282</v>
      </c>
      <c r="V9808" t="s">
        <v>198</v>
      </c>
    </row>
    <row r="9809" spans="1:23" x14ac:dyDescent="0.3">
      <c r="A9809" t="s">
        <v>34</v>
      </c>
      <c r="B9809">
        <v>2076</v>
      </c>
      <c r="C9809" t="s">
        <v>143</v>
      </c>
      <c r="D9809" t="s">
        <v>121</v>
      </c>
      <c r="E9809" t="s">
        <v>319</v>
      </c>
      <c r="F9809" t="s">
        <v>108</v>
      </c>
      <c r="G9809" t="s">
        <v>319</v>
      </c>
      <c r="H9809" t="s">
        <v>115</v>
      </c>
      <c r="I9809" t="s">
        <v>136</v>
      </c>
      <c r="J9809" t="s">
        <v>101</v>
      </c>
      <c r="K9809" t="s">
        <v>126</v>
      </c>
      <c r="L9809" t="s">
        <v>99</v>
      </c>
      <c r="M9809" t="s">
        <v>104</v>
      </c>
      <c r="N9809" t="s">
        <v>99</v>
      </c>
      <c r="O9809" t="s">
        <v>99</v>
      </c>
      <c r="P9809" t="s">
        <v>104</v>
      </c>
      <c r="Q9809" t="s">
        <v>104</v>
      </c>
      <c r="R9809" t="s">
        <v>198</v>
      </c>
      <c r="S9809" t="s">
        <v>104</v>
      </c>
      <c r="T9809" t="s">
        <v>207</v>
      </c>
      <c r="U9809" t="s">
        <v>166</v>
      </c>
      <c r="V9809" t="s">
        <v>141</v>
      </c>
    </row>
    <row r="9810" spans="1:23" x14ac:dyDescent="0.3">
      <c r="A9810" t="s">
        <v>33</v>
      </c>
      <c r="B9810">
        <v>1936</v>
      </c>
      <c r="C9810" t="s">
        <v>101</v>
      </c>
      <c r="D9810" t="s">
        <v>198</v>
      </c>
      <c r="E9810" t="s">
        <v>99</v>
      </c>
      <c r="F9810" t="s">
        <v>104</v>
      </c>
      <c r="G9810" t="s">
        <v>99</v>
      </c>
      <c r="H9810" t="s">
        <v>99</v>
      </c>
      <c r="I9810" t="s">
        <v>99</v>
      </c>
      <c r="J9810" t="s">
        <v>207</v>
      </c>
      <c r="K9810" t="s">
        <v>207</v>
      </c>
      <c r="L9810" t="s">
        <v>99</v>
      </c>
      <c r="M9810" t="s">
        <v>104</v>
      </c>
      <c r="N9810" t="s">
        <v>99</v>
      </c>
      <c r="O9810" t="s">
        <v>99</v>
      </c>
      <c r="P9810" t="s">
        <v>99</v>
      </c>
      <c r="Q9810" t="s">
        <v>104</v>
      </c>
      <c r="R9810" t="s">
        <v>104</v>
      </c>
      <c r="S9810" t="s">
        <v>99</v>
      </c>
      <c r="T9810" t="s">
        <v>99</v>
      </c>
      <c r="U9810" t="s">
        <v>780</v>
      </c>
      <c r="V9810" t="s">
        <v>207</v>
      </c>
    </row>
    <row r="9811" spans="1:23" x14ac:dyDescent="0.3">
      <c r="A9811" t="s">
        <v>49</v>
      </c>
      <c r="B9811">
        <v>13309</v>
      </c>
      <c r="C9811" t="s">
        <v>147</v>
      </c>
      <c r="D9811" t="s">
        <v>253</v>
      </c>
      <c r="E9811" t="s">
        <v>253</v>
      </c>
      <c r="F9811" t="s">
        <v>207</v>
      </c>
      <c r="G9811" t="s">
        <v>207</v>
      </c>
      <c r="H9811" t="s">
        <v>198</v>
      </c>
      <c r="I9811" t="s">
        <v>104</v>
      </c>
      <c r="J9811" t="s">
        <v>141</v>
      </c>
      <c r="K9811" t="s">
        <v>115</v>
      </c>
      <c r="L9811" t="s">
        <v>99</v>
      </c>
      <c r="M9811" t="s">
        <v>104</v>
      </c>
      <c r="N9811" t="s">
        <v>99</v>
      </c>
      <c r="O9811" t="s">
        <v>99</v>
      </c>
      <c r="P9811" t="s">
        <v>198</v>
      </c>
      <c r="Q9811" t="s">
        <v>104</v>
      </c>
      <c r="R9811" t="s">
        <v>198</v>
      </c>
      <c r="S9811" t="s">
        <v>104</v>
      </c>
      <c r="T9811" t="s">
        <v>198</v>
      </c>
      <c r="U9811" t="s">
        <v>327</v>
      </c>
      <c r="V9811" t="s">
        <v>207</v>
      </c>
    </row>
    <row r="9813" spans="1:23" x14ac:dyDescent="0.3">
      <c r="A9813" t="s">
        <v>2460</v>
      </c>
    </row>
    <row r="9814" spans="1:23" x14ac:dyDescent="0.3">
      <c r="A9814" t="s">
        <v>44</v>
      </c>
      <c r="B9814" t="s">
        <v>361</v>
      </c>
      <c r="C9814" t="s">
        <v>32</v>
      </c>
      <c r="D9814" t="s">
        <v>2442</v>
      </c>
      <c r="E9814" t="s">
        <v>2443</v>
      </c>
      <c r="F9814" t="s">
        <v>2444</v>
      </c>
      <c r="G9814" t="s">
        <v>2445</v>
      </c>
      <c r="H9814" t="s">
        <v>2446</v>
      </c>
      <c r="I9814" t="s">
        <v>2447</v>
      </c>
      <c r="J9814" t="s">
        <v>2448</v>
      </c>
      <c r="K9814" t="s">
        <v>2449</v>
      </c>
      <c r="L9814" t="s">
        <v>2450</v>
      </c>
      <c r="M9814" t="s">
        <v>2451</v>
      </c>
      <c r="N9814" t="s">
        <v>2452</v>
      </c>
      <c r="O9814" t="s">
        <v>2453</v>
      </c>
      <c r="P9814" t="s">
        <v>2454</v>
      </c>
      <c r="Q9814" t="s">
        <v>2455</v>
      </c>
      <c r="R9814" t="s">
        <v>2456</v>
      </c>
      <c r="S9814" t="s">
        <v>2457</v>
      </c>
      <c r="T9814" t="s">
        <v>2458</v>
      </c>
      <c r="U9814" t="s">
        <v>979</v>
      </c>
      <c r="V9814" t="s">
        <v>2459</v>
      </c>
      <c r="W9814" t="s">
        <v>193</v>
      </c>
    </row>
    <row r="9815" spans="1:23" x14ac:dyDescent="0.3">
      <c r="A9815" t="s">
        <v>35</v>
      </c>
      <c r="B9815" t="s">
        <v>339</v>
      </c>
      <c r="C9815">
        <v>889</v>
      </c>
      <c r="D9815" t="s">
        <v>120</v>
      </c>
      <c r="E9815" t="s">
        <v>108</v>
      </c>
      <c r="F9815" t="s">
        <v>253</v>
      </c>
      <c r="G9815" t="s">
        <v>198</v>
      </c>
      <c r="H9815" t="s">
        <v>104</v>
      </c>
      <c r="I9815" t="s">
        <v>99</v>
      </c>
      <c r="J9815" t="s">
        <v>104</v>
      </c>
      <c r="K9815" t="s">
        <v>253</v>
      </c>
      <c r="L9815" t="s">
        <v>115</v>
      </c>
      <c r="M9815" t="s">
        <v>99</v>
      </c>
      <c r="N9815" t="s">
        <v>104</v>
      </c>
      <c r="O9815" t="s">
        <v>99</v>
      </c>
      <c r="P9815" t="s">
        <v>99</v>
      </c>
      <c r="Q9815" t="s">
        <v>115</v>
      </c>
      <c r="R9815" t="s">
        <v>99</v>
      </c>
      <c r="S9815" t="s">
        <v>198</v>
      </c>
      <c r="T9815" t="s">
        <v>132</v>
      </c>
      <c r="U9815" t="s">
        <v>104</v>
      </c>
      <c r="V9815" t="s">
        <v>415</v>
      </c>
      <c r="W9815" t="s">
        <v>141</v>
      </c>
    </row>
    <row r="9816" spans="1:23" x14ac:dyDescent="0.3">
      <c r="A9816" t="s">
        <v>35</v>
      </c>
      <c r="B9816" t="s">
        <v>340</v>
      </c>
      <c r="C9816">
        <v>2212</v>
      </c>
      <c r="D9816" t="s">
        <v>151</v>
      </c>
      <c r="E9816" t="s">
        <v>108</v>
      </c>
      <c r="F9816" t="s">
        <v>132</v>
      </c>
      <c r="G9816" t="s">
        <v>198</v>
      </c>
      <c r="H9816" t="s">
        <v>198</v>
      </c>
      <c r="I9816" t="s">
        <v>104</v>
      </c>
      <c r="J9816" t="s">
        <v>104</v>
      </c>
      <c r="K9816" t="s">
        <v>207</v>
      </c>
      <c r="L9816" t="s">
        <v>141</v>
      </c>
      <c r="M9816" t="s">
        <v>99</v>
      </c>
      <c r="N9816" t="s">
        <v>104</v>
      </c>
      <c r="O9816" t="s">
        <v>99</v>
      </c>
      <c r="P9816" t="s">
        <v>99</v>
      </c>
      <c r="Q9816" t="s">
        <v>207</v>
      </c>
      <c r="R9816" t="s">
        <v>104</v>
      </c>
      <c r="S9816" t="s">
        <v>104</v>
      </c>
      <c r="T9816" t="s">
        <v>99</v>
      </c>
      <c r="U9816" t="s">
        <v>207</v>
      </c>
      <c r="V9816" t="s">
        <v>1438</v>
      </c>
      <c r="W9816" t="s">
        <v>141</v>
      </c>
    </row>
    <row r="9817" spans="1:23" x14ac:dyDescent="0.3">
      <c r="A9817" t="s">
        <v>35</v>
      </c>
      <c r="B9817" t="s">
        <v>365</v>
      </c>
      <c r="C9817">
        <v>40</v>
      </c>
      <c r="D9817" t="s">
        <v>143</v>
      </c>
      <c r="E9817" t="s">
        <v>99</v>
      </c>
      <c r="F9817" t="s">
        <v>99</v>
      </c>
      <c r="G9817" t="s">
        <v>99</v>
      </c>
      <c r="H9817" t="s">
        <v>99</v>
      </c>
      <c r="I9817" t="s">
        <v>99</v>
      </c>
      <c r="J9817" t="s">
        <v>99</v>
      </c>
      <c r="K9817" t="s">
        <v>99</v>
      </c>
      <c r="L9817" t="s">
        <v>99</v>
      </c>
      <c r="M9817" t="s">
        <v>99</v>
      </c>
      <c r="N9817" t="s">
        <v>99</v>
      </c>
      <c r="O9817" t="s">
        <v>99</v>
      </c>
      <c r="P9817" t="s">
        <v>99</v>
      </c>
      <c r="Q9817" t="s">
        <v>99</v>
      </c>
      <c r="R9817" t="s">
        <v>115</v>
      </c>
      <c r="S9817" t="s">
        <v>99</v>
      </c>
      <c r="T9817" t="s">
        <v>99</v>
      </c>
      <c r="U9817" t="s">
        <v>99</v>
      </c>
      <c r="V9817" t="s">
        <v>241</v>
      </c>
      <c r="W9817" t="s">
        <v>99</v>
      </c>
    </row>
    <row r="9818" spans="1:23" x14ac:dyDescent="0.3">
      <c r="A9818" t="s">
        <v>37</v>
      </c>
      <c r="B9818" t="s">
        <v>339</v>
      </c>
      <c r="C9818">
        <v>1092</v>
      </c>
      <c r="D9818" t="s">
        <v>292</v>
      </c>
      <c r="E9818" t="s">
        <v>104</v>
      </c>
      <c r="F9818" t="s">
        <v>99</v>
      </c>
      <c r="G9818" t="s">
        <v>104</v>
      </c>
      <c r="H9818" t="s">
        <v>99</v>
      </c>
      <c r="I9818" t="s">
        <v>198</v>
      </c>
      <c r="J9818" t="s">
        <v>99</v>
      </c>
      <c r="K9818" t="s">
        <v>104</v>
      </c>
      <c r="L9818" t="s">
        <v>114</v>
      </c>
      <c r="M9818" t="s">
        <v>99</v>
      </c>
      <c r="N9818" t="s">
        <v>104</v>
      </c>
      <c r="O9818" t="s">
        <v>99</v>
      </c>
      <c r="P9818" t="s">
        <v>99</v>
      </c>
      <c r="Q9818" t="s">
        <v>207</v>
      </c>
      <c r="R9818" t="s">
        <v>136</v>
      </c>
      <c r="S9818" t="s">
        <v>207</v>
      </c>
      <c r="T9818" t="s">
        <v>104</v>
      </c>
      <c r="U9818" t="s">
        <v>104</v>
      </c>
      <c r="V9818" t="s">
        <v>331</v>
      </c>
      <c r="W9818" t="s">
        <v>136</v>
      </c>
    </row>
    <row r="9819" spans="1:23" x14ac:dyDescent="0.3">
      <c r="A9819" t="s">
        <v>37</v>
      </c>
      <c r="B9819" t="s">
        <v>340</v>
      </c>
      <c r="C9819">
        <v>2721</v>
      </c>
      <c r="D9819" t="s">
        <v>115</v>
      </c>
      <c r="E9819" t="s">
        <v>99</v>
      </c>
      <c r="F9819" t="s">
        <v>99</v>
      </c>
      <c r="G9819" t="s">
        <v>99</v>
      </c>
      <c r="H9819" t="s">
        <v>99</v>
      </c>
      <c r="I9819" t="s">
        <v>104</v>
      </c>
      <c r="J9819" t="s">
        <v>99</v>
      </c>
      <c r="K9819" t="s">
        <v>104</v>
      </c>
      <c r="L9819" t="s">
        <v>198</v>
      </c>
      <c r="M9819" t="s">
        <v>99</v>
      </c>
      <c r="N9819" t="s">
        <v>104</v>
      </c>
      <c r="O9819" t="s">
        <v>99</v>
      </c>
      <c r="P9819" t="s">
        <v>99</v>
      </c>
      <c r="Q9819" t="s">
        <v>198</v>
      </c>
      <c r="R9819" t="s">
        <v>198</v>
      </c>
      <c r="S9819" t="s">
        <v>104</v>
      </c>
      <c r="T9819" t="s">
        <v>198</v>
      </c>
      <c r="U9819" t="s">
        <v>104</v>
      </c>
      <c r="V9819" t="s">
        <v>766</v>
      </c>
      <c r="W9819" t="s">
        <v>104</v>
      </c>
    </row>
    <row r="9820" spans="1:23" x14ac:dyDescent="0.3">
      <c r="A9820" t="s">
        <v>37</v>
      </c>
      <c r="B9820" t="s">
        <v>365</v>
      </c>
      <c r="C9820">
        <v>41</v>
      </c>
      <c r="D9820" t="s">
        <v>128</v>
      </c>
      <c r="E9820" t="s">
        <v>99</v>
      </c>
      <c r="F9820" t="s">
        <v>99</v>
      </c>
      <c r="G9820" t="s">
        <v>99</v>
      </c>
      <c r="H9820" t="s">
        <v>99</v>
      </c>
      <c r="I9820" t="s">
        <v>99</v>
      </c>
      <c r="J9820" t="s">
        <v>99</v>
      </c>
      <c r="K9820" t="s">
        <v>99</v>
      </c>
      <c r="L9820" t="s">
        <v>99</v>
      </c>
      <c r="M9820" t="s">
        <v>99</v>
      </c>
      <c r="N9820" t="s">
        <v>99</v>
      </c>
      <c r="O9820" t="s">
        <v>99</v>
      </c>
      <c r="P9820" t="s">
        <v>663</v>
      </c>
      <c r="Q9820" t="s">
        <v>99</v>
      </c>
      <c r="R9820" t="s">
        <v>99</v>
      </c>
      <c r="S9820" t="s">
        <v>99</v>
      </c>
      <c r="T9820" t="s">
        <v>99</v>
      </c>
      <c r="U9820" t="s">
        <v>99</v>
      </c>
      <c r="V9820" t="s">
        <v>169</v>
      </c>
      <c r="W9820" t="s">
        <v>99</v>
      </c>
    </row>
    <row r="9821" spans="1:23" x14ac:dyDescent="0.3">
      <c r="A9821" t="s">
        <v>36</v>
      </c>
      <c r="B9821" t="s">
        <v>339</v>
      </c>
      <c r="C9821">
        <v>769</v>
      </c>
      <c r="D9821" t="s">
        <v>804</v>
      </c>
      <c r="E9821" t="s">
        <v>108</v>
      </c>
      <c r="F9821" t="s">
        <v>132</v>
      </c>
      <c r="G9821" t="s">
        <v>141</v>
      </c>
      <c r="H9821" t="s">
        <v>141</v>
      </c>
      <c r="I9821" t="s">
        <v>100</v>
      </c>
      <c r="J9821" t="s">
        <v>104</v>
      </c>
      <c r="K9821" t="s">
        <v>104</v>
      </c>
      <c r="L9821" t="s">
        <v>117</v>
      </c>
      <c r="M9821" t="s">
        <v>99</v>
      </c>
      <c r="N9821" t="s">
        <v>104</v>
      </c>
      <c r="O9821" t="s">
        <v>99</v>
      </c>
      <c r="P9821" t="s">
        <v>99</v>
      </c>
      <c r="Q9821" t="s">
        <v>132</v>
      </c>
      <c r="R9821" t="s">
        <v>104</v>
      </c>
      <c r="S9821" t="s">
        <v>104</v>
      </c>
      <c r="T9821" t="s">
        <v>104</v>
      </c>
      <c r="U9821" t="s">
        <v>207</v>
      </c>
      <c r="V9821" t="s">
        <v>612</v>
      </c>
      <c r="W9821" t="s">
        <v>207</v>
      </c>
    </row>
    <row r="9822" spans="1:23" x14ac:dyDescent="0.3">
      <c r="A9822" t="s">
        <v>36</v>
      </c>
      <c r="B9822" t="s">
        <v>340</v>
      </c>
      <c r="C9822">
        <v>1471</v>
      </c>
      <c r="D9822" t="s">
        <v>124</v>
      </c>
      <c r="E9822" t="s">
        <v>100</v>
      </c>
      <c r="F9822" t="s">
        <v>253</v>
      </c>
      <c r="G9822" t="s">
        <v>136</v>
      </c>
      <c r="H9822" t="s">
        <v>207</v>
      </c>
      <c r="I9822" t="s">
        <v>99</v>
      </c>
      <c r="J9822" t="s">
        <v>104</v>
      </c>
      <c r="K9822" t="s">
        <v>115</v>
      </c>
      <c r="L9822" t="s">
        <v>141</v>
      </c>
      <c r="M9822" t="s">
        <v>99</v>
      </c>
      <c r="N9822" t="s">
        <v>253</v>
      </c>
      <c r="O9822" t="s">
        <v>99</v>
      </c>
      <c r="P9822" t="s">
        <v>99</v>
      </c>
      <c r="Q9822" t="s">
        <v>198</v>
      </c>
      <c r="R9822" t="s">
        <v>99</v>
      </c>
      <c r="S9822" t="s">
        <v>115</v>
      </c>
      <c r="T9822" t="s">
        <v>104</v>
      </c>
      <c r="U9822" t="s">
        <v>104</v>
      </c>
      <c r="V9822" t="s">
        <v>403</v>
      </c>
      <c r="W9822" t="s">
        <v>104</v>
      </c>
    </row>
    <row r="9823" spans="1:23" x14ac:dyDescent="0.3">
      <c r="A9823" t="s">
        <v>36</v>
      </c>
      <c r="B9823" t="s">
        <v>365</v>
      </c>
      <c r="C9823">
        <v>62</v>
      </c>
      <c r="D9823" t="s">
        <v>68</v>
      </c>
      <c r="E9823" t="s">
        <v>198</v>
      </c>
      <c r="F9823" t="s">
        <v>134</v>
      </c>
      <c r="G9823" t="s">
        <v>99</v>
      </c>
      <c r="H9823" t="s">
        <v>99</v>
      </c>
      <c r="I9823" t="s">
        <v>132</v>
      </c>
      <c r="J9823" t="s">
        <v>115</v>
      </c>
      <c r="K9823" t="s">
        <v>99</v>
      </c>
      <c r="L9823" t="s">
        <v>99</v>
      </c>
      <c r="M9823" t="s">
        <v>99</v>
      </c>
      <c r="N9823" t="s">
        <v>99</v>
      </c>
      <c r="O9823" t="s">
        <v>99</v>
      </c>
      <c r="P9823" t="s">
        <v>99</v>
      </c>
      <c r="Q9823" t="s">
        <v>99</v>
      </c>
      <c r="R9823" t="s">
        <v>99</v>
      </c>
      <c r="S9823" t="s">
        <v>99</v>
      </c>
      <c r="T9823" t="s">
        <v>99</v>
      </c>
      <c r="U9823" t="s">
        <v>99</v>
      </c>
      <c r="V9823" t="s">
        <v>376</v>
      </c>
      <c r="W9823" t="s">
        <v>99</v>
      </c>
    </row>
    <row r="9824" spans="1:23" x14ac:dyDescent="0.3">
      <c r="A9824" t="s">
        <v>34</v>
      </c>
      <c r="B9824" t="s">
        <v>339</v>
      </c>
      <c r="C9824">
        <v>554</v>
      </c>
      <c r="D9824" t="s">
        <v>248</v>
      </c>
      <c r="E9824" t="s">
        <v>121</v>
      </c>
      <c r="F9824" t="s">
        <v>111</v>
      </c>
      <c r="G9824" t="s">
        <v>114</v>
      </c>
      <c r="H9824" t="s">
        <v>115</v>
      </c>
      <c r="I9824" t="s">
        <v>132</v>
      </c>
      <c r="J9824" t="s">
        <v>253</v>
      </c>
      <c r="K9824" t="s">
        <v>292</v>
      </c>
      <c r="L9824" t="s">
        <v>111</v>
      </c>
      <c r="M9824" t="s">
        <v>99</v>
      </c>
      <c r="N9824" t="s">
        <v>99</v>
      </c>
      <c r="O9824" t="s">
        <v>99</v>
      </c>
      <c r="P9824" t="s">
        <v>99</v>
      </c>
      <c r="Q9824" t="s">
        <v>207</v>
      </c>
      <c r="R9824" t="s">
        <v>104</v>
      </c>
      <c r="S9824" t="s">
        <v>141</v>
      </c>
      <c r="T9824" t="s">
        <v>99</v>
      </c>
      <c r="U9824" t="s">
        <v>207</v>
      </c>
      <c r="V9824" t="s">
        <v>450</v>
      </c>
      <c r="W9824" t="s">
        <v>108</v>
      </c>
    </row>
    <row r="9825" spans="1:23" x14ac:dyDescent="0.3">
      <c r="A9825" t="s">
        <v>34</v>
      </c>
      <c r="B9825" t="s">
        <v>340</v>
      </c>
      <c r="C9825">
        <v>1494</v>
      </c>
      <c r="D9825" t="s">
        <v>412</v>
      </c>
      <c r="E9825" t="s">
        <v>114</v>
      </c>
      <c r="F9825" t="s">
        <v>108</v>
      </c>
      <c r="G9825" t="s">
        <v>132</v>
      </c>
      <c r="H9825" t="s">
        <v>215</v>
      </c>
      <c r="I9825" t="s">
        <v>253</v>
      </c>
      <c r="J9825" t="s">
        <v>207</v>
      </c>
      <c r="K9825" t="s">
        <v>132</v>
      </c>
      <c r="L9825" t="s">
        <v>121</v>
      </c>
      <c r="M9825" t="s">
        <v>99</v>
      </c>
      <c r="N9825" t="s">
        <v>104</v>
      </c>
      <c r="O9825" t="s">
        <v>99</v>
      </c>
      <c r="P9825" t="s">
        <v>99</v>
      </c>
      <c r="Q9825" t="s">
        <v>99</v>
      </c>
      <c r="R9825" t="s">
        <v>99</v>
      </c>
      <c r="S9825" t="s">
        <v>104</v>
      </c>
      <c r="T9825" t="s">
        <v>104</v>
      </c>
      <c r="U9825" t="s">
        <v>198</v>
      </c>
      <c r="V9825" t="s">
        <v>203</v>
      </c>
      <c r="W9825" t="s">
        <v>198</v>
      </c>
    </row>
    <row r="9826" spans="1:23" x14ac:dyDescent="0.3">
      <c r="A9826" t="s">
        <v>34</v>
      </c>
      <c r="B9826" t="s">
        <v>365</v>
      </c>
      <c r="C9826">
        <v>28</v>
      </c>
      <c r="D9826" t="s">
        <v>416</v>
      </c>
      <c r="E9826" t="s">
        <v>468</v>
      </c>
      <c r="F9826" t="s">
        <v>468</v>
      </c>
      <c r="G9826" t="s">
        <v>468</v>
      </c>
      <c r="H9826" t="s">
        <v>468</v>
      </c>
      <c r="I9826" t="s">
        <v>99</v>
      </c>
      <c r="J9826" t="s">
        <v>99</v>
      </c>
      <c r="K9826" t="s">
        <v>99</v>
      </c>
      <c r="L9826" t="s">
        <v>99</v>
      </c>
      <c r="M9826" t="s">
        <v>99</v>
      </c>
      <c r="N9826" t="s">
        <v>99</v>
      </c>
      <c r="O9826" t="s">
        <v>99</v>
      </c>
      <c r="P9826" t="s">
        <v>99</v>
      </c>
      <c r="Q9826" t="s">
        <v>99</v>
      </c>
      <c r="R9826" t="s">
        <v>99</v>
      </c>
      <c r="S9826" t="s">
        <v>99</v>
      </c>
      <c r="T9826" t="s">
        <v>99</v>
      </c>
      <c r="U9826" t="s">
        <v>99</v>
      </c>
      <c r="V9826" t="s">
        <v>1064</v>
      </c>
      <c r="W9826" t="s">
        <v>99</v>
      </c>
    </row>
    <row r="9827" spans="1:23" x14ac:dyDescent="0.3">
      <c r="A9827" t="s">
        <v>33</v>
      </c>
      <c r="B9827" t="s">
        <v>339</v>
      </c>
      <c r="C9827">
        <v>502</v>
      </c>
      <c r="D9827" t="s">
        <v>120</v>
      </c>
      <c r="E9827" t="s">
        <v>136</v>
      </c>
      <c r="F9827" t="s">
        <v>99</v>
      </c>
      <c r="G9827" t="s">
        <v>207</v>
      </c>
      <c r="H9827" t="s">
        <v>99</v>
      </c>
      <c r="I9827" t="s">
        <v>99</v>
      </c>
      <c r="J9827" t="s">
        <v>99</v>
      </c>
      <c r="K9827" t="s">
        <v>253</v>
      </c>
      <c r="L9827" t="s">
        <v>207</v>
      </c>
      <c r="M9827" t="s">
        <v>99</v>
      </c>
      <c r="N9827" t="s">
        <v>198</v>
      </c>
      <c r="O9827" t="s">
        <v>99</v>
      </c>
      <c r="P9827" t="s">
        <v>99</v>
      </c>
      <c r="Q9827" t="s">
        <v>99</v>
      </c>
      <c r="R9827" t="s">
        <v>198</v>
      </c>
      <c r="S9827" t="s">
        <v>198</v>
      </c>
      <c r="T9827" t="s">
        <v>99</v>
      </c>
      <c r="U9827" t="s">
        <v>198</v>
      </c>
      <c r="V9827" t="s">
        <v>375</v>
      </c>
      <c r="W9827" t="s">
        <v>207</v>
      </c>
    </row>
    <row r="9828" spans="1:23" x14ac:dyDescent="0.3">
      <c r="A9828" t="s">
        <v>33</v>
      </c>
      <c r="B9828" t="s">
        <v>340</v>
      </c>
      <c r="C9828">
        <v>1415</v>
      </c>
      <c r="D9828" t="s">
        <v>132</v>
      </c>
      <c r="E9828" t="s">
        <v>104</v>
      </c>
      <c r="F9828" t="s">
        <v>99</v>
      </c>
      <c r="G9828" t="s">
        <v>99</v>
      </c>
      <c r="H9828" t="s">
        <v>99</v>
      </c>
      <c r="I9828" t="s">
        <v>99</v>
      </c>
      <c r="J9828" t="s">
        <v>99</v>
      </c>
      <c r="K9828" t="s">
        <v>198</v>
      </c>
      <c r="L9828" t="s">
        <v>207</v>
      </c>
      <c r="M9828" t="s">
        <v>99</v>
      </c>
      <c r="N9828" t="s">
        <v>104</v>
      </c>
      <c r="O9828" t="s">
        <v>99</v>
      </c>
      <c r="P9828" t="s">
        <v>99</v>
      </c>
      <c r="Q9828" t="s">
        <v>104</v>
      </c>
      <c r="R9828" t="s">
        <v>104</v>
      </c>
      <c r="S9828" t="s">
        <v>104</v>
      </c>
      <c r="T9828" t="s">
        <v>99</v>
      </c>
      <c r="U9828" t="s">
        <v>99</v>
      </c>
      <c r="V9828" t="s">
        <v>438</v>
      </c>
      <c r="W9828" t="s">
        <v>207</v>
      </c>
    </row>
    <row r="9829" spans="1:23" x14ac:dyDescent="0.3">
      <c r="A9829" t="s">
        <v>33</v>
      </c>
      <c r="B9829" t="s">
        <v>365</v>
      </c>
      <c r="C9829">
        <v>19</v>
      </c>
      <c r="D9829" t="s">
        <v>99</v>
      </c>
      <c r="E9829" t="s">
        <v>99</v>
      </c>
      <c r="F9829" t="s">
        <v>99</v>
      </c>
      <c r="G9829" t="s">
        <v>99</v>
      </c>
      <c r="H9829" t="s">
        <v>99</v>
      </c>
      <c r="I9829" t="s">
        <v>99</v>
      </c>
      <c r="J9829" t="s">
        <v>99</v>
      </c>
      <c r="K9829" t="s">
        <v>99</v>
      </c>
      <c r="L9829" t="s">
        <v>99</v>
      </c>
      <c r="M9829" t="s">
        <v>99</v>
      </c>
      <c r="N9829" t="s">
        <v>99</v>
      </c>
      <c r="O9829" t="s">
        <v>99</v>
      </c>
      <c r="P9829" t="s">
        <v>99</v>
      </c>
      <c r="Q9829" t="s">
        <v>99</v>
      </c>
      <c r="R9829" t="s">
        <v>99</v>
      </c>
      <c r="S9829" t="s">
        <v>99</v>
      </c>
      <c r="T9829" t="s">
        <v>99</v>
      </c>
      <c r="U9829" t="s">
        <v>99</v>
      </c>
      <c r="V9829" t="s">
        <v>211</v>
      </c>
      <c r="W9829" t="s">
        <v>99</v>
      </c>
    </row>
    <row r="9830" spans="1:23" x14ac:dyDescent="0.3">
      <c r="A9830" t="s">
        <v>49</v>
      </c>
      <c r="B9830" t="s">
        <v>339</v>
      </c>
      <c r="C9830">
        <v>3806</v>
      </c>
      <c r="D9830" t="s">
        <v>474</v>
      </c>
      <c r="E9830" t="s">
        <v>115</v>
      </c>
      <c r="F9830" t="s">
        <v>115</v>
      </c>
      <c r="G9830" t="s">
        <v>136</v>
      </c>
      <c r="H9830" t="s">
        <v>198</v>
      </c>
      <c r="I9830" t="s">
        <v>207</v>
      </c>
      <c r="J9830" t="s">
        <v>198</v>
      </c>
      <c r="K9830" t="s">
        <v>115</v>
      </c>
      <c r="L9830" t="s">
        <v>121</v>
      </c>
      <c r="M9830" t="s">
        <v>99</v>
      </c>
      <c r="N9830" t="s">
        <v>104</v>
      </c>
      <c r="O9830" t="s">
        <v>99</v>
      </c>
      <c r="P9830" t="s">
        <v>99</v>
      </c>
      <c r="Q9830" t="s">
        <v>136</v>
      </c>
      <c r="R9830" t="s">
        <v>198</v>
      </c>
      <c r="S9830" t="s">
        <v>207</v>
      </c>
      <c r="T9830" t="s">
        <v>207</v>
      </c>
      <c r="U9830" t="s">
        <v>198</v>
      </c>
      <c r="V9830" t="s">
        <v>323</v>
      </c>
      <c r="W9830" t="s">
        <v>141</v>
      </c>
    </row>
    <row r="9831" spans="1:23" x14ac:dyDescent="0.3">
      <c r="A9831" t="s">
        <v>49</v>
      </c>
      <c r="B9831" t="s">
        <v>340</v>
      </c>
      <c r="C9831">
        <v>9313</v>
      </c>
      <c r="D9831" t="s">
        <v>268</v>
      </c>
      <c r="E9831" t="s">
        <v>253</v>
      </c>
      <c r="F9831" t="s">
        <v>141</v>
      </c>
      <c r="G9831" t="s">
        <v>198</v>
      </c>
      <c r="H9831" t="s">
        <v>136</v>
      </c>
      <c r="I9831" t="s">
        <v>198</v>
      </c>
      <c r="J9831" t="s">
        <v>104</v>
      </c>
      <c r="K9831" t="s">
        <v>136</v>
      </c>
      <c r="L9831" t="s">
        <v>141</v>
      </c>
      <c r="M9831" t="s">
        <v>99</v>
      </c>
      <c r="N9831" t="s">
        <v>198</v>
      </c>
      <c r="O9831" t="s">
        <v>99</v>
      </c>
      <c r="P9831" t="s">
        <v>99</v>
      </c>
      <c r="Q9831" t="s">
        <v>198</v>
      </c>
      <c r="R9831" t="s">
        <v>104</v>
      </c>
      <c r="S9831" t="s">
        <v>104</v>
      </c>
      <c r="T9831" t="s">
        <v>104</v>
      </c>
      <c r="U9831" t="s">
        <v>198</v>
      </c>
      <c r="V9831" t="s">
        <v>367</v>
      </c>
      <c r="W9831" t="s">
        <v>207</v>
      </c>
    </row>
    <row r="9832" spans="1:23" x14ac:dyDescent="0.3">
      <c r="A9832" t="s">
        <v>49</v>
      </c>
      <c r="B9832" t="s">
        <v>365</v>
      </c>
      <c r="C9832">
        <v>190</v>
      </c>
      <c r="D9832" t="s">
        <v>468</v>
      </c>
      <c r="E9832" t="s">
        <v>101</v>
      </c>
      <c r="F9832" t="s">
        <v>127</v>
      </c>
      <c r="G9832" t="s">
        <v>101</v>
      </c>
      <c r="H9832" t="s">
        <v>101</v>
      </c>
      <c r="I9832" t="s">
        <v>104</v>
      </c>
      <c r="J9832" t="s">
        <v>104</v>
      </c>
      <c r="K9832" t="s">
        <v>99</v>
      </c>
      <c r="L9832" t="s">
        <v>99</v>
      </c>
      <c r="M9832" t="s">
        <v>99</v>
      </c>
      <c r="N9832" t="s">
        <v>99</v>
      </c>
      <c r="O9832" t="s">
        <v>99</v>
      </c>
      <c r="P9832" t="s">
        <v>382</v>
      </c>
      <c r="Q9832" t="s">
        <v>99</v>
      </c>
      <c r="R9832" t="s">
        <v>198</v>
      </c>
      <c r="S9832" t="s">
        <v>99</v>
      </c>
      <c r="T9832" t="s">
        <v>99</v>
      </c>
      <c r="U9832" t="s">
        <v>99</v>
      </c>
      <c r="V9832" t="s">
        <v>250</v>
      </c>
      <c r="W9832" t="s">
        <v>99</v>
      </c>
    </row>
    <row r="9834" spans="1:23" x14ac:dyDescent="0.3">
      <c r="A9834" t="s">
        <v>2461</v>
      </c>
    </row>
    <row r="9835" spans="1:23" x14ac:dyDescent="0.3">
      <c r="A9835" t="s">
        <v>44</v>
      </c>
      <c r="B9835" t="s">
        <v>209</v>
      </c>
      <c r="C9835" t="s">
        <v>32</v>
      </c>
      <c r="D9835" t="s">
        <v>2442</v>
      </c>
      <c r="E9835" t="s">
        <v>2443</v>
      </c>
      <c r="F9835" t="s">
        <v>2444</v>
      </c>
      <c r="G9835" t="s">
        <v>2445</v>
      </c>
      <c r="H9835" t="s">
        <v>2446</v>
      </c>
      <c r="I9835" t="s">
        <v>2447</v>
      </c>
      <c r="J9835" t="s">
        <v>2448</v>
      </c>
      <c r="K9835" t="s">
        <v>2449</v>
      </c>
      <c r="L9835" t="s">
        <v>2450</v>
      </c>
      <c r="M9835" t="s">
        <v>2451</v>
      </c>
      <c r="N9835" t="s">
        <v>2452</v>
      </c>
      <c r="O9835" t="s">
        <v>2453</v>
      </c>
      <c r="P9835" t="s">
        <v>2454</v>
      </c>
      <c r="Q9835" t="s">
        <v>2455</v>
      </c>
      <c r="R9835" t="s">
        <v>2456</v>
      </c>
      <c r="S9835" t="s">
        <v>2457</v>
      </c>
      <c r="T9835" t="s">
        <v>2458</v>
      </c>
      <c r="U9835" t="s">
        <v>979</v>
      </c>
      <c r="V9835" t="s">
        <v>2459</v>
      </c>
      <c r="W9835" t="s">
        <v>193</v>
      </c>
    </row>
    <row r="9836" spans="1:23" x14ac:dyDescent="0.3">
      <c r="A9836" t="s">
        <v>35</v>
      </c>
      <c r="B9836" t="s">
        <v>210</v>
      </c>
      <c r="C9836">
        <v>136</v>
      </c>
      <c r="D9836" t="s">
        <v>118</v>
      </c>
      <c r="E9836" t="s">
        <v>292</v>
      </c>
      <c r="F9836" t="s">
        <v>111</v>
      </c>
      <c r="G9836" t="s">
        <v>126</v>
      </c>
      <c r="H9836" t="s">
        <v>132</v>
      </c>
      <c r="I9836" t="s">
        <v>114</v>
      </c>
      <c r="J9836" t="s">
        <v>132</v>
      </c>
      <c r="K9836" t="s">
        <v>155</v>
      </c>
      <c r="L9836" t="s">
        <v>99</v>
      </c>
      <c r="M9836" t="s">
        <v>99</v>
      </c>
      <c r="N9836" t="s">
        <v>99</v>
      </c>
      <c r="O9836" t="s">
        <v>99</v>
      </c>
      <c r="P9836" t="s">
        <v>99</v>
      </c>
      <c r="Q9836" t="s">
        <v>99</v>
      </c>
      <c r="R9836" t="s">
        <v>136</v>
      </c>
      <c r="S9836" t="s">
        <v>99</v>
      </c>
      <c r="T9836" t="s">
        <v>99</v>
      </c>
      <c r="U9836" t="s">
        <v>99</v>
      </c>
      <c r="V9836" t="s">
        <v>1276</v>
      </c>
      <c r="W9836" t="s">
        <v>101</v>
      </c>
    </row>
    <row r="9837" spans="1:23" x14ac:dyDescent="0.3">
      <c r="A9837" t="s">
        <v>35</v>
      </c>
      <c r="B9837" t="s">
        <v>212</v>
      </c>
      <c r="C9837">
        <v>2438</v>
      </c>
      <c r="D9837" t="s">
        <v>127</v>
      </c>
      <c r="E9837" t="s">
        <v>253</v>
      </c>
      <c r="F9837" t="s">
        <v>141</v>
      </c>
      <c r="G9837" t="s">
        <v>104</v>
      </c>
      <c r="H9837" t="s">
        <v>104</v>
      </c>
      <c r="I9837" t="s">
        <v>99</v>
      </c>
      <c r="J9837" t="s">
        <v>104</v>
      </c>
      <c r="K9837" t="s">
        <v>104</v>
      </c>
      <c r="L9837" t="s">
        <v>253</v>
      </c>
      <c r="M9837" t="s">
        <v>99</v>
      </c>
      <c r="N9837" t="s">
        <v>198</v>
      </c>
      <c r="O9837" t="s">
        <v>99</v>
      </c>
      <c r="P9837" t="s">
        <v>99</v>
      </c>
      <c r="Q9837" t="s">
        <v>253</v>
      </c>
      <c r="R9837" t="s">
        <v>99</v>
      </c>
      <c r="S9837" t="s">
        <v>104</v>
      </c>
      <c r="T9837" t="s">
        <v>207</v>
      </c>
      <c r="U9837" t="s">
        <v>104</v>
      </c>
      <c r="V9837" t="s">
        <v>367</v>
      </c>
      <c r="W9837" t="s">
        <v>141</v>
      </c>
    </row>
    <row r="9838" spans="1:23" x14ac:dyDescent="0.3">
      <c r="A9838" t="s">
        <v>35</v>
      </c>
      <c r="B9838" t="s">
        <v>216</v>
      </c>
      <c r="C9838">
        <v>567</v>
      </c>
      <c r="D9838" t="s">
        <v>138</v>
      </c>
      <c r="E9838" t="s">
        <v>126</v>
      </c>
      <c r="F9838" t="s">
        <v>100</v>
      </c>
      <c r="G9838" t="s">
        <v>207</v>
      </c>
      <c r="H9838" t="s">
        <v>198</v>
      </c>
      <c r="I9838" t="s">
        <v>104</v>
      </c>
      <c r="J9838" t="s">
        <v>99</v>
      </c>
      <c r="K9838" t="s">
        <v>141</v>
      </c>
      <c r="L9838" t="s">
        <v>115</v>
      </c>
      <c r="M9838" t="s">
        <v>99</v>
      </c>
      <c r="N9838" t="s">
        <v>104</v>
      </c>
      <c r="O9838" t="s">
        <v>99</v>
      </c>
      <c r="P9838" t="s">
        <v>99</v>
      </c>
      <c r="Q9838" t="s">
        <v>99</v>
      </c>
      <c r="R9838" t="s">
        <v>104</v>
      </c>
      <c r="S9838" t="s">
        <v>198</v>
      </c>
      <c r="T9838" t="s">
        <v>198</v>
      </c>
      <c r="U9838" t="s">
        <v>115</v>
      </c>
      <c r="V9838" t="s">
        <v>771</v>
      </c>
      <c r="W9838" t="s">
        <v>198</v>
      </c>
    </row>
    <row r="9839" spans="1:23" x14ac:dyDescent="0.3">
      <c r="A9839" t="s">
        <v>37</v>
      </c>
      <c r="B9839" t="s">
        <v>210</v>
      </c>
      <c r="C9839">
        <v>138</v>
      </c>
      <c r="D9839" t="s">
        <v>99</v>
      </c>
      <c r="E9839" t="s">
        <v>99</v>
      </c>
      <c r="F9839" t="s">
        <v>99</v>
      </c>
      <c r="G9839" t="s">
        <v>99</v>
      </c>
      <c r="H9839" t="s">
        <v>99</v>
      </c>
      <c r="I9839" t="s">
        <v>136</v>
      </c>
      <c r="J9839" t="s">
        <v>99</v>
      </c>
      <c r="K9839" t="s">
        <v>127</v>
      </c>
      <c r="L9839" t="s">
        <v>99</v>
      </c>
      <c r="M9839" t="s">
        <v>99</v>
      </c>
      <c r="N9839" t="s">
        <v>99</v>
      </c>
      <c r="O9839" t="s">
        <v>99</v>
      </c>
      <c r="P9839" t="s">
        <v>215</v>
      </c>
      <c r="Q9839" t="s">
        <v>434</v>
      </c>
      <c r="R9839" t="s">
        <v>468</v>
      </c>
      <c r="S9839" t="s">
        <v>136</v>
      </c>
      <c r="T9839" t="s">
        <v>114</v>
      </c>
      <c r="U9839" t="s">
        <v>100</v>
      </c>
      <c r="V9839" t="s">
        <v>288</v>
      </c>
      <c r="W9839" t="s">
        <v>99</v>
      </c>
    </row>
    <row r="9840" spans="1:23" x14ac:dyDescent="0.3">
      <c r="A9840" t="s">
        <v>37</v>
      </c>
      <c r="B9840" t="s">
        <v>212</v>
      </c>
      <c r="C9840">
        <v>3605</v>
      </c>
      <c r="D9840" t="s">
        <v>100</v>
      </c>
      <c r="E9840" t="s">
        <v>104</v>
      </c>
      <c r="F9840" t="s">
        <v>99</v>
      </c>
      <c r="G9840" t="s">
        <v>99</v>
      </c>
      <c r="H9840" t="s">
        <v>99</v>
      </c>
      <c r="I9840" t="s">
        <v>104</v>
      </c>
      <c r="J9840" t="s">
        <v>99</v>
      </c>
      <c r="K9840" t="s">
        <v>99</v>
      </c>
      <c r="L9840" t="s">
        <v>136</v>
      </c>
      <c r="M9840" t="s">
        <v>99</v>
      </c>
      <c r="N9840" t="s">
        <v>104</v>
      </c>
      <c r="O9840" t="s">
        <v>99</v>
      </c>
      <c r="P9840" t="s">
        <v>99</v>
      </c>
      <c r="Q9840" t="s">
        <v>104</v>
      </c>
      <c r="R9840" t="s">
        <v>104</v>
      </c>
      <c r="S9840" t="s">
        <v>104</v>
      </c>
      <c r="T9840" t="s">
        <v>104</v>
      </c>
      <c r="U9840" t="s">
        <v>104</v>
      </c>
      <c r="V9840" t="s">
        <v>202</v>
      </c>
      <c r="W9840" t="s">
        <v>198</v>
      </c>
    </row>
    <row r="9841" spans="1:23" x14ac:dyDescent="0.3">
      <c r="A9841" t="s">
        <v>37</v>
      </c>
      <c r="B9841" t="s">
        <v>216</v>
      </c>
      <c r="C9841">
        <v>111</v>
      </c>
      <c r="D9841" t="s">
        <v>128</v>
      </c>
      <c r="E9841" t="s">
        <v>99</v>
      </c>
      <c r="F9841" t="s">
        <v>99</v>
      </c>
      <c r="G9841" t="s">
        <v>99</v>
      </c>
      <c r="H9841" t="s">
        <v>99</v>
      </c>
      <c r="I9841" t="s">
        <v>99</v>
      </c>
      <c r="J9841" t="s">
        <v>99</v>
      </c>
      <c r="K9841" t="s">
        <v>99</v>
      </c>
      <c r="L9841" t="s">
        <v>114</v>
      </c>
      <c r="M9841" t="s">
        <v>99</v>
      </c>
      <c r="N9841" t="s">
        <v>316</v>
      </c>
      <c r="O9841" t="s">
        <v>99</v>
      </c>
      <c r="P9841" t="s">
        <v>99</v>
      </c>
      <c r="Q9841" t="s">
        <v>99</v>
      </c>
      <c r="R9841" t="s">
        <v>99</v>
      </c>
      <c r="S9841" t="s">
        <v>99</v>
      </c>
      <c r="T9841" t="s">
        <v>316</v>
      </c>
      <c r="U9841" t="s">
        <v>99</v>
      </c>
      <c r="V9841" t="s">
        <v>334</v>
      </c>
      <c r="W9841" t="s">
        <v>99</v>
      </c>
    </row>
    <row r="9842" spans="1:23" x14ac:dyDescent="0.3">
      <c r="A9842" t="s">
        <v>36</v>
      </c>
      <c r="B9842" t="s">
        <v>210</v>
      </c>
      <c r="C9842">
        <v>165</v>
      </c>
      <c r="D9842" t="s">
        <v>313</v>
      </c>
      <c r="E9842" t="s">
        <v>143</v>
      </c>
      <c r="F9842" t="s">
        <v>108</v>
      </c>
      <c r="G9842" t="s">
        <v>117</v>
      </c>
      <c r="H9842" t="s">
        <v>114</v>
      </c>
      <c r="I9842" t="s">
        <v>157</v>
      </c>
      <c r="J9842" t="s">
        <v>99</v>
      </c>
      <c r="K9842" t="s">
        <v>434</v>
      </c>
      <c r="L9842" t="s">
        <v>319</v>
      </c>
      <c r="M9842" t="s">
        <v>99</v>
      </c>
      <c r="N9842" t="s">
        <v>198</v>
      </c>
      <c r="O9842" t="s">
        <v>99</v>
      </c>
      <c r="P9842" t="s">
        <v>99</v>
      </c>
      <c r="Q9842" t="s">
        <v>108</v>
      </c>
      <c r="R9842" t="s">
        <v>104</v>
      </c>
      <c r="S9842" t="s">
        <v>115</v>
      </c>
      <c r="T9842" t="s">
        <v>99</v>
      </c>
      <c r="U9842" t="s">
        <v>115</v>
      </c>
      <c r="V9842" t="s">
        <v>1166</v>
      </c>
      <c r="W9842" t="s">
        <v>99</v>
      </c>
    </row>
    <row r="9843" spans="1:23" x14ac:dyDescent="0.3">
      <c r="A9843" t="s">
        <v>36</v>
      </c>
      <c r="B9843" t="s">
        <v>212</v>
      </c>
      <c r="C9843">
        <v>1872</v>
      </c>
      <c r="D9843" t="s">
        <v>412</v>
      </c>
      <c r="E9843" t="s">
        <v>104</v>
      </c>
      <c r="F9843" t="s">
        <v>198</v>
      </c>
      <c r="G9843" t="s">
        <v>104</v>
      </c>
      <c r="H9843" t="s">
        <v>104</v>
      </c>
      <c r="I9843" t="s">
        <v>99</v>
      </c>
      <c r="J9843" t="s">
        <v>104</v>
      </c>
      <c r="K9843" t="s">
        <v>99</v>
      </c>
      <c r="L9843" t="s">
        <v>108</v>
      </c>
      <c r="M9843" t="s">
        <v>99</v>
      </c>
      <c r="N9843" t="s">
        <v>136</v>
      </c>
      <c r="O9843" t="s">
        <v>99</v>
      </c>
      <c r="P9843" t="s">
        <v>99</v>
      </c>
      <c r="Q9843" t="s">
        <v>136</v>
      </c>
      <c r="R9843" t="s">
        <v>104</v>
      </c>
      <c r="S9843" t="s">
        <v>104</v>
      </c>
      <c r="T9843" t="s">
        <v>99</v>
      </c>
      <c r="U9843" t="s">
        <v>104</v>
      </c>
      <c r="V9843" t="s">
        <v>161</v>
      </c>
      <c r="W9843" t="s">
        <v>198</v>
      </c>
    </row>
    <row r="9844" spans="1:23" x14ac:dyDescent="0.3">
      <c r="A9844" t="s">
        <v>36</v>
      </c>
      <c r="B9844" t="s">
        <v>216</v>
      </c>
      <c r="C9844">
        <v>265</v>
      </c>
      <c r="D9844" t="s">
        <v>173</v>
      </c>
      <c r="E9844" t="s">
        <v>111</v>
      </c>
      <c r="F9844" t="s">
        <v>110</v>
      </c>
      <c r="G9844" t="s">
        <v>132</v>
      </c>
      <c r="H9844" t="s">
        <v>100</v>
      </c>
      <c r="I9844" t="s">
        <v>198</v>
      </c>
      <c r="J9844" t="s">
        <v>198</v>
      </c>
      <c r="K9844" t="s">
        <v>99</v>
      </c>
      <c r="L9844" t="s">
        <v>215</v>
      </c>
      <c r="M9844" t="s">
        <v>99</v>
      </c>
      <c r="N9844" t="s">
        <v>115</v>
      </c>
      <c r="O9844" t="s">
        <v>99</v>
      </c>
      <c r="P9844" t="s">
        <v>99</v>
      </c>
      <c r="Q9844" t="s">
        <v>99</v>
      </c>
      <c r="R9844" t="s">
        <v>99</v>
      </c>
      <c r="S9844" t="s">
        <v>292</v>
      </c>
      <c r="T9844" t="s">
        <v>207</v>
      </c>
      <c r="U9844" t="s">
        <v>104</v>
      </c>
      <c r="V9844" t="s">
        <v>901</v>
      </c>
      <c r="W9844" t="s">
        <v>104</v>
      </c>
    </row>
    <row r="9845" spans="1:23" x14ac:dyDescent="0.3">
      <c r="A9845" t="s">
        <v>34</v>
      </c>
      <c r="B9845" t="s">
        <v>210</v>
      </c>
      <c r="C9845">
        <v>255</v>
      </c>
      <c r="D9845" t="s">
        <v>722</v>
      </c>
      <c r="E9845" t="s">
        <v>134</v>
      </c>
      <c r="F9845" t="s">
        <v>120</v>
      </c>
      <c r="G9845" t="s">
        <v>121</v>
      </c>
      <c r="H9845" t="s">
        <v>138</v>
      </c>
      <c r="I9845" t="s">
        <v>215</v>
      </c>
      <c r="J9845" t="s">
        <v>132</v>
      </c>
      <c r="K9845" t="s">
        <v>143</v>
      </c>
      <c r="L9845" t="s">
        <v>132</v>
      </c>
      <c r="M9845" t="s">
        <v>99</v>
      </c>
      <c r="N9845" t="s">
        <v>207</v>
      </c>
      <c r="O9845" t="s">
        <v>99</v>
      </c>
      <c r="P9845" t="s">
        <v>99</v>
      </c>
      <c r="Q9845" t="s">
        <v>141</v>
      </c>
      <c r="R9845" t="s">
        <v>207</v>
      </c>
      <c r="S9845" t="s">
        <v>132</v>
      </c>
      <c r="T9845" t="s">
        <v>99</v>
      </c>
      <c r="U9845" t="s">
        <v>141</v>
      </c>
      <c r="V9845" t="s">
        <v>371</v>
      </c>
      <c r="W9845" t="s">
        <v>141</v>
      </c>
    </row>
    <row r="9846" spans="1:23" x14ac:dyDescent="0.3">
      <c r="A9846" t="s">
        <v>34</v>
      </c>
      <c r="B9846" t="s">
        <v>212</v>
      </c>
      <c r="C9846">
        <v>1580</v>
      </c>
      <c r="D9846" t="s">
        <v>147</v>
      </c>
      <c r="E9846" t="s">
        <v>198</v>
      </c>
      <c r="F9846" t="s">
        <v>136</v>
      </c>
      <c r="G9846" t="s">
        <v>198</v>
      </c>
      <c r="H9846" t="s">
        <v>207</v>
      </c>
      <c r="I9846" t="s">
        <v>141</v>
      </c>
      <c r="J9846" t="s">
        <v>136</v>
      </c>
      <c r="K9846" t="s">
        <v>207</v>
      </c>
      <c r="L9846" t="s">
        <v>126</v>
      </c>
      <c r="M9846" t="s">
        <v>99</v>
      </c>
      <c r="N9846" t="s">
        <v>99</v>
      </c>
      <c r="O9846" t="s">
        <v>99</v>
      </c>
      <c r="P9846" t="s">
        <v>99</v>
      </c>
      <c r="Q9846" t="s">
        <v>99</v>
      </c>
      <c r="R9846" t="s">
        <v>99</v>
      </c>
      <c r="S9846" t="s">
        <v>104</v>
      </c>
      <c r="T9846" t="s">
        <v>99</v>
      </c>
      <c r="U9846" t="s">
        <v>198</v>
      </c>
      <c r="V9846" t="s">
        <v>162</v>
      </c>
      <c r="W9846" t="s">
        <v>141</v>
      </c>
    </row>
    <row r="9847" spans="1:23" x14ac:dyDescent="0.3">
      <c r="A9847" t="s">
        <v>34</v>
      </c>
      <c r="B9847" t="s">
        <v>216</v>
      </c>
      <c r="C9847">
        <v>241</v>
      </c>
      <c r="D9847" t="s">
        <v>678</v>
      </c>
      <c r="E9847" t="s">
        <v>157</v>
      </c>
      <c r="F9847" t="s">
        <v>149</v>
      </c>
      <c r="G9847" t="s">
        <v>110</v>
      </c>
      <c r="H9847" t="s">
        <v>68</v>
      </c>
      <c r="I9847" t="s">
        <v>104</v>
      </c>
      <c r="J9847" t="s">
        <v>99</v>
      </c>
      <c r="K9847" t="s">
        <v>207</v>
      </c>
      <c r="L9847" t="s">
        <v>268</v>
      </c>
      <c r="M9847" t="s">
        <v>99</v>
      </c>
      <c r="N9847" t="s">
        <v>99</v>
      </c>
      <c r="O9847" t="s">
        <v>99</v>
      </c>
      <c r="P9847" t="s">
        <v>99</v>
      </c>
      <c r="Q9847" t="s">
        <v>99</v>
      </c>
      <c r="R9847" t="s">
        <v>99</v>
      </c>
      <c r="S9847" t="s">
        <v>99</v>
      </c>
      <c r="T9847" t="s">
        <v>207</v>
      </c>
      <c r="U9847" t="s">
        <v>104</v>
      </c>
      <c r="V9847" t="s">
        <v>1012</v>
      </c>
      <c r="W9847" t="s">
        <v>207</v>
      </c>
    </row>
    <row r="9848" spans="1:23" x14ac:dyDescent="0.3">
      <c r="A9848" t="s">
        <v>33</v>
      </c>
      <c r="B9848" t="s">
        <v>210</v>
      </c>
      <c r="C9848">
        <v>68</v>
      </c>
      <c r="D9848" t="s">
        <v>325</v>
      </c>
      <c r="E9848" t="s">
        <v>101</v>
      </c>
      <c r="F9848" t="s">
        <v>99</v>
      </c>
      <c r="G9848" t="s">
        <v>99</v>
      </c>
      <c r="H9848" t="s">
        <v>99</v>
      </c>
      <c r="I9848" t="s">
        <v>99</v>
      </c>
      <c r="J9848" t="s">
        <v>99</v>
      </c>
      <c r="K9848" t="s">
        <v>135</v>
      </c>
      <c r="L9848" t="s">
        <v>99</v>
      </c>
      <c r="M9848" t="s">
        <v>99</v>
      </c>
      <c r="N9848" t="s">
        <v>99</v>
      </c>
      <c r="O9848" t="s">
        <v>99</v>
      </c>
      <c r="P9848" t="s">
        <v>99</v>
      </c>
      <c r="Q9848" t="s">
        <v>99</v>
      </c>
      <c r="R9848" t="s">
        <v>316</v>
      </c>
      <c r="S9848" t="s">
        <v>121</v>
      </c>
      <c r="T9848" t="s">
        <v>99</v>
      </c>
      <c r="U9848" t="s">
        <v>99</v>
      </c>
      <c r="V9848" t="s">
        <v>396</v>
      </c>
      <c r="W9848" t="s">
        <v>151</v>
      </c>
    </row>
    <row r="9849" spans="1:23" x14ac:dyDescent="0.3">
      <c r="A9849" t="s">
        <v>33</v>
      </c>
      <c r="B9849" t="s">
        <v>212</v>
      </c>
      <c r="C9849">
        <v>1799</v>
      </c>
      <c r="D9849" t="s">
        <v>121</v>
      </c>
      <c r="E9849" t="s">
        <v>104</v>
      </c>
      <c r="F9849" t="s">
        <v>99</v>
      </c>
      <c r="G9849" t="s">
        <v>99</v>
      </c>
      <c r="H9849" t="s">
        <v>99</v>
      </c>
      <c r="I9849" t="s">
        <v>99</v>
      </c>
      <c r="J9849" t="s">
        <v>99</v>
      </c>
      <c r="K9849" t="s">
        <v>99</v>
      </c>
      <c r="L9849" t="s">
        <v>207</v>
      </c>
      <c r="M9849" t="s">
        <v>99</v>
      </c>
      <c r="N9849" t="s">
        <v>104</v>
      </c>
      <c r="O9849" t="s">
        <v>99</v>
      </c>
      <c r="P9849" t="s">
        <v>99</v>
      </c>
      <c r="Q9849" t="s">
        <v>104</v>
      </c>
      <c r="R9849" t="s">
        <v>99</v>
      </c>
      <c r="S9849" t="s">
        <v>104</v>
      </c>
      <c r="T9849" t="s">
        <v>99</v>
      </c>
      <c r="U9849" t="s">
        <v>99</v>
      </c>
      <c r="V9849" t="s">
        <v>766</v>
      </c>
      <c r="W9849" t="s">
        <v>198</v>
      </c>
    </row>
    <row r="9850" spans="1:23" x14ac:dyDescent="0.3">
      <c r="A9850" t="s">
        <v>33</v>
      </c>
      <c r="B9850" t="s">
        <v>216</v>
      </c>
      <c r="C9850">
        <v>69</v>
      </c>
      <c r="D9850" t="s">
        <v>114</v>
      </c>
      <c r="E9850" t="s">
        <v>99</v>
      </c>
      <c r="F9850" t="s">
        <v>99</v>
      </c>
      <c r="G9850" t="s">
        <v>127</v>
      </c>
      <c r="H9850" t="s">
        <v>99</v>
      </c>
      <c r="I9850" t="s">
        <v>99</v>
      </c>
      <c r="J9850" t="s">
        <v>99</v>
      </c>
      <c r="K9850" t="s">
        <v>382</v>
      </c>
      <c r="L9850" t="s">
        <v>99</v>
      </c>
      <c r="M9850" t="s">
        <v>99</v>
      </c>
      <c r="N9850" t="s">
        <v>99</v>
      </c>
      <c r="O9850" t="s">
        <v>99</v>
      </c>
      <c r="P9850" t="s">
        <v>99</v>
      </c>
      <c r="Q9850" t="s">
        <v>99</v>
      </c>
      <c r="R9850" t="s">
        <v>99</v>
      </c>
      <c r="S9850" t="s">
        <v>99</v>
      </c>
      <c r="T9850" t="s">
        <v>99</v>
      </c>
      <c r="U9850" t="s">
        <v>99</v>
      </c>
      <c r="V9850" t="s">
        <v>376</v>
      </c>
      <c r="W9850" t="s">
        <v>382</v>
      </c>
    </row>
    <row r="9851" spans="1:23" x14ac:dyDescent="0.3">
      <c r="A9851" t="s">
        <v>49</v>
      </c>
      <c r="B9851" t="s">
        <v>210</v>
      </c>
      <c r="C9851">
        <v>762</v>
      </c>
      <c r="D9851" t="s">
        <v>663</v>
      </c>
      <c r="E9851" t="s">
        <v>147</v>
      </c>
      <c r="F9851" t="s">
        <v>215</v>
      </c>
      <c r="G9851" t="s">
        <v>100</v>
      </c>
      <c r="H9851" t="s">
        <v>215</v>
      </c>
      <c r="I9851" t="s">
        <v>319</v>
      </c>
      <c r="J9851" t="s">
        <v>141</v>
      </c>
      <c r="K9851" t="s">
        <v>139</v>
      </c>
      <c r="L9851" t="s">
        <v>141</v>
      </c>
      <c r="M9851" t="s">
        <v>99</v>
      </c>
      <c r="N9851" t="s">
        <v>198</v>
      </c>
      <c r="O9851" t="s">
        <v>99</v>
      </c>
      <c r="P9851" t="s">
        <v>207</v>
      </c>
      <c r="Q9851" t="s">
        <v>114</v>
      </c>
      <c r="R9851" t="s">
        <v>101</v>
      </c>
      <c r="S9851" t="s">
        <v>253</v>
      </c>
      <c r="T9851" t="s">
        <v>198</v>
      </c>
      <c r="U9851" t="s">
        <v>141</v>
      </c>
      <c r="V9851" t="s">
        <v>230</v>
      </c>
      <c r="W9851" t="s">
        <v>253</v>
      </c>
    </row>
    <row r="9852" spans="1:23" x14ac:dyDescent="0.3">
      <c r="A9852" t="s">
        <v>49</v>
      </c>
      <c r="B9852" t="s">
        <v>212</v>
      </c>
      <c r="C9852">
        <v>11294</v>
      </c>
      <c r="D9852" t="s">
        <v>123</v>
      </c>
      <c r="E9852" t="s">
        <v>198</v>
      </c>
      <c r="F9852" t="s">
        <v>198</v>
      </c>
      <c r="G9852" t="s">
        <v>104</v>
      </c>
      <c r="H9852" t="s">
        <v>104</v>
      </c>
      <c r="I9852" t="s">
        <v>104</v>
      </c>
      <c r="J9852" t="s">
        <v>104</v>
      </c>
      <c r="K9852" t="s">
        <v>104</v>
      </c>
      <c r="L9852" t="s">
        <v>115</v>
      </c>
      <c r="M9852" t="s">
        <v>99</v>
      </c>
      <c r="N9852" t="s">
        <v>104</v>
      </c>
      <c r="O9852" t="s">
        <v>99</v>
      </c>
      <c r="P9852" t="s">
        <v>99</v>
      </c>
      <c r="Q9852" t="s">
        <v>198</v>
      </c>
      <c r="R9852" t="s">
        <v>99</v>
      </c>
      <c r="S9852" t="s">
        <v>104</v>
      </c>
      <c r="T9852" t="s">
        <v>104</v>
      </c>
      <c r="U9852" t="s">
        <v>104</v>
      </c>
      <c r="V9852" t="s">
        <v>779</v>
      </c>
      <c r="W9852" t="s">
        <v>207</v>
      </c>
    </row>
    <row r="9853" spans="1:23" x14ac:dyDescent="0.3">
      <c r="A9853" t="s">
        <v>49</v>
      </c>
      <c r="B9853" t="s">
        <v>216</v>
      </c>
      <c r="C9853">
        <v>1253</v>
      </c>
      <c r="D9853" t="s">
        <v>160</v>
      </c>
      <c r="E9853" t="s">
        <v>127</v>
      </c>
      <c r="F9853" t="s">
        <v>151</v>
      </c>
      <c r="G9853" t="s">
        <v>121</v>
      </c>
      <c r="H9853" t="s">
        <v>121</v>
      </c>
      <c r="I9853" t="s">
        <v>104</v>
      </c>
      <c r="J9853" t="s">
        <v>99</v>
      </c>
      <c r="K9853" t="s">
        <v>141</v>
      </c>
      <c r="L9853" t="s">
        <v>100</v>
      </c>
      <c r="M9853" t="s">
        <v>99</v>
      </c>
      <c r="N9853" t="s">
        <v>207</v>
      </c>
      <c r="O9853" t="s">
        <v>99</v>
      </c>
      <c r="P9853" t="s">
        <v>99</v>
      </c>
      <c r="Q9853" t="s">
        <v>99</v>
      </c>
      <c r="R9853" t="s">
        <v>104</v>
      </c>
      <c r="S9853" t="s">
        <v>207</v>
      </c>
      <c r="T9853" t="s">
        <v>207</v>
      </c>
      <c r="U9853" t="s">
        <v>141</v>
      </c>
      <c r="V9853" t="s">
        <v>409</v>
      </c>
      <c r="W9853" t="s">
        <v>207</v>
      </c>
    </row>
    <row r="9855" spans="1:23" x14ac:dyDescent="0.3">
      <c r="A9855" t="s">
        <v>2462</v>
      </c>
    </row>
    <row r="9856" spans="1:23" x14ac:dyDescent="0.3">
      <c r="A9856" t="s">
        <v>44</v>
      </c>
      <c r="B9856" t="s">
        <v>388</v>
      </c>
      <c r="C9856" t="s">
        <v>32</v>
      </c>
      <c r="D9856" t="s">
        <v>2442</v>
      </c>
      <c r="E9856" t="s">
        <v>2443</v>
      </c>
      <c r="F9856" t="s">
        <v>2444</v>
      </c>
      <c r="G9856" t="s">
        <v>2445</v>
      </c>
      <c r="H9856" t="s">
        <v>2446</v>
      </c>
      <c r="I9856" t="s">
        <v>2447</v>
      </c>
      <c r="J9856" t="s">
        <v>2448</v>
      </c>
      <c r="K9856" t="s">
        <v>2449</v>
      </c>
      <c r="L9856" t="s">
        <v>2450</v>
      </c>
      <c r="M9856" t="s">
        <v>2451</v>
      </c>
      <c r="N9856" t="s">
        <v>2452</v>
      </c>
      <c r="O9856" t="s">
        <v>2453</v>
      </c>
      <c r="P9856" t="s">
        <v>2454</v>
      </c>
      <c r="Q9856" t="s">
        <v>2455</v>
      </c>
      <c r="R9856" t="s">
        <v>2456</v>
      </c>
      <c r="S9856" t="s">
        <v>2457</v>
      </c>
      <c r="T9856" t="s">
        <v>2458</v>
      </c>
      <c r="U9856" t="s">
        <v>979</v>
      </c>
      <c r="V9856" t="s">
        <v>2459</v>
      </c>
      <c r="W9856" t="s">
        <v>193</v>
      </c>
    </row>
    <row r="9857" spans="1:23" x14ac:dyDescent="0.3">
      <c r="A9857" t="s">
        <v>35</v>
      </c>
      <c r="B9857" t="s">
        <v>389</v>
      </c>
      <c r="C9857">
        <v>2140</v>
      </c>
      <c r="D9857" t="s">
        <v>268</v>
      </c>
      <c r="E9857" t="s">
        <v>253</v>
      </c>
      <c r="F9857" t="s">
        <v>132</v>
      </c>
      <c r="G9857" t="s">
        <v>198</v>
      </c>
      <c r="H9857" t="s">
        <v>198</v>
      </c>
      <c r="I9857" t="s">
        <v>104</v>
      </c>
      <c r="J9857" t="s">
        <v>104</v>
      </c>
      <c r="K9857" t="s">
        <v>136</v>
      </c>
      <c r="L9857" t="s">
        <v>253</v>
      </c>
      <c r="M9857" t="s">
        <v>99</v>
      </c>
      <c r="N9857" t="s">
        <v>104</v>
      </c>
      <c r="O9857" t="s">
        <v>99</v>
      </c>
      <c r="P9857" t="s">
        <v>99</v>
      </c>
      <c r="Q9857" t="s">
        <v>99</v>
      </c>
      <c r="R9857" t="s">
        <v>104</v>
      </c>
      <c r="S9857" t="s">
        <v>104</v>
      </c>
      <c r="T9857" t="s">
        <v>104</v>
      </c>
      <c r="U9857" t="s">
        <v>207</v>
      </c>
      <c r="V9857" t="s">
        <v>367</v>
      </c>
      <c r="W9857" t="s">
        <v>207</v>
      </c>
    </row>
    <row r="9858" spans="1:23" x14ac:dyDescent="0.3">
      <c r="A9858" t="s">
        <v>35</v>
      </c>
      <c r="B9858" t="s">
        <v>390</v>
      </c>
      <c r="C9858">
        <v>873</v>
      </c>
      <c r="D9858" t="s">
        <v>128</v>
      </c>
      <c r="E9858" t="s">
        <v>123</v>
      </c>
      <c r="F9858" t="s">
        <v>141</v>
      </c>
      <c r="G9858" t="s">
        <v>136</v>
      </c>
      <c r="H9858" t="s">
        <v>104</v>
      </c>
      <c r="I9858" t="s">
        <v>198</v>
      </c>
      <c r="J9858" t="s">
        <v>104</v>
      </c>
      <c r="K9858" t="s">
        <v>141</v>
      </c>
      <c r="L9858" t="s">
        <v>253</v>
      </c>
      <c r="M9858" t="s">
        <v>99</v>
      </c>
      <c r="N9858" t="s">
        <v>207</v>
      </c>
      <c r="O9858" t="s">
        <v>99</v>
      </c>
      <c r="P9858" t="s">
        <v>99</v>
      </c>
      <c r="Q9858" t="s">
        <v>126</v>
      </c>
      <c r="R9858" t="s">
        <v>99</v>
      </c>
      <c r="S9858" t="s">
        <v>198</v>
      </c>
      <c r="T9858" t="s">
        <v>115</v>
      </c>
      <c r="U9858" t="s">
        <v>99</v>
      </c>
      <c r="V9858" t="s">
        <v>364</v>
      </c>
      <c r="W9858" t="s">
        <v>100</v>
      </c>
    </row>
    <row r="9859" spans="1:23" x14ac:dyDescent="0.3">
      <c r="A9859" t="s">
        <v>35</v>
      </c>
      <c r="B9859" t="s">
        <v>365</v>
      </c>
      <c r="C9859">
        <v>128</v>
      </c>
      <c r="D9859" t="s">
        <v>108</v>
      </c>
      <c r="E9859" t="s">
        <v>99</v>
      </c>
      <c r="F9859" t="s">
        <v>100</v>
      </c>
      <c r="G9859" t="s">
        <v>99</v>
      </c>
      <c r="H9859" t="s">
        <v>99</v>
      </c>
      <c r="I9859" t="s">
        <v>99</v>
      </c>
      <c r="J9859" t="s">
        <v>99</v>
      </c>
      <c r="K9859" t="s">
        <v>99</v>
      </c>
      <c r="L9859" t="s">
        <v>141</v>
      </c>
      <c r="M9859" t="s">
        <v>99</v>
      </c>
      <c r="N9859" t="s">
        <v>99</v>
      </c>
      <c r="O9859" t="s">
        <v>99</v>
      </c>
      <c r="P9859" t="s">
        <v>99</v>
      </c>
      <c r="Q9859" t="s">
        <v>99</v>
      </c>
      <c r="R9859" t="s">
        <v>99</v>
      </c>
      <c r="S9859" t="s">
        <v>99</v>
      </c>
      <c r="T9859" t="s">
        <v>99</v>
      </c>
      <c r="U9859" t="s">
        <v>99</v>
      </c>
      <c r="V9859" t="s">
        <v>476</v>
      </c>
      <c r="W9859" t="s">
        <v>99</v>
      </c>
    </row>
    <row r="9860" spans="1:23" x14ac:dyDescent="0.3">
      <c r="A9860" t="s">
        <v>37</v>
      </c>
      <c r="B9860" t="s">
        <v>389</v>
      </c>
      <c r="C9860">
        <v>2304</v>
      </c>
      <c r="D9860" t="s">
        <v>100</v>
      </c>
      <c r="E9860" t="s">
        <v>99</v>
      </c>
      <c r="F9860" t="s">
        <v>104</v>
      </c>
      <c r="G9860" t="s">
        <v>104</v>
      </c>
      <c r="H9860" t="s">
        <v>99</v>
      </c>
      <c r="I9860" t="s">
        <v>104</v>
      </c>
      <c r="J9860" t="s">
        <v>99</v>
      </c>
      <c r="K9860" t="s">
        <v>104</v>
      </c>
      <c r="L9860" t="s">
        <v>207</v>
      </c>
      <c r="M9860" t="s">
        <v>99</v>
      </c>
      <c r="N9860" t="s">
        <v>104</v>
      </c>
      <c r="O9860" t="s">
        <v>99</v>
      </c>
      <c r="P9860" t="s">
        <v>99</v>
      </c>
      <c r="Q9860" t="s">
        <v>198</v>
      </c>
      <c r="R9860" t="s">
        <v>136</v>
      </c>
      <c r="S9860" t="s">
        <v>198</v>
      </c>
      <c r="T9860" t="s">
        <v>104</v>
      </c>
      <c r="U9860" t="s">
        <v>198</v>
      </c>
      <c r="V9860" t="s">
        <v>249</v>
      </c>
      <c r="W9860" t="s">
        <v>104</v>
      </c>
    </row>
    <row r="9861" spans="1:23" x14ac:dyDescent="0.3">
      <c r="A9861" t="s">
        <v>37</v>
      </c>
      <c r="B9861" t="s">
        <v>390</v>
      </c>
      <c r="C9861">
        <v>1309</v>
      </c>
      <c r="D9861" t="s">
        <v>121</v>
      </c>
      <c r="E9861" t="s">
        <v>104</v>
      </c>
      <c r="F9861" t="s">
        <v>99</v>
      </c>
      <c r="G9861" t="s">
        <v>99</v>
      </c>
      <c r="H9861" t="s">
        <v>99</v>
      </c>
      <c r="I9861" t="s">
        <v>104</v>
      </c>
      <c r="J9861" t="s">
        <v>99</v>
      </c>
      <c r="K9861" t="s">
        <v>104</v>
      </c>
      <c r="L9861" t="s">
        <v>115</v>
      </c>
      <c r="M9861" t="s">
        <v>99</v>
      </c>
      <c r="N9861" t="s">
        <v>198</v>
      </c>
      <c r="O9861" t="s">
        <v>99</v>
      </c>
      <c r="P9861" t="s">
        <v>207</v>
      </c>
      <c r="Q9861" t="s">
        <v>198</v>
      </c>
      <c r="R9861" t="s">
        <v>198</v>
      </c>
      <c r="S9861" t="s">
        <v>104</v>
      </c>
      <c r="T9861" t="s">
        <v>207</v>
      </c>
      <c r="U9861" t="s">
        <v>104</v>
      </c>
      <c r="V9861" t="s">
        <v>336</v>
      </c>
      <c r="W9861" t="s">
        <v>207</v>
      </c>
    </row>
    <row r="9862" spans="1:23" x14ac:dyDescent="0.3">
      <c r="A9862" t="s">
        <v>37</v>
      </c>
      <c r="B9862" t="s">
        <v>365</v>
      </c>
      <c r="C9862">
        <v>241</v>
      </c>
      <c r="D9862" t="s">
        <v>108</v>
      </c>
      <c r="E9862" t="s">
        <v>99</v>
      </c>
      <c r="F9862" t="s">
        <v>99</v>
      </c>
      <c r="G9862" t="s">
        <v>99</v>
      </c>
      <c r="H9862" t="s">
        <v>99</v>
      </c>
      <c r="I9862" t="s">
        <v>99</v>
      </c>
      <c r="J9862" t="s">
        <v>99</v>
      </c>
      <c r="K9862" t="s">
        <v>99</v>
      </c>
      <c r="L9862" t="s">
        <v>99</v>
      </c>
      <c r="M9862" t="s">
        <v>99</v>
      </c>
      <c r="N9862" t="s">
        <v>207</v>
      </c>
      <c r="O9862" t="s">
        <v>99</v>
      </c>
      <c r="P9862" t="s">
        <v>99</v>
      </c>
      <c r="Q9862" t="s">
        <v>99</v>
      </c>
      <c r="R9862" t="s">
        <v>99</v>
      </c>
      <c r="S9862" t="s">
        <v>207</v>
      </c>
      <c r="T9862" t="s">
        <v>207</v>
      </c>
      <c r="U9862" t="s">
        <v>99</v>
      </c>
      <c r="V9862" t="s">
        <v>993</v>
      </c>
      <c r="W9862" t="s">
        <v>99</v>
      </c>
    </row>
    <row r="9863" spans="1:23" x14ac:dyDescent="0.3">
      <c r="A9863" t="s">
        <v>36</v>
      </c>
      <c r="B9863" t="s">
        <v>389</v>
      </c>
      <c r="C9863">
        <v>1575</v>
      </c>
      <c r="D9863" t="s">
        <v>296</v>
      </c>
      <c r="E9863" t="s">
        <v>100</v>
      </c>
      <c r="F9863" t="s">
        <v>108</v>
      </c>
      <c r="G9863" t="s">
        <v>141</v>
      </c>
      <c r="H9863" t="s">
        <v>136</v>
      </c>
      <c r="I9863" t="s">
        <v>253</v>
      </c>
      <c r="J9863" t="s">
        <v>104</v>
      </c>
      <c r="K9863" t="s">
        <v>115</v>
      </c>
      <c r="L9863" t="s">
        <v>126</v>
      </c>
      <c r="M9863" t="s">
        <v>99</v>
      </c>
      <c r="N9863" t="s">
        <v>253</v>
      </c>
      <c r="O9863" t="s">
        <v>99</v>
      </c>
      <c r="P9863" t="s">
        <v>99</v>
      </c>
      <c r="Q9863" t="s">
        <v>253</v>
      </c>
      <c r="R9863" t="s">
        <v>104</v>
      </c>
      <c r="S9863" t="s">
        <v>141</v>
      </c>
      <c r="T9863" t="s">
        <v>104</v>
      </c>
      <c r="U9863" t="s">
        <v>207</v>
      </c>
      <c r="V9863" t="s">
        <v>356</v>
      </c>
      <c r="W9863" t="s">
        <v>104</v>
      </c>
    </row>
    <row r="9864" spans="1:23" x14ac:dyDescent="0.3">
      <c r="A9864" t="s">
        <v>36</v>
      </c>
      <c r="B9864" t="s">
        <v>390</v>
      </c>
      <c r="C9864">
        <v>627</v>
      </c>
      <c r="D9864" t="s">
        <v>151</v>
      </c>
      <c r="E9864" t="s">
        <v>108</v>
      </c>
      <c r="F9864" t="s">
        <v>141</v>
      </c>
      <c r="G9864" t="s">
        <v>136</v>
      </c>
      <c r="H9864" t="s">
        <v>104</v>
      </c>
      <c r="I9864" t="s">
        <v>99</v>
      </c>
      <c r="J9864" t="s">
        <v>99</v>
      </c>
      <c r="K9864" t="s">
        <v>104</v>
      </c>
      <c r="L9864" t="s">
        <v>207</v>
      </c>
      <c r="M9864" t="s">
        <v>99</v>
      </c>
      <c r="N9864" t="s">
        <v>104</v>
      </c>
      <c r="O9864" t="s">
        <v>99</v>
      </c>
      <c r="P9864" t="s">
        <v>99</v>
      </c>
      <c r="Q9864" t="s">
        <v>99</v>
      </c>
      <c r="R9864" t="s">
        <v>99</v>
      </c>
      <c r="S9864" t="s">
        <v>136</v>
      </c>
      <c r="T9864" t="s">
        <v>104</v>
      </c>
      <c r="U9864" t="s">
        <v>99</v>
      </c>
      <c r="V9864" t="s">
        <v>331</v>
      </c>
      <c r="W9864" t="s">
        <v>136</v>
      </c>
    </row>
    <row r="9865" spans="1:23" x14ac:dyDescent="0.3">
      <c r="A9865" t="s">
        <v>36</v>
      </c>
      <c r="B9865" t="s">
        <v>365</v>
      </c>
      <c r="C9865">
        <v>100</v>
      </c>
      <c r="D9865" t="s">
        <v>70</v>
      </c>
      <c r="E9865" t="s">
        <v>104</v>
      </c>
      <c r="F9865" t="s">
        <v>104</v>
      </c>
      <c r="G9865" t="s">
        <v>104</v>
      </c>
      <c r="H9865" t="s">
        <v>99</v>
      </c>
      <c r="I9865" t="s">
        <v>99</v>
      </c>
      <c r="J9865" t="s">
        <v>99</v>
      </c>
      <c r="K9865" t="s">
        <v>99</v>
      </c>
      <c r="L9865" t="s">
        <v>207</v>
      </c>
      <c r="M9865" t="s">
        <v>99</v>
      </c>
      <c r="N9865" t="s">
        <v>99</v>
      </c>
      <c r="O9865" t="s">
        <v>99</v>
      </c>
      <c r="P9865" t="s">
        <v>99</v>
      </c>
      <c r="Q9865" t="s">
        <v>99</v>
      </c>
      <c r="R9865" t="s">
        <v>198</v>
      </c>
      <c r="S9865" t="s">
        <v>99</v>
      </c>
      <c r="T9865" t="s">
        <v>99</v>
      </c>
      <c r="U9865" t="s">
        <v>99</v>
      </c>
      <c r="V9865" t="s">
        <v>364</v>
      </c>
      <c r="W9865" t="s">
        <v>104</v>
      </c>
    </row>
    <row r="9866" spans="1:23" x14ac:dyDescent="0.3">
      <c r="A9866" t="s">
        <v>34</v>
      </c>
      <c r="B9866" t="s">
        <v>389</v>
      </c>
      <c r="C9866">
        <v>1381</v>
      </c>
      <c r="D9866" t="s">
        <v>325</v>
      </c>
      <c r="E9866" t="s">
        <v>101</v>
      </c>
      <c r="F9866" t="s">
        <v>100</v>
      </c>
      <c r="G9866" t="s">
        <v>115</v>
      </c>
      <c r="H9866" t="s">
        <v>126</v>
      </c>
      <c r="I9866" t="s">
        <v>136</v>
      </c>
      <c r="J9866" t="s">
        <v>253</v>
      </c>
      <c r="K9866" t="s">
        <v>101</v>
      </c>
      <c r="L9866" t="s">
        <v>121</v>
      </c>
      <c r="M9866" t="s">
        <v>99</v>
      </c>
      <c r="N9866" t="s">
        <v>104</v>
      </c>
      <c r="O9866" t="s">
        <v>99</v>
      </c>
      <c r="P9866" t="s">
        <v>99</v>
      </c>
      <c r="Q9866" t="s">
        <v>104</v>
      </c>
      <c r="R9866" t="s">
        <v>104</v>
      </c>
      <c r="S9866" t="s">
        <v>198</v>
      </c>
      <c r="T9866" t="s">
        <v>99</v>
      </c>
      <c r="U9866" t="s">
        <v>207</v>
      </c>
      <c r="V9866" t="s">
        <v>366</v>
      </c>
      <c r="W9866" t="s">
        <v>253</v>
      </c>
    </row>
    <row r="9867" spans="1:23" x14ac:dyDescent="0.3">
      <c r="A9867" t="s">
        <v>34</v>
      </c>
      <c r="B9867" t="s">
        <v>390</v>
      </c>
      <c r="C9867">
        <v>615</v>
      </c>
      <c r="D9867" t="s">
        <v>135</v>
      </c>
      <c r="E9867" t="s">
        <v>132</v>
      </c>
      <c r="F9867" t="s">
        <v>111</v>
      </c>
      <c r="G9867" t="s">
        <v>319</v>
      </c>
      <c r="H9867" t="s">
        <v>100</v>
      </c>
      <c r="I9867" t="s">
        <v>114</v>
      </c>
      <c r="J9867" t="s">
        <v>99</v>
      </c>
      <c r="K9867" t="s">
        <v>121</v>
      </c>
      <c r="L9867" t="s">
        <v>151</v>
      </c>
      <c r="M9867" t="s">
        <v>99</v>
      </c>
      <c r="N9867" t="s">
        <v>99</v>
      </c>
      <c r="O9867" t="s">
        <v>99</v>
      </c>
      <c r="P9867" t="s">
        <v>99</v>
      </c>
      <c r="Q9867" t="s">
        <v>99</v>
      </c>
      <c r="R9867" t="s">
        <v>99</v>
      </c>
      <c r="S9867" t="s">
        <v>207</v>
      </c>
      <c r="T9867" t="s">
        <v>99</v>
      </c>
      <c r="U9867" t="s">
        <v>207</v>
      </c>
      <c r="V9867" t="s">
        <v>877</v>
      </c>
      <c r="W9867" t="s">
        <v>198</v>
      </c>
    </row>
    <row r="9868" spans="1:23" x14ac:dyDescent="0.3">
      <c r="A9868" t="s">
        <v>34</v>
      </c>
      <c r="B9868" t="s">
        <v>365</v>
      </c>
      <c r="C9868">
        <v>80</v>
      </c>
      <c r="D9868" t="s">
        <v>98</v>
      </c>
      <c r="E9868" t="s">
        <v>151</v>
      </c>
      <c r="F9868" t="s">
        <v>141</v>
      </c>
      <c r="G9868" t="s">
        <v>151</v>
      </c>
      <c r="H9868" t="s">
        <v>151</v>
      </c>
      <c r="I9868" t="s">
        <v>151</v>
      </c>
      <c r="J9868" t="s">
        <v>99</v>
      </c>
      <c r="K9868" t="s">
        <v>151</v>
      </c>
      <c r="L9868" t="s">
        <v>105</v>
      </c>
      <c r="M9868" t="s">
        <v>99</v>
      </c>
      <c r="N9868" t="s">
        <v>99</v>
      </c>
      <c r="O9868" t="s">
        <v>99</v>
      </c>
      <c r="P9868" t="s">
        <v>99</v>
      </c>
      <c r="Q9868" t="s">
        <v>99</v>
      </c>
      <c r="R9868" t="s">
        <v>99</v>
      </c>
      <c r="S9868" t="s">
        <v>99</v>
      </c>
      <c r="T9868" t="s">
        <v>121</v>
      </c>
      <c r="U9868" t="s">
        <v>99</v>
      </c>
      <c r="V9868" t="s">
        <v>180</v>
      </c>
      <c r="W9868" t="s">
        <v>99</v>
      </c>
    </row>
    <row r="9869" spans="1:23" x14ac:dyDescent="0.3">
      <c r="A9869" t="s">
        <v>33</v>
      </c>
      <c r="B9869" t="s">
        <v>389</v>
      </c>
      <c r="C9869">
        <v>1090</v>
      </c>
      <c r="D9869" t="s">
        <v>382</v>
      </c>
      <c r="E9869" t="s">
        <v>104</v>
      </c>
      <c r="F9869" t="s">
        <v>99</v>
      </c>
      <c r="G9869" t="s">
        <v>104</v>
      </c>
      <c r="H9869" t="s">
        <v>99</v>
      </c>
      <c r="I9869" t="s">
        <v>99</v>
      </c>
      <c r="J9869" t="s">
        <v>99</v>
      </c>
      <c r="K9869" t="s">
        <v>198</v>
      </c>
      <c r="L9869" t="s">
        <v>136</v>
      </c>
      <c r="M9869" t="s">
        <v>99</v>
      </c>
      <c r="N9869" t="s">
        <v>198</v>
      </c>
      <c r="O9869" t="s">
        <v>99</v>
      </c>
      <c r="P9869" t="s">
        <v>99</v>
      </c>
      <c r="Q9869" t="s">
        <v>104</v>
      </c>
      <c r="R9869" t="s">
        <v>198</v>
      </c>
      <c r="S9869" t="s">
        <v>104</v>
      </c>
      <c r="T9869" t="s">
        <v>99</v>
      </c>
      <c r="U9869" t="s">
        <v>99</v>
      </c>
      <c r="V9869" t="s">
        <v>336</v>
      </c>
      <c r="W9869" t="s">
        <v>136</v>
      </c>
    </row>
    <row r="9870" spans="1:23" x14ac:dyDescent="0.3">
      <c r="A9870" t="s">
        <v>33</v>
      </c>
      <c r="B9870" t="s">
        <v>390</v>
      </c>
      <c r="C9870">
        <v>707</v>
      </c>
      <c r="D9870" t="s">
        <v>100</v>
      </c>
      <c r="E9870" t="s">
        <v>207</v>
      </c>
      <c r="F9870" t="s">
        <v>99</v>
      </c>
      <c r="G9870" t="s">
        <v>99</v>
      </c>
      <c r="H9870" t="s">
        <v>99</v>
      </c>
      <c r="I9870" t="s">
        <v>99</v>
      </c>
      <c r="J9870" t="s">
        <v>99</v>
      </c>
      <c r="K9870" t="s">
        <v>141</v>
      </c>
      <c r="L9870" t="s">
        <v>198</v>
      </c>
      <c r="M9870" t="s">
        <v>99</v>
      </c>
      <c r="N9870" t="s">
        <v>99</v>
      </c>
      <c r="O9870" t="s">
        <v>99</v>
      </c>
      <c r="P9870" t="s">
        <v>99</v>
      </c>
      <c r="Q9870" t="s">
        <v>99</v>
      </c>
      <c r="R9870" t="s">
        <v>99</v>
      </c>
      <c r="S9870" t="s">
        <v>104</v>
      </c>
      <c r="T9870" t="s">
        <v>99</v>
      </c>
      <c r="U9870" t="s">
        <v>104</v>
      </c>
      <c r="V9870" t="s">
        <v>766</v>
      </c>
      <c r="W9870" t="s">
        <v>104</v>
      </c>
    </row>
    <row r="9871" spans="1:23" x14ac:dyDescent="0.3">
      <c r="A9871" t="s">
        <v>33</v>
      </c>
      <c r="B9871" t="s">
        <v>365</v>
      </c>
      <c r="C9871">
        <v>139</v>
      </c>
      <c r="D9871" t="s">
        <v>108</v>
      </c>
      <c r="E9871" t="s">
        <v>99</v>
      </c>
      <c r="F9871" t="s">
        <v>99</v>
      </c>
      <c r="G9871" t="s">
        <v>99</v>
      </c>
      <c r="H9871" t="s">
        <v>99</v>
      </c>
      <c r="I9871" t="s">
        <v>99</v>
      </c>
      <c r="J9871" t="s">
        <v>99</v>
      </c>
      <c r="K9871" t="s">
        <v>99</v>
      </c>
      <c r="L9871" t="s">
        <v>99</v>
      </c>
      <c r="M9871" t="s">
        <v>99</v>
      </c>
      <c r="N9871" t="s">
        <v>99</v>
      </c>
      <c r="O9871" t="s">
        <v>99</v>
      </c>
      <c r="P9871" t="s">
        <v>99</v>
      </c>
      <c r="Q9871" t="s">
        <v>99</v>
      </c>
      <c r="R9871" t="s">
        <v>99</v>
      </c>
      <c r="S9871" t="s">
        <v>99</v>
      </c>
      <c r="T9871" t="s">
        <v>99</v>
      </c>
      <c r="U9871" t="s">
        <v>99</v>
      </c>
      <c r="V9871" t="s">
        <v>1022</v>
      </c>
      <c r="W9871" t="s">
        <v>99</v>
      </c>
    </row>
    <row r="9872" spans="1:23" x14ac:dyDescent="0.3">
      <c r="A9872" t="s">
        <v>49</v>
      </c>
      <c r="B9872" t="s">
        <v>389</v>
      </c>
      <c r="C9872">
        <v>8490</v>
      </c>
      <c r="D9872" t="s">
        <v>105</v>
      </c>
      <c r="E9872" t="s">
        <v>253</v>
      </c>
      <c r="F9872" t="s">
        <v>253</v>
      </c>
      <c r="G9872" t="s">
        <v>207</v>
      </c>
      <c r="H9872" t="s">
        <v>136</v>
      </c>
      <c r="I9872" t="s">
        <v>198</v>
      </c>
      <c r="J9872" t="s">
        <v>198</v>
      </c>
      <c r="K9872" t="s">
        <v>141</v>
      </c>
      <c r="L9872" t="s">
        <v>115</v>
      </c>
      <c r="M9872" t="s">
        <v>99</v>
      </c>
      <c r="N9872" t="s">
        <v>104</v>
      </c>
      <c r="O9872" t="s">
        <v>99</v>
      </c>
      <c r="P9872" t="s">
        <v>99</v>
      </c>
      <c r="Q9872" t="s">
        <v>198</v>
      </c>
      <c r="R9872" t="s">
        <v>198</v>
      </c>
      <c r="S9872" t="s">
        <v>198</v>
      </c>
      <c r="T9872" t="s">
        <v>104</v>
      </c>
      <c r="U9872" t="s">
        <v>198</v>
      </c>
      <c r="V9872" t="s">
        <v>415</v>
      </c>
      <c r="W9872" t="s">
        <v>207</v>
      </c>
    </row>
    <row r="9873" spans="1:23" x14ac:dyDescent="0.3">
      <c r="A9873" t="s">
        <v>49</v>
      </c>
      <c r="B9873" t="s">
        <v>390</v>
      </c>
      <c r="C9873">
        <v>4131</v>
      </c>
      <c r="D9873" t="s">
        <v>103</v>
      </c>
      <c r="E9873" t="s">
        <v>132</v>
      </c>
      <c r="F9873" t="s">
        <v>253</v>
      </c>
      <c r="G9873" t="s">
        <v>136</v>
      </c>
      <c r="H9873" t="s">
        <v>198</v>
      </c>
      <c r="I9873" t="s">
        <v>207</v>
      </c>
      <c r="J9873" t="s">
        <v>99</v>
      </c>
      <c r="K9873" t="s">
        <v>136</v>
      </c>
      <c r="L9873" t="s">
        <v>115</v>
      </c>
      <c r="M9873" t="s">
        <v>99</v>
      </c>
      <c r="N9873" t="s">
        <v>198</v>
      </c>
      <c r="O9873" t="s">
        <v>99</v>
      </c>
      <c r="P9873" t="s">
        <v>104</v>
      </c>
      <c r="Q9873" t="s">
        <v>136</v>
      </c>
      <c r="R9873" t="s">
        <v>104</v>
      </c>
      <c r="S9873" t="s">
        <v>198</v>
      </c>
      <c r="T9873" t="s">
        <v>207</v>
      </c>
      <c r="U9873" t="s">
        <v>104</v>
      </c>
      <c r="V9873" t="s">
        <v>358</v>
      </c>
      <c r="W9873" t="s">
        <v>141</v>
      </c>
    </row>
    <row r="9874" spans="1:23" x14ac:dyDescent="0.3">
      <c r="A9874" t="s">
        <v>49</v>
      </c>
      <c r="B9874" t="s">
        <v>365</v>
      </c>
      <c r="C9874">
        <v>688</v>
      </c>
      <c r="D9874" t="s">
        <v>268</v>
      </c>
      <c r="E9874" t="s">
        <v>207</v>
      </c>
      <c r="F9874" t="s">
        <v>207</v>
      </c>
      <c r="G9874" t="s">
        <v>207</v>
      </c>
      <c r="H9874" t="s">
        <v>207</v>
      </c>
      <c r="I9874" t="s">
        <v>207</v>
      </c>
      <c r="J9874" t="s">
        <v>99</v>
      </c>
      <c r="K9874" t="s">
        <v>207</v>
      </c>
      <c r="L9874" t="s">
        <v>253</v>
      </c>
      <c r="M9874" t="s">
        <v>99</v>
      </c>
      <c r="N9874" t="s">
        <v>104</v>
      </c>
      <c r="O9874" t="s">
        <v>99</v>
      </c>
      <c r="P9874" t="s">
        <v>99</v>
      </c>
      <c r="Q9874" t="s">
        <v>99</v>
      </c>
      <c r="R9874" t="s">
        <v>99</v>
      </c>
      <c r="S9874" t="s">
        <v>104</v>
      </c>
      <c r="T9874" t="s">
        <v>207</v>
      </c>
      <c r="U9874" t="s">
        <v>99</v>
      </c>
      <c r="V9874" t="s">
        <v>779</v>
      </c>
      <c r="W9874" t="s">
        <v>99</v>
      </c>
    </row>
    <row r="9876" spans="1:23" x14ac:dyDescent="0.3">
      <c r="A9876" t="s">
        <v>2463</v>
      </c>
    </row>
    <row r="9877" spans="1:23" x14ac:dyDescent="0.3">
      <c r="A9877" t="s">
        <v>44</v>
      </c>
      <c r="B9877" t="s">
        <v>235</v>
      </c>
      <c r="C9877" t="s">
        <v>32</v>
      </c>
      <c r="D9877" t="s">
        <v>2442</v>
      </c>
      <c r="E9877" t="s">
        <v>2443</v>
      </c>
      <c r="F9877" t="s">
        <v>2444</v>
      </c>
      <c r="G9877" t="s">
        <v>2445</v>
      </c>
      <c r="H9877" t="s">
        <v>2446</v>
      </c>
      <c r="I9877" t="s">
        <v>2447</v>
      </c>
      <c r="J9877" t="s">
        <v>2448</v>
      </c>
      <c r="K9877" t="s">
        <v>2449</v>
      </c>
      <c r="L9877" t="s">
        <v>2450</v>
      </c>
      <c r="M9877" t="s">
        <v>2451</v>
      </c>
      <c r="N9877" t="s">
        <v>2452</v>
      </c>
      <c r="O9877" t="s">
        <v>2453</v>
      </c>
      <c r="P9877" t="s">
        <v>2454</v>
      </c>
      <c r="Q9877" t="s">
        <v>2455</v>
      </c>
      <c r="R9877" t="s">
        <v>2456</v>
      </c>
      <c r="S9877" t="s">
        <v>2457</v>
      </c>
      <c r="T9877" t="s">
        <v>2458</v>
      </c>
      <c r="U9877" t="s">
        <v>979</v>
      </c>
      <c r="V9877" t="s">
        <v>2459</v>
      </c>
      <c r="W9877" t="s">
        <v>193</v>
      </c>
    </row>
    <row r="9878" spans="1:23" x14ac:dyDescent="0.3">
      <c r="A9878" t="s">
        <v>35</v>
      </c>
      <c r="B9878" t="s">
        <v>236</v>
      </c>
      <c r="C9878">
        <v>1608</v>
      </c>
      <c r="D9878" t="s">
        <v>434</v>
      </c>
      <c r="E9878" t="s">
        <v>114</v>
      </c>
      <c r="F9878" t="s">
        <v>127</v>
      </c>
      <c r="G9878" t="s">
        <v>253</v>
      </c>
      <c r="H9878" t="s">
        <v>141</v>
      </c>
      <c r="I9878" t="s">
        <v>104</v>
      </c>
      <c r="J9878" t="s">
        <v>104</v>
      </c>
      <c r="K9878" t="s">
        <v>253</v>
      </c>
      <c r="L9878" t="s">
        <v>132</v>
      </c>
      <c r="M9878" t="s">
        <v>99</v>
      </c>
      <c r="N9878" t="s">
        <v>104</v>
      </c>
      <c r="O9878" t="s">
        <v>99</v>
      </c>
      <c r="P9878" t="s">
        <v>99</v>
      </c>
      <c r="Q9878" t="s">
        <v>99</v>
      </c>
      <c r="R9878" t="s">
        <v>104</v>
      </c>
      <c r="S9878" t="s">
        <v>104</v>
      </c>
      <c r="T9878" t="s">
        <v>104</v>
      </c>
      <c r="U9878" t="s">
        <v>104</v>
      </c>
      <c r="V9878" t="s">
        <v>329</v>
      </c>
      <c r="W9878" t="s">
        <v>136</v>
      </c>
    </row>
    <row r="9879" spans="1:23" x14ac:dyDescent="0.3">
      <c r="A9879" t="s">
        <v>35</v>
      </c>
      <c r="B9879" t="s">
        <v>238</v>
      </c>
      <c r="C9879">
        <v>1533</v>
      </c>
      <c r="D9879" t="s">
        <v>126</v>
      </c>
      <c r="E9879" t="s">
        <v>108</v>
      </c>
      <c r="F9879" t="s">
        <v>207</v>
      </c>
      <c r="G9879" t="s">
        <v>104</v>
      </c>
      <c r="H9879" t="s">
        <v>99</v>
      </c>
      <c r="I9879" t="s">
        <v>104</v>
      </c>
      <c r="J9879" t="s">
        <v>104</v>
      </c>
      <c r="K9879" t="s">
        <v>207</v>
      </c>
      <c r="L9879" t="s">
        <v>141</v>
      </c>
      <c r="M9879" t="s">
        <v>99</v>
      </c>
      <c r="N9879" t="s">
        <v>104</v>
      </c>
      <c r="O9879" t="s">
        <v>99</v>
      </c>
      <c r="P9879" t="s">
        <v>99</v>
      </c>
      <c r="Q9879" t="s">
        <v>141</v>
      </c>
      <c r="R9879" t="s">
        <v>99</v>
      </c>
      <c r="S9879" t="s">
        <v>104</v>
      </c>
      <c r="T9879" t="s">
        <v>207</v>
      </c>
      <c r="U9879" t="s">
        <v>207</v>
      </c>
      <c r="V9879" t="s">
        <v>786</v>
      </c>
      <c r="W9879" t="s">
        <v>141</v>
      </c>
    </row>
    <row r="9880" spans="1:23" x14ac:dyDescent="0.3">
      <c r="A9880" t="s">
        <v>37</v>
      </c>
      <c r="B9880" t="s">
        <v>236</v>
      </c>
      <c r="C9880">
        <v>2211</v>
      </c>
      <c r="D9880" t="s">
        <v>121</v>
      </c>
      <c r="E9880" t="s">
        <v>104</v>
      </c>
      <c r="F9880" t="s">
        <v>99</v>
      </c>
      <c r="G9880" t="s">
        <v>104</v>
      </c>
      <c r="H9880" t="s">
        <v>99</v>
      </c>
      <c r="I9880" t="s">
        <v>104</v>
      </c>
      <c r="J9880" t="s">
        <v>99</v>
      </c>
      <c r="K9880" t="s">
        <v>99</v>
      </c>
      <c r="L9880" t="s">
        <v>136</v>
      </c>
      <c r="M9880" t="s">
        <v>99</v>
      </c>
      <c r="N9880" t="s">
        <v>104</v>
      </c>
      <c r="O9880" t="s">
        <v>99</v>
      </c>
      <c r="P9880" t="s">
        <v>99</v>
      </c>
      <c r="Q9880" t="s">
        <v>198</v>
      </c>
      <c r="R9880" t="s">
        <v>104</v>
      </c>
      <c r="S9880" t="s">
        <v>198</v>
      </c>
      <c r="T9880" t="s">
        <v>104</v>
      </c>
      <c r="U9880" t="s">
        <v>104</v>
      </c>
      <c r="V9880" t="s">
        <v>249</v>
      </c>
      <c r="W9880" t="s">
        <v>207</v>
      </c>
    </row>
    <row r="9881" spans="1:23" x14ac:dyDescent="0.3">
      <c r="A9881" t="s">
        <v>37</v>
      </c>
      <c r="B9881" t="s">
        <v>238</v>
      </c>
      <c r="C9881">
        <v>1643</v>
      </c>
      <c r="D9881" t="s">
        <v>108</v>
      </c>
      <c r="E9881" t="s">
        <v>99</v>
      </c>
      <c r="F9881" t="s">
        <v>104</v>
      </c>
      <c r="G9881" t="s">
        <v>99</v>
      </c>
      <c r="H9881" t="s">
        <v>99</v>
      </c>
      <c r="I9881" t="s">
        <v>104</v>
      </c>
      <c r="J9881" t="s">
        <v>99</v>
      </c>
      <c r="K9881" t="s">
        <v>198</v>
      </c>
      <c r="L9881" t="s">
        <v>141</v>
      </c>
      <c r="M9881" t="s">
        <v>99</v>
      </c>
      <c r="N9881" t="s">
        <v>198</v>
      </c>
      <c r="O9881" t="s">
        <v>99</v>
      </c>
      <c r="P9881" t="s">
        <v>198</v>
      </c>
      <c r="Q9881" t="s">
        <v>207</v>
      </c>
      <c r="R9881" t="s">
        <v>141</v>
      </c>
      <c r="S9881" t="s">
        <v>99</v>
      </c>
      <c r="T9881" t="s">
        <v>207</v>
      </c>
      <c r="U9881" t="s">
        <v>104</v>
      </c>
      <c r="V9881" t="s">
        <v>998</v>
      </c>
      <c r="W9881" t="s">
        <v>104</v>
      </c>
    </row>
    <row r="9882" spans="1:23" x14ac:dyDescent="0.3">
      <c r="A9882" t="s">
        <v>36</v>
      </c>
      <c r="B9882" t="s">
        <v>236</v>
      </c>
      <c r="C9882">
        <v>1565</v>
      </c>
      <c r="D9882" t="s">
        <v>220</v>
      </c>
      <c r="E9882" t="s">
        <v>132</v>
      </c>
      <c r="F9882" t="s">
        <v>100</v>
      </c>
      <c r="G9882" t="s">
        <v>253</v>
      </c>
      <c r="H9882" t="s">
        <v>141</v>
      </c>
      <c r="I9882" t="s">
        <v>104</v>
      </c>
      <c r="J9882" t="s">
        <v>104</v>
      </c>
      <c r="K9882" t="s">
        <v>115</v>
      </c>
      <c r="L9882" t="s">
        <v>126</v>
      </c>
      <c r="M9882" t="s">
        <v>99</v>
      </c>
      <c r="N9882" t="s">
        <v>207</v>
      </c>
      <c r="O9882" t="s">
        <v>99</v>
      </c>
      <c r="P9882" t="s">
        <v>99</v>
      </c>
      <c r="Q9882" t="s">
        <v>115</v>
      </c>
      <c r="R9882" t="s">
        <v>104</v>
      </c>
      <c r="S9882" t="s">
        <v>198</v>
      </c>
      <c r="T9882" t="s">
        <v>99</v>
      </c>
      <c r="U9882" t="s">
        <v>104</v>
      </c>
      <c r="V9882" t="s">
        <v>314</v>
      </c>
      <c r="W9882" t="s">
        <v>198</v>
      </c>
    </row>
    <row r="9883" spans="1:23" x14ac:dyDescent="0.3">
      <c r="A9883" t="s">
        <v>36</v>
      </c>
      <c r="B9883" t="s">
        <v>238</v>
      </c>
      <c r="C9883">
        <v>737</v>
      </c>
      <c r="D9883" t="s">
        <v>242</v>
      </c>
      <c r="E9883" t="s">
        <v>121</v>
      </c>
      <c r="F9883" t="s">
        <v>136</v>
      </c>
      <c r="G9883" t="s">
        <v>207</v>
      </c>
      <c r="H9883" t="s">
        <v>198</v>
      </c>
      <c r="I9883" t="s">
        <v>253</v>
      </c>
      <c r="J9883" t="s">
        <v>104</v>
      </c>
      <c r="K9883" t="s">
        <v>207</v>
      </c>
      <c r="L9883" t="s">
        <v>132</v>
      </c>
      <c r="M9883" t="s">
        <v>99</v>
      </c>
      <c r="N9883" t="s">
        <v>141</v>
      </c>
      <c r="O9883" t="s">
        <v>99</v>
      </c>
      <c r="P9883" t="s">
        <v>99</v>
      </c>
      <c r="Q9883" t="s">
        <v>198</v>
      </c>
      <c r="R9883" t="s">
        <v>99</v>
      </c>
      <c r="S9883" t="s">
        <v>253</v>
      </c>
      <c r="T9883" t="s">
        <v>104</v>
      </c>
      <c r="U9883" t="s">
        <v>207</v>
      </c>
      <c r="V9883" t="s">
        <v>73</v>
      </c>
      <c r="W9883" t="s">
        <v>104</v>
      </c>
    </row>
    <row r="9884" spans="1:23" x14ac:dyDescent="0.3">
      <c r="A9884" t="s">
        <v>34</v>
      </c>
      <c r="B9884" t="s">
        <v>236</v>
      </c>
      <c r="C9884">
        <v>717</v>
      </c>
      <c r="D9884" t="s">
        <v>41</v>
      </c>
      <c r="E9884" t="s">
        <v>136</v>
      </c>
      <c r="F9884" t="s">
        <v>101</v>
      </c>
      <c r="G9884" t="s">
        <v>319</v>
      </c>
      <c r="H9884" t="s">
        <v>111</v>
      </c>
      <c r="I9884" t="s">
        <v>99</v>
      </c>
      <c r="J9884" t="s">
        <v>136</v>
      </c>
      <c r="K9884" t="s">
        <v>207</v>
      </c>
      <c r="L9884" t="s">
        <v>103</v>
      </c>
      <c r="M9884" t="s">
        <v>99</v>
      </c>
      <c r="N9884" t="s">
        <v>99</v>
      </c>
      <c r="O9884" t="s">
        <v>99</v>
      </c>
      <c r="P9884" t="s">
        <v>99</v>
      </c>
      <c r="Q9884" t="s">
        <v>99</v>
      </c>
      <c r="R9884" t="s">
        <v>99</v>
      </c>
      <c r="S9884" t="s">
        <v>99</v>
      </c>
      <c r="T9884" t="s">
        <v>99</v>
      </c>
      <c r="U9884" t="s">
        <v>136</v>
      </c>
      <c r="V9884" t="s">
        <v>217</v>
      </c>
      <c r="W9884" t="s">
        <v>136</v>
      </c>
    </row>
    <row r="9885" spans="1:23" x14ac:dyDescent="0.3">
      <c r="A9885" t="s">
        <v>34</v>
      </c>
      <c r="B9885" t="s">
        <v>238</v>
      </c>
      <c r="C9885">
        <v>1359</v>
      </c>
      <c r="D9885" t="s">
        <v>68</v>
      </c>
      <c r="E9885" t="s">
        <v>126</v>
      </c>
      <c r="F9885" t="s">
        <v>126</v>
      </c>
      <c r="G9885" t="s">
        <v>115</v>
      </c>
      <c r="H9885" t="s">
        <v>100</v>
      </c>
      <c r="I9885" t="s">
        <v>108</v>
      </c>
      <c r="J9885" t="s">
        <v>136</v>
      </c>
      <c r="K9885" t="s">
        <v>215</v>
      </c>
      <c r="L9885" t="s">
        <v>100</v>
      </c>
      <c r="M9885" t="s">
        <v>99</v>
      </c>
      <c r="N9885" t="s">
        <v>104</v>
      </c>
      <c r="O9885" t="s">
        <v>99</v>
      </c>
      <c r="P9885" t="s">
        <v>99</v>
      </c>
      <c r="Q9885" t="s">
        <v>104</v>
      </c>
      <c r="R9885" t="s">
        <v>104</v>
      </c>
      <c r="S9885" t="s">
        <v>207</v>
      </c>
      <c r="T9885" t="s">
        <v>104</v>
      </c>
      <c r="U9885" t="s">
        <v>198</v>
      </c>
      <c r="V9885" t="s">
        <v>250</v>
      </c>
      <c r="W9885" t="s">
        <v>141</v>
      </c>
    </row>
    <row r="9886" spans="1:23" x14ac:dyDescent="0.3">
      <c r="A9886" t="s">
        <v>33</v>
      </c>
      <c r="B9886" t="s">
        <v>236</v>
      </c>
      <c r="C9886">
        <v>1116</v>
      </c>
      <c r="D9886" t="s">
        <v>126</v>
      </c>
      <c r="E9886" t="s">
        <v>198</v>
      </c>
      <c r="F9886" t="s">
        <v>99</v>
      </c>
      <c r="G9886" t="s">
        <v>99</v>
      </c>
      <c r="H9886" t="s">
        <v>99</v>
      </c>
      <c r="I9886" t="s">
        <v>99</v>
      </c>
      <c r="J9886" t="s">
        <v>99</v>
      </c>
      <c r="K9886" t="s">
        <v>136</v>
      </c>
      <c r="L9886" t="s">
        <v>207</v>
      </c>
      <c r="M9886" t="s">
        <v>99</v>
      </c>
      <c r="N9886" t="s">
        <v>198</v>
      </c>
      <c r="O9886" t="s">
        <v>99</v>
      </c>
      <c r="P9886" t="s">
        <v>99</v>
      </c>
      <c r="Q9886" t="s">
        <v>104</v>
      </c>
      <c r="R9886" t="s">
        <v>104</v>
      </c>
      <c r="S9886" t="s">
        <v>104</v>
      </c>
      <c r="T9886" t="s">
        <v>99</v>
      </c>
      <c r="U9886" t="s">
        <v>104</v>
      </c>
      <c r="V9886" t="s">
        <v>998</v>
      </c>
      <c r="W9886" t="s">
        <v>104</v>
      </c>
    </row>
    <row r="9887" spans="1:23" x14ac:dyDescent="0.3">
      <c r="A9887" t="s">
        <v>33</v>
      </c>
      <c r="B9887" t="s">
        <v>238</v>
      </c>
      <c r="C9887">
        <v>820</v>
      </c>
      <c r="D9887" t="s">
        <v>100</v>
      </c>
      <c r="E9887" t="s">
        <v>104</v>
      </c>
      <c r="F9887" t="s">
        <v>99</v>
      </c>
      <c r="G9887" t="s">
        <v>104</v>
      </c>
      <c r="H9887" t="s">
        <v>99</v>
      </c>
      <c r="I9887" t="s">
        <v>99</v>
      </c>
      <c r="J9887" t="s">
        <v>99</v>
      </c>
      <c r="K9887" t="s">
        <v>198</v>
      </c>
      <c r="L9887" t="s">
        <v>207</v>
      </c>
      <c r="M9887" t="s">
        <v>99</v>
      </c>
      <c r="N9887" t="s">
        <v>99</v>
      </c>
      <c r="O9887" t="s">
        <v>99</v>
      </c>
      <c r="P9887" t="s">
        <v>99</v>
      </c>
      <c r="Q9887" t="s">
        <v>99</v>
      </c>
      <c r="R9887" t="s">
        <v>104</v>
      </c>
      <c r="S9887" t="s">
        <v>104</v>
      </c>
      <c r="T9887" t="s">
        <v>99</v>
      </c>
      <c r="U9887" t="s">
        <v>99</v>
      </c>
      <c r="V9887" t="s">
        <v>476</v>
      </c>
      <c r="W9887" t="s">
        <v>136</v>
      </c>
    </row>
    <row r="9888" spans="1:23" x14ac:dyDescent="0.3">
      <c r="A9888" t="s">
        <v>49</v>
      </c>
      <c r="B9888" t="s">
        <v>236</v>
      </c>
      <c r="C9888">
        <v>7217</v>
      </c>
      <c r="D9888" t="s">
        <v>134</v>
      </c>
      <c r="E9888" t="s">
        <v>136</v>
      </c>
      <c r="F9888" t="s">
        <v>253</v>
      </c>
      <c r="G9888" t="s">
        <v>136</v>
      </c>
      <c r="H9888" t="s">
        <v>136</v>
      </c>
      <c r="I9888" t="s">
        <v>104</v>
      </c>
      <c r="J9888" t="s">
        <v>104</v>
      </c>
      <c r="K9888" t="s">
        <v>207</v>
      </c>
      <c r="L9888" t="s">
        <v>132</v>
      </c>
      <c r="M9888" t="s">
        <v>99</v>
      </c>
      <c r="N9888" t="s">
        <v>104</v>
      </c>
      <c r="O9888" t="s">
        <v>99</v>
      </c>
      <c r="P9888" t="s">
        <v>99</v>
      </c>
      <c r="Q9888" t="s">
        <v>104</v>
      </c>
      <c r="R9888" t="s">
        <v>104</v>
      </c>
      <c r="S9888" t="s">
        <v>198</v>
      </c>
      <c r="T9888" t="s">
        <v>104</v>
      </c>
      <c r="U9888" t="s">
        <v>198</v>
      </c>
      <c r="V9888" t="s">
        <v>376</v>
      </c>
      <c r="W9888" t="s">
        <v>207</v>
      </c>
    </row>
    <row r="9889" spans="1:23" x14ac:dyDescent="0.3">
      <c r="A9889" t="s">
        <v>49</v>
      </c>
      <c r="B9889" t="s">
        <v>238</v>
      </c>
      <c r="C9889">
        <v>6092</v>
      </c>
      <c r="D9889" t="s">
        <v>117</v>
      </c>
      <c r="E9889" t="s">
        <v>132</v>
      </c>
      <c r="F9889" t="s">
        <v>141</v>
      </c>
      <c r="G9889" t="s">
        <v>198</v>
      </c>
      <c r="H9889" t="s">
        <v>207</v>
      </c>
      <c r="I9889" t="s">
        <v>207</v>
      </c>
      <c r="J9889" t="s">
        <v>104</v>
      </c>
      <c r="K9889" t="s">
        <v>253</v>
      </c>
      <c r="L9889" t="s">
        <v>253</v>
      </c>
      <c r="M9889" t="s">
        <v>99</v>
      </c>
      <c r="N9889" t="s">
        <v>198</v>
      </c>
      <c r="O9889" t="s">
        <v>99</v>
      </c>
      <c r="P9889" t="s">
        <v>99</v>
      </c>
      <c r="Q9889" t="s">
        <v>207</v>
      </c>
      <c r="R9889" t="s">
        <v>198</v>
      </c>
      <c r="S9889" t="s">
        <v>198</v>
      </c>
      <c r="T9889" t="s">
        <v>198</v>
      </c>
      <c r="U9889" t="s">
        <v>198</v>
      </c>
      <c r="V9889" t="s">
        <v>467</v>
      </c>
      <c r="W9889" t="s">
        <v>136</v>
      </c>
    </row>
    <row r="9891" spans="1:23" x14ac:dyDescent="0.3">
      <c r="A9891" t="s">
        <v>2464</v>
      </c>
    </row>
    <row r="9892" spans="1:23" x14ac:dyDescent="0.3">
      <c r="A9892" t="s">
        <v>44</v>
      </c>
      <c r="B9892" t="s">
        <v>1720</v>
      </c>
      <c r="C9892" t="s">
        <v>32</v>
      </c>
      <c r="D9892" t="s">
        <v>2442</v>
      </c>
      <c r="E9892" t="s">
        <v>2443</v>
      </c>
      <c r="F9892" t="s">
        <v>2444</v>
      </c>
      <c r="G9892" t="s">
        <v>2445</v>
      </c>
      <c r="H9892" t="s">
        <v>2446</v>
      </c>
      <c r="I9892" t="s">
        <v>2447</v>
      </c>
      <c r="J9892" t="s">
        <v>2448</v>
      </c>
      <c r="K9892" t="s">
        <v>2449</v>
      </c>
      <c r="L9892" t="s">
        <v>2450</v>
      </c>
      <c r="M9892" t="s">
        <v>2451</v>
      </c>
      <c r="N9892" t="s">
        <v>2452</v>
      </c>
      <c r="O9892" t="s">
        <v>2453</v>
      </c>
      <c r="P9892" t="s">
        <v>2454</v>
      </c>
      <c r="Q9892" t="s">
        <v>2455</v>
      </c>
      <c r="R9892" t="s">
        <v>2456</v>
      </c>
      <c r="S9892" t="s">
        <v>2457</v>
      </c>
      <c r="T9892" t="s">
        <v>2458</v>
      </c>
      <c r="U9892" t="s">
        <v>979</v>
      </c>
      <c r="V9892" t="s">
        <v>2459</v>
      </c>
      <c r="W9892" t="s">
        <v>193</v>
      </c>
    </row>
    <row r="9893" spans="1:23" x14ac:dyDescent="0.3">
      <c r="A9893" t="s">
        <v>35</v>
      </c>
      <c r="B9893" t="s">
        <v>1721</v>
      </c>
      <c r="C9893">
        <v>996</v>
      </c>
      <c r="D9893" t="s">
        <v>268</v>
      </c>
      <c r="E9893" t="s">
        <v>115</v>
      </c>
      <c r="F9893" t="s">
        <v>132</v>
      </c>
      <c r="G9893" t="s">
        <v>198</v>
      </c>
      <c r="H9893" t="s">
        <v>198</v>
      </c>
      <c r="I9893" t="s">
        <v>104</v>
      </c>
      <c r="J9893" t="s">
        <v>198</v>
      </c>
      <c r="K9893" t="s">
        <v>115</v>
      </c>
      <c r="L9893" t="s">
        <v>132</v>
      </c>
      <c r="M9893" t="s">
        <v>99</v>
      </c>
      <c r="N9893" t="s">
        <v>99</v>
      </c>
      <c r="O9893" t="s">
        <v>99</v>
      </c>
      <c r="P9893" t="s">
        <v>99</v>
      </c>
      <c r="Q9893" t="s">
        <v>99</v>
      </c>
      <c r="R9893" t="s">
        <v>104</v>
      </c>
      <c r="S9893" t="s">
        <v>104</v>
      </c>
      <c r="T9893" t="s">
        <v>99</v>
      </c>
      <c r="U9893" t="s">
        <v>115</v>
      </c>
      <c r="V9893" t="s">
        <v>505</v>
      </c>
      <c r="W9893" t="s">
        <v>136</v>
      </c>
    </row>
    <row r="9894" spans="1:23" x14ac:dyDescent="0.3">
      <c r="A9894" t="s">
        <v>35</v>
      </c>
      <c r="B9894" t="s">
        <v>1722</v>
      </c>
      <c r="C9894">
        <v>2145</v>
      </c>
      <c r="D9894" t="s">
        <v>268</v>
      </c>
      <c r="E9894" t="s">
        <v>100</v>
      </c>
      <c r="F9894" t="s">
        <v>115</v>
      </c>
      <c r="G9894" t="s">
        <v>198</v>
      </c>
      <c r="H9894" t="s">
        <v>198</v>
      </c>
      <c r="I9894" t="s">
        <v>104</v>
      </c>
      <c r="J9894" t="s">
        <v>99</v>
      </c>
      <c r="K9894" t="s">
        <v>207</v>
      </c>
      <c r="L9894" t="s">
        <v>141</v>
      </c>
      <c r="M9894" t="s">
        <v>99</v>
      </c>
      <c r="N9894" t="s">
        <v>198</v>
      </c>
      <c r="O9894" t="s">
        <v>99</v>
      </c>
      <c r="P9894" t="s">
        <v>99</v>
      </c>
      <c r="Q9894" t="s">
        <v>253</v>
      </c>
      <c r="R9894" t="s">
        <v>99</v>
      </c>
      <c r="S9894" t="s">
        <v>104</v>
      </c>
      <c r="T9894" t="s">
        <v>136</v>
      </c>
      <c r="U9894" t="s">
        <v>99</v>
      </c>
      <c r="V9894" t="s">
        <v>758</v>
      </c>
      <c r="W9894" t="s">
        <v>141</v>
      </c>
    </row>
    <row r="9895" spans="1:23" x14ac:dyDescent="0.3">
      <c r="A9895" t="s">
        <v>37</v>
      </c>
      <c r="B9895" t="s">
        <v>1721</v>
      </c>
      <c r="C9895">
        <v>1252</v>
      </c>
      <c r="D9895" t="s">
        <v>319</v>
      </c>
      <c r="E9895" t="s">
        <v>104</v>
      </c>
      <c r="F9895" t="s">
        <v>104</v>
      </c>
      <c r="G9895" t="s">
        <v>104</v>
      </c>
      <c r="H9895" t="s">
        <v>99</v>
      </c>
      <c r="I9895" t="s">
        <v>104</v>
      </c>
      <c r="J9895" t="s">
        <v>99</v>
      </c>
      <c r="K9895" t="s">
        <v>104</v>
      </c>
      <c r="L9895" t="s">
        <v>207</v>
      </c>
      <c r="M9895" t="s">
        <v>99</v>
      </c>
      <c r="N9895" t="s">
        <v>104</v>
      </c>
      <c r="O9895" t="s">
        <v>99</v>
      </c>
      <c r="P9895" t="s">
        <v>198</v>
      </c>
      <c r="Q9895" t="s">
        <v>198</v>
      </c>
      <c r="R9895" t="s">
        <v>253</v>
      </c>
      <c r="S9895" t="s">
        <v>207</v>
      </c>
      <c r="T9895" t="s">
        <v>104</v>
      </c>
      <c r="U9895" t="s">
        <v>198</v>
      </c>
      <c r="V9895" t="s">
        <v>384</v>
      </c>
      <c r="W9895" t="s">
        <v>104</v>
      </c>
    </row>
    <row r="9896" spans="1:23" x14ac:dyDescent="0.3">
      <c r="A9896" t="s">
        <v>37</v>
      </c>
      <c r="B9896" t="s">
        <v>1722</v>
      </c>
      <c r="C9896">
        <v>2602</v>
      </c>
      <c r="D9896" t="s">
        <v>114</v>
      </c>
      <c r="E9896" t="s">
        <v>99</v>
      </c>
      <c r="F9896" t="s">
        <v>99</v>
      </c>
      <c r="G9896" t="s">
        <v>99</v>
      </c>
      <c r="H9896" t="s">
        <v>99</v>
      </c>
      <c r="I9896" t="s">
        <v>104</v>
      </c>
      <c r="J9896" t="s">
        <v>99</v>
      </c>
      <c r="K9896" t="s">
        <v>104</v>
      </c>
      <c r="L9896" t="s">
        <v>141</v>
      </c>
      <c r="M9896" t="s">
        <v>99</v>
      </c>
      <c r="N9896" t="s">
        <v>104</v>
      </c>
      <c r="O9896" t="s">
        <v>99</v>
      </c>
      <c r="P9896" t="s">
        <v>99</v>
      </c>
      <c r="Q9896" t="s">
        <v>207</v>
      </c>
      <c r="R9896" t="s">
        <v>198</v>
      </c>
      <c r="S9896" t="s">
        <v>104</v>
      </c>
      <c r="T9896" t="s">
        <v>198</v>
      </c>
      <c r="U9896" t="s">
        <v>104</v>
      </c>
      <c r="V9896" t="s">
        <v>851</v>
      </c>
      <c r="W9896" t="s">
        <v>207</v>
      </c>
    </row>
    <row r="9897" spans="1:23" x14ac:dyDescent="0.3">
      <c r="A9897" t="s">
        <v>36</v>
      </c>
      <c r="B9897" t="s">
        <v>1721</v>
      </c>
      <c r="C9897">
        <v>811</v>
      </c>
      <c r="D9897" t="s">
        <v>135</v>
      </c>
      <c r="E9897" t="s">
        <v>215</v>
      </c>
      <c r="F9897" t="s">
        <v>114</v>
      </c>
      <c r="G9897" t="s">
        <v>136</v>
      </c>
      <c r="H9897" t="s">
        <v>104</v>
      </c>
      <c r="I9897" t="s">
        <v>132</v>
      </c>
      <c r="J9897" t="s">
        <v>104</v>
      </c>
      <c r="K9897" t="s">
        <v>121</v>
      </c>
      <c r="L9897" t="s">
        <v>123</v>
      </c>
      <c r="M9897" t="s">
        <v>99</v>
      </c>
      <c r="N9897" t="s">
        <v>104</v>
      </c>
      <c r="O9897" t="s">
        <v>99</v>
      </c>
      <c r="P9897" t="s">
        <v>99</v>
      </c>
      <c r="Q9897" t="s">
        <v>114</v>
      </c>
      <c r="R9897" t="s">
        <v>104</v>
      </c>
      <c r="S9897" t="s">
        <v>108</v>
      </c>
      <c r="T9897" t="s">
        <v>198</v>
      </c>
      <c r="U9897" t="s">
        <v>207</v>
      </c>
      <c r="V9897" t="s">
        <v>217</v>
      </c>
      <c r="W9897" t="s">
        <v>99</v>
      </c>
    </row>
    <row r="9898" spans="1:23" x14ac:dyDescent="0.3">
      <c r="A9898" t="s">
        <v>36</v>
      </c>
      <c r="B9898" t="s">
        <v>1722</v>
      </c>
      <c r="C9898">
        <v>1491</v>
      </c>
      <c r="D9898" t="s">
        <v>150</v>
      </c>
      <c r="E9898" t="s">
        <v>253</v>
      </c>
      <c r="F9898" t="s">
        <v>253</v>
      </c>
      <c r="G9898" t="s">
        <v>136</v>
      </c>
      <c r="H9898" t="s">
        <v>136</v>
      </c>
      <c r="I9898" t="s">
        <v>104</v>
      </c>
      <c r="J9898" t="s">
        <v>104</v>
      </c>
      <c r="K9898" t="s">
        <v>104</v>
      </c>
      <c r="L9898" t="s">
        <v>253</v>
      </c>
      <c r="M9898" t="s">
        <v>99</v>
      </c>
      <c r="N9898" t="s">
        <v>253</v>
      </c>
      <c r="O9898" t="s">
        <v>99</v>
      </c>
      <c r="P9898" t="s">
        <v>99</v>
      </c>
      <c r="Q9898" t="s">
        <v>99</v>
      </c>
      <c r="R9898" t="s">
        <v>99</v>
      </c>
      <c r="S9898" t="s">
        <v>198</v>
      </c>
      <c r="T9898" t="s">
        <v>99</v>
      </c>
      <c r="U9898" t="s">
        <v>198</v>
      </c>
      <c r="V9898" t="s">
        <v>399</v>
      </c>
      <c r="W9898" t="s">
        <v>207</v>
      </c>
    </row>
    <row r="9899" spans="1:23" x14ac:dyDescent="0.3">
      <c r="A9899" t="s">
        <v>34</v>
      </c>
      <c r="B9899" t="s">
        <v>1721</v>
      </c>
      <c r="C9899">
        <v>619</v>
      </c>
      <c r="D9899" t="s">
        <v>150</v>
      </c>
      <c r="E9899" t="s">
        <v>114</v>
      </c>
      <c r="F9899" t="s">
        <v>100</v>
      </c>
      <c r="G9899" t="s">
        <v>382</v>
      </c>
      <c r="H9899" t="s">
        <v>292</v>
      </c>
      <c r="I9899" t="s">
        <v>132</v>
      </c>
      <c r="J9899" t="s">
        <v>132</v>
      </c>
      <c r="K9899" t="s">
        <v>103</v>
      </c>
      <c r="L9899" t="s">
        <v>126</v>
      </c>
      <c r="M9899" t="s">
        <v>99</v>
      </c>
      <c r="N9899" t="s">
        <v>198</v>
      </c>
      <c r="O9899" t="s">
        <v>99</v>
      </c>
      <c r="P9899" t="s">
        <v>99</v>
      </c>
      <c r="Q9899" t="s">
        <v>99</v>
      </c>
      <c r="R9899" t="s">
        <v>198</v>
      </c>
      <c r="S9899" t="s">
        <v>198</v>
      </c>
      <c r="T9899" t="s">
        <v>198</v>
      </c>
      <c r="U9899" t="s">
        <v>99</v>
      </c>
      <c r="V9899" t="s">
        <v>875</v>
      </c>
      <c r="W9899" t="s">
        <v>115</v>
      </c>
    </row>
    <row r="9900" spans="1:23" x14ac:dyDescent="0.3">
      <c r="A9900" t="s">
        <v>34</v>
      </c>
      <c r="B9900" t="s">
        <v>1722</v>
      </c>
      <c r="C9900">
        <v>1457</v>
      </c>
      <c r="D9900" t="s">
        <v>468</v>
      </c>
      <c r="E9900" t="s">
        <v>101</v>
      </c>
      <c r="F9900" t="s">
        <v>382</v>
      </c>
      <c r="G9900" t="s">
        <v>253</v>
      </c>
      <c r="H9900" t="s">
        <v>100</v>
      </c>
      <c r="I9900" t="s">
        <v>253</v>
      </c>
      <c r="J9900" t="s">
        <v>198</v>
      </c>
      <c r="K9900" t="s">
        <v>115</v>
      </c>
      <c r="L9900" t="s">
        <v>382</v>
      </c>
      <c r="M9900" t="s">
        <v>99</v>
      </c>
      <c r="N9900" t="s">
        <v>99</v>
      </c>
      <c r="O9900" t="s">
        <v>99</v>
      </c>
      <c r="P9900" t="s">
        <v>99</v>
      </c>
      <c r="Q9900" t="s">
        <v>104</v>
      </c>
      <c r="R9900" t="s">
        <v>99</v>
      </c>
      <c r="S9900" t="s">
        <v>207</v>
      </c>
      <c r="T9900" t="s">
        <v>99</v>
      </c>
      <c r="U9900" t="s">
        <v>136</v>
      </c>
      <c r="V9900" t="s">
        <v>293</v>
      </c>
      <c r="W9900" t="s">
        <v>136</v>
      </c>
    </row>
    <row r="9901" spans="1:23" x14ac:dyDescent="0.3">
      <c r="A9901" t="s">
        <v>33</v>
      </c>
      <c r="B9901" t="s">
        <v>1721</v>
      </c>
      <c r="C9901">
        <v>557</v>
      </c>
      <c r="D9901" t="s">
        <v>382</v>
      </c>
      <c r="E9901" t="s">
        <v>99</v>
      </c>
      <c r="F9901" t="s">
        <v>99</v>
      </c>
      <c r="G9901" t="s">
        <v>198</v>
      </c>
      <c r="H9901" t="s">
        <v>99</v>
      </c>
      <c r="I9901" t="s">
        <v>99</v>
      </c>
      <c r="J9901" t="s">
        <v>99</v>
      </c>
      <c r="K9901" t="s">
        <v>207</v>
      </c>
      <c r="L9901" t="s">
        <v>99</v>
      </c>
      <c r="M9901" t="s">
        <v>99</v>
      </c>
      <c r="N9901" t="s">
        <v>136</v>
      </c>
      <c r="O9901" t="s">
        <v>99</v>
      </c>
      <c r="P9901" t="s">
        <v>99</v>
      </c>
      <c r="Q9901" t="s">
        <v>99</v>
      </c>
      <c r="R9901" t="s">
        <v>198</v>
      </c>
      <c r="S9901" t="s">
        <v>198</v>
      </c>
      <c r="T9901" t="s">
        <v>99</v>
      </c>
      <c r="U9901" t="s">
        <v>99</v>
      </c>
      <c r="V9901" t="s">
        <v>780</v>
      </c>
      <c r="W9901" t="s">
        <v>99</v>
      </c>
    </row>
    <row r="9902" spans="1:23" x14ac:dyDescent="0.3">
      <c r="A9902" t="s">
        <v>33</v>
      </c>
      <c r="B9902" t="s">
        <v>1722</v>
      </c>
      <c r="C9902">
        <v>1379</v>
      </c>
      <c r="D9902" t="s">
        <v>121</v>
      </c>
      <c r="E9902" t="s">
        <v>198</v>
      </c>
      <c r="F9902" t="s">
        <v>99</v>
      </c>
      <c r="G9902" t="s">
        <v>99</v>
      </c>
      <c r="H9902" t="s">
        <v>99</v>
      </c>
      <c r="I9902" t="s">
        <v>99</v>
      </c>
      <c r="J9902" t="s">
        <v>99</v>
      </c>
      <c r="K9902" t="s">
        <v>207</v>
      </c>
      <c r="L9902" t="s">
        <v>136</v>
      </c>
      <c r="M9902" t="s">
        <v>99</v>
      </c>
      <c r="N9902" t="s">
        <v>99</v>
      </c>
      <c r="O9902" t="s">
        <v>99</v>
      </c>
      <c r="P9902" t="s">
        <v>99</v>
      </c>
      <c r="Q9902" t="s">
        <v>104</v>
      </c>
      <c r="R9902" t="s">
        <v>104</v>
      </c>
      <c r="S9902" t="s">
        <v>104</v>
      </c>
      <c r="T9902" t="s">
        <v>99</v>
      </c>
      <c r="U9902" t="s">
        <v>104</v>
      </c>
      <c r="V9902" t="s">
        <v>780</v>
      </c>
      <c r="W9902" t="s">
        <v>136</v>
      </c>
    </row>
    <row r="9903" spans="1:23" x14ac:dyDescent="0.3">
      <c r="A9903" t="s">
        <v>49</v>
      </c>
      <c r="B9903" t="s">
        <v>1721</v>
      </c>
      <c r="C9903">
        <v>4235</v>
      </c>
      <c r="D9903" t="s">
        <v>138</v>
      </c>
      <c r="E9903" t="s">
        <v>253</v>
      </c>
      <c r="F9903" t="s">
        <v>253</v>
      </c>
      <c r="G9903" t="s">
        <v>141</v>
      </c>
      <c r="H9903" t="s">
        <v>136</v>
      </c>
      <c r="I9903" t="s">
        <v>207</v>
      </c>
      <c r="J9903" t="s">
        <v>198</v>
      </c>
      <c r="K9903" t="s">
        <v>132</v>
      </c>
      <c r="L9903" t="s">
        <v>132</v>
      </c>
      <c r="M9903" t="s">
        <v>99</v>
      </c>
      <c r="N9903" t="s">
        <v>104</v>
      </c>
      <c r="O9903" t="s">
        <v>99</v>
      </c>
      <c r="P9903" t="s">
        <v>104</v>
      </c>
      <c r="Q9903" t="s">
        <v>104</v>
      </c>
      <c r="R9903" t="s">
        <v>207</v>
      </c>
      <c r="S9903" t="s">
        <v>198</v>
      </c>
      <c r="T9903" t="s">
        <v>104</v>
      </c>
      <c r="U9903" t="s">
        <v>207</v>
      </c>
      <c r="V9903" t="s">
        <v>391</v>
      </c>
      <c r="W9903" t="s">
        <v>207</v>
      </c>
    </row>
    <row r="9904" spans="1:23" x14ac:dyDescent="0.3">
      <c r="A9904" t="s">
        <v>49</v>
      </c>
      <c r="B9904" t="s">
        <v>1722</v>
      </c>
      <c r="C9904">
        <v>9074</v>
      </c>
      <c r="D9904" t="s">
        <v>120</v>
      </c>
      <c r="E9904" t="s">
        <v>253</v>
      </c>
      <c r="F9904" t="s">
        <v>141</v>
      </c>
      <c r="G9904" t="s">
        <v>198</v>
      </c>
      <c r="H9904" t="s">
        <v>207</v>
      </c>
      <c r="I9904" t="s">
        <v>198</v>
      </c>
      <c r="J9904" t="s">
        <v>104</v>
      </c>
      <c r="K9904" t="s">
        <v>207</v>
      </c>
      <c r="L9904" t="s">
        <v>115</v>
      </c>
      <c r="M9904" t="s">
        <v>99</v>
      </c>
      <c r="N9904" t="s">
        <v>104</v>
      </c>
      <c r="O9904" t="s">
        <v>99</v>
      </c>
      <c r="P9904" t="s">
        <v>99</v>
      </c>
      <c r="Q9904" t="s">
        <v>207</v>
      </c>
      <c r="R9904" t="s">
        <v>104</v>
      </c>
      <c r="S9904" t="s">
        <v>104</v>
      </c>
      <c r="T9904" t="s">
        <v>198</v>
      </c>
      <c r="U9904" t="s">
        <v>104</v>
      </c>
      <c r="V9904" t="s">
        <v>505</v>
      </c>
      <c r="W9904" t="s">
        <v>136</v>
      </c>
    </row>
    <row r="9906" spans="1:23" x14ac:dyDescent="0.3">
      <c r="A9906" t="s">
        <v>2465</v>
      </c>
    </row>
    <row r="9907" spans="1:23" x14ac:dyDescent="0.3">
      <c r="A9907" t="s">
        <v>44</v>
      </c>
      <c r="B9907" t="s">
        <v>257</v>
      </c>
      <c r="C9907" t="s">
        <v>32</v>
      </c>
      <c r="D9907" t="s">
        <v>2442</v>
      </c>
      <c r="E9907" t="s">
        <v>2443</v>
      </c>
      <c r="F9907" t="s">
        <v>2444</v>
      </c>
      <c r="G9907" t="s">
        <v>2445</v>
      </c>
      <c r="H9907" t="s">
        <v>2446</v>
      </c>
      <c r="I9907" t="s">
        <v>2447</v>
      </c>
      <c r="J9907" t="s">
        <v>2448</v>
      </c>
      <c r="K9907" t="s">
        <v>2449</v>
      </c>
      <c r="L9907" t="s">
        <v>2450</v>
      </c>
      <c r="M9907" t="s">
        <v>2451</v>
      </c>
      <c r="N9907" t="s">
        <v>2452</v>
      </c>
      <c r="O9907" t="s">
        <v>2453</v>
      </c>
      <c r="P9907" t="s">
        <v>2454</v>
      </c>
      <c r="Q9907" t="s">
        <v>2455</v>
      </c>
      <c r="R9907" t="s">
        <v>2456</v>
      </c>
      <c r="S9907" t="s">
        <v>2457</v>
      </c>
      <c r="T9907" t="s">
        <v>2458</v>
      </c>
      <c r="U9907" t="s">
        <v>979</v>
      </c>
      <c r="V9907" t="s">
        <v>2459</v>
      </c>
      <c r="W9907" t="s">
        <v>193</v>
      </c>
    </row>
    <row r="9908" spans="1:23" x14ac:dyDescent="0.3">
      <c r="A9908" t="s">
        <v>35</v>
      </c>
      <c r="B9908" t="s">
        <v>258</v>
      </c>
      <c r="C9908">
        <v>2870</v>
      </c>
      <c r="D9908" t="s">
        <v>292</v>
      </c>
      <c r="E9908" t="s">
        <v>114</v>
      </c>
      <c r="F9908" t="s">
        <v>132</v>
      </c>
      <c r="G9908" t="s">
        <v>198</v>
      </c>
      <c r="H9908" t="s">
        <v>198</v>
      </c>
      <c r="I9908" t="s">
        <v>104</v>
      </c>
      <c r="J9908" t="s">
        <v>99</v>
      </c>
      <c r="K9908" t="s">
        <v>207</v>
      </c>
      <c r="L9908" t="s">
        <v>136</v>
      </c>
      <c r="M9908" t="s">
        <v>99</v>
      </c>
      <c r="N9908" t="s">
        <v>104</v>
      </c>
      <c r="O9908" t="s">
        <v>99</v>
      </c>
      <c r="P9908" t="s">
        <v>99</v>
      </c>
      <c r="Q9908" t="s">
        <v>136</v>
      </c>
      <c r="R9908" t="s">
        <v>104</v>
      </c>
      <c r="S9908" t="s">
        <v>104</v>
      </c>
      <c r="T9908" t="s">
        <v>207</v>
      </c>
      <c r="U9908" t="s">
        <v>207</v>
      </c>
      <c r="V9908" t="s">
        <v>1438</v>
      </c>
      <c r="W9908" t="s">
        <v>141</v>
      </c>
    </row>
    <row r="9909" spans="1:23" x14ac:dyDescent="0.3">
      <c r="A9909" t="s">
        <v>35</v>
      </c>
      <c r="B9909" t="s">
        <v>260</v>
      </c>
      <c r="C9909">
        <v>271</v>
      </c>
      <c r="D9909" t="s">
        <v>110</v>
      </c>
      <c r="E9909" t="s">
        <v>207</v>
      </c>
      <c r="F9909" t="s">
        <v>132</v>
      </c>
      <c r="G9909" t="s">
        <v>99</v>
      </c>
      <c r="H9909" t="s">
        <v>99</v>
      </c>
      <c r="I9909" t="s">
        <v>99</v>
      </c>
      <c r="J9909" t="s">
        <v>136</v>
      </c>
      <c r="K9909" t="s">
        <v>121</v>
      </c>
      <c r="L9909" t="s">
        <v>103</v>
      </c>
      <c r="M9909" t="s">
        <v>99</v>
      </c>
      <c r="N9909" t="s">
        <v>132</v>
      </c>
      <c r="O9909" t="s">
        <v>99</v>
      </c>
      <c r="P9909" t="s">
        <v>99</v>
      </c>
      <c r="Q9909" t="s">
        <v>99</v>
      </c>
      <c r="R9909" t="s">
        <v>99</v>
      </c>
      <c r="S9909" t="s">
        <v>99</v>
      </c>
      <c r="T9909" t="s">
        <v>99</v>
      </c>
      <c r="U9909" t="s">
        <v>99</v>
      </c>
      <c r="V9909" t="s">
        <v>419</v>
      </c>
      <c r="W9909" t="s">
        <v>136</v>
      </c>
    </row>
    <row r="9910" spans="1:23" x14ac:dyDescent="0.3">
      <c r="A9910" t="s">
        <v>37</v>
      </c>
      <c r="B9910" t="s">
        <v>258</v>
      </c>
      <c r="C9910">
        <v>3854</v>
      </c>
      <c r="D9910" t="s">
        <v>100</v>
      </c>
      <c r="E9910" t="s">
        <v>99</v>
      </c>
      <c r="F9910" t="s">
        <v>99</v>
      </c>
      <c r="G9910" t="s">
        <v>99</v>
      </c>
      <c r="H9910" t="s">
        <v>99</v>
      </c>
      <c r="I9910" t="s">
        <v>104</v>
      </c>
      <c r="J9910" t="s">
        <v>99</v>
      </c>
      <c r="K9910" t="s">
        <v>104</v>
      </c>
      <c r="L9910" t="s">
        <v>136</v>
      </c>
      <c r="M9910" t="s">
        <v>99</v>
      </c>
      <c r="N9910" t="s">
        <v>104</v>
      </c>
      <c r="O9910" t="s">
        <v>99</v>
      </c>
      <c r="P9910" t="s">
        <v>104</v>
      </c>
      <c r="Q9910" t="s">
        <v>198</v>
      </c>
      <c r="R9910" t="s">
        <v>207</v>
      </c>
      <c r="S9910" t="s">
        <v>104</v>
      </c>
      <c r="T9910" t="s">
        <v>198</v>
      </c>
      <c r="U9910" t="s">
        <v>104</v>
      </c>
      <c r="V9910" t="s">
        <v>466</v>
      </c>
      <c r="W9910" t="s">
        <v>198</v>
      </c>
    </row>
    <row r="9911" spans="1:23" x14ac:dyDescent="0.3">
      <c r="A9911" t="s">
        <v>36</v>
      </c>
      <c r="B9911" t="s">
        <v>258</v>
      </c>
      <c r="C9911">
        <v>2097</v>
      </c>
      <c r="D9911" t="s">
        <v>109</v>
      </c>
      <c r="E9911" t="s">
        <v>114</v>
      </c>
      <c r="F9911" t="s">
        <v>253</v>
      </c>
      <c r="G9911" t="s">
        <v>136</v>
      </c>
      <c r="H9911" t="s">
        <v>198</v>
      </c>
      <c r="I9911" t="s">
        <v>136</v>
      </c>
      <c r="J9911" t="s">
        <v>104</v>
      </c>
      <c r="K9911" t="s">
        <v>141</v>
      </c>
      <c r="L9911" t="s">
        <v>114</v>
      </c>
      <c r="M9911" t="s">
        <v>99</v>
      </c>
      <c r="N9911" t="s">
        <v>136</v>
      </c>
      <c r="O9911" t="s">
        <v>99</v>
      </c>
      <c r="P9911" t="s">
        <v>99</v>
      </c>
      <c r="Q9911" t="s">
        <v>136</v>
      </c>
      <c r="R9911" t="s">
        <v>104</v>
      </c>
      <c r="S9911" t="s">
        <v>136</v>
      </c>
      <c r="T9911" t="s">
        <v>104</v>
      </c>
      <c r="U9911" t="s">
        <v>198</v>
      </c>
      <c r="V9911" t="s">
        <v>873</v>
      </c>
      <c r="W9911" t="s">
        <v>198</v>
      </c>
    </row>
    <row r="9912" spans="1:23" x14ac:dyDescent="0.3">
      <c r="A9912" t="s">
        <v>36</v>
      </c>
      <c r="B9912" t="s">
        <v>260</v>
      </c>
      <c r="C9912">
        <v>205</v>
      </c>
      <c r="D9912" t="s">
        <v>442</v>
      </c>
      <c r="E9912" t="s">
        <v>98</v>
      </c>
      <c r="F9912" t="s">
        <v>291</v>
      </c>
      <c r="G9912" t="s">
        <v>155</v>
      </c>
      <c r="H9912" t="s">
        <v>731</v>
      </c>
      <c r="I9912" t="s">
        <v>151</v>
      </c>
      <c r="J9912" t="s">
        <v>114</v>
      </c>
      <c r="K9912" t="s">
        <v>126</v>
      </c>
      <c r="L9912" t="s">
        <v>98</v>
      </c>
      <c r="M9912" t="s">
        <v>99</v>
      </c>
      <c r="N9912" t="s">
        <v>99</v>
      </c>
      <c r="O9912" t="s">
        <v>99</v>
      </c>
      <c r="P9912" t="s">
        <v>99</v>
      </c>
      <c r="Q9912" t="s">
        <v>99</v>
      </c>
      <c r="R9912" t="s">
        <v>99</v>
      </c>
      <c r="S9912" t="s">
        <v>141</v>
      </c>
      <c r="T9912" t="s">
        <v>141</v>
      </c>
      <c r="U9912" t="s">
        <v>114</v>
      </c>
      <c r="V9912" t="s">
        <v>528</v>
      </c>
      <c r="W9912" t="s">
        <v>114</v>
      </c>
    </row>
    <row r="9913" spans="1:23" x14ac:dyDescent="0.3">
      <c r="A9913" t="s">
        <v>34</v>
      </c>
      <c r="B9913" t="s">
        <v>258</v>
      </c>
      <c r="C9913">
        <v>1220</v>
      </c>
      <c r="D9913" t="s">
        <v>253</v>
      </c>
      <c r="E9913" t="s">
        <v>99</v>
      </c>
      <c r="F9913" t="s">
        <v>99</v>
      </c>
      <c r="G9913" t="s">
        <v>99</v>
      </c>
      <c r="H9913" t="s">
        <v>99</v>
      </c>
      <c r="I9913" t="s">
        <v>99</v>
      </c>
      <c r="J9913" t="s">
        <v>99</v>
      </c>
      <c r="K9913" t="s">
        <v>136</v>
      </c>
      <c r="L9913" t="s">
        <v>99</v>
      </c>
      <c r="M9913" t="s">
        <v>99</v>
      </c>
      <c r="N9913" t="s">
        <v>99</v>
      </c>
      <c r="O9913" t="s">
        <v>99</v>
      </c>
      <c r="P9913" t="s">
        <v>99</v>
      </c>
      <c r="Q9913" t="s">
        <v>99</v>
      </c>
      <c r="R9913" t="s">
        <v>99</v>
      </c>
      <c r="S9913" t="s">
        <v>99</v>
      </c>
      <c r="T9913" t="s">
        <v>99</v>
      </c>
      <c r="U9913" t="s">
        <v>99</v>
      </c>
      <c r="V9913" t="s">
        <v>982</v>
      </c>
      <c r="W9913" t="s">
        <v>99</v>
      </c>
    </row>
    <row r="9914" spans="1:23" x14ac:dyDescent="0.3">
      <c r="A9914" t="s">
        <v>34</v>
      </c>
      <c r="B9914" t="s">
        <v>260</v>
      </c>
      <c r="C9914">
        <v>856</v>
      </c>
      <c r="D9914" t="s">
        <v>142</v>
      </c>
      <c r="E9914" t="s">
        <v>123</v>
      </c>
      <c r="F9914" t="s">
        <v>268</v>
      </c>
      <c r="G9914" t="s">
        <v>126</v>
      </c>
      <c r="H9914" t="s">
        <v>268</v>
      </c>
      <c r="I9914" t="s">
        <v>114</v>
      </c>
      <c r="J9914" t="s">
        <v>253</v>
      </c>
      <c r="K9914" t="s">
        <v>127</v>
      </c>
      <c r="L9914" t="s">
        <v>117</v>
      </c>
      <c r="M9914" t="s">
        <v>99</v>
      </c>
      <c r="N9914" t="s">
        <v>104</v>
      </c>
      <c r="O9914" t="s">
        <v>99</v>
      </c>
      <c r="P9914" t="s">
        <v>99</v>
      </c>
      <c r="Q9914" t="s">
        <v>104</v>
      </c>
      <c r="R9914" t="s">
        <v>104</v>
      </c>
      <c r="S9914" t="s">
        <v>136</v>
      </c>
      <c r="T9914" t="s">
        <v>104</v>
      </c>
      <c r="U9914" t="s">
        <v>136</v>
      </c>
      <c r="V9914" t="s">
        <v>1292</v>
      </c>
      <c r="W9914" t="s">
        <v>115</v>
      </c>
    </row>
    <row r="9915" spans="1:23" x14ac:dyDescent="0.3">
      <c r="A9915" t="s">
        <v>33</v>
      </c>
      <c r="B9915" t="s">
        <v>258</v>
      </c>
      <c r="C9915">
        <v>1936</v>
      </c>
      <c r="D9915" t="s">
        <v>101</v>
      </c>
      <c r="E9915" t="s">
        <v>198</v>
      </c>
      <c r="F9915" t="s">
        <v>99</v>
      </c>
      <c r="G9915" t="s">
        <v>104</v>
      </c>
      <c r="H9915" t="s">
        <v>99</v>
      </c>
      <c r="I9915" t="s">
        <v>99</v>
      </c>
      <c r="J9915" t="s">
        <v>99</v>
      </c>
      <c r="K9915" t="s">
        <v>207</v>
      </c>
      <c r="L9915" t="s">
        <v>207</v>
      </c>
      <c r="M9915" t="s">
        <v>99</v>
      </c>
      <c r="N9915" t="s">
        <v>104</v>
      </c>
      <c r="O9915" t="s">
        <v>99</v>
      </c>
      <c r="P9915" t="s">
        <v>99</v>
      </c>
      <c r="Q9915" t="s">
        <v>99</v>
      </c>
      <c r="R9915" t="s">
        <v>104</v>
      </c>
      <c r="S9915" t="s">
        <v>104</v>
      </c>
      <c r="T9915" t="s">
        <v>99</v>
      </c>
      <c r="U9915" t="s">
        <v>99</v>
      </c>
      <c r="V9915" t="s">
        <v>780</v>
      </c>
      <c r="W9915" t="s">
        <v>207</v>
      </c>
    </row>
    <row r="9916" spans="1:23" x14ac:dyDescent="0.3">
      <c r="A9916" t="s">
        <v>49</v>
      </c>
      <c r="B9916" t="s">
        <v>258</v>
      </c>
      <c r="C9916">
        <v>11977</v>
      </c>
      <c r="D9916" t="s">
        <v>151</v>
      </c>
      <c r="E9916" t="s">
        <v>141</v>
      </c>
      <c r="F9916" t="s">
        <v>207</v>
      </c>
      <c r="G9916" t="s">
        <v>104</v>
      </c>
      <c r="H9916" t="s">
        <v>104</v>
      </c>
      <c r="I9916" t="s">
        <v>104</v>
      </c>
      <c r="J9916" t="s">
        <v>99</v>
      </c>
      <c r="K9916" t="s">
        <v>207</v>
      </c>
      <c r="L9916" t="s">
        <v>136</v>
      </c>
      <c r="M9916" t="s">
        <v>99</v>
      </c>
      <c r="N9916" t="s">
        <v>104</v>
      </c>
      <c r="O9916" t="s">
        <v>99</v>
      </c>
      <c r="P9916" t="s">
        <v>99</v>
      </c>
      <c r="Q9916" t="s">
        <v>207</v>
      </c>
      <c r="R9916" t="s">
        <v>104</v>
      </c>
      <c r="S9916" t="s">
        <v>104</v>
      </c>
      <c r="T9916" t="s">
        <v>198</v>
      </c>
      <c r="U9916" t="s">
        <v>198</v>
      </c>
      <c r="V9916" t="s">
        <v>237</v>
      </c>
      <c r="W9916" t="s">
        <v>207</v>
      </c>
    </row>
    <row r="9917" spans="1:23" x14ac:dyDescent="0.3">
      <c r="A9917" t="s">
        <v>49</v>
      </c>
      <c r="B9917" t="s">
        <v>260</v>
      </c>
      <c r="C9917">
        <v>1332</v>
      </c>
      <c r="D9917" t="s">
        <v>113</v>
      </c>
      <c r="E9917" t="s">
        <v>382</v>
      </c>
      <c r="F9917" t="s">
        <v>151</v>
      </c>
      <c r="G9917" t="s">
        <v>121</v>
      </c>
      <c r="H9917" t="s">
        <v>123</v>
      </c>
      <c r="I9917" t="s">
        <v>132</v>
      </c>
      <c r="J9917" t="s">
        <v>253</v>
      </c>
      <c r="K9917" t="s">
        <v>215</v>
      </c>
      <c r="L9917" t="s">
        <v>103</v>
      </c>
      <c r="M9917" t="s">
        <v>99</v>
      </c>
      <c r="N9917" t="s">
        <v>198</v>
      </c>
      <c r="O9917" t="s">
        <v>99</v>
      </c>
      <c r="P9917" t="s">
        <v>99</v>
      </c>
      <c r="Q9917" t="s">
        <v>104</v>
      </c>
      <c r="R9917" t="s">
        <v>104</v>
      </c>
      <c r="S9917" t="s">
        <v>207</v>
      </c>
      <c r="T9917" t="s">
        <v>104</v>
      </c>
      <c r="U9917" t="s">
        <v>207</v>
      </c>
      <c r="V9917" t="s">
        <v>883</v>
      </c>
      <c r="W9917" t="s">
        <v>115</v>
      </c>
    </row>
    <row r="9919" spans="1:23" x14ac:dyDescent="0.3">
      <c r="A9919" t="s">
        <v>2466</v>
      </c>
    </row>
    <row r="9920" spans="1:23" x14ac:dyDescent="0.3">
      <c r="A9920" t="s">
        <v>44</v>
      </c>
      <c r="B9920" t="s">
        <v>32</v>
      </c>
      <c r="C9920" t="s">
        <v>2467</v>
      </c>
      <c r="D9920" t="s">
        <v>2468</v>
      </c>
      <c r="E9920" t="s">
        <v>2469</v>
      </c>
      <c r="F9920" t="s">
        <v>2470</v>
      </c>
      <c r="G9920" t="s">
        <v>2471</v>
      </c>
      <c r="H9920" t="s">
        <v>2472</v>
      </c>
      <c r="I9920" t="s">
        <v>2473</v>
      </c>
      <c r="J9920" t="s">
        <v>2445</v>
      </c>
      <c r="K9920" t="s">
        <v>2447</v>
      </c>
      <c r="L9920" t="s">
        <v>2448</v>
      </c>
      <c r="M9920" t="s">
        <v>2474</v>
      </c>
      <c r="N9920" t="s">
        <v>2475</v>
      </c>
      <c r="O9920" t="s">
        <v>88</v>
      </c>
      <c r="P9920" t="s">
        <v>2476</v>
      </c>
      <c r="Q9920" t="s">
        <v>83</v>
      </c>
      <c r="R9920" t="s">
        <v>193</v>
      </c>
    </row>
    <row r="9921" spans="1:19" x14ac:dyDescent="0.3">
      <c r="A9921" t="s">
        <v>35</v>
      </c>
      <c r="B9921">
        <v>3145</v>
      </c>
      <c r="C9921" t="s">
        <v>795</v>
      </c>
      <c r="D9921" t="s">
        <v>108</v>
      </c>
      <c r="E9921" t="s">
        <v>104</v>
      </c>
      <c r="F9921" t="s">
        <v>136</v>
      </c>
      <c r="G9921" t="s">
        <v>99</v>
      </c>
      <c r="H9921" t="s">
        <v>99</v>
      </c>
      <c r="I9921" t="s">
        <v>121</v>
      </c>
      <c r="J9921" t="s">
        <v>207</v>
      </c>
      <c r="K9921" t="s">
        <v>99</v>
      </c>
      <c r="L9921" t="s">
        <v>99</v>
      </c>
      <c r="M9921" t="s">
        <v>99</v>
      </c>
      <c r="N9921" t="s">
        <v>103</v>
      </c>
      <c r="O9921" t="s">
        <v>319</v>
      </c>
      <c r="P9921" t="s">
        <v>815</v>
      </c>
      <c r="Q9921" t="s">
        <v>112</v>
      </c>
      <c r="R9921" t="s">
        <v>115</v>
      </c>
    </row>
    <row r="9922" spans="1:19" x14ac:dyDescent="0.3">
      <c r="A9922" t="s">
        <v>37</v>
      </c>
      <c r="B9922">
        <v>3855</v>
      </c>
      <c r="C9922" t="s">
        <v>107</v>
      </c>
      <c r="D9922" t="s">
        <v>99</v>
      </c>
      <c r="E9922" t="s">
        <v>104</v>
      </c>
      <c r="F9922" t="s">
        <v>132</v>
      </c>
      <c r="G9922" t="s">
        <v>104</v>
      </c>
      <c r="H9922" t="s">
        <v>104</v>
      </c>
      <c r="I9922" t="s">
        <v>115</v>
      </c>
      <c r="J9922" t="s">
        <v>136</v>
      </c>
      <c r="K9922" t="s">
        <v>99</v>
      </c>
      <c r="L9922" t="s">
        <v>99</v>
      </c>
      <c r="M9922" t="s">
        <v>198</v>
      </c>
      <c r="N9922" t="s">
        <v>103</v>
      </c>
      <c r="O9922" t="s">
        <v>198</v>
      </c>
      <c r="P9922" t="s">
        <v>232</v>
      </c>
      <c r="Q9922" t="s">
        <v>107</v>
      </c>
      <c r="R9922" t="s">
        <v>207</v>
      </c>
    </row>
    <row r="9923" spans="1:19" x14ac:dyDescent="0.3">
      <c r="A9923" t="s">
        <v>36</v>
      </c>
      <c r="B9923">
        <v>2304</v>
      </c>
      <c r="C9923" t="s">
        <v>420</v>
      </c>
      <c r="D9923" t="s">
        <v>100</v>
      </c>
      <c r="E9923" t="s">
        <v>253</v>
      </c>
      <c r="F9923" t="s">
        <v>101</v>
      </c>
      <c r="G9923" t="s">
        <v>99</v>
      </c>
      <c r="H9923" t="s">
        <v>99</v>
      </c>
      <c r="I9923" t="s">
        <v>108</v>
      </c>
      <c r="J9923" t="s">
        <v>108</v>
      </c>
      <c r="K9923" t="s">
        <v>99</v>
      </c>
      <c r="L9923" t="s">
        <v>104</v>
      </c>
      <c r="M9923" t="s">
        <v>253</v>
      </c>
      <c r="N9923" t="s">
        <v>299</v>
      </c>
      <c r="O9923" t="s">
        <v>101</v>
      </c>
      <c r="P9923" t="s">
        <v>865</v>
      </c>
      <c r="Q9923" t="s">
        <v>127</v>
      </c>
      <c r="R9923" t="s">
        <v>104</v>
      </c>
    </row>
    <row r="9924" spans="1:19" x14ac:dyDescent="0.3">
      <c r="A9924" t="s">
        <v>34</v>
      </c>
      <c r="B9924">
        <v>2080</v>
      </c>
      <c r="C9924" t="s">
        <v>146</v>
      </c>
      <c r="D9924" t="s">
        <v>134</v>
      </c>
      <c r="E9924" t="s">
        <v>132</v>
      </c>
      <c r="F9924" t="s">
        <v>141</v>
      </c>
      <c r="G9924" t="s">
        <v>99</v>
      </c>
      <c r="H9924" t="s">
        <v>104</v>
      </c>
      <c r="I9924" t="s">
        <v>108</v>
      </c>
      <c r="J9924" t="s">
        <v>141</v>
      </c>
      <c r="K9924" t="s">
        <v>99</v>
      </c>
      <c r="L9924" t="s">
        <v>198</v>
      </c>
      <c r="M9924" t="s">
        <v>104</v>
      </c>
      <c r="N9924" t="s">
        <v>292</v>
      </c>
      <c r="O9924" t="s">
        <v>207</v>
      </c>
      <c r="P9924" t="s">
        <v>1223</v>
      </c>
      <c r="Q9924" t="s">
        <v>253</v>
      </c>
      <c r="R9924" t="s">
        <v>136</v>
      </c>
    </row>
    <row r="9925" spans="1:19" x14ac:dyDescent="0.3">
      <c r="A9925" t="s">
        <v>33</v>
      </c>
      <c r="B9925">
        <v>1937</v>
      </c>
      <c r="C9925" t="s">
        <v>124</v>
      </c>
      <c r="D9925" t="s">
        <v>99</v>
      </c>
      <c r="E9925" t="s">
        <v>104</v>
      </c>
      <c r="F9925" t="s">
        <v>132</v>
      </c>
      <c r="G9925" t="s">
        <v>104</v>
      </c>
      <c r="H9925" t="s">
        <v>99</v>
      </c>
      <c r="I9925" t="s">
        <v>141</v>
      </c>
      <c r="J9925" t="s">
        <v>104</v>
      </c>
      <c r="K9925" t="s">
        <v>104</v>
      </c>
      <c r="L9925" t="s">
        <v>99</v>
      </c>
      <c r="M9925" t="s">
        <v>104</v>
      </c>
      <c r="N9925" t="s">
        <v>121</v>
      </c>
      <c r="O9925" t="s">
        <v>99</v>
      </c>
      <c r="P9925" t="s">
        <v>364</v>
      </c>
      <c r="Q9925" t="s">
        <v>198</v>
      </c>
      <c r="R9925" t="s">
        <v>104</v>
      </c>
    </row>
    <row r="9926" spans="1:19" x14ac:dyDescent="0.3">
      <c r="A9926" t="s">
        <v>49</v>
      </c>
      <c r="B9926">
        <v>13321</v>
      </c>
      <c r="C9926" t="s">
        <v>705</v>
      </c>
      <c r="D9926" t="s">
        <v>100</v>
      </c>
      <c r="E9926" t="s">
        <v>207</v>
      </c>
      <c r="F9926" t="s">
        <v>115</v>
      </c>
      <c r="G9926" t="s">
        <v>104</v>
      </c>
      <c r="H9926" t="s">
        <v>99</v>
      </c>
      <c r="I9926" t="s">
        <v>108</v>
      </c>
      <c r="J9926" t="s">
        <v>136</v>
      </c>
      <c r="K9926" t="s">
        <v>99</v>
      </c>
      <c r="L9926" t="s">
        <v>99</v>
      </c>
      <c r="M9926" t="s">
        <v>104</v>
      </c>
      <c r="N9926" t="s">
        <v>128</v>
      </c>
      <c r="O9926" t="s">
        <v>253</v>
      </c>
      <c r="P9926" t="s">
        <v>518</v>
      </c>
      <c r="Q9926" t="s">
        <v>117</v>
      </c>
      <c r="R9926" t="s">
        <v>136</v>
      </c>
    </row>
    <row r="9928" spans="1:19" x14ac:dyDescent="0.3">
      <c r="A9928" t="s">
        <v>2477</v>
      </c>
    </row>
    <row r="9929" spans="1:19" x14ac:dyDescent="0.3">
      <c r="A9929" t="s">
        <v>44</v>
      </c>
      <c r="B9929" t="s">
        <v>361</v>
      </c>
      <c r="C9929" t="s">
        <v>32</v>
      </c>
      <c r="D9929" t="s">
        <v>2467</v>
      </c>
      <c r="E9929" t="s">
        <v>2468</v>
      </c>
      <c r="F9929" t="s">
        <v>2469</v>
      </c>
      <c r="G9929" t="s">
        <v>2470</v>
      </c>
      <c r="H9929" t="s">
        <v>2471</v>
      </c>
      <c r="I9929" t="s">
        <v>2472</v>
      </c>
      <c r="J9929" t="s">
        <v>2473</v>
      </c>
      <c r="K9929" t="s">
        <v>2445</v>
      </c>
      <c r="L9929" t="s">
        <v>2447</v>
      </c>
      <c r="M9929" t="s">
        <v>2448</v>
      </c>
      <c r="N9929" t="s">
        <v>2474</v>
      </c>
      <c r="O9929" t="s">
        <v>2475</v>
      </c>
      <c r="P9929" t="s">
        <v>88</v>
      </c>
      <c r="Q9929" t="s">
        <v>2476</v>
      </c>
      <c r="R9929" t="s">
        <v>83</v>
      </c>
      <c r="S9929" t="s">
        <v>193</v>
      </c>
    </row>
    <row r="9930" spans="1:19" x14ac:dyDescent="0.3">
      <c r="A9930" t="s">
        <v>35</v>
      </c>
      <c r="B9930" t="s">
        <v>339</v>
      </c>
      <c r="C9930">
        <v>890</v>
      </c>
      <c r="D9930" t="s">
        <v>214</v>
      </c>
      <c r="E9930" t="s">
        <v>114</v>
      </c>
      <c r="F9930" t="s">
        <v>207</v>
      </c>
      <c r="G9930" t="s">
        <v>104</v>
      </c>
      <c r="H9930" t="s">
        <v>99</v>
      </c>
      <c r="I9930" t="s">
        <v>99</v>
      </c>
      <c r="J9930" t="s">
        <v>114</v>
      </c>
      <c r="K9930" t="s">
        <v>207</v>
      </c>
      <c r="L9930" t="s">
        <v>99</v>
      </c>
      <c r="M9930" t="s">
        <v>99</v>
      </c>
      <c r="N9930" t="s">
        <v>99</v>
      </c>
      <c r="O9930" t="s">
        <v>292</v>
      </c>
      <c r="P9930" t="s">
        <v>115</v>
      </c>
      <c r="Q9930" t="s">
        <v>589</v>
      </c>
      <c r="R9930" t="s">
        <v>109</v>
      </c>
      <c r="S9930" t="s">
        <v>141</v>
      </c>
    </row>
    <row r="9931" spans="1:19" x14ac:dyDescent="0.3">
      <c r="A9931" t="s">
        <v>35</v>
      </c>
      <c r="B9931" t="s">
        <v>340</v>
      </c>
      <c r="C9931">
        <v>2215</v>
      </c>
      <c r="D9931" t="s">
        <v>451</v>
      </c>
      <c r="E9931" t="s">
        <v>108</v>
      </c>
      <c r="F9931" t="s">
        <v>99</v>
      </c>
      <c r="G9931" t="s">
        <v>141</v>
      </c>
      <c r="H9931" t="s">
        <v>99</v>
      </c>
      <c r="I9931" t="s">
        <v>104</v>
      </c>
      <c r="J9931" t="s">
        <v>101</v>
      </c>
      <c r="K9931" t="s">
        <v>207</v>
      </c>
      <c r="L9931" t="s">
        <v>99</v>
      </c>
      <c r="M9931" t="s">
        <v>99</v>
      </c>
      <c r="N9931" t="s">
        <v>99</v>
      </c>
      <c r="O9931" t="s">
        <v>103</v>
      </c>
      <c r="P9931" t="s">
        <v>215</v>
      </c>
      <c r="Q9931" t="s">
        <v>649</v>
      </c>
      <c r="R9931" t="s">
        <v>154</v>
      </c>
      <c r="S9931" t="s">
        <v>132</v>
      </c>
    </row>
    <row r="9932" spans="1:19" x14ac:dyDescent="0.3">
      <c r="A9932" t="s">
        <v>35</v>
      </c>
      <c r="B9932" t="s">
        <v>365</v>
      </c>
      <c r="C9932">
        <v>40</v>
      </c>
      <c r="D9932" t="s">
        <v>551</v>
      </c>
      <c r="E9932" t="s">
        <v>99</v>
      </c>
      <c r="F9932" t="s">
        <v>99</v>
      </c>
      <c r="G9932" t="s">
        <v>99</v>
      </c>
      <c r="H9932" t="s">
        <v>99</v>
      </c>
      <c r="I9932" t="s">
        <v>99</v>
      </c>
      <c r="J9932" t="s">
        <v>99</v>
      </c>
      <c r="K9932" t="s">
        <v>99</v>
      </c>
      <c r="L9932" t="s">
        <v>99</v>
      </c>
      <c r="M9932" t="s">
        <v>99</v>
      </c>
      <c r="N9932" t="s">
        <v>99</v>
      </c>
      <c r="O9932" t="s">
        <v>737</v>
      </c>
      <c r="P9932" t="s">
        <v>99</v>
      </c>
      <c r="Q9932" t="s">
        <v>817</v>
      </c>
      <c r="R9932" t="s">
        <v>99</v>
      </c>
      <c r="S9932" t="s">
        <v>151</v>
      </c>
    </row>
    <row r="9933" spans="1:19" x14ac:dyDescent="0.3">
      <c r="A9933" t="s">
        <v>37</v>
      </c>
      <c r="B9933" t="s">
        <v>339</v>
      </c>
      <c r="C9933">
        <v>1093</v>
      </c>
      <c r="D9933" t="s">
        <v>128</v>
      </c>
      <c r="E9933" t="s">
        <v>99</v>
      </c>
      <c r="F9933" t="s">
        <v>104</v>
      </c>
      <c r="G9933" t="s">
        <v>132</v>
      </c>
      <c r="H9933" t="s">
        <v>99</v>
      </c>
      <c r="I9933" t="s">
        <v>99</v>
      </c>
      <c r="J9933" t="s">
        <v>115</v>
      </c>
      <c r="K9933" t="s">
        <v>141</v>
      </c>
      <c r="L9933" t="s">
        <v>104</v>
      </c>
      <c r="M9933" t="s">
        <v>104</v>
      </c>
      <c r="N9933" t="s">
        <v>104</v>
      </c>
      <c r="O9933" t="s">
        <v>268</v>
      </c>
      <c r="P9933" t="s">
        <v>253</v>
      </c>
      <c r="Q9933" t="s">
        <v>172</v>
      </c>
      <c r="R9933" t="s">
        <v>138</v>
      </c>
      <c r="S9933" t="s">
        <v>136</v>
      </c>
    </row>
    <row r="9934" spans="1:19" x14ac:dyDescent="0.3">
      <c r="A9934" t="s">
        <v>37</v>
      </c>
      <c r="B9934" t="s">
        <v>340</v>
      </c>
      <c r="C9934">
        <v>2721</v>
      </c>
      <c r="D9934" t="s">
        <v>105</v>
      </c>
      <c r="E9934" t="s">
        <v>99</v>
      </c>
      <c r="F9934" t="s">
        <v>104</v>
      </c>
      <c r="G9934" t="s">
        <v>132</v>
      </c>
      <c r="H9934" t="s">
        <v>198</v>
      </c>
      <c r="I9934" t="s">
        <v>104</v>
      </c>
      <c r="J9934" t="s">
        <v>132</v>
      </c>
      <c r="K9934" t="s">
        <v>207</v>
      </c>
      <c r="L9934" t="s">
        <v>99</v>
      </c>
      <c r="M9934" t="s">
        <v>99</v>
      </c>
      <c r="N9934" t="s">
        <v>198</v>
      </c>
      <c r="O9934" t="s">
        <v>128</v>
      </c>
      <c r="P9934" t="s">
        <v>104</v>
      </c>
      <c r="Q9934" t="s">
        <v>232</v>
      </c>
      <c r="R9934" t="s">
        <v>120</v>
      </c>
      <c r="S9934" t="s">
        <v>207</v>
      </c>
    </row>
    <row r="9935" spans="1:19" x14ac:dyDescent="0.3">
      <c r="A9935" t="s">
        <v>37</v>
      </c>
      <c r="B9935" t="s">
        <v>365</v>
      </c>
      <c r="C9935">
        <v>41</v>
      </c>
      <c r="D9935" t="s">
        <v>292</v>
      </c>
      <c r="E9935" t="s">
        <v>99</v>
      </c>
      <c r="F9935" t="s">
        <v>99</v>
      </c>
      <c r="G9935" t="s">
        <v>99</v>
      </c>
      <c r="H9935" t="s">
        <v>99</v>
      </c>
      <c r="I9935" t="s">
        <v>99</v>
      </c>
      <c r="J9935" t="s">
        <v>99</v>
      </c>
      <c r="K9935" t="s">
        <v>99</v>
      </c>
      <c r="L9935" t="s">
        <v>99</v>
      </c>
      <c r="M9935" t="s">
        <v>99</v>
      </c>
      <c r="N9935" t="s">
        <v>99</v>
      </c>
      <c r="O9935" t="s">
        <v>99</v>
      </c>
      <c r="P9935" t="s">
        <v>99</v>
      </c>
      <c r="Q9935" t="s">
        <v>403</v>
      </c>
      <c r="R9935" t="s">
        <v>663</v>
      </c>
      <c r="S9935" t="s">
        <v>99</v>
      </c>
    </row>
    <row r="9936" spans="1:19" x14ac:dyDescent="0.3">
      <c r="A9936" t="s">
        <v>36</v>
      </c>
      <c r="B9936" t="s">
        <v>339</v>
      </c>
      <c r="C9936">
        <v>769</v>
      </c>
      <c r="D9936" t="s">
        <v>369</v>
      </c>
      <c r="E9936" t="s">
        <v>215</v>
      </c>
      <c r="F9936" t="s">
        <v>132</v>
      </c>
      <c r="G9936" t="s">
        <v>207</v>
      </c>
      <c r="H9936" t="s">
        <v>99</v>
      </c>
      <c r="I9936" t="s">
        <v>99</v>
      </c>
      <c r="J9936" t="s">
        <v>207</v>
      </c>
      <c r="K9936" t="s">
        <v>141</v>
      </c>
      <c r="L9936" t="s">
        <v>99</v>
      </c>
      <c r="M9936" t="s">
        <v>99</v>
      </c>
      <c r="N9936" t="s">
        <v>207</v>
      </c>
      <c r="O9936" t="s">
        <v>78</v>
      </c>
      <c r="P9936" t="s">
        <v>101</v>
      </c>
      <c r="Q9936" t="s">
        <v>1400</v>
      </c>
      <c r="R9936" t="s">
        <v>474</v>
      </c>
      <c r="S9936" t="s">
        <v>99</v>
      </c>
    </row>
    <row r="9937" spans="1:19" x14ac:dyDescent="0.3">
      <c r="A9937" t="s">
        <v>36</v>
      </c>
      <c r="B9937" t="s">
        <v>340</v>
      </c>
      <c r="C9937">
        <v>1472</v>
      </c>
      <c r="D9937" t="s">
        <v>401</v>
      </c>
      <c r="E9937" t="s">
        <v>115</v>
      </c>
      <c r="F9937" t="s">
        <v>141</v>
      </c>
      <c r="G9937" t="s">
        <v>123</v>
      </c>
      <c r="H9937" t="s">
        <v>99</v>
      </c>
      <c r="I9937" t="s">
        <v>99</v>
      </c>
      <c r="J9937" t="s">
        <v>121</v>
      </c>
      <c r="K9937" t="s">
        <v>100</v>
      </c>
      <c r="L9937" t="s">
        <v>99</v>
      </c>
      <c r="M9937" t="s">
        <v>104</v>
      </c>
      <c r="N9937" t="s">
        <v>132</v>
      </c>
      <c r="O9937" t="s">
        <v>72</v>
      </c>
      <c r="P9937" t="s">
        <v>319</v>
      </c>
      <c r="Q9937" t="s">
        <v>436</v>
      </c>
      <c r="R9937" t="s">
        <v>253</v>
      </c>
      <c r="S9937" t="s">
        <v>198</v>
      </c>
    </row>
    <row r="9938" spans="1:19" x14ac:dyDescent="0.3">
      <c r="A9938" t="s">
        <v>36</v>
      </c>
      <c r="B9938" t="s">
        <v>365</v>
      </c>
      <c r="C9938">
        <v>63</v>
      </c>
      <c r="D9938" t="s">
        <v>253</v>
      </c>
      <c r="E9938" t="s">
        <v>138</v>
      </c>
      <c r="F9938" t="s">
        <v>198</v>
      </c>
      <c r="G9938" t="s">
        <v>99</v>
      </c>
      <c r="H9938" t="s">
        <v>99</v>
      </c>
      <c r="I9938" t="s">
        <v>99</v>
      </c>
      <c r="J9938" t="s">
        <v>126</v>
      </c>
      <c r="K9938" t="s">
        <v>99</v>
      </c>
      <c r="L9938" t="s">
        <v>99</v>
      </c>
      <c r="M9938" t="s">
        <v>253</v>
      </c>
      <c r="N9938" t="s">
        <v>99</v>
      </c>
      <c r="O9938" t="s">
        <v>215</v>
      </c>
      <c r="P9938" t="s">
        <v>99</v>
      </c>
      <c r="Q9938" t="s">
        <v>162</v>
      </c>
      <c r="R9938" t="s">
        <v>115</v>
      </c>
      <c r="S9938" t="s">
        <v>99</v>
      </c>
    </row>
    <row r="9939" spans="1:19" x14ac:dyDescent="0.3">
      <c r="A9939" t="s">
        <v>34</v>
      </c>
      <c r="B9939" t="s">
        <v>339</v>
      </c>
      <c r="C9939">
        <v>555</v>
      </c>
      <c r="D9939" t="s">
        <v>924</v>
      </c>
      <c r="E9939" t="s">
        <v>144</v>
      </c>
      <c r="F9939" t="s">
        <v>207</v>
      </c>
      <c r="G9939" t="s">
        <v>207</v>
      </c>
      <c r="H9939" t="s">
        <v>99</v>
      </c>
      <c r="I9939" t="s">
        <v>104</v>
      </c>
      <c r="J9939" t="s">
        <v>141</v>
      </c>
      <c r="K9939" t="s">
        <v>198</v>
      </c>
      <c r="L9939" t="s">
        <v>99</v>
      </c>
      <c r="M9939" t="s">
        <v>104</v>
      </c>
      <c r="N9939" t="s">
        <v>99</v>
      </c>
      <c r="O9939" t="s">
        <v>123</v>
      </c>
      <c r="P9939" t="s">
        <v>141</v>
      </c>
      <c r="Q9939" t="s">
        <v>458</v>
      </c>
      <c r="R9939" t="s">
        <v>136</v>
      </c>
      <c r="S9939" t="s">
        <v>132</v>
      </c>
    </row>
    <row r="9940" spans="1:19" x14ac:dyDescent="0.3">
      <c r="A9940" t="s">
        <v>34</v>
      </c>
      <c r="B9940" t="s">
        <v>340</v>
      </c>
      <c r="C9940">
        <v>1497</v>
      </c>
      <c r="D9940" t="s">
        <v>829</v>
      </c>
      <c r="E9940" t="s">
        <v>103</v>
      </c>
      <c r="F9940" t="s">
        <v>100</v>
      </c>
      <c r="G9940" t="s">
        <v>253</v>
      </c>
      <c r="H9940" t="s">
        <v>99</v>
      </c>
      <c r="I9940" t="s">
        <v>99</v>
      </c>
      <c r="J9940" t="s">
        <v>121</v>
      </c>
      <c r="K9940" t="s">
        <v>253</v>
      </c>
      <c r="L9940" t="s">
        <v>99</v>
      </c>
      <c r="M9940" t="s">
        <v>198</v>
      </c>
      <c r="N9940" t="s">
        <v>104</v>
      </c>
      <c r="O9940" t="s">
        <v>111</v>
      </c>
      <c r="P9940" t="s">
        <v>198</v>
      </c>
      <c r="Q9940" t="s">
        <v>646</v>
      </c>
      <c r="R9940" t="s">
        <v>132</v>
      </c>
      <c r="S9940" t="s">
        <v>198</v>
      </c>
    </row>
    <row r="9941" spans="1:19" x14ac:dyDescent="0.3">
      <c r="A9941" t="s">
        <v>34</v>
      </c>
      <c r="B9941" t="s">
        <v>365</v>
      </c>
      <c r="C9941">
        <v>28</v>
      </c>
      <c r="D9941" t="s">
        <v>618</v>
      </c>
      <c r="E9941" t="s">
        <v>468</v>
      </c>
      <c r="F9941" t="s">
        <v>99</v>
      </c>
      <c r="G9941" t="s">
        <v>99</v>
      </c>
      <c r="H9941" t="s">
        <v>99</v>
      </c>
      <c r="I9941" t="s">
        <v>99</v>
      </c>
      <c r="J9941" t="s">
        <v>99</v>
      </c>
      <c r="K9941" t="s">
        <v>99</v>
      </c>
      <c r="L9941" t="s">
        <v>99</v>
      </c>
      <c r="M9941" t="s">
        <v>99</v>
      </c>
      <c r="N9941" t="s">
        <v>99</v>
      </c>
      <c r="O9941" t="s">
        <v>136</v>
      </c>
      <c r="P9941" t="s">
        <v>99</v>
      </c>
      <c r="Q9941" t="s">
        <v>965</v>
      </c>
      <c r="R9941" t="s">
        <v>99</v>
      </c>
      <c r="S9941" t="s">
        <v>99</v>
      </c>
    </row>
    <row r="9942" spans="1:19" x14ac:dyDescent="0.3">
      <c r="A9942" t="s">
        <v>33</v>
      </c>
      <c r="B9942" t="s">
        <v>339</v>
      </c>
      <c r="C9942">
        <v>503</v>
      </c>
      <c r="D9942" t="s">
        <v>98</v>
      </c>
      <c r="E9942" t="s">
        <v>99</v>
      </c>
      <c r="F9942" t="s">
        <v>99</v>
      </c>
      <c r="G9942" t="s">
        <v>115</v>
      </c>
      <c r="H9942" t="s">
        <v>198</v>
      </c>
      <c r="I9942" t="s">
        <v>99</v>
      </c>
      <c r="J9942" t="s">
        <v>132</v>
      </c>
      <c r="K9942" t="s">
        <v>198</v>
      </c>
      <c r="L9942" t="s">
        <v>198</v>
      </c>
      <c r="M9942" t="s">
        <v>99</v>
      </c>
      <c r="N9942" t="s">
        <v>198</v>
      </c>
      <c r="O9942" t="s">
        <v>151</v>
      </c>
      <c r="P9942" t="s">
        <v>99</v>
      </c>
      <c r="Q9942" t="s">
        <v>857</v>
      </c>
      <c r="R9942" t="s">
        <v>198</v>
      </c>
      <c r="S9942" t="s">
        <v>99</v>
      </c>
    </row>
    <row r="9943" spans="1:19" x14ac:dyDescent="0.3">
      <c r="A9943" t="s">
        <v>33</v>
      </c>
      <c r="B9943" t="s">
        <v>340</v>
      </c>
      <c r="C9943">
        <v>1415</v>
      </c>
      <c r="D9943" t="s">
        <v>468</v>
      </c>
      <c r="E9943" t="s">
        <v>104</v>
      </c>
      <c r="F9943" t="s">
        <v>104</v>
      </c>
      <c r="G9943" t="s">
        <v>132</v>
      </c>
      <c r="H9943" t="s">
        <v>99</v>
      </c>
      <c r="I9943" t="s">
        <v>99</v>
      </c>
      <c r="J9943" t="s">
        <v>136</v>
      </c>
      <c r="K9943" t="s">
        <v>104</v>
      </c>
      <c r="L9943" t="s">
        <v>99</v>
      </c>
      <c r="M9943" t="s">
        <v>99</v>
      </c>
      <c r="N9943" t="s">
        <v>104</v>
      </c>
      <c r="O9943" t="s">
        <v>108</v>
      </c>
      <c r="P9943" t="s">
        <v>104</v>
      </c>
      <c r="Q9943" t="s">
        <v>79</v>
      </c>
      <c r="R9943" t="s">
        <v>104</v>
      </c>
      <c r="S9943" t="s">
        <v>104</v>
      </c>
    </row>
    <row r="9944" spans="1:19" x14ac:dyDescent="0.3">
      <c r="A9944" t="s">
        <v>33</v>
      </c>
      <c r="B9944" t="s">
        <v>365</v>
      </c>
      <c r="C9944">
        <v>19</v>
      </c>
      <c r="D9944" t="s">
        <v>99</v>
      </c>
      <c r="E9944" t="s">
        <v>99</v>
      </c>
      <c r="F9944" t="s">
        <v>99</v>
      </c>
      <c r="G9944" t="s">
        <v>99</v>
      </c>
      <c r="H9944" t="s">
        <v>99</v>
      </c>
      <c r="I9944" t="s">
        <v>99</v>
      </c>
      <c r="J9944" t="s">
        <v>99</v>
      </c>
      <c r="K9944" t="s">
        <v>99</v>
      </c>
      <c r="L9944" t="s">
        <v>99</v>
      </c>
      <c r="M9944" t="s">
        <v>99</v>
      </c>
      <c r="N9944" t="s">
        <v>99</v>
      </c>
      <c r="O9944" t="s">
        <v>99</v>
      </c>
      <c r="P9944" t="s">
        <v>99</v>
      </c>
      <c r="Q9944" t="s">
        <v>762</v>
      </c>
      <c r="R9944" t="s">
        <v>737</v>
      </c>
      <c r="S9944" t="s">
        <v>99</v>
      </c>
    </row>
    <row r="9945" spans="1:19" x14ac:dyDescent="0.3">
      <c r="A9945" t="s">
        <v>49</v>
      </c>
      <c r="B9945" t="s">
        <v>339</v>
      </c>
      <c r="C9945">
        <v>3810</v>
      </c>
      <c r="D9945" t="s">
        <v>738</v>
      </c>
      <c r="E9945" t="s">
        <v>215</v>
      </c>
      <c r="F9945" t="s">
        <v>198</v>
      </c>
      <c r="G9945" t="s">
        <v>136</v>
      </c>
      <c r="H9945" t="s">
        <v>99</v>
      </c>
      <c r="I9945" t="s">
        <v>99</v>
      </c>
      <c r="J9945" t="s">
        <v>115</v>
      </c>
      <c r="K9945" t="s">
        <v>136</v>
      </c>
      <c r="L9945" t="s">
        <v>104</v>
      </c>
      <c r="M9945" t="s">
        <v>99</v>
      </c>
      <c r="N9945" t="s">
        <v>104</v>
      </c>
      <c r="O9945" t="s">
        <v>316</v>
      </c>
      <c r="P9945" t="s">
        <v>253</v>
      </c>
      <c r="Q9945" t="s">
        <v>608</v>
      </c>
      <c r="R9945" t="s">
        <v>138</v>
      </c>
      <c r="S9945" t="s">
        <v>136</v>
      </c>
    </row>
    <row r="9946" spans="1:19" x14ac:dyDescent="0.3">
      <c r="A9946" t="s">
        <v>49</v>
      </c>
      <c r="B9946" t="s">
        <v>340</v>
      </c>
      <c r="C9946">
        <v>9320</v>
      </c>
      <c r="D9946" t="s">
        <v>444</v>
      </c>
      <c r="E9946" t="s">
        <v>132</v>
      </c>
      <c r="F9946" t="s">
        <v>207</v>
      </c>
      <c r="G9946" t="s">
        <v>132</v>
      </c>
      <c r="H9946" t="s">
        <v>104</v>
      </c>
      <c r="I9946" t="s">
        <v>99</v>
      </c>
      <c r="J9946" t="s">
        <v>114</v>
      </c>
      <c r="K9946" t="s">
        <v>136</v>
      </c>
      <c r="L9946" t="s">
        <v>99</v>
      </c>
      <c r="M9946" t="s">
        <v>99</v>
      </c>
      <c r="N9946" t="s">
        <v>198</v>
      </c>
      <c r="O9946" t="s">
        <v>128</v>
      </c>
      <c r="P9946" t="s">
        <v>115</v>
      </c>
      <c r="Q9946" t="s">
        <v>1364</v>
      </c>
      <c r="R9946" t="s">
        <v>292</v>
      </c>
      <c r="S9946" t="s">
        <v>136</v>
      </c>
    </row>
    <row r="9947" spans="1:19" x14ac:dyDescent="0.3">
      <c r="A9947" t="s">
        <v>49</v>
      </c>
      <c r="B9947" t="s">
        <v>365</v>
      </c>
      <c r="C9947">
        <v>191</v>
      </c>
      <c r="D9947" t="s">
        <v>1053</v>
      </c>
      <c r="E9947" t="s">
        <v>127</v>
      </c>
      <c r="F9947" t="s">
        <v>99</v>
      </c>
      <c r="G9947" t="s">
        <v>99</v>
      </c>
      <c r="H9947" t="s">
        <v>99</v>
      </c>
      <c r="I9947" t="s">
        <v>99</v>
      </c>
      <c r="J9947" t="s">
        <v>207</v>
      </c>
      <c r="K9947" t="s">
        <v>99</v>
      </c>
      <c r="L9947" t="s">
        <v>99</v>
      </c>
      <c r="M9947" t="s">
        <v>104</v>
      </c>
      <c r="N9947" t="s">
        <v>99</v>
      </c>
      <c r="O9947" t="s">
        <v>154</v>
      </c>
      <c r="P9947" t="s">
        <v>99</v>
      </c>
      <c r="Q9947" t="s">
        <v>304</v>
      </c>
      <c r="R9947" t="s">
        <v>157</v>
      </c>
      <c r="S9947" t="s">
        <v>141</v>
      </c>
    </row>
    <row r="9949" spans="1:19" x14ac:dyDescent="0.3">
      <c r="A9949" t="s">
        <v>2478</v>
      </c>
    </row>
    <row r="9950" spans="1:19" x14ac:dyDescent="0.3">
      <c r="A9950" t="s">
        <v>44</v>
      </c>
      <c r="B9950" t="s">
        <v>209</v>
      </c>
      <c r="C9950" t="s">
        <v>32</v>
      </c>
      <c r="D9950" t="s">
        <v>2467</v>
      </c>
      <c r="E9950" t="s">
        <v>2468</v>
      </c>
      <c r="F9950" t="s">
        <v>2469</v>
      </c>
      <c r="G9950" t="s">
        <v>2470</v>
      </c>
      <c r="H9950" t="s">
        <v>2471</v>
      </c>
      <c r="I9950" t="s">
        <v>2472</v>
      </c>
      <c r="J9950" t="s">
        <v>2473</v>
      </c>
      <c r="K9950" t="s">
        <v>2445</v>
      </c>
      <c r="L9950" t="s">
        <v>2447</v>
      </c>
      <c r="M9950" t="s">
        <v>2448</v>
      </c>
      <c r="N9950" t="s">
        <v>2474</v>
      </c>
      <c r="O9950" t="s">
        <v>2475</v>
      </c>
      <c r="P9950" t="s">
        <v>88</v>
      </c>
      <c r="Q9950" t="s">
        <v>2476</v>
      </c>
      <c r="R9950" t="s">
        <v>83</v>
      </c>
      <c r="S9950" t="s">
        <v>193</v>
      </c>
    </row>
    <row r="9951" spans="1:19" x14ac:dyDescent="0.3">
      <c r="A9951" t="s">
        <v>35</v>
      </c>
      <c r="B9951" t="s">
        <v>210</v>
      </c>
      <c r="C9951">
        <v>136</v>
      </c>
      <c r="D9951" t="s">
        <v>497</v>
      </c>
      <c r="E9951" t="s">
        <v>136</v>
      </c>
      <c r="F9951" t="s">
        <v>99</v>
      </c>
      <c r="G9951" t="s">
        <v>136</v>
      </c>
      <c r="H9951" t="s">
        <v>99</v>
      </c>
      <c r="I9951" t="s">
        <v>99</v>
      </c>
      <c r="J9951" t="s">
        <v>141</v>
      </c>
      <c r="K9951" t="s">
        <v>99</v>
      </c>
      <c r="L9951" t="s">
        <v>99</v>
      </c>
      <c r="M9951" t="s">
        <v>99</v>
      </c>
      <c r="N9951" t="s">
        <v>99</v>
      </c>
      <c r="O9951" t="s">
        <v>103</v>
      </c>
      <c r="P9951" t="s">
        <v>99</v>
      </c>
      <c r="Q9951" t="s">
        <v>943</v>
      </c>
      <c r="R9951" t="s">
        <v>139</v>
      </c>
      <c r="S9951" t="s">
        <v>136</v>
      </c>
    </row>
    <row r="9952" spans="1:19" x14ac:dyDescent="0.3">
      <c r="A9952" t="s">
        <v>35</v>
      </c>
      <c r="B9952" t="s">
        <v>212</v>
      </c>
      <c r="C9952">
        <v>2442</v>
      </c>
      <c r="D9952" t="s">
        <v>820</v>
      </c>
      <c r="E9952" t="s">
        <v>141</v>
      </c>
      <c r="F9952" t="s">
        <v>104</v>
      </c>
      <c r="G9952" t="s">
        <v>198</v>
      </c>
      <c r="H9952" t="s">
        <v>99</v>
      </c>
      <c r="I9952" t="s">
        <v>99</v>
      </c>
      <c r="J9952" t="s">
        <v>108</v>
      </c>
      <c r="K9952" t="s">
        <v>207</v>
      </c>
      <c r="L9952" t="s">
        <v>99</v>
      </c>
      <c r="M9952" t="s">
        <v>99</v>
      </c>
      <c r="N9952" t="s">
        <v>99</v>
      </c>
      <c r="O9952" t="s">
        <v>316</v>
      </c>
      <c r="P9952" t="s">
        <v>108</v>
      </c>
      <c r="Q9952" t="s">
        <v>275</v>
      </c>
      <c r="R9952" t="s">
        <v>68</v>
      </c>
      <c r="S9952" t="s">
        <v>108</v>
      </c>
    </row>
    <row r="9953" spans="1:19" x14ac:dyDescent="0.3">
      <c r="A9953" t="s">
        <v>35</v>
      </c>
      <c r="B9953" t="s">
        <v>216</v>
      </c>
      <c r="C9953">
        <v>567</v>
      </c>
      <c r="D9953" t="s">
        <v>578</v>
      </c>
      <c r="E9953" t="s">
        <v>151</v>
      </c>
      <c r="F9953" t="s">
        <v>99</v>
      </c>
      <c r="G9953" t="s">
        <v>108</v>
      </c>
      <c r="H9953" t="s">
        <v>99</v>
      </c>
      <c r="I9953" t="s">
        <v>198</v>
      </c>
      <c r="J9953" t="s">
        <v>123</v>
      </c>
      <c r="K9953" t="s">
        <v>141</v>
      </c>
      <c r="L9953" t="s">
        <v>104</v>
      </c>
      <c r="M9953" t="s">
        <v>99</v>
      </c>
      <c r="N9953" t="s">
        <v>99</v>
      </c>
      <c r="O9953" t="s">
        <v>111</v>
      </c>
      <c r="P9953" t="s">
        <v>147</v>
      </c>
      <c r="Q9953" t="s">
        <v>839</v>
      </c>
      <c r="R9953" t="s">
        <v>154</v>
      </c>
      <c r="S9953" t="s">
        <v>207</v>
      </c>
    </row>
    <row r="9954" spans="1:19" x14ac:dyDescent="0.3">
      <c r="A9954" t="s">
        <v>37</v>
      </c>
      <c r="B9954" t="s">
        <v>210</v>
      </c>
      <c r="C9954">
        <v>138</v>
      </c>
      <c r="D9954" t="s">
        <v>138</v>
      </c>
      <c r="E9954" t="s">
        <v>99</v>
      </c>
      <c r="F9954" t="s">
        <v>99</v>
      </c>
      <c r="G9954" t="s">
        <v>99</v>
      </c>
      <c r="H9954" t="s">
        <v>215</v>
      </c>
      <c r="I9954" t="s">
        <v>99</v>
      </c>
      <c r="J9954" t="s">
        <v>215</v>
      </c>
      <c r="K9954" t="s">
        <v>99</v>
      </c>
      <c r="L9954" t="s">
        <v>99</v>
      </c>
      <c r="M9954" t="s">
        <v>99</v>
      </c>
      <c r="N9954" t="s">
        <v>99</v>
      </c>
      <c r="O9954" t="s">
        <v>103</v>
      </c>
      <c r="P9954" t="s">
        <v>108</v>
      </c>
      <c r="Q9954" t="s">
        <v>1282</v>
      </c>
      <c r="R9954" t="s">
        <v>115</v>
      </c>
      <c r="S9954" t="s">
        <v>99</v>
      </c>
    </row>
    <row r="9955" spans="1:19" x14ac:dyDescent="0.3">
      <c r="A9955" t="s">
        <v>37</v>
      </c>
      <c r="B9955" t="s">
        <v>212</v>
      </c>
      <c r="C9955">
        <v>3606</v>
      </c>
      <c r="D9955" t="s">
        <v>147</v>
      </c>
      <c r="E9955" t="s">
        <v>99</v>
      </c>
      <c r="F9955" t="s">
        <v>104</v>
      </c>
      <c r="G9955" t="s">
        <v>132</v>
      </c>
      <c r="H9955" t="s">
        <v>104</v>
      </c>
      <c r="I9955" t="s">
        <v>104</v>
      </c>
      <c r="J9955" t="s">
        <v>253</v>
      </c>
      <c r="K9955" t="s">
        <v>136</v>
      </c>
      <c r="L9955" t="s">
        <v>99</v>
      </c>
      <c r="M9955" t="s">
        <v>99</v>
      </c>
      <c r="N9955" t="s">
        <v>198</v>
      </c>
      <c r="O9955" t="s">
        <v>103</v>
      </c>
      <c r="P9955" t="s">
        <v>198</v>
      </c>
      <c r="Q9955" t="s">
        <v>889</v>
      </c>
      <c r="R9955" t="s">
        <v>105</v>
      </c>
      <c r="S9955" t="s">
        <v>207</v>
      </c>
    </row>
    <row r="9956" spans="1:19" x14ac:dyDescent="0.3">
      <c r="A9956" t="s">
        <v>37</v>
      </c>
      <c r="B9956" t="s">
        <v>216</v>
      </c>
      <c r="C9956">
        <v>111</v>
      </c>
      <c r="D9956" t="s">
        <v>328</v>
      </c>
      <c r="E9956" t="s">
        <v>99</v>
      </c>
      <c r="F9956" t="s">
        <v>99</v>
      </c>
      <c r="G9956" t="s">
        <v>100</v>
      </c>
      <c r="H9956" t="s">
        <v>99</v>
      </c>
      <c r="I9956" t="s">
        <v>99</v>
      </c>
      <c r="J9956" t="s">
        <v>157</v>
      </c>
      <c r="K9956" t="s">
        <v>132</v>
      </c>
      <c r="L9956" t="s">
        <v>99</v>
      </c>
      <c r="M9956" t="s">
        <v>99</v>
      </c>
      <c r="N9956" t="s">
        <v>99</v>
      </c>
      <c r="O9956" t="s">
        <v>332</v>
      </c>
      <c r="P9956" t="s">
        <v>99</v>
      </c>
      <c r="Q9956" t="s">
        <v>769</v>
      </c>
      <c r="R9956" t="s">
        <v>101</v>
      </c>
      <c r="S9956" t="s">
        <v>99</v>
      </c>
    </row>
    <row r="9957" spans="1:19" x14ac:dyDescent="0.3">
      <c r="A9957" t="s">
        <v>36</v>
      </c>
      <c r="B9957" t="s">
        <v>210</v>
      </c>
      <c r="C9957">
        <v>165</v>
      </c>
      <c r="D9957" t="s">
        <v>298</v>
      </c>
      <c r="E9957" t="s">
        <v>104</v>
      </c>
      <c r="F9957" t="s">
        <v>99</v>
      </c>
      <c r="G9957" t="s">
        <v>99</v>
      </c>
      <c r="H9957" t="s">
        <v>99</v>
      </c>
      <c r="I9957" t="s">
        <v>99</v>
      </c>
      <c r="J9957" t="s">
        <v>253</v>
      </c>
      <c r="K9957" t="s">
        <v>104</v>
      </c>
      <c r="L9957" t="s">
        <v>99</v>
      </c>
      <c r="M9957" t="s">
        <v>99</v>
      </c>
      <c r="N9957" t="s">
        <v>136</v>
      </c>
      <c r="O9957" t="s">
        <v>149</v>
      </c>
      <c r="P9957" t="s">
        <v>108</v>
      </c>
      <c r="Q9957" t="s">
        <v>530</v>
      </c>
      <c r="R9957" t="s">
        <v>99</v>
      </c>
      <c r="S9957" t="s">
        <v>99</v>
      </c>
    </row>
    <row r="9958" spans="1:19" x14ac:dyDescent="0.3">
      <c r="A9958" t="s">
        <v>36</v>
      </c>
      <c r="B9958" t="s">
        <v>212</v>
      </c>
      <c r="C9958">
        <v>1874</v>
      </c>
      <c r="D9958" t="s">
        <v>145</v>
      </c>
      <c r="E9958" t="s">
        <v>141</v>
      </c>
      <c r="F9958" t="s">
        <v>104</v>
      </c>
      <c r="G9958" t="s">
        <v>215</v>
      </c>
      <c r="H9958" t="s">
        <v>99</v>
      </c>
      <c r="I9958" t="s">
        <v>99</v>
      </c>
      <c r="J9958" t="s">
        <v>253</v>
      </c>
      <c r="K9958" t="s">
        <v>114</v>
      </c>
      <c r="L9958" t="s">
        <v>99</v>
      </c>
      <c r="M9958" t="s">
        <v>104</v>
      </c>
      <c r="N9958" t="s">
        <v>132</v>
      </c>
      <c r="O9958" t="s">
        <v>41</v>
      </c>
      <c r="P9958" t="s">
        <v>382</v>
      </c>
      <c r="Q9958" t="s">
        <v>509</v>
      </c>
      <c r="R9958" t="s">
        <v>111</v>
      </c>
      <c r="S9958" t="s">
        <v>198</v>
      </c>
    </row>
    <row r="9959" spans="1:19" x14ac:dyDescent="0.3">
      <c r="A9959" t="s">
        <v>36</v>
      </c>
      <c r="B9959" t="s">
        <v>216</v>
      </c>
      <c r="C9959">
        <v>265</v>
      </c>
      <c r="D9959" t="s">
        <v>206</v>
      </c>
      <c r="E9959" t="s">
        <v>145</v>
      </c>
      <c r="F9959" t="s">
        <v>130</v>
      </c>
      <c r="G9959" t="s">
        <v>99</v>
      </c>
      <c r="H9959" t="s">
        <v>99</v>
      </c>
      <c r="I9959" t="s">
        <v>99</v>
      </c>
      <c r="J9959" t="s">
        <v>105</v>
      </c>
      <c r="K9959" t="s">
        <v>132</v>
      </c>
      <c r="L9959" t="s">
        <v>99</v>
      </c>
      <c r="M9959" t="s">
        <v>99</v>
      </c>
      <c r="N9959" t="s">
        <v>104</v>
      </c>
      <c r="O9959" t="s">
        <v>135</v>
      </c>
      <c r="P9959" t="s">
        <v>99</v>
      </c>
      <c r="Q9959" t="s">
        <v>504</v>
      </c>
      <c r="R9959" t="s">
        <v>121</v>
      </c>
      <c r="S9959" t="s">
        <v>99</v>
      </c>
    </row>
    <row r="9960" spans="1:19" x14ac:dyDescent="0.3">
      <c r="A9960" t="s">
        <v>34</v>
      </c>
      <c r="B9960" t="s">
        <v>210</v>
      </c>
      <c r="C9960">
        <v>256</v>
      </c>
      <c r="D9960" t="s">
        <v>62</v>
      </c>
      <c r="E9960" t="s">
        <v>121</v>
      </c>
      <c r="F9960" t="s">
        <v>132</v>
      </c>
      <c r="G9960" t="s">
        <v>141</v>
      </c>
      <c r="H9960" t="s">
        <v>99</v>
      </c>
      <c r="I9960" t="s">
        <v>99</v>
      </c>
      <c r="J9960" t="s">
        <v>132</v>
      </c>
      <c r="K9960" t="s">
        <v>99</v>
      </c>
      <c r="L9960" t="s">
        <v>99</v>
      </c>
      <c r="M9960" t="s">
        <v>132</v>
      </c>
      <c r="N9960" t="s">
        <v>99</v>
      </c>
      <c r="O9960" t="s">
        <v>215</v>
      </c>
      <c r="P9960" t="s">
        <v>99</v>
      </c>
      <c r="Q9960" t="s">
        <v>533</v>
      </c>
      <c r="R9960" t="s">
        <v>99</v>
      </c>
      <c r="S9960" t="s">
        <v>99</v>
      </c>
    </row>
    <row r="9961" spans="1:19" x14ac:dyDescent="0.3">
      <c r="A9961" t="s">
        <v>34</v>
      </c>
      <c r="B9961" t="s">
        <v>212</v>
      </c>
      <c r="C9961">
        <v>1582</v>
      </c>
      <c r="D9961" t="s">
        <v>485</v>
      </c>
      <c r="E9961" t="s">
        <v>107</v>
      </c>
      <c r="F9961" t="s">
        <v>141</v>
      </c>
      <c r="G9961" t="s">
        <v>141</v>
      </c>
      <c r="H9961" t="s">
        <v>99</v>
      </c>
      <c r="I9961" t="s">
        <v>104</v>
      </c>
      <c r="J9961" t="s">
        <v>108</v>
      </c>
      <c r="K9961" t="s">
        <v>253</v>
      </c>
      <c r="L9961" t="s">
        <v>99</v>
      </c>
      <c r="M9961" t="s">
        <v>99</v>
      </c>
      <c r="N9961" t="s">
        <v>104</v>
      </c>
      <c r="O9961" t="s">
        <v>382</v>
      </c>
      <c r="P9961" t="s">
        <v>136</v>
      </c>
      <c r="Q9961" t="s">
        <v>2101</v>
      </c>
      <c r="R9961" t="s">
        <v>253</v>
      </c>
      <c r="S9961" t="s">
        <v>141</v>
      </c>
    </row>
    <row r="9962" spans="1:19" x14ac:dyDescent="0.3">
      <c r="A9962" t="s">
        <v>34</v>
      </c>
      <c r="B9962" t="s">
        <v>216</v>
      </c>
      <c r="C9962">
        <v>242</v>
      </c>
      <c r="D9962" t="s">
        <v>279</v>
      </c>
      <c r="E9962" t="s">
        <v>470</v>
      </c>
      <c r="F9962" t="s">
        <v>268</v>
      </c>
      <c r="G9962" t="s">
        <v>207</v>
      </c>
      <c r="H9962" t="s">
        <v>99</v>
      </c>
      <c r="I9962" t="s">
        <v>99</v>
      </c>
      <c r="J9962" t="s">
        <v>108</v>
      </c>
      <c r="K9962" t="s">
        <v>104</v>
      </c>
      <c r="L9962" t="s">
        <v>99</v>
      </c>
      <c r="M9962" t="s">
        <v>104</v>
      </c>
      <c r="N9962" t="s">
        <v>99</v>
      </c>
      <c r="O9962" t="s">
        <v>277</v>
      </c>
      <c r="P9962" t="s">
        <v>99</v>
      </c>
      <c r="Q9962" t="s">
        <v>1062</v>
      </c>
      <c r="R9962" t="s">
        <v>101</v>
      </c>
      <c r="S9962" t="s">
        <v>207</v>
      </c>
    </row>
    <row r="9963" spans="1:19" x14ac:dyDescent="0.3">
      <c r="A9963" t="s">
        <v>33</v>
      </c>
      <c r="B9963" t="s">
        <v>210</v>
      </c>
      <c r="C9963">
        <v>68</v>
      </c>
      <c r="D9963" t="s">
        <v>134</v>
      </c>
      <c r="E9963" t="s">
        <v>99</v>
      </c>
      <c r="F9963" t="s">
        <v>99</v>
      </c>
      <c r="G9963" t="s">
        <v>101</v>
      </c>
      <c r="H9963" t="s">
        <v>99</v>
      </c>
      <c r="I9963" t="s">
        <v>99</v>
      </c>
      <c r="J9963" t="s">
        <v>99</v>
      </c>
      <c r="K9963" t="s">
        <v>99</v>
      </c>
      <c r="L9963" t="s">
        <v>99</v>
      </c>
      <c r="M9963" t="s">
        <v>99</v>
      </c>
      <c r="N9963" t="s">
        <v>99</v>
      </c>
      <c r="O9963" t="s">
        <v>128</v>
      </c>
      <c r="P9963" t="s">
        <v>99</v>
      </c>
      <c r="Q9963" t="s">
        <v>79</v>
      </c>
      <c r="R9963" t="s">
        <v>99</v>
      </c>
      <c r="S9963" t="s">
        <v>99</v>
      </c>
    </row>
    <row r="9964" spans="1:19" x14ac:dyDescent="0.3">
      <c r="A9964" t="s">
        <v>33</v>
      </c>
      <c r="B9964" t="s">
        <v>212</v>
      </c>
      <c r="C9964">
        <v>1800</v>
      </c>
      <c r="D9964" t="s">
        <v>98</v>
      </c>
      <c r="E9964" t="s">
        <v>104</v>
      </c>
      <c r="F9964" t="s">
        <v>104</v>
      </c>
      <c r="G9964" t="s">
        <v>132</v>
      </c>
      <c r="H9964" t="s">
        <v>104</v>
      </c>
      <c r="I9964" t="s">
        <v>99</v>
      </c>
      <c r="J9964" t="s">
        <v>141</v>
      </c>
      <c r="K9964" t="s">
        <v>104</v>
      </c>
      <c r="L9964" t="s">
        <v>104</v>
      </c>
      <c r="M9964" t="s">
        <v>99</v>
      </c>
      <c r="N9964" t="s">
        <v>104</v>
      </c>
      <c r="O9964" t="s">
        <v>121</v>
      </c>
      <c r="P9964" t="s">
        <v>104</v>
      </c>
      <c r="Q9964" t="s">
        <v>252</v>
      </c>
      <c r="R9964" t="s">
        <v>207</v>
      </c>
      <c r="S9964" t="s">
        <v>99</v>
      </c>
    </row>
    <row r="9965" spans="1:19" x14ac:dyDescent="0.3">
      <c r="A9965" t="s">
        <v>33</v>
      </c>
      <c r="B9965" t="s">
        <v>216</v>
      </c>
      <c r="C9965">
        <v>69</v>
      </c>
      <c r="D9965" t="s">
        <v>133</v>
      </c>
      <c r="E9965" t="s">
        <v>99</v>
      </c>
      <c r="F9965" t="s">
        <v>99</v>
      </c>
      <c r="G9965" t="s">
        <v>99</v>
      </c>
      <c r="H9965" t="s">
        <v>99</v>
      </c>
      <c r="I9965" t="s">
        <v>99</v>
      </c>
      <c r="J9965" t="s">
        <v>114</v>
      </c>
      <c r="K9965" t="s">
        <v>99</v>
      </c>
      <c r="L9965" t="s">
        <v>99</v>
      </c>
      <c r="M9965" t="s">
        <v>99</v>
      </c>
      <c r="N9965" t="s">
        <v>99</v>
      </c>
      <c r="O9965" t="s">
        <v>99</v>
      </c>
      <c r="P9965" t="s">
        <v>99</v>
      </c>
      <c r="Q9965" t="s">
        <v>380</v>
      </c>
      <c r="R9965" t="s">
        <v>99</v>
      </c>
      <c r="S9965" t="s">
        <v>382</v>
      </c>
    </row>
    <row r="9966" spans="1:19" x14ac:dyDescent="0.3">
      <c r="A9966" t="s">
        <v>49</v>
      </c>
      <c r="B9966" t="s">
        <v>210</v>
      </c>
      <c r="C9966">
        <v>763</v>
      </c>
      <c r="D9966" t="s">
        <v>342</v>
      </c>
      <c r="E9966" t="s">
        <v>253</v>
      </c>
      <c r="F9966" t="s">
        <v>207</v>
      </c>
      <c r="G9966" t="s">
        <v>136</v>
      </c>
      <c r="H9966" t="s">
        <v>207</v>
      </c>
      <c r="I9966" t="s">
        <v>99</v>
      </c>
      <c r="J9966" t="s">
        <v>132</v>
      </c>
      <c r="K9966" t="s">
        <v>99</v>
      </c>
      <c r="L9966" t="s">
        <v>99</v>
      </c>
      <c r="M9966" t="s">
        <v>207</v>
      </c>
      <c r="N9966" t="s">
        <v>99</v>
      </c>
      <c r="O9966" t="s">
        <v>103</v>
      </c>
      <c r="P9966" t="s">
        <v>207</v>
      </c>
      <c r="Q9966" t="s">
        <v>1230</v>
      </c>
      <c r="R9966" t="s">
        <v>100</v>
      </c>
      <c r="S9966" t="s">
        <v>104</v>
      </c>
    </row>
    <row r="9967" spans="1:19" x14ac:dyDescent="0.3">
      <c r="A9967" t="s">
        <v>49</v>
      </c>
      <c r="B9967" t="s">
        <v>212</v>
      </c>
      <c r="C9967">
        <v>11304</v>
      </c>
      <c r="D9967" t="s">
        <v>708</v>
      </c>
      <c r="E9967" t="s">
        <v>115</v>
      </c>
      <c r="F9967" t="s">
        <v>198</v>
      </c>
      <c r="G9967" t="s">
        <v>115</v>
      </c>
      <c r="H9967" t="s">
        <v>99</v>
      </c>
      <c r="I9967" t="s">
        <v>99</v>
      </c>
      <c r="J9967" t="s">
        <v>115</v>
      </c>
      <c r="K9967" t="s">
        <v>136</v>
      </c>
      <c r="L9967" t="s">
        <v>99</v>
      </c>
      <c r="M9967" t="s">
        <v>99</v>
      </c>
      <c r="N9967" t="s">
        <v>198</v>
      </c>
      <c r="O9967" t="s">
        <v>128</v>
      </c>
      <c r="P9967" t="s">
        <v>141</v>
      </c>
      <c r="Q9967" t="s">
        <v>371</v>
      </c>
      <c r="R9967" t="s">
        <v>103</v>
      </c>
      <c r="S9967" t="s">
        <v>136</v>
      </c>
    </row>
    <row r="9968" spans="1:19" x14ac:dyDescent="0.3">
      <c r="A9968" t="s">
        <v>49</v>
      </c>
      <c r="B9968" t="s">
        <v>216</v>
      </c>
      <c r="C9968">
        <v>1254</v>
      </c>
      <c r="D9968" t="s">
        <v>862</v>
      </c>
      <c r="E9968" t="s">
        <v>118</v>
      </c>
      <c r="F9968" t="s">
        <v>132</v>
      </c>
      <c r="G9968" t="s">
        <v>115</v>
      </c>
      <c r="H9968" t="s">
        <v>99</v>
      </c>
      <c r="I9968" t="s">
        <v>104</v>
      </c>
      <c r="J9968" t="s">
        <v>123</v>
      </c>
      <c r="K9968" t="s">
        <v>136</v>
      </c>
      <c r="L9968" t="s">
        <v>99</v>
      </c>
      <c r="M9968" t="s">
        <v>99</v>
      </c>
      <c r="N9968" t="s">
        <v>99</v>
      </c>
      <c r="O9968" t="s">
        <v>105</v>
      </c>
      <c r="P9968" t="s">
        <v>215</v>
      </c>
      <c r="Q9968" t="s">
        <v>1143</v>
      </c>
      <c r="R9968" t="s">
        <v>316</v>
      </c>
      <c r="S9968" t="s">
        <v>136</v>
      </c>
    </row>
    <row r="9970" spans="1:19" x14ac:dyDescent="0.3">
      <c r="A9970" t="s">
        <v>2479</v>
      </c>
    </row>
    <row r="9971" spans="1:19" x14ac:dyDescent="0.3">
      <c r="A9971" t="s">
        <v>44</v>
      </c>
      <c r="B9971" t="s">
        <v>388</v>
      </c>
      <c r="C9971" t="s">
        <v>32</v>
      </c>
      <c r="D9971" t="s">
        <v>2467</v>
      </c>
      <c r="E9971" t="s">
        <v>2468</v>
      </c>
      <c r="F9971" t="s">
        <v>2469</v>
      </c>
      <c r="G9971" t="s">
        <v>2470</v>
      </c>
      <c r="H9971" t="s">
        <v>2471</v>
      </c>
      <c r="I9971" t="s">
        <v>2472</v>
      </c>
      <c r="J9971" t="s">
        <v>2473</v>
      </c>
      <c r="K9971" t="s">
        <v>2445</v>
      </c>
      <c r="L9971" t="s">
        <v>2447</v>
      </c>
      <c r="M9971" t="s">
        <v>2448</v>
      </c>
      <c r="N9971" t="s">
        <v>2474</v>
      </c>
      <c r="O9971" t="s">
        <v>2475</v>
      </c>
      <c r="P9971" t="s">
        <v>88</v>
      </c>
      <c r="Q9971" t="s">
        <v>2476</v>
      </c>
      <c r="R9971" t="s">
        <v>83</v>
      </c>
      <c r="S9971" t="s">
        <v>193</v>
      </c>
    </row>
    <row r="9972" spans="1:19" x14ac:dyDescent="0.3">
      <c r="A9972" t="s">
        <v>35</v>
      </c>
      <c r="B9972" t="s">
        <v>389</v>
      </c>
      <c r="C9972">
        <v>2141</v>
      </c>
      <c r="D9972" t="s">
        <v>795</v>
      </c>
      <c r="E9972" t="s">
        <v>100</v>
      </c>
      <c r="F9972" t="s">
        <v>104</v>
      </c>
      <c r="G9972" t="s">
        <v>198</v>
      </c>
      <c r="H9972" t="s">
        <v>99</v>
      </c>
      <c r="I9972" t="s">
        <v>104</v>
      </c>
      <c r="J9972" t="s">
        <v>100</v>
      </c>
      <c r="K9972" t="s">
        <v>207</v>
      </c>
      <c r="L9972" t="s">
        <v>99</v>
      </c>
      <c r="M9972" t="s">
        <v>99</v>
      </c>
      <c r="N9972" t="s">
        <v>99</v>
      </c>
      <c r="O9972" t="s">
        <v>316</v>
      </c>
      <c r="P9972" t="s">
        <v>123</v>
      </c>
      <c r="Q9972" t="s">
        <v>1066</v>
      </c>
      <c r="R9972" t="s">
        <v>434</v>
      </c>
      <c r="S9972" t="s">
        <v>115</v>
      </c>
    </row>
    <row r="9973" spans="1:19" x14ac:dyDescent="0.3">
      <c r="A9973" t="s">
        <v>35</v>
      </c>
      <c r="B9973" t="s">
        <v>390</v>
      </c>
      <c r="C9973">
        <v>875</v>
      </c>
      <c r="D9973" t="s">
        <v>54</v>
      </c>
      <c r="E9973" t="s">
        <v>115</v>
      </c>
      <c r="F9973" t="s">
        <v>99</v>
      </c>
      <c r="G9973" t="s">
        <v>104</v>
      </c>
      <c r="H9973" t="s">
        <v>99</v>
      </c>
      <c r="I9973" t="s">
        <v>99</v>
      </c>
      <c r="J9973" t="s">
        <v>126</v>
      </c>
      <c r="K9973" t="s">
        <v>207</v>
      </c>
      <c r="L9973" t="s">
        <v>99</v>
      </c>
      <c r="M9973" t="s">
        <v>99</v>
      </c>
      <c r="N9973" t="s">
        <v>99</v>
      </c>
      <c r="O9973" t="s">
        <v>103</v>
      </c>
      <c r="P9973" t="s">
        <v>104</v>
      </c>
      <c r="Q9973" t="s">
        <v>213</v>
      </c>
      <c r="R9973" t="s">
        <v>468</v>
      </c>
      <c r="S9973" t="s">
        <v>114</v>
      </c>
    </row>
    <row r="9974" spans="1:19" x14ac:dyDescent="0.3">
      <c r="A9974" t="s">
        <v>35</v>
      </c>
      <c r="B9974" t="s">
        <v>365</v>
      </c>
      <c r="C9974">
        <v>129</v>
      </c>
      <c r="D9974" t="s">
        <v>1415</v>
      </c>
      <c r="E9974" t="s">
        <v>99</v>
      </c>
      <c r="F9974" t="s">
        <v>99</v>
      </c>
      <c r="G9974" t="s">
        <v>242</v>
      </c>
      <c r="H9974" t="s">
        <v>99</v>
      </c>
      <c r="I9974" t="s">
        <v>99</v>
      </c>
      <c r="J9974" t="s">
        <v>99</v>
      </c>
      <c r="K9974" t="s">
        <v>99</v>
      </c>
      <c r="L9974" t="s">
        <v>99</v>
      </c>
      <c r="M9974" t="s">
        <v>99</v>
      </c>
      <c r="N9974" t="s">
        <v>99</v>
      </c>
      <c r="O9974" t="s">
        <v>115</v>
      </c>
      <c r="P9974" t="s">
        <v>141</v>
      </c>
      <c r="Q9974" t="s">
        <v>528</v>
      </c>
      <c r="R9974" t="s">
        <v>120</v>
      </c>
      <c r="S9974" t="s">
        <v>99</v>
      </c>
    </row>
    <row r="9975" spans="1:19" x14ac:dyDescent="0.3">
      <c r="A9975" t="s">
        <v>37</v>
      </c>
      <c r="B9975" t="s">
        <v>389</v>
      </c>
      <c r="C9975">
        <v>2305</v>
      </c>
      <c r="D9975" t="s">
        <v>155</v>
      </c>
      <c r="E9975" t="s">
        <v>99</v>
      </c>
      <c r="F9975" t="s">
        <v>198</v>
      </c>
      <c r="G9975" t="s">
        <v>115</v>
      </c>
      <c r="H9975" t="s">
        <v>198</v>
      </c>
      <c r="I9975" t="s">
        <v>104</v>
      </c>
      <c r="J9975" t="s">
        <v>115</v>
      </c>
      <c r="K9975" t="s">
        <v>198</v>
      </c>
      <c r="L9975" t="s">
        <v>99</v>
      </c>
      <c r="M9975" t="s">
        <v>99</v>
      </c>
      <c r="N9975" t="s">
        <v>99</v>
      </c>
      <c r="O9975" t="s">
        <v>316</v>
      </c>
      <c r="P9975" t="s">
        <v>207</v>
      </c>
      <c r="Q9975" t="s">
        <v>392</v>
      </c>
      <c r="R9975" t="s">
        <v>117</v>
      </c>
      <c r="S9975" t="s">
        <v>207</v>
      </c>
    </row>
    <row r="9976" spans="1:19" x14ac:dyDescent="0.3">
      <c r="A9976" t="s">
        <v>37</v>
      </c>
      <c r="B9976" t="s">
        <v>390</v>
      </c>
      <c r="C9976">
        <v>1309</v>
      </c>
      <c r="D9976" t="s">
        <v>111</v>
      </c>
      <c r="E9976" t="s">
        <v>99</v>
      </c>
      <c r="F9976" t="s">
        <v>99</v>
      </c>
      <c r="G9976" t="s">
        <v>141</v>
      </c>
      <c r="H9976" t="s">
        <v>99</v>
      </c>
      <c r="I9976" t="s">
        <v>99</v>
      </c>
      <c r="J9976" t="s">
        <v>115</v>
      </c>
      <c r="K9976" t="s">
        <v>253</v>
      </c>
      <c r="L9976" t="s">
        <v>99</v>
      </c>
      <c r="M9976" t="s">
        <v>99</v>
      </c>
      <c r="N9976" t="s">
        <v>207</v>
      </c>
      <c r="O9976" t="s">
        <v>111</v>
      </c>
      <c r="P9976" t="s">
        <v>99</v>
      </c>
      <c r="Q9976" t="s">
        <v>232</v>
      </c>
      <c r="R9976" t="s">
        <v>130</v>
      </c>
      <c r="S9976" t="s">
        <v>136</v>
      </c>
    </row>
    <row r="9977" spans="1:19" x14ac:dyDescent="0.3">
      <c r="A9977" t="s">
        <v>37</v>
      </c>
      <c r="B9977" t="s">
        <v>365</v>
      </c>
      <c r="C9977">
        <v>241</v>
      </c>
      <c r="D9977" t="s">
        <v>474</v>
      </c>
      <c r="E9977" t="s">
        <v>99</v>
      </c>
      <c r="F9977" t="s">
        <v>99</v>
      </c>
      <c r="G9977" t="s">
        <v>107</v>
      </c>
      <c r="H9977" t="s">
        <v>99</v>
      </c>
      <c r="I9977" t="s">
        <v>99</v>
      </c>
      <c r="J9977" t="s">
        <v>215</v>
      </c>
      <c r="K9977" t="s">
        <v>136</v>
      </c>
      <c r="L9977" t="s">
        <v>99</v>
      </c>
      <c r="M9977" t="s">
        <v>207</v>
      </c>
      <c r="N9977" t="s">
        <v>115</v>
      </c>
      <c r="O9977" t="s">
        <v>155</v>
      </c>
      <c r="P9977" t="s">
        <v>207</v>
      </c>
      <c r="Q9977" t="s">
        <v>356</v>
      </c>
      <c r="R9977" t="s">
        <v>120</v>
      </c>
      <c r="S9977" t="s">
        <v>99</v>
      </c>
    </row>
    <row r="9978" spans="1:19" x14ac:dyDescent="0.3">
      <c r="A9978" t="s">
        <v>36</v>
      </c>
      <c r="B9978" t="s">
        <v>389</v>
      </c>
      <c r="C9978">
        <v>1577</v>
      </c>
      <c r="D9978" t="s">
        <v>182</v>
      </c>
      <c r="E9978" t="s">
        <v>382</v>
      </c>
      <c r="F9978" t="s">
        <v>108</v>
      </c>
      <c r="G9978" t="s">
        <v>207</v>
      </c>
      <c r="H9978" t="s">
        <v>104</v>
      </c>
      <c r="I9978" t="s">
        <v>99</v>
      </c>
      <c r="J9978" t="s">
        <v>114</v>
      </c>
      <c r="K9978" t="s">
        <v>100</v>
      </c>
      <c r="L9978" t="s">
        <v>99</v>
      </c>
      <c r="M9978" t="s">
        <v>104</v>
      </c>
      <c r="N9978" t="s">
        <v>207</v>
      </c>
      <c r="O9978" t="s">
        <v>305</v>
      </c>
      <c r="P9978" t="s">
        <v>100</v>
      </c>
      <c r="Q9978" t="s">
        <v>1515</v>
      </c>
      <c r="R9978" t="s">
        <v>382</v>
      </c>
      <c r="S9978" t="s">
        <v>104</v>
      </c>
    </row>
    <row r="9979" spans="1:19" x14ac:dyDescent="0.3">
      <c r="A9979" t="s">
        <v>36</v>
      </c>
      <c r="B9979" t="s">
        <v>390</v>
      </c>
      <c r="C9979">
        <v>627</v>
      </c>
      <c r="D9979" t="s">
        <v>363</v>
      </c>
      <c r="E9979" t="s">
        <v>198</v>
      </c>
      <c r="F9979" t="s">
        <v>99</v>
      </c>
      <c r="G9979" t="s">
        <v>105</v>
      </c>
      <c r="H9979" t="s">
        <v>99</v>
      </c>
      <c r="I9979" t="s">
        <v>99</v>
      </c>
      <c r="J9979" t="s">
        <v>132</v>
      </c>
      <c r="K9979" t="s">
        <v>141</v>
      </c>
      <c r="L9979" t="s">
        <v>99</v>
      </c>
      <c r="M9979" t="s">
        <v>104</v>
      </c>
      <c r="N9979" t="s">
        <v>126</v>
      </c>
      <c r="O9979" t="s">
        <v>122</v>
      </c>
      <c r="P9979" t="s">
        <v>108</v>
      </c>
      <c r="Q9979" t="s">
        <v>1453</v>
      </c>
      <c r="R9979" t="s">
        <v>151</v>
      </c>
      <c r="S9979" t="s">
        <v>198</v>
      </c>
    </row>
    <row r="9980" spans="1:19" x14ac:dyDescent="0.3">
      <c r="A9980" t="s">
        <v>36</v>
      </c>
      <c r="B9980" t="s">
        <v>365</v>
      </c>
      <c r="C9980">
        <v>100</v>
      </c>
      <c r="D9980" t="s">
        <v>155</v>
      </c>
      <c r="E9980" t="s">
        <v>104</v>
      </c>
      <c r="F9980" t="s">
        <v>99</v>
      </c>
      <c r="G9980" t="s">
        <v>110</v>
      </c>
      <c r="H9980" t="s">
        <v>99</v>
      </c>
      <c r="I9980" t="s">
        <v>99</v>
      </c>
      <c r="J9980" t="s">
        <v>141</v>
      </c>
      <c r="K9980" t="s">
        <v>136</v>
      </c>
      <c r="L9980" t="s">
        <v>99</v>
      </c>
      <c r="M9980" t="s">
        <v>99</v>
      </c>
      <c r="N9980" t="s">
        <v>207</v>
      </c>
      <c r="O9980" t="s">
        <v>461</v>
      </c>
      <c r="P9980" t="s">
        <v>277</v>
      </c>
      <c r="Q9980" t="s">
        <v>772</v>
      </c>
      <c r="R9980" t="s">
        <v>110</v>
      </c>
      <c r="S9980" t="s">
        <v>99</v>
      </c>
    </row>
    <row r="9981" spans="1:19" x14ac:dyDescent="0.3">
      <c r="A9981" t="s">
        <v>34</v>
      </c>
      <c r="B9981" t="s">
        <v>389</v>
      </c>
      <c r="C9981">
        <v>1385</v>
      </c>
      <c r="D9981" t="s">
        <v>1115</v>
      </c>
      <c r="E9981" t="s">
        <v>118</v>
      </c>
      <c r="F9981" t="s">
        <v>132</v>
      </c>
      <c r="G9981" t="s">
        <v>141</v>
      </c>
      <c r="H9981" t="s">
        <v>99</v>
      </c>
      <c r="I9981" t="s">
        <v>104</v>
      </c>
      <c r="J9981" t="s">
        <v>132</v>
      </c>
      <c r="K9981" t="s">
        <v>253</v>
      </c>
      <c r="L9981" t="s">
        <v>99</v>
      </c>
      <c r="M9981" t="s">
        <v>198</v>
      </c>
      <c r="N9981" t="s">
        <v>99</v>
      </c>
      <c r="O9981" t="s">
        <v>268</v>
      </c>
      <c r="P9981" t="s">
        <v>136</v>
      </c>
      <c r="Q9981" t="s">
        <v>896</v>
      </c>
      <c r="R9981" t="s">
        <v>115</v>
      </c>
      <c r="S9981" t="s">
        <v>141</v>
      </c>
    </row>
    <row r="9982" spans="1:19" x14ac:dyDescent="0.3">
      <c r="A9982" t="s">
        <v>34</v>
      </c>
      <c r="B9982" t="s">
        <v>390</v>
      </c>
      <c r="C9982">
        <v>615</v>
      </c>
      <c r="D9982" t="s">
        <v>963</v>
      </c>
      <c r="E9982" t="s">
        <v>155</v>
      </c>
      <c r="F9982" t="s">
        <v>100</v>
      </c>
      <c r="G9982" t="s">
        <v>136</v>
      </c>
      <c r="H9982" t="s">
        <v>99</v>
      </c>
      <c r="I9982" t="s">
        <v>99</v>
      </c>
      <c r="J9982" t="s">
        <v>121</v>
      </c>
      <c r="K9982" t="s">
        <v>99</v>
      </c>
      <c r="L9982" t="s">
        <v>99</v>
      </c>
      <c r="M9982" t="s">
        <v>104</v>
      </c>
      <c r="N9982" t="s">
        <v>207</v>
      </c>
      <c r="O9982" t="s">
        <v>123</v>
      </c>
      <c r="P9982" t="s">
        <v>99</v>
      </c>
      <c r="Q9982" t="s">
        <v>644</v>
      </c>
      <c r="R9982" t="s">
        <v>253</v>
      </c>
      <c r="S9982" t="s">
        <v>198</v>
      </c>
    </row>
    <row r="9983" spans="1:19" x14ac:dyDescent="0.3">
      <c r="A9983" t="s">
        <v>34</v>
      </c>
      <c r="B9983" t="s">
        <v>365</v>
      </c>
      <c r="C9983">
        <v>80</v>
      </c>
      <c r="D9983" t="s">
        <v>529</v>
      </c>
      <c r="E9983" t="s">
        <v>712</v>
      </c>
      <c r="F9983" t="s">
        <v>99</v>
      </c>
      <c r="G9983" t="s">
        <v>141</v>
      </c>
      <c r="H9983" t="s">
        <v>99</v>
      </c>
      <c r="I9983" t="s">
        <v>99</v>
      </c>
      <c r="J9983" t="s">
        <v>215</v>
      </c>
      <c r="K9983" t="s">
        <v>101</v>
      </c>
      <c r="L9983" t="s">
        <v>99</v>
      </c>
      <c r="M9983" t="s">
        <v>99</v>
      </c>
      <c r="N9983" t="s">
        <v>99</v>
      </c>
      <c r="O9983" t="s">
        <v>99</v>
      </c>
      <c r="P9983" t="s">
        <v>99</v>
      </c>
      <c r="Q9983" t="s">
        <v>874</v>
      </c>
      <c r="R9983" t="s">
        <v>99</v>
      </c>
      <c r="S9983" t="s">
        <v>99</v>
      </c>
    </row>
    <row r="9984" spans="1:19" x14ac:dyDescent="0.3">
      <c r="A9984" t="s">
        <v>33</v>
      </c>
      <c r="B9984" t="s">
        <v>389</v>
      </c>
      <c r="C9984">
        <v>1090</v>
      </c>
      <c r="D9984" t="s">
        <v>474</v>
      </c>
      <c r="E9984" t="s">
        <v>104</v>
      </c>
      <c r="F9984" t="s">
        <v>99</v>
      </c>
      <c r="G9984" t="s">
        <v>253</v>
      </c>
      <c r="H9984" t="s">
        <v>99</v>
      </c>
      <c r="I9984" t="s">
        <v>99</v>
      </c>
      <c r="J9984" t="s">
        <v>207</v>
      </c>
      <c r="K9984" t="s">
        <v>198</v>
      </c>
      <c r="L9984" t="s">
        <v>104</v>
      </c>
      <c r="M9984" t="s">
        <v>99</v>
      </c>
      <c r="N9984" t="s">
        <v>104</v>
      </c>
      <c r="O9984" t="s">
        <v>101</v>
      </c>
      <c r="P9984" t="s">
        <v>104</v>
      </c>
      <c r="Q9984" t="s">
        <v>362</v>
      </c>
      <c r="R9984" t="s">
        <v>198</v>
      </c>
      <c r="S9984" t="s">
        <v>104</v>
      </c>
    </row>
    <row r="9985" spans="1:19" x14ac:dyDescent="0.3">
      <c r="A9985" t="s">
        <v>33</v>
      </c>
      <c r="B9985" t="s">
        <v>390</v>
      </c>
      <c r="C9985">
        <v>708</v>
      </c>
      <c r="D9985" t="s">
        <v>149</v>
      </c>
      <c r="E9985" t="s">
        <v>99</v>
      </c>
      <c r="F9985" t="s">
        <v>198</v>
      </c>
      <c r="G9985" t="s">
        <v>108</v>
      </c>
      <c r="H9985" t="s">
        <v>198</v>
      </c>
      <c r="I9985" t="s">
        <v>99</v>
      </c>
      <c r="J9985" t="s">
        <v>253</v>
      </c>
      <c r="K9985" t="s">
        <v>99</v>
      </c>
      <c r="L9985" t="s">
        <v>99</v>
      </c>
      <c r="M9985" t="s">
        <v>99</v>
      </c>
      <c r="N9985" t="s">
        <v>198</v>
      </c>
      <c r="O9985" t="s">
        <v>121</v>
      </c>
      <c r="P9985" t="s">
        <v>99</v>
      </c>
      <c r="Q9985" t="s">
        <v>71</v>
      </c>
      <c r="R9985" t="s">
        <v>207</v>
      </c>
      <c r="S9985" t="s">
        <v>99</v>
      </c>
    </row>
    <row r="9986" spans="1:19" x14ac:dyDescent="0.3">
      <c r="A9986" t="s">
        <v>33</v>
      </c>
      <c r="B9986" t="s">
        <v>365</v>
      </c>
      <c r="C9986">
        <v>139</v>
      </c>
      <c r="D9986" t="s">
        <v>1044</v>
      </c>
      <c r="E9986" t="s">
        <v>99</v>
      </c>
      <c r="F9986" t="s">
        <v>99</v>
      </c>
      <c r="G9986" t="s">
        <v>100</v>
      </c>
      <c r="H9986" t="s">
        <v>99</v>
      </c>
      <c r="I9986" t="s">
        <v>99</v>
      </c>
      <c r="J9986" t="s">
        <v>127</v>
      </c>
      <c r="K9986" t="s">
        <v>99</v>
      </c>
      <c r="L9986" t="s">
        <v>99</v>
      </c>
      <c r="M9986" t="s">
        <v>99</v>
      </c>
      <c r="N9986" t="s">
        <v>99</v>
      </c>
      <c r="O9986" t="s">
        <v>99</v>
      </c>
      <c r="P9986" t="s">
        <v>99</v>
      </c>
      <c r="Q9986" t="s">
        <v>774</v>
      </c>
      <c r="R9986" t="s">
        <v>99</v>
      </c>
      <c r="S9986" t="s">
        <v>99</v>
      </c>
    </row>
    <row r="9987" spans="1:19" x14ac:dyDescent="0.3">
      <c r="A9987" t="s">
        <v>49</v>
      </c>
      <c r="B9987" t="s">
        <v>389</v>
      </c>
      <c r="C9987">
        <v>8498</v>
      </c>
      <c r="D9987" t="s">
        <v>432</v>
      </c>
      <c r="E9987" t="s">
        <v>101</v>
      </c>
      <c r="F9987" t="s">
        <v>207</v>
      </c>
      <c r="G9987" t="s">
        <v>141</v>
      </c>
      <c r="H9987" t="s">
        <v>104</v>
      </c>
      <c r="I9987" t="s">
        <v>104</v>
      </c>
      <c r="J9987" t="s">
        <v>132</v>
      </c>
      <c r="K9987" t="s">
        <v>136</v>
      </c>
      <c r="L9987" t="s">
        <v>99</v>
      </c>
      <c r="M9987" t="s">
        <v>104</v>
      </c>
      <c r="N9987" t="s">
        <v>99</v>
      </c>
      <c r="O9987" t="s">
        <v>147</v>
      </c>
      <c r="P9987" t="s">
        <v>108</v>
      </c>
      <c r="Q9987" t="s">
        <v>1174</v>
      </c>
      <c r="R9987" t="s">
        <v>111</v>
      </c>
      <c r="S9987" t="s">
        <v>136</v>
      </c>
    </row>
    <row r="9988" spans="1:19" x14ac:dyDescent="0.3">
      <c r="A9988" t="s">
        <v>49</v>
      </c>
      <c r="B9988" t="s">
        <v>390</v>
      </c>
      <c r="C9988">
        <v>4134</v>
      </c>
      <c r="D9988" t="s">
        <v>482</v>
      </c>
      <c r="E9988" t="s">
        <v>132</v>
      </c>
      <c r="F9988" t="s">
        <v>198</v>
      </c>
      <c r="G9988" t="s">
        <v>115</v>
      </c>
      <c r="H9988" t="s">
        <v>99</v>
      </c>
      <c r="I9988" t="s">
        <v>99</v>
      </c>
      <c r="J9988" t="s">
        <v>114</v>
      </c>
      <c r="K9988" t="s">
        <v>207</v>
      </c>
      <c r="L9988" t="s">
        <v>99</v>
      </c>
      <c r="M9988" t="s">
        <v>99</v>
      </c>
      <c r="N9988" t="s">
        <v>207</v>
      </c>
      <c r="O9988" t="s">
        <v>117</v>
      </c>
      <c r="P9988" t="s">
        <v>104</v>
      </c>
      <c r="Q9988" t="s">
        <v>424</v>
      </c>
      <c r="R9988" t="s">
        <v>107</v>
      </c>
      <c r="S9988" t="s">
        <v>136</v>
      </c>
    </row>
    <row r="9989" spans="1:19" x14ac:dyDescent="0.3">
      <c r="A9989" t="s">
        <v>49</v>
      </c>
      <c r="B9989" t="s">
        <v>365</v>
      </c>
      <c r="C9989">
        <v>689</v>
      </c>
      <c r="D9989" t="s">
        <v>705</v>
      </c>
      <c r="E9989" t="s">
        <v>253</v>
      </c>
      <c r="F9989" t="s">
        <v>99</v>
      </c>
      <c r="G9989" t="s">
        <v>120</v>
      </c>
      <c r="H9989" t="s">
        <v>99</v>
      </c>
      <c r="I9989" t="s">
        <v>99</v>
      </c>
      <c r="J9989" t="s">
        <v>101</v>
      </c>
      <c r="K9989" t="s">
        <v>136</v>
      </c>
      <c r="L9989" t="s">
        <v>99</v>
      </c>
      <c r="M9989" t="s">
        <v>104</v>
      </c>
      <c r="N9989" t="s">
        <v>207</v>
      </c>
      <c r="O9989" t="s">
        <v>268</v>
      </c>
      <c r="P9989" t="s">
        <v>132</v>
      </c>
      <c r="Q9989" t="s">
        <v>1170</v>
      </c>
      <c r="R9989" t="s">
        <v>151</v>
      </c>
      <c r="S9989" t="s">
        <v>99</v>
      </c>
    </row>
    <row r="9991" spans="1:19" x14ac:dyDescent="0.3">
      <c r="A9991" t="s">
        <v>2480</v>
      </c>
    </row>
    <row r="9992" spans="1:19" x14ac:dyDescent="0.3">
      <c r="A9992" t="s">
        <v>44</v>
      </c>
      <c r="B9992" t="s">
        <v>235</v>
      </c>
      <c r="C9992" t="s">
        <v>32</v>
      </c>
      <c r="D9992" t="s">
        <v>2467</v>
      </c>
      <c r="E9992" t="s">
        <v>2468</v>
      </c>
      <c r="F9992" t="s">
        <v>2469</v>
      </c>
      <c r="G9992" t="s">
        <v>2470</v>
      </c>
      <c r="H9992" t="s">
        <v>2471</v>
      </c>
      <c r="I9992" t="s">
        <v>2472</v>
      </c>
      <c r="J9992" t="s">
        <v>2473</v>
      </c>
      <c r="K9992" t="s">
        <v>2445</v>
      </c>
      <c r="L9992" t="s">
        <v>2447</v>
      </c>
      <c r="M9992" t="s">
        <v>2448</v>
      </c>
      <c r="N9992" t="s">
        <v>2474</v>
      </c>
      <c r="O9992" t="s">
        <v>2475</v>
      </c>
      <c r="P9992" t="s">
        <v>88</v>
      </c>
      <c r="Q9992" t="s">
        <v>2476</v>
      </c>
      <c r="R9992" t="s">
        <v>83</v>
      </c>
      <c r="S9992" t="s">
        <v>193</v>
      </c>
    </row>
    <row r="9993" spans="1:19" x14ac:dyDescent="0.3">
      <c r="A9993" t="s">
        <v>35</v>
      </c>
      <c r="B9993" t="s">
        <v>236</v>
      </c>
      <c r="C9993">
        <v>1610</v>
      </c>
      <c r="D9993" t="s">
        <v>798</v>
      </c>
      <c r="E9993" t="s">
        <v>123</v>
      </c>
      <c r="F9993" t="s">
        <v>198</v>
      </c>
      <c r="G9993" t="s">
        <v>141</v>
      </c>
      <c r="H9993" t="s">
        <v>99</v>
      </c>
      <c r="I9993" t="s">
        <v>104</v>
      </c>
      <c r="J9993" t="s">
        <v>114</v>
      </c>
      <c r="K9993" t="s">
        <v>132</v>
      </c>
      <c r="L9993" t="s">
        <v>104</v>
      </c>
      <c r="M9993" t="s">
        <v>99</v>
      </c>
      <c r="N9993" t="s">
        <v>99</v>
      </c>
      <c r="O9993" t="s">
        <v>151</v>
      </c>
      <c r="P9993" t="s">
        <v>104</v>
      </c>
      <c r="Q9993" t="s">
        <v>1079</v>
      </c>
      <c r="R9993" t="s">
        <v>105</v>
      </c>
      <c r="S9993" t="s">
        <v>253</v>
      </c>
    </row>
    <row r="9994" spans="1:19" x14ac:dyDescent="0.3">
      <c r="A9994" t="s">
        <v>35</v>
      </c>
      <c r="B9994" t="s">
        <v>238</v>
      </c>
      <c r="C9994">
        <v>1535</v>
      </c>
      <c r="D9994" t="s">
        <v>903</v>
      </c>
      <c r="E9994" t="s">
        <v>141</v>
      </c>
      <c r="F9994" t="s">
        <v>104</v>
      </c>
      <c r="G9994" t="s">
        <v>136</v>
      </c>
      <c r="H9994" t="s">
        <v>99</v>
      </c>
      <c r="I9994" t="s">
        <v>99</v>
      </c>
      <c r="J9994" t="s">
        <v>121</v>
      </c>
      <c r="K9994" t="s">
        <v>198</v>
      </c>
      <c r="L9994" t="s">
        <v>99</v>
      </c>
      <c r="M9994" t="s">
        <v>99</v>
      </c>
      <c r="N9994" t="s">
        <v>99</v>
      </c>
      <c r="O9994" t="s">
        <v>128</v>
      </c>
      <c r="P9994" t="s">
        <v>151</v>
      </c>
      <c r="Q9994" t="s">
        <v>539</v>
      </c>
      <c r="R9994" t="s">
        <v>412</v>
      </c>
      <c r="S9994" t="s">
        <v>132</v>
      </c>
    </row>
    <row r="9995" spans="1:19" x14ac:dyDescent="0.3">
      <c r="A9995" t="s">
        <v>37</v>
      </c>
      <c r="B9995" t="s">
        <v>236</v>
      </c>
      <c r="C9995">
        <v>2211</v>
      </c>
      <c r="D9995" t="s">
        <v>108</v>
      </c>
      <c r="E9995" t="s">
        <v>99</v>
      </c>
      <c r="F9995" t="s">
        <v>99</v>
      </c>
      <c r="G9995" t="s">
        <v>141</v>
      </c>
      <c r="H9995" t="s">
        <v>99</v>
      </c>
      <c r="I9995" t="s">
        <v>99</v>
      </c>
      <c r="J9995" t="s">
        <v>198</v>
      </c>
      <c r="K9995" t="s">
        <v>141</v>
      </c>
      <c r="L9995" t="s">
        <v>99</v>
      </c>
      <c r="M9995" t="s">
        <v>99</v>
      </c>
      <c r="N9995" t="s">
        <v>198</v>
      </c>
      <c r="O9995" t="s">
        <v>111</v>
      </c>
      <c r="P9995" t="s">
        <v>207</v>
      </c>
      <c r="Q9995" t="s">
        <v>324</v>
      </c>
      <c r="R9995" t="s">
        <v>157</v>
      </c>
      <c r="S9995" t="s">
        <v>104</v>
      </c>
    </row>
    <row r="9996" spans="1:19" x14ac:dyDescent="0.3">
      <c r="A9996" t="s">
        <v>37</v>
      </c>
      <c r="B9996" t="s">
        <v>238</v>
      </c>
      <c r="C9996">
        <v>1644</v>
      </c>
      <c r="D9996" t="s">
        <v>325</v>
      </c>
      <c r="E9996" t="s">
        <v>99</v>
      </c>
      <c r="F9996" t="s">
        <v>198</v>
      </c>
      <c r="G9996" t="s">
        <v>100</v>
      </c>
      <c r="H9996" t="s">
        <v>207</v>
      </c>
      <c r="I9996" t="s">
        <v>198</v>
      </c>
      <c r="J9996" t="s">
        <v>319</v>
      </c>
      <c r="K9996" t="s">
        <v>198</v>
      </c>
      <c r="L9996" t="s">
        <v>99</v>
      </c>
      <c r="M9996" t="s">
        <v>99</v>
      </c>
      <c r="N9996" t="s">
        <v>99</v>
      </c>
      <c r="O9996" t="s">
        <v>107</v>
      </c>
      <c r="P9996" t="s">
        <v>104</v>
      </c>
      <c r="Q9996" t="s">
        <v>266</v>
      </c>
      <c r="R9996" t="s">
        <v>120</v>
      </c>
      <c r="S9996" t="s">
        <v>253</v>
      </c>
    </row>
    <row r="9997" spans="1:19" x14ac:dyDescent="0.3">
      <c r="A9997" t="s">
        <v>36</v>
      </c>
      <c r="B9997" t="s">
        <v>236</v>
      </c>
      <c r="C9997">
        <v>1566</v>
      </c>
      <c r="D9997" t="s">
        <v>145</v>
      </c>
      <c r="E9997" t="s">
        <v>101</v>
      </c>
      <c r="F9997" t="s">
        <v>253</v>
      </c>
      <c r="G9997" t="s">
        <v>198</v>
      </c>
      <c r="H9997" t="s">
        <v>99</v>
      </c>
      <c r="I9997" t="s">
        <v>99</v>
      </c>
      <c r="J9997" t="s">
        <v>126</v>
      </c>
      <c r="K9997" t="s">
        <v>100</v>
      </c>
      <c r="L9997" t="s">
        <v>99</v>
      </c>
      <c r="M9997" t="s">
        <v>198</v>
      </c>
      <c r="N9997" t="s">
        <v>141</v>
      </c>
      <c r="O9997" t="s">
        <v>135</v>
      </c>
      <c r="P9997" t="s">
        <v>101</v>
      </c>
      <c r="Q9997" t="s">
        <v>761</v>
      </c>
      <c r="R9997" t="s">
        <v>382</v>
      </c>
      <c r="S9997" t="s">
        <v>198</v>
      </c>
    </row>
    <row r="9998" spans="1:19" x14ac:dyDescent="0.3">
      <c r="A9998" t="s">
        <v>36</v>
      </c>
      <c r="B9998" t="s">
        <v>238</v>
      </c>
      <c r="C9998">
        <v>738</v>
      </c>
      <c r="D9998" t="s">
        <v>369</v>
      </c>
      <c r="E9998" t="s">
        <v>114</v>
      </c>
      <c r="F9998" t="s">
        <v>253</v>
      </c>
      <c r="G9998" t="s">
        <v>292</v>
      </c>
      <c r="H9998" t="s">
        <v>99</v>
      </c>
      <c r="I9998" t="s">
        <v>99</v>
      </c>
      <c r="J9998" t="s">
        <v>141</v>
      </c>
      <c r="K9998" t="s">
        <v>115</v>
      </c>
      <c r="L9998" t="s">
        <v>99</v>
      </c>
      <c r="M9998" t="s">
        <v>99</v>
      </c>
      <c r="N9998" t="s">
        <v>132</v>
      </c>
      <c r="O9998" t="s">
        <v>182</v>
      </c>
      <c r="P9998" t="s">
        <v>101</v>
      </c>
      <c r="Q9998" t="s">
        <v>535</v>
      </c>
      <c r="R9998" t="s">
        <v>151</v>
      </c>
      <c r="S9998" t="s">
        <v>104</v>
      </c>
    </row>
    <row r="9999" spans="1:19" x14ac:dyDescent="0.3">
      <c r="A9999" t="s">
        <v>34</v>
      </c>
      <c r="B9999" t="s">
        <v>236</v>
      </c>
      <c r="C9999">
        <v>717</v>
      </c>
      <c r="D9999" t="s">
        <v>423</v>
      </c>
      <c r="E9999" t="s">
        <v>78</v>
      </c>
      <c r="F9999" t="s">
        <v>99</v>
      </c>
      <c r="G9999" t="s">
        <v>141</v>
      </c>
      <c r="H9999" t="s">
        <v>99</v>
      </c>
      <c r="I9999" t="s">
        <v>99</v>
      </c>
      <c r="J9999" t="s">
        <v>126</v>
      </c>
      <c r="K9999" t="s">
        <v>198</v>
      </c>
      <c r="L9999" t="s">
        <v>99</v>
      </c>
      <c r="M9999" t="s">
        <v>104</v>
      </c>
      <c r="N9999" t="s">
        <v>99</v>
      </c>
      <c r="O9999" t="s">
        <v>382</v>
      </c>
      <c r="P9999" t="s">
        <v>104</v>
      </c>
      <c r="Q9999" t="s">
        <v>59</v>
      </c>
      <c r="R9999" t="s">
        <v>100</v>
      </c>
      <c r="S9999" t="s">
        <v>108</v>
      </c>
    </row>
    <row r="10000" spans="1:19" x14ac:dyDescent="0.3">
      <c r="A10000" t="s">
        <v>34</v>
      </c>
      <c r="B10000" t="s">
        <v>238</v>
      </c>
      <c r="C10000">
        <v>1363</v>
      </c>
      <c r="D10000" t="s">
        <v>806</v>
      </c>
      <c r="E10000" t="s">
        <v>151</v>
      </c>
      <c r="F10000" t="s">
        <v>121</v>
      </c>
      <c r="G10000" t="s">
        <v>141</v>
      </c>
      <c r="H10000" t="s">
        <v>99</v>
      </c>
      <c r="I10000" t="s">
        <v>104</v>
      </c>
      <c r="J10000" t="s">
        <v>115</v>
      </c>
      <c r="K10000" t="s">
        <v>253</v>
      </c>
      <c r="L10000" t="s">
        <v>99</v>
      </c>
      <c r="M10000" t="s">
        <v>198</v>
      </c>
      <c r="N10000" t="s">
        <v>104</v>
      </c>
      <c r="O10000" t="s">
        <v>268</v>
      </c>
      <c r="P10000" t="s">
        <v>136</v>
      </c>
      <c r="Q10000" t="s">
        <v>630</v>
      </c>
      <c r="R10000" t="s">
        <v>136</v>
      </c>
      <c r="S10000" t="s">
        <v>198</v>
      </c>
    </row>
    <row r="10001" spans="1:19" x14ac:dyDescent="0.3">
      <c r="A10001" t="s">
        <v>33</v>
      </c>
      <c r="B10001" t="s">
        <v>236</v>
      </c>
      <c r="C10001">
        <v>1116</v>
      </c>
      <c r="D10001" t="s">
        <v>107</v>
      </c>
      <c r="E10001" t="s">
        <v>104</v>
      </c>
      <c r="F10001" t="s">
        <v>104</v>
      </c>
      <c r="G10001" t="s">
        <v>136</v>
      </c>
      <c r="H10001" t="s">
        <v>99</v>
      </c>
      <c r="I10001" t="s">
        <v>99</v>
      </c>
      <c r="J10001" t="s">
        <v>136</v>
      </c>
      <c r="K10001" t="s">
        <v>99</v>
      </c>
      <c r="L10001" t="s">
        <v>99</v>
      </c>
      <c r="M10001" t="s">
        <v>99</v>
      </c>
      <c r="N10001" t="s">
        <v>104</v>
      </c>
      <c r="O10001" t="s">
        <v>253</v>
      </c>
      <c r="P10001" t="s">
        <v>104</v>
      </c>
      <c r="Q10001" t="s">
        <v>69</v>
      </c>
      <c r="R10001" t="s">
        <v>99</v>
      </c>
      <c r="S10001" t="s">
        <v>99</v>
      </c>
    </row>
    <row r="10002" spans="1:19" x14ac:dyDescent="0.3">
      <c r="A10002" t="s">
        <v>33</v>
      </c>
      <c r="B10002" t="s">
        <v>238</v>
      </c>
      <c r="C10002">
        <v>821</v>
      </c>
      <c r="D10002" t="s">
        <v>299</v>
      </c>
      <c r="E10002" t="s">
        <v>99</v>
      </c>
      <c r="F10002" t="s">
        <v>99</v>
      </c>
      <c r="G10002" t="s">
        <v>100</v>
      </c>
      <c r="H10002" t="s">
        <v>104</v>
      </c>
      <c r="I10002" t="s">
        <v>99</v>
      </c>
      <c r="J10002" t="s">
        <v>253</v>
      </c>
      <c r="K10002" t="s">
        <v>198</v>
      </c>
      <c r="L10002" t="s">
        <v>104</v>
      </c>
      <c r="M10002" t="s">
        <v>99</v>
      </c>
      <c r="N10002" t="s">
        <v>104</v>
      </c>
      <c r="O10002" t="s">
        <v>215</v>
      </c>
      <c r="P10002" t="s">
        <v>99</v>
      </c>
      <c r="Q10002" t="s">
        <v>448</v>
      </c>
      <c r="R10002" t="s">
        <v>141</v>
      </c>
      <c r="S10002" t="s">
        <v>104</v>
      </c>
    </row>
    <row r="10003" spans="1:19" x14ac:dyDescent="0.3">
      <c r="A10003" t="s">
        <v>49</v>
      </c>
      <c r="B10003" t="s">
        <v>236</v>
      </c>
      <c r="C10003">
        <v>7220</v>
      </c>
      <c r="D10003" t="s">
        <v>70</v>
      </c>
      <c r="E10003" t="s">
        <v>382</v>
      </c>
      <c r="F10003" t="s">
        <v>104</v>
      </c>
      <c r="G10003" t="s">
        <v>141</v>
      </c>
      <c r="H10003" t="s">
        <v>99</v>
      </c>
      <c r="I10003" t="s">
        <v>99</v>
      </c>
      <c r="J10003" t="s">
        <v>115</v>
      </c>
      <c r="K10003" t="s">
        <v>141</v>
      </c>
      <c r="L10003" t="s">
        <v>99</v>
      </c>
      <c r="M10003" t="s">
        <v>99</v>
      </c>
      <c r="N10003" t="s">
        <v>198</v>
      </c>
      <c r="O10003" t="s">
        <v>111</v>
      </c>
      <c r="P10003" t="s">
        <v>207</v>
      </c>
      <c r="Q10003" t="s">
        <v>855</v>
      </c>
      <c r="R10003" t="s">
        <v>292</v>
      </c>
      <c r="S10003" t="s">
        <v>207</v>
      </c>
    </row>
    <row r="10004" spans="1:19" x14ac:dyDescent="0.3">
      <c r="A10004" t="s">
        <v>49</v>
      </c>
      <c r="B10004" t="s">
        <v>238</v>
      </c>
      <c r="C10004">
        <v>6101</v>
      </c>
      <c r="D10004" t="s">
        <v>833</v>
      </c>
      <c r="E10004" t="s">
        <v>115</v>
      </c>
      <c r="F10004" t="s">
        <v>136</v>
      </c>
      <c r="G10004" t="s">
        <v>132</v>
      </c>
      <c r="H10004" t="s">
        <v>104</v>
      </c>
      <c r="I10004" t="s">
        <v>104</v>
      </c>
      <c r="J10004" t="s">
        <v>114</v>
      </c>
      <c r="K10004" t="s">
        <v>207</v>
      </c>
      <c r="L10004" t="s">
        <v>99</v>
      </c>
      <c r="M10004" t="s">
        <v>99</v>
      </c>
      <c r="N10004" t="s">
        <v>104</v>
      </c>
      <c r="O10004" t="s">
        <v>157</v>
      </c>
      <c r="P10004" t="s">
        <v>108</v>
      </c>
      <c r="Q10004" t="s">
        <v>593</v>
      </c>
      <c r="R10004" t="s">
        <v>128</v>
      </c>
      <c r="S10004" t="s">
        <v>141</v>
      </c>
    </row>
    <row r="10006" spans="1:19" x14ac:dyDescent="0.3">
      <c r="A10006" t="s">
        <v>2481</v>
      </c>
    </row>
    <row r="10007" spans="1:19" x14ac:dyDescent="0.3">
      <c r="A10007" t="s">
        <v>44</v>
      </c>
      <c r="B10007" t="s">
        <v>1720</v>
      </c>
      <c r="C10007" t="s">
        <v>32</v>
      </c>
      <c r="D10007" t="s">
        <v>2467</v>
      </c>
      <c r="E10007" t="s">
        <v>2468</v>
      </c>
      <c r="F10007" t="s">
        <v>2469</v>
      </c>
      <c r="G10007" t="s">
        <v>2470</v>
      </c>
      <c r="H10007" t="s">
        <v>2471</v>
      </c>
      <c r="I10007" t="s">
        <v>2472</v>
      </c>
      <c r="J10007" t="s">
        <v>2473</v>
      </c>
      <c r="K10007" t="s">
        <v>2445</v>
      </c>
      <c r="L10007" t="s">
        <v>2447</v>
      </c>
      <c r="M10007" t="s">
        <v>2448</v>
      </c>
      <c r="N10007" t="s">
        <v>2474</v>
      </c>
      <c r="O10007" t="s">
        <v>2475</v>
      </c>
      <c r="P10007" t="s">
        <v>88</v>
      </c>
      <c r="Q10007" t="s">
        <v>2476</v>
      </c>
      <c r="R10007" t="s">
        <v>83</v>
      </c>
      <c r="S10007" t="s">
        <v>193</v>
      </c>
    </row>
    <row r="10008" spans="1:19" x14ac:dyDescent="0.3">
      <c r="A10008" t="s">
        <v>35</v>
      </c>
      <c r="B10008" t="s">
        <v>1721</v>
      </c>
      <c r="C10008">
        <v>996</v>
      </c>
      <c r="D10008" t="s">
        <v>745</v>
      </c>
      <c r="E10008" t="s">
        <v>207</v>
      </c>
      <c r="F10008" t="s">
        <v>99</v>
      </c>
      <c r="G10008" t="s">
        <v>132</v>
      </c>
      <c r="H10008" t="s">
        <v>99</v>
      </c>
      <c r="I10008" t="s">
        <v>104</v>
      </c>
      <c r="J10008" t="s">
        <v>114</v>
      </c>
      <c r="K10008" t="s">
        <v>104</v>
      </c>
      <c r="L10008" t="s">
        <v>99</v>
      </c>
      <c r="M10008" t="s">
        <v>99</v>
      </c>
      <c r="N10008" t="s">
        <v>99</v>
      </c>
      <c r="O10008" t="s">
        <v>130</v>
      </c>
      <c r="P10008" t="s">
        <v>332</v>
      </c>
      <c r="Q10008" t="s">
        <v>1236</v>
      </c>
      <c r="R10008" t="s">
        <v>121</v>
      </c>
      <c r="S10008" t="s">
        <v>114</v>
      </c>
    </row>
    <row r="10009" spans="1:19" x14ac:dyDescent="0.3">
      <c r="A10009" t="s">
        <v>35</v>
      </c>
      <c r="B10009" t="s">
        <v>1722</v>
      </c>
      <c r="C10009">
        <v>2149</v>
      </c>
      <c r="D10009" t="s">
        <v>106</v>
      </c>
      <c r="E10009" t="s">
        <v>121</v>
      </c>
      <c r="F10009" t="s">
        <v>104</v>
      </c>
      <c r="G10009" t="s">
        <v>198</v>
      </c>
      <c r="H10009" t="s">
        <v>99</v>
      </c>
      <c r="I10009" t="s">
        <v>99</v>
      </c>
      <c r="J10009" t="s">
        <v>101</v>
      </c>
      <c r="K10009" t="s">
        <v>136</v>
      </c>
      <c r="L10009" t="s">
        <v>99</v>
      </c>
      <c r="M10009" t="s">
        <v>99</v>
      </c>
      <c r="N10009" t="s">
        <v>99</v>
      </c>
      <c r="O10009" t="s">
        <v>215</v>
      </c>
      <c r="P10009" t="s">
        <v>207</v>
      </c>
      <c r="Q10009" t="s">
        <v>490</v>
      </c>
      <c r="R10009" t="s">
        <v>143</v>
      </c>
      <c r="S10009" t="s">
        <v>253</v>
      </c>
    </row>
    <row r="10010" spans="1:19" x14ac:dyDescent="0.3">
      <c r="A10010" t="s">
        <v>37</v>
      </c>
      <c r="B10010" t="s">
        <v>1721</v>
      </c>
      <c r="C10010">
        <v>1252</v>
      </c>
      <c r="D10010" t="s">
        <v>147</v>
      </c>
      <c r="E10010" t="s">
        <v>99</v>
      </c>
      <c r="F10010" t="s">
        <v>99</v>
      </c>
      <c r="G10010" t="s">
        <v>114</v>
      </c>
      <c r="H10010" t="s">
        <v>198</v>
      </c>
      <c r="I10010" t="s">
        <v>198</v>
      </c>
      <c r="J10010" t="s">
        <v>253</v>
      </c>
      <c r="K10010" t="s">
        <v>198</v>
      </c>
      <c r="L10010" t="s">
        <v>99</v>
      </c>
      <c r="M10010" t="s">
        <v>104</v>
      </c>
      <c r="N10010" t="s">
        <v>104</v>
      </c>
      <c r="O10010" t="s">
        <v>103</v>
      </c>
      <c r="P10010" t="s">
        <v>136</v>
      </c>
      <c r="Q10010" t="s">
        <v>392</v>
      </c>
      <c r="R10010" t="s">
        <v>107</v>
      </c>
      <c r="S10010" t="s">
        <v>207</v>
      </c>
    </row>
    <row r="10011" spans="1:19" x14ac:dyDescent="0.3">
      <c r="A10011" t="s">
        <v>37</v>
      </c>
      <c r="B10011" t="s">
        <v>1722</v>
      </c>
      <c r="C10011">
        <v>2603</v>
      </c>
      <c r="D10011" t="s">
        <v>157</v>
      </c>
      <c r="E10011" t="s">
        <v>99</v>
      </c>
      <c r="F10011" t="s">
        <v>104</v>
      </c>
      <c r="G10011" t="s">
        <v>115</v>
      </c>
      <c r="H10011" t="s">
        <v>104</v>
      </c>
      <c r="I10011" t="s">
        <v>99</v>
      </c>
      <c r="J10011" t="s">
        <v>132</v>
      </c>
      <c r="K10011" t="s">
        <v>136</v>
      </c>
      <c r="L10011" t="s">
        <v>99</v>
      </c>
      <c r="M10011" t="s">
        <v>99</v>
      </c>
      <c r="N10011" t="s">
        <v>198</v>
      </c>
      <c r="O10011" t="s">
        <v>316</v>
      </c>
      <c r="P10011" t="s">
        <v>104</v>
      </c>
      <c r="Q10011" t="s">
        <v>873</v>
      </c>
      <c r="R10011" t="s">
        <v>107</v>
      </c>
      <c r="S10011" t="s">
        <v>207</v>
      </c>
    </row>
    <row r="10012" spans="1:19" x14ac:dyDescent="0.3">
      <c r="A10012" t="s">
        <v>36</v>
      </c>
      <c r="B10012" t="s">
        <v>1721</v>
      </c>
      <c r="C10012">
        <v>812</v>
      </c>
      <c r="D10012" t="s">
        <v>182</v>
      </c>
      <c r="E10012" t="s">
        <v>108</v>
      </c>
      <c r="F10012" t="s">
        <v>100</v>
      </c>
      <c r="G10012" t="s">
        <v>108</v>
      </c>
      <c r="H10012" t="s">
        <v>99</v>
      </c>
      <c r="I10012" t="s">
        <v>99</v>
      </c>
      <c r="J10012" t="s">
        <v>101</v>
      </c>
      <c r="K10012" t="s">
        <v>115</v>
      </c>
      <c r="L10012" t="s">
        <v>99</v>
      </c>
      <c r="M10012" t="s">
        <v>104</v>
      </c>
      <c r="N10012" t="s">
        <v>207</v>
      </c>
      <c r="O10012" t="s">
        <v>401</v>
      </c>
      <c r="P10012" t="s">
        <v>123</v>
      </c>
      <c r="Q10012" t="s">
        <v>1064</v>
      </c>
      <c r="R10012" t="s">
        <v>114</v>
      </c>
      <c r="S10012" t="s">
        <v>104</v>
      </c>
    </row>
    <row r="10013" spans="1:19" x14ac:dyDescent="0.3">
      <c r="A10013" t="s">
        <v>36</v>
      </c>
      <c r="B10013" t="s">
        <v>1722</v>
      </c>
      <c r="C10013">
        <v>1492</v>
      </c>
      <c r="D10013" t="s">
        <v>363</v>
      </c>
      <c r="E10013" t="s">
        <v>121</v>
      </c>
      <c r="F10013" t="s">
        <v>207</v>
      </c>
      <c r="G10013" t="s">
        <v>126</v>
      </c>
      <c r="H10013" t="s">
        <v>104</v>
      </c>
      <c r="I10013" t="s">
        <v>99</v>
      </c>
      <c r="J10013" t="s">
        <v>115</v>
      </c>
      <c r="K10013" t="s">
        <v>114</v>
      </c>
      <c r="L10013" t="s">
        <v>99</v>
      </c>
      <c r="M10013" t="s">
        <v>104</v>
      </c>
      <c r="N10013" t="s">
        <v>132</v>
      </c>
      <c r="O10013" t="s">
        <v>363</v>
      </c>
      <c r="P10013" t="s">
        <v>114</v>
      </c>
      <c r="Q10013" t="s">
        <v>436</v>
      </c>
      <c r="R10013" t="s">
        <v>268</v>
      </c>
      <c r="S10013" t="s">
        <v>198</v>
      </c>
    </row>
    <row r="10014" spans="1:19" x14ac:dyDescent="0.3">
      <c r="A10014" t="s">
        <v>34</v>
      </c>
      <c r="B10014" t="s">
        <v>1721</v>
      </c>
      <c r="C10014">
        <v>621</v>
      </c>
      <c r="D10014" t="s">
        <v>827</v>
      </c>
      <c r="E10014" t="s">
        <v>144</v>
      </c>
      <c r="F10014" t="s">
        <v>121</v>
      </c>
      <c r="G10014" t="s">
        <v>136</v>
      </c>
      <c r="H10014" t="s">
        <v>99</v>
      </c>
      <c r="I10014" t="s">
        <v>198</v>
      </c>
      <c r="J10014" t="s">
        <v>108</v>
      </c>
      <c r="K10014" t="s">
        <v>104</v>
      </c>
      <c r="L10014" t="s">
        <v>99</v>
      </c>
      <c r="M10014" t="s">
        <v>136</v>
      </c>
      <c r="N10014" t="s">
        <v>207</v>
      </c>
      <c r="O10014" t="s">
        <v>105</v>
      </c>
      <c r="P10014" t="s">
        <v>253</v>
      </c>
      <c r="Q10014" t="s">
        <v>1190</v>
      </c>
      <c r="R10014" t="s">
        <v>104</v>
      </c>
      <c r="S10014" t="s">
        <v>100</v>
      </c>
    </row>
    <row r="10015" spans="1:19" x14ac:dyDescent="0.3">
      <c r="A10015" t="s">
        <v>34</v>
      </c>
      <c r="B10015" t="s">
        <v>1722</v>
      </c>
      <c r="C10015">
        <v>1459</v>
      </c>
      <c r="D10015" t="s">
        <v>1206</v>
      </c>
      <c r="E10015" t="s">
        <v>316</v>
      </c>
      <c r="F10015" t="s">
        <v>115</v>
      </c>
      <c r="G10015" t="s">
        <v>141</v>
      </c>
      <c r="H10015" t="s">
        <v>99</v>
      </c>
      <c r="I10015" t="s">
        <v>99</v>
      </c>
      <c r="J10015" t="s">
        <v>108</v>
      </c>
      <c r="K10015" t="s">
        <v>253</v>
      </c>
      <c r="L10015" t="s">
        <v>99</v>
      </c>
      <c r="M10015" t="s">
        <v>104</v>
      </c>
      <c r="N10015" t="s">
        <v>99</v>
      </c>
      <c r="O10015" t="s">
        <v>382</v>
      </c>
      <c r="P10015" t="s">
        <v>104</v>
      </c>
      <c r="Q10015" t="s">
        <v>1122</v>
      </c>
      <c r="R10015" t="s">
        <v>108</v>
      </c>
      <c r="S10015" t="s">
        <v>104</v>
      </c>
    </row>
    <row r="10016" spans="1:19" x14ac:dyDescent="0.3">
      <c r="A10016" t="s">
        <v>33</v>
      </c>
      <c r="B10016" t="s">
        <v>1721</v>
      </c>
      <c r="C10016">
        <v>557</v>
      </c>
      <c r="D10016" t="s">
        <v>152</v>
      </c>
      <c r="E10016" t="s">
        <v>99</v>
      </c>
      <c r="F10016" t="s">
        <v>198</v>
      </c>
      <c r="G10016" t="s">
        <v>132</v>
      </c>
      <c r="H10016" t="s">
        <v>99</v>
      </c>
      <c r="I10016" t="s">
        <v>99</v>
      </c>
      <c r="J10016" t="s">
        <v>253</v>
      </c>
      <c r="K10016" t="s">
        <v>198</v>
      </c>
      <c r="L10016" t="s">
        <v>99</v>
      </c>
      <c r="M10016" t="s">
        <v>99</v>
      </c>
      <c r="N10016" t="s">
        <v>99</v>
      </c>
      <c r="O10016" t="s">
        <v>114</v>
      </c>
      <c r="P10016" t="s">
        <v>99</v>
      </c>
      <c r="Q10016" t="s">
        <v>359</v>
      </c>
      <c r="R10016" t="s">
        <v>198</v>
      </c>
      <c r="S10016" t="s">
        <v>99</v>
      </c>
    </row>
    <row r="10017" spans="1:19" x14ac:dyDescent="0.3">
      <c r="A10017" t="s">
        <v>33</v>
      </c>
      <c r="B10017" t="s">
        <v>1722</v>
      </c>
      <c r="C10017">
        <v>1380</v>
      </c>
      <c r="D10017" t="s">
        <v>242</v>
      </c>
      <c r="E10017" t="s">
        <v>104</v>
      </c>
      <c r="F10017" t="s">
        <v>99</v>
      </c>
      <c r="G10017" t="s">
        <v>132</v>
      </c>
      <c r="H10017" t="s">
        <v>104</v>
      </c>
      <c r="I10017" t="s">
        <v>99</v>
      </c>
      <c r="J10017" t="s">
        <v>141</v>
      </c>
      <c r="K10017" t="s">
        <v>104</v>
      </c>
      <c r="L10017" t="s">
        <v>104</v>
      </c>
      <c r="M10017" t="s">
        <v>99</v>
      </c>
      <c r="N10017" t="s">
        <v>198</v>
      </c>
      <c r="O10017" t="s">
        <v>121</v>
      </c>
      <c r="P10017" t="s">
        <v>104</v>
      </c>
      <c r="Q10017" t="s">
        <v>247</v>
      </c>
      <c r="R10017" t="s">
        <v>207</v>
      </c>
      <c r="S10017" t="s">
        <v>104</v>
      </c>
    </row>
    <row r="10018" spans="1:19" x14ac:dyDescent="0.3">
      <c r="A10018" t="s">
        <v>49</v>
      </c>
      <c r="B10018" t="s">
        <v>1721</v>
      </c>
      <c r="C10018">
        <v>4238</v>
      </c>
      <c r="D10018" t="s">
        <v>298</v>
      </c>
      <c r="E10018" t="s">
        <v>101</v>
      </c>
      <c r="F10018" t="s">
        <v>136</v>
      </c>
      <c r="G10018" t="s">
        <v>132</v>
      </c>
      <c r="H10018" t="s">
        <v>104</v>
      </c>
      <c r="I10018" t="s">
        <v>104</v>
      </c>
      <c r="J10018" t="s">
        <v>132</v>
      </c>
      <c r="K10018" t="s">
        <v>198</v>
      </c>
      <c r="L10018" t="s">
        <v>99</v>
      </c>
      <c r="M10018" t="s">
        <v>104</v>
      </c>
      <c r="N10018" t="s">
        <v>104</v>
      </c>
      <c r="O10018" t="s">
        <v>155</v>
      </c>
      <c r="P10018" t="s">
        <v>319</v>
      </c>
      <c r="Q10018" t="s">
        <v>520</v>
      </c>
      <c r="R10018" t="s">
        <v>101</v>
      </c>
      <c r="S10018" t="s">
        <v>253</v>
      </c>
    </row>
    <row r="10019" spans="1:19" x14ac:dyDescent="0.3">
      <c r="A10019" t="s">
        <v>49</v>
      </c>
      <c r="B10019" t="s">
        <v>1722</v>
      </c>
      <c r="C10019">
        <v>9083</v>
      </c>
      <c r="D10019" t="s">
        <v>536</v>
      </c>
      <c r="E10019" t="s">
        <v>114</v>
      </c>
      <c r="F10019" t="s">
        <v>198</v>
      </c>
      <c r="G10019" t="s">
        <v>253</v>
      </c>
      <c r="H10019" t="s">
        <v>99</v>
      </c>
      <c r="I10019" t="s">
        <v>99</v>
      </c>
      <c r="J10019" t="s">
        <v>108</v>
      </c>
      <c r="K10019" t="s">
        <v>141</v>
      </c>
      <c r="L10019" t="s">
        <v>99</v>
      </c>
      <c r="M10019" t="s">
        <v>99</v>
      </c>
      <c r="N10019" t="s">
        <v>198</v>
      </c>
      <c r="O10019" t="s">
        <v>117</v>
      </c>
      <c r="P10019" t="s">
        <v>207</v>
      </c>
      <c r="Q10019" t="s">
        <v>1132</v>
      </c>
      <c r="R10019" t="s">
        <v>107</v>
      </c>
      <c r="S10019" t="s">
        <v>207</v>
      </c>
    </row>
    <row r="10021" spans="1:19" x14ac:dyDescent="0.3">
      <c r="A10021" t="s">
        <v>2482</v>
      </c>
    </row>
    <row r="10022" spans="1:19" x14ac:dyDescent="0.3">
      <c r="A10022" t="s">
        <v>44</v>
      </c>
      <c r="B10022" t="s">
        <v>257</v>
      </c>
      <c r="C10022" t="s">
        <v>32</v>
      </c>
      <c r="D10022" t="s">
        <v>2467</v>
      </c>
      <c r="E10022" t="s">
        <v>2468</v>
      </c>
      <c r="F10022" t="s">
        <v>2469</v>
      </c>
      <c r="G10022" t="s">
        <v>2470</v>
      </c>
      <c r="H10022" t="s">
        <v>2471</v>
      </c>
      <c r="I10022" t="s">
        <v>2472</v>
      </c>
      <c r="J10022" t="s">
        <v>2473</v>
      </c>
      <c r="K10022" t="s">
        <v>2445</v>
      </c>
      <c r="L10022" t="s">
        <v>2447</v>
      </c>
      <c r="M10022" t="s">
        <v>2448</v>
      </c>
      <c r="N10022" t="s">
        <v>2474</v>
      </c>
      <c r="O10022" t="s">
        <v>2475</v>
      </c>
      <c r="P10022" t="s">
        <v>88</v>
      </c>
      <c r="Q10022" t="s">
        <v>2476</v>
      </c>
      <c r="R10022" t="s">
        <v>83</v>
      </c>
      <c r="S10022" t="s">
        <v>193</v>
      </c>
    </row>
    <row r="10023" spans="1:19" x14ac:dyDescent="0.3">
      <c r="A10023" t="s">
        <v>35</v>
      </c>
      <c r="B10023" t="s">
        <v>258</v>
      </c>
      <c r="C10023">
        <v>2873</v>
      </c>
      <c r="D10023" t="s">
        <v>682</v>
      </c>
      <c r="E10023" t="s">
        <v>132</v>
      </c>
      <c r="F10023" t="s">
        <v>99</v>
      </c>
      <c r="G10023" t="s">
        <v>136</v>
      </c>
      <c r="H10023" t="s">
        <v>99</v>
      </c>
      <c r="I10023" t="s">
        <v>99</v>
      </c>
      <c r="J10023" t="s">
        <v>121</v>
      </c>
      <c r="K10023" t="s">
        <v>136</v>
      </c>
      <c r="L10023" t="s">
        <v>99</v>
      </c>
      <c r="M10023" t="s">
        <v>99</v>
      </c>
      <c r="N10023" t="s">
        <v>99</v>
      </c>
      <c r="O10023" t="s">
        <v>316</v>
      </c>
      <c r="P10023" t="s">
        <v>382</v>
      </c>
      <c r="Q10023" t="s">
        <v>926</v>
      </c>
      <c r="R10023" t="s">
        <v>242</v>
      </c>
      <c r="S10023" t="s">
        <v>132</v>
      </c>
    </row>
    <row r="10024" spans="1:19" x14ac:dyDescent="0.3">
      <c r="A10024" t="s">
        <v>35</v>
      </c>
      <c r="B10024" t="s">
        <v>260</v>
      </c>
      <c r="C10024">
        <v>272</v>
      </c>
      <c r="D10024" t="s">
        <v>667</v>
      </c>
      <c r="E10024" t="s">
        <v>215</v>
      </c>
      <c r="F10024" t="s">
        <v>115</v>
      </c>
      <c r="G10024" t="s">
        <v>99</v>
      </c>
      <c r="H10024" t="s">
        <v>99</v>
      </c>
      <c r="I10024" t="s">
        <v>99</v>
      </c>
      <c r="J10024" t="s">
        <v>132</v>
      </c>
      <c r="K10024" t="s">
        <v>99</v>
      </c>
      <c r="L10024" t="s">
        <v>99</v>
      </c>
      <c r="M10024" t="s">
        <v>99</v>
      </c>
      <c r="N10024" t="s">
        <v>99</v>
      </c>
      <c r="O10024" t="s">
        <v>382</v>
      </c>
      <c r="P10024" t="s">
        <v>99</v>
      </c>
      <c r="Q10024" t="s">
        <v>1160</v>
      </c>
      <c r="R10024" t="s">
        <v>136</v>
      </c>
      <c r="S10024" t="s">
        <v>136</v>
      </c>
    </row>
    <row r="10025" spans="1:19" x14ac:dyDescent="0.3">
      <c r="A10025" t="s">
        <v>37</v>
      </c>
      <c r="B10025" t="s">
        <v>258</v>
      </c>
      <c r="C10025">
        <v>3855</v>
      </c>
      <c r="D10025" t="s">
        <v>107</v>
      </c>
      <c r="E10025" t="s">
        <v>99</v>
      </c>
      <c r="F10025" t="s">
        <v>104</v>
      </c>
      <c r="G10025" t="s">
        <v>132</v>
      </c>
      <c r="H10025" t="s">
        <v>104</v>
      </c>
      <c r="I10025" t="s">
        <v>104</v>
      </c>
      <c r="J10025" t="s">
        <v>115</v>
      </c>
      <c r="K10025" t="s">
        <v>136</v>
      </c>
      <c r="L10025" t="s">
        <v>99</v>
      </c>
      <c r="M10025" t="s">
        <v>99</v>
      </c>
      <c r="N10025" t="s">
        <v>198</v>
      </c>
      <c r="O10025" t="s">
        <v>103</v>
      </c>
      <c r="P10025" t="s">
        <v>198</v>
      </c>
      <c r="Q10025" t="s">
        <v>232</v>
      </c>
      <c r="R10025" t="s">
        <v>107</v>
      </c>
      <c r="S10025" t="s">
        <v>207</v>
      </c>
    </row>
    <row r="10026" spans="1:19" x14ac:dyDescent="0.3">
      <c r="A10026" t="s">
        <v>36</v>
      </c>
      <c r="B10026" t="s">
        <v>258</v>
      </c>
      <c r="C10026">
        <v>2099</v>
      </c>
      <c r="D10026" t="s">
        <v>363</v>
      </c>
      <c r="E10026" t="s">
        <v>114</v>
      </c>
      <c r="F10026" t="s">
        <v>253</v>
      </c>
      <c r="G10026" t="s">
        <v>101</v>
      </c>
      <c r="H10026" t="s">
        <v>99</v>
      </c>
      <c r="I10026" t="s">
        <v>99</v>
      </c>
      <c r="J10026" t="s">
        <v>108</v>
      </c>
      <c r="K10026" t="s">
        <v>108</v>
      </c>
      <c r="L10026" t="s">
        <v>99</v>
      </c>
      <c r="M10026" t="s">
        <v>104</v>
      </c>
      <c r="N10026" t="s">
        <v>253</v>
      </c>
      <c r="O10026" t="s">
        <v>363</v>
      </c>
      <c r="P10026" t="s">
        <v>101</v>
      </c>
      <c r="Q10026" t="s">
        <v>859</v>
      </c>
      <c r="R10026" t="s">
        <v>127</v>
      </c>
      <c r="S10026" t="s">
        <v>104</v>
      </c>
    </row>
    <row r="10027" spans="1:19" x14ac:dyDescent="0.3">
      <c r="A10027" t="s">
        <v>36</v>
      </c>
      <c r="B10027" t="s">
        <v>260</v>
      </c>
      <c r="C10027">
        <v>205</v>
      </c>
      <c r="D10027" t="s">
        <v>631</v>
      </c>
      <c r="E10027" t="s">
        <v>673</v>
      </c>
      <c r="F10027" t="s">
        <v>141</v>
      </c>
      <c r="G10027" t="s">
        <v>99</v>
      </c>
      <c r="H10027" t="s">
        <v>141</v>
      </c>
      <c r="I10027" t="s">
        <v>99</v>
      </c>
      <c r="J10027" t="s">
        <v>147</v>
      </c>
      <c r="K10027" t="s">
        <v>151</v>
      </c>
      <c r="L10027" t="s">
        <v>99</v>
      </c>
      <c r="M10027" t="s">
        <v>141</v>
      </c>
      <c r="N10027" t="s">
        <v>99</v>
      </c>
      <c r="O10027" t="s">
        <v>117</v>
      </c>
      <c r="P10027" t="s">
        <v>99</v>
      </c>
      <c r="Q10027" t="s">
        <v>905</v>
      </c>
      <c r="R10027" t="s">
        <v>114</v>
      </c>
      <c r="S10027" t="s">
        <v>99</v>
      </c>
    </row>
    <row r="10028" spans="1:19" x14ac:dyDescent="0.3">
      <c r="A10028" t="s">
        <v>34</v>
      </c>
      <c r="B10028" t="s">
        <v>258</v>
      </c>
      <c r="C10028">
        <v>1221</v>
      </c>
      <c r="D10028" t="s">
        <v>683</v>
      </c>
      <c r="E10028" t="s">
        <v>99</v>
      </c>
      <c r="F10028" t="s">
        <v>99</v>
      </c>
      <c r="G10028" t="s">
        <v>207</v>
      </c>
      <c r="H10028" t="s">
        <v>99</v>
      </c>
      <c r="I10028" t="s">
        <v>99</v>
      </c>
      <c r="J10028" t="s">
        <v>136</v>
      </c>
      <c r="K10028" t="s">
        <v>115</v>
      </c>
      <c r="L10028" t="s">
        <v>99</v>
      </c>
      <c r="M10028" t="s">
        <v>198</v>
      </c>
      <c r="N10028" t="s">
        <v>99</v>
      </c>
      <c r="O10028" t="s">
        <v>103</v>
      </c>
      <c r="P10028" t="s">
        <v>136</v>
      </c>
      <c r="Q10028" t="s">
        <v>530</v>
      </c>
      <c r="R10028" t="s">
        <v>141</v>
      </c>
      <c r="S10028" t="s">
        <v>99</v>
      </c>
    </row>
    <row r="10029" spans="1:19" x14ac:dyDescent="0.3">
      <c r="A10029" t="s">
        <v>34</v>
      </c>
      <c r="B10029" t="s">
        <v>260</v>
      </c>
      <c r="C10029">
        <v>859</v>
      </c>
      <c r="D10029" t="s">
        <v>570</v>
      </c>
      <c r="E10029" t="s">
        <v>144</v>
      </c>
      <c r="F10029" t="s">
        <v>101</v>
      </c>
      <c r="G10029" t="s">
        <v>253</v>
      </c>
      <c r="H10029" t="s">
        <v>99</v>
      </c>
      <c r="I10029" t="s">
        <v>104</v>
      </c>
      <c r="J10029" t="s">
        <v>101</v>
      </c>
      <c r="K10029" t="s">
        <v>207</v>
      </c>
      <c r="L10029" t="s">
        <v>99</v>
      </c>
      <c r="M10029" t="s">
        <v>198</v>
      </c>
      <c r="N10029" t="s">
        <v>104</v>
      </c>
      <c r="O10029" t="s">
        <v>123</v>
      </c>
      <c r="P10029" t="s">
        <v>198</v>
      </c>
      <c r="Q10029" t="s">
        <v>1188</v>
      </c>
      <c r="R10029" t="s">
        <v>115</v>
      </c>
      <c r="S10029" t="s">
        <v>253</v>
      </c>
    </row>
    <row r="10030" spans="1:19" x14ac:dyDescent="0.3">
      <c r="A10030" t="s">
        <v>33</v>
      </c>
      <c r="B10030" t="s">
        <v>258</v>
      </c>
      <c r="C10030">
        <v>1937</v>
      </c>
      <c r="D10030" t="s">
        <v>124</v>
      </c>
      <c r="E10030" t="s">
        <v>99</v>
      </c>
      <c r="F10030" t="s">
        <v>104</v>
      </c>
      <c r="G10030" t="s">
        <v>132</v>
      </c>
      <c r="H10030" t="s">
        <v>104</v>
      </c>
      <c r="I10030" t="s">
        <v>99</v>
      </c>
      <c r="J10030" t="s">
        <v>141</v>
      </c>
      <c r="K10030" t="s">
        <v>104</v>
      </c>
      <c r="L10030" t="s">
        <v>104</v>
      </c>
      <c r="M10030" t="s">
        <v>99</v>
      </c>
      <c r="N10030" t="s">
        <v>104</v>
      </c>
      <c r="O10030" t="s">
        <v>121</v>
      </c>
      <c r="P10030" t="s">
        <v>99</v>
      </c>
      <c r="Q10030" t="s">
        <v>364</v>
      </c>
      <c r="R10030" t="s">
        <v>198</v>
      </c>
      <c r="S10030" t="s">
        <v>104</v>
      </c>
    </row>
    <row r="10031" spans="1:19" x14ac:dyDescent="0.3">
      <c r="A10031" t="s">
        <v>49</v>
      </c>
      <c r="B10031" t="s">
        <v>258</v>
      </c>
      <c r="C10031">
        <v>11985</v>
      </c>
      <c r="D10031" t="s">
        <v>218</v>
      </c>
      <c r="E10031" t="s">
        <v>136</v>
      </c>
      <c r="F10031" t="s">
        <v>104</v>
      </c>
      <c r="G10031" t="s">
        <v>115</v>
      </c>
      <c r="H10031" t="s">
        <v>104</v>
      </c>
      <c r="I10031" t="s">
        <v>99</v>
      </c>
      <c r="J10031" t="s">
        <v>132</v>
      </c>
      <c r="K10031" t="s">
        <v>136</v>
      </c>
      <c r="L10031" t="s">
        <v>99</v>
      </c>
      <c r="M10031" t="s">
        <v>99</v>
      </c>
      <c r="N10031" t="s">
        <v>104</v>
      </c>
      <c r="O10031" t="s">
        <v>147</v>
      </c>
      <c r="P10031" t="s">
        <v>115</v>
      </c>
      <c r="Q10031" t="s">
        <v>441</v>
      </c>
      <c r="R10031" t="s">
        <v>120</v>
      </c>
      <c r="S10031" t="s">
        <v>136</v>
      </c>
    </row>
    <row r="10032" spans="1:19" x14ac:dyDescent="0.3">
      <c r="A10032" t="s">
        <v>49</v>
      </c>
      <c r="B10032" t="s">
        <v>260</v>
      </c>
      <c r="C10032">
        <v>1336</v>
      </c>
      <c r="D10032" t="s">
        <v>527</v>
      </c>
      <c r="E10032" t="s">
        <v>684</v>
      </c>
      <c r="F10032" t="s">
        <v>121</v>
      </c>
      <c r="G10032" t="s">
        <v>136</v>
      </c>
      <c r="H10032" t="s">
        <v>99</v>
      </c>
      <c r="I10032" t="s">
        <v>104</v>
      </c>
      <c r="J10032" t="s">
        <v>121</v>
      </c>
      <c r="K10032" t="s">
        <v>207</v>
      </c>
      <c r="L10032" t="s">
        <v>99</v>
      </c>
      <c r="M10032" t="s">
        <v>104</v>
      </c>
      <c r="N10032" t="s">
        <v>104</v>
      </c>
      <c r="O10032" t="s">
        <v>127</v>
      </c>
      <c r="P10032" t="s">
        <v>198</v>
      </c>
      <c r="Q10032" t="s">
        <v>2132</v>
      </c>
      <c r="R10032" t="s">
        <v>253</v>
      </c>
      <c r="S10032" t="s">
        <v>253</v>
      </c>
    </row>
    <row r="10034" spans="1:8" x14ac:dyDescent="0.3">
      <c r="A10034" t="s">
        <v>2483</v>
      </c>
    </row>
    <row r="10035" spans="1:8" x14ac:dyDescent="0.3">
      <c r="A10035" t="s">
        <v>44</v>
      </c>
      <c r="B10035" t="s">
        <v>32</v>
      </c>
      <c r="C10035" t="s">
        <v>83</v>
      </c>
      <c r="D10035" t="s">
        <v>66</v>
      </c>
      <c r="E10035" t="s">
        <v>2484</v>
      </c>
      <c r="F10035" t="s">
        <v>2485</v>
      </c>
      <c r="G10035" t="s">
        <v>2486</v>
      </c>
    </row>
    <row r="10036" spans="1:8" x14ac:dyDescent="0.3">
      <c r="A10036" t="s">
        <v>35</v>
      </c>
      <c r="B10036">
        <v>3145</v>
      </c>
      <c r="C10036" t="s">
        <v>123</v>
      </c>
      <c r="D10036" t="s">
        <v>552</v>
      </c>
      <c r="E10036" t="s">
        <v>119</v>
      </c>
      <c r="F10036" t="s">
        <v>677</v>
      </c>
      <c r="G10036" t="s">
        <v>136</v>
      </c>
    </row>
    <row r="10037" spans="1:8" x14ac:dyDescent="0.3">
      <c r="A10037" t="s">
        <v>37</v>
      </c>
      <c r="B10037">
        <v>3855</v>
      </c>
      <c r="C10037" t="s">
        <v>120</v>
      </c>
      <c r="D10037" t="s">
        <v>618</v>
      </c>
      <c r="E10037" t="s">
        <v>667</v>
      </c>
      <c r="F10037" t="s">
        <v>113</v>
      </c>
      <c r="G10037" t="s">
        <v>104</v>
      </c>
    </row>
    <row r="10038" spans="1:8" x14ac:dyDescent="0.3">
      <c r="A10038" t="s">
        <v>36</v>
      </c>
      <c r="B10038">
        <v>2305</v>
      </c>
      <c r="C10038" t="s">
        <v>108</v>
      </c>
      <c r="D10038" t="s">
        <v>725</v>
      </c>
      <c r="E10038" t="s">
        <v>919</v>
      </c>
      <c r="F10038" t="s">
        <v>743</v>
      </c>
      <c r="G10038" t="s">
        <v>99</v>
      </c>
    </row>
    <row r="10039" spans="1:8" x14ac:dyDescent="0.3">
      <c r="A10039" t="s">
        <v>34</v>
      </c>
      <c r="B10039">
        <v>2080</v>
      </c>
      <c r="C10039" t="s">
        <v>108</v>
      </c>
      <c r="D10039" t="s">
        <v>576</v>
      </c>
      <c r="E10039" t="s">
        <v>653</v>
      </c>
      <c r="F10039" t="s">
        <v>712</v>
      </c>
      <c r="G10039" t="s">
        <v>207</v>
      </c>
    </row>
    <row r="10040" spans="1:8" x14ac:dyDescent="0.3">
      <c r="A10040" t="s">
        <v>33</v>
      </c>
      <c r="B10040">
        <v>1937</v>
      </c>
      <c r="C10040" t="s">
        <v>253</v>
      </c>
      <c r="D10040" t="s">
        <v>633</v>
      </c>
      <c r="E10040" t="s">
        <v>56</v>
      </c>
      <c r="F10040" t="s">
        <v>368</v>
      </c>
      <c r="G10040" t="s">
        <v>99</v>
      </c>
    </row>
    <row r="10041" spans="1:8" x14ac:dyDescent="0.3">
      <c r="A10041" t="s">
        <v>49</v>
      </c>
      <c r="B10041">
        <v>13322</v>
      </c>
      <c r="C10041" t="s">
        <v>215</v>
      </c>
      <c r="D10041" t="s">
        <v>904</v>
      </c>
      <c r="E10041" t="s">
        <v>816</v>
      </c>
      <c r="F10041" t="s">
        <v>287</v>
      </c>
      <c r="G10041" t="s">
        <v>198</v>
      </c>
    </row>
    <row r="10043" spans="1:8" x14ac:dyDescent="0.3">
      <c r="A10043" t="s">
        <v>2487</v>
      </c>
    </row>
    <row r="10044" spans="1:8" x14ac:dyDescent="0.3">
      <c r="A10044" t="s">
        <v>44</v>
      </c>
      <c r="B10044" t="s">
        <v>361</v>
      </c>
      <c r="C10044" t="s">
        <v>32</v>
      </c>
      <c r="D10044" t="s">
        <v>83</v>
      </c>
      <c r="E10044" t="s">
        <v>66</v>
      </c>
      <c r="F10044" t="s">
        <v>2484</v>
      </c>
      <c r="G10044" t="s">
        <v>2485</v>
      </c>
      <c r="H10044" t="s">
        <v>2486</v>
      </c>
    </row>
    <row r="10045" spans="1:8" x14ac:dyDescent="0.3">
      <c r="A10045" t="s">
        <v>35</v>
      </c>
      <c r="B10045" t="s">
        <v>339</v>
      </c>
      <c r="C10045">
        <v>890</v>
      </c>
      <c r="D10045" t="s">
        <v>107</v>
      </c>
      <c r="E10045" t="s">
        <v>589</v>
      </c>
      <c r="F10045" t="s">
        <v>736</v>
      </c>
      <c r="G10045" t="s">
        <v>363</v>
      </c>
      <c r="H10045" t="s">
        <v>141</v>
      </c>
    </row>
    <row r="10046" spans="1:8" x14ac:dyDescent="0.3">
      <c r="A10046" t="s">
        <v>35</v>
      </c>
      <c r="B10046" t="s">
        <v>340</v>
      </c>
      <c r="C10046">
        <v>2215</v>
      </c>
      <c r="D10046" t="s">
        <v>319</v>
      </c>
      <c r="E10046" t="s">
        <v>1340</v>
      </c>
      <c r="F10046" t="s">
        <v>1157</v>
      </c>
      <c r="G10046" t="s">
        <v>255</v>
      </c>
      <c r="H10046" t="s">
        <v>136</v>
      </c>
    </row>
    <row r="10047" spans="1:8" x14ac:dyDescent="0.3">
      <c r="A10047" t="s">
        <v>35</v>
      </c>
      <c r="B10047" t="s">
        <v>365</v>
      </c>
      <c r="C10047">
        <v>40</v>
      </c>
      <c r="D10047" t="s">
        <v>99</v>
      </c>
      <c r="E10047" t="s">
        <v>576</v>
      </c>
      <c r="F10047" t="s">
        <v>549</v>
      </c>
      <c r="G10047" t="s">
        <v>139</v>
      </c>
      <c r="H10047" t="s">
        <v>99</v>
      </c>
    </row>
    <row r="10048" spans="1:8" x14ac:dyDescent="0.3">
      <c r="A10048" t="s">
        <v>37</v>
      </c>
      <c r="B10048" t="s">
        <v>339</v>
      </c>
      <c r="C10048">
        <v>1093</v>
      </c>
      <c r="D10048" t="s">
        <v>130</v>
      </c>
      <c r="E10048" t="s">
        <v>819</v>
      </c>
      <c r="F10048" t="s">
        <v>1057</v>
      </c>
      <c r="G10048" t="s">
        <v>152</v>
      </c>
      <c r="H10048" t="s">
        <v>104</v>
      </c>
    </row>
    <row r="10049" spans="1:8" x14ac:dyDescent="0.3">
      <c r="A10049" t="s">
        <v>37</v>
      </c>
      <c r="B10049" t="s">
        <v>340</v>
      </c>
      <c r="C10049">
        <v>2721</v>
      </c>
      <c r="D10049" t="s">
        <v>268</v>
      </c>
      <c r="E10049" t="s">
        <v>1095</v>
      </c>
      <c r="F10049" t="s">
        <v>924</v>
      </c>
      <c r="G10049" t="s">
        <v>296</v>
      </c>
      <c r="H10049" t="s">
        <v>104</v>
      </c>
    </row>
    <row r="10050" spans="1:8" x14ac:dyDescent="0.3">
      <c r="A10050" t="s">
        <v>37</v>
      </c>
      <c r="B10050" t="s">
        <v>365</v>
      </c>
      <c r="C10050">
        <v>41</v>
      </c>
      <c r="D10050" t="s">
        <v>151</v>
      </c>
      <c r="E10050" t="s">
        <v>526</v>
      </c>
      <c r="F10050" t="s">
        <v>442</v>
      </c>
      <c r="G10050" t="s">
        <v>70</v>
      </c>
      <c r="H10050" t="s">
        <v>99</v>
      </c>
    </row>
    <row r="10051" spans="1:8" x14ac:dyDescent="0.3">
      <c r="A10051" t="s">
        <v>36</v>
      </c>
      <c r="B10051" t="s">
        <v>339</v>
      </c>
      <c r="C10051">
        <v>770</v>
      </c>
      <c r="D10051" t="s">
        <v>114</v>
      </c>
      <c r="E10051" t="s">
        <v>1570</v>
      </c>
      <c r="F10051" t="s">
        <v>736</v>
      </c>
      <c r="G10051" t="s">
        <v>734</v>
      </c>
      <c r="H10051" t="s">
        <v>104</v>
      </c>
    </row>
    <row r="10052" spans="1:8" x14ac:dyDescent="0.3">
      <c r="A10052" t="s">
        <v>36</v>
      </c>
      <c r="B10052" t="s">
        <v>340</v>
      </c>
      <c r="C10052">
        <v>1472</v>
      </c>
      <c r="D10052" t="s">
        <v>141</v>
      </c>
      <c r="E10052" t="s">
        <v>703</v>
      </c>
      <c r="F10052" t="s">
        <v>620</v>
      </c>
      <c r="G10052" t="s">
        <v>410</v>
      </c>
      <c r="H10052" t="s">
        <v>99</v>
      </c>
    </row>
    <row r="10053" spans="1:8" x14ac:dyDescent="0.3">
      <c r="A10053" t="s">
        <v>36</v>
      </c>
      <c r="B10053" t="s">
        <v>365</v>
      </c>
      <c r="C10053">
        <v>63</v>
      </c>
      <c r="D10053" t="s">
        <v>369</v>
      </c>
      <c r="E10053" t="s">
        <v>416</v>
      </c>
      <c r="F10053" t="s">
        <v>1472</v>
      </c>
      <c r="G10053" t="s">
        <v>410</v>
      </c>
      <c r="H10053" t="s">
        <v>99</v>
      </c>
    </row>
    <row r="10054" spans="1:8" x14ac:dyDescent="0.3">
      <c r="A10054" t="s">
        <v>34</v>
      </c>
      <c r="B10054" t="s">
        <v>339</v>
      </c>
      <c r="C10054">
        <v>555</v>
      </c>
      <c r="D10054" t="s">
        <v>100</v>
      </c>
      <c r="E10054" t="s">
        <v>1704</v>
      </c>
      <c r="F10054" t="s">
        <v>561</v>
      </c>
      <c r="G10054" t="s">
        <v>154</v>
      </c>
      <c r="H10054" t="s">
        <v>136</v>
      </c>
    </row>
    <row r="10055" spans="1:8" x14ac:dyDescent="0.3">
      <c r="A10055" t="s">
        <v>34</v>
      </c>
      <c r="B10055" t="s">
        <v>340</v>
      </c>
      <c r="C10055">
        <v>1497</v>
      </c>
      <c r="D10055" t="s">
        <v>108</v>
      </c>
      <c r="E10055" t="s">
        <v>925</v>
      </c>
      <c r="F10055" t="s">
        <v>557</v>
      </c>
      <c r="G10055" t="s">
        <v>68</v>
      </c>
      <c r="H10055" t="s">
        <v>198</v>
      </c>
    </row>
    <row r="10056" spans="1:8" x14ac:dyDescent="0.3">
      <c r="A10056" t="s">
        <v>34</v>
      </c>
      <c r="B10056" t="s">
        <v>365</v>
      </c>
      <c r="C10056">
        <v>28</v>
      </c>
      <c r="D10056" t="s">
        <v>99</v>
      </c>
      <c r="E10056" t="s">
        <v>1179</v>
      </c>
      <c r="F10056" t="s">
        <v>1163</v>
      </c>
      <c r="G10056" t="s">
        <v>99</v>
      </c>
      <c r="H10056" t="s">
        <v>99</v>
      </c>
    </row>
    <row r="10057" spans="1:8" x14ac:dyDescent="0.3">
      <c r="A10057" t="s">
        <v>33</v>
      </c>
      <c r="B10057" t="s">
        <v>339</v>
      </c>
      <c r="C10057">
        <v>503</v>
      </c>
      <c r="D10057" t="s">
        <v>101</v>
      </c>
      <c r="E10057" t="s">
        <v>815</v>
      </c>
      <c r="F10057" t="s">
        <v>734</v>
      </c>
      <c r="G10057" t="s">
        <v>798</v>
      </c>
      <c r="H10057" t="s">
        <v>99</v>
      </c>
    </row>
    <row r="10058" spans="1:8" x14ac:dyDescent="0.3">
      <c r="A10058" t="s">
        <v>33</v>
      </c>
      <c r="B10058" t="s">
        <v>340</v>
      </c>
      <c r="C10058">
        <v>1415</v>
      </c>
      <c r="D10058" t="s">
        <v>207</v>
      </c>
      <c r="E10058" t="s">
        <v>497</v>
      </c>
      <c r="F10058" t="s">
        <v>527</v>
      </c>
      <c r="G10058" t="s">
        <v>677</v>
      </c>
      <c r="H10058" t="s">
        <v>99</v>
      </c>
    </row>
    <row r="10059" spans="1:8" x14ac:dyDescent="0.3">
      <c r="A10059" t="s">
        <v>33</v>
      </c>
      <c r="B10059" t="s">
        <v>365</v>
      </c>
      <c r="C10059">
        <v>19</v>
      </c>
      <c r="D10059" t="s">
        <v>328</v>
      </c>
      <c r="E10059" t="s">
        <v>1125</v>
      </c>
      <c r="F10059" t="s">
        <v>1105</v>
      </c>
      <c r="G10059" t="s">
        <v>99</v>
      </c>
      <c r="H10059" t="s">
        <v>99</v>
      </c>
    </row>
    <row r="10060" spans="1:8" x14ac:dyDescent="0.3">
      <c r="A10060" t="s">
        <v>49</v>
      </c>
      <c r="B10060" t="s">
        <v>339</v>
      </c>
      <c r="C10060">
        <v>3811</v>
      </c>
      <c r="D10060" t="s">
        <v>117</v>
      </c>
      <c r="E10060" t="s">
        <v>634</v>
      </c>
      <c r="F10060" t="s">
        <v>456</v>
      </c>
      <c r="G10060" t="s">
        <v>182</v>
      </c>
      <c r="H10060" t="s">
        <v>198</v>
      </c>
    </row>
    <row r="10061" spans="1:8" x14ac:dyDescent="0.3">
      <c r="A10061" t="s">
        <v>49</v>
      </c>
      <c r="B10061" t="s">
        <v>340</v>
      </c>
      <c r="C10061">
        <v>9320</v>
      </c>
      <c r="D10061" t="s">
        <v>101</v>
      </c>
      <c r="E10061" t="s">
        <v>907</v>
      </c>
      <c r="F10061" t="s">
        <v>62</v>
      </c>
      <c r="G10061" t="s">
        <v>416</v>
      </c>
      <c r="H10061" t="s">
        <v>198</v>
      </c>
    </row>
    <row r="10062" spans="1:8" x14ac:dyDescent="0.3">
      <c r="A10062" t="s">
        <v>49</v>
      </c>
      <c r="B10062" t="s">
        <v>365</v>
      </c>
      <c r="C10062">
        <v>191</v>
      </c>
      <c r="D10062" t="s">
        <v>147</v>
      </c>
      <c r="E10062" t="s">
        <v>987</v>
      </c>
      <c r="F10062" t="s">
        <v>824</v>
      </c>
      <c r="G10062" t="s">
        <v>145</v>
      </c>
      <c r="H10062" t="s">
        <v>99</v>
      </c>
    </row>
    <row r="10064" spans="1:8" x14ac:dyDescent="0.3">
      <c r="A10064" t="s">
        <v>2488</v>
      </c>
    </row>
    <row r="10065" spans="1:8" x14ac:dyDescent="0.3">
      <c r="A10065" t="s">
        <v>44</v>
      </c>
      <c r="B10065" t="s">
        <v>209</v>
      </c>
      <c r="C10065" t="s">
        <v>32</v>
      </c>
      <c r="D10065" t="s">
        <v>66</v>
      </c>
      <c r="E10065" t="s">
        <v>2484</v>
      </c>
      <c r="F10065" t="s">
        <v>2485</v>
      </c>
      <c r="G10065" t="s">
        <v>83</v>
      </c>
      <c r="H10065" t="s">
        <v>2486</v>
      </c>
    </row>
    <row r="10066" spans="1:8" x14ac:dyDescent="0.3">
      <c r="A10066" t="s">
        <v>35</v>
      </c>
      <c r="B10066" t="s">
        <v>210</v>
      </c>
      <c r="C10066">
        <v>136</v>
      </c>
      <c r="D10066" t="s">
        <v>1414</v>
      </c>
      <c r="E10066" t="s">
        <v>1149</v>
      </c>
      <c r="F10066" t="s">
        <v>741</v>
      </c>
      <c r="G10066" t="s">
        <v>332</v>
      </c>
      <c r="H10066" t="s">
        <v>99</v>
      </c>
    </row>
    <row r="10067" spans="1:8" x14ac:dyDescent="0.3">
      <c r="A10067" t="s">
        <v>35</v>
      </c>
      <c r="B10067" t="s">
        <v>212</v>
      </c>
      <c r="C10067">
        <v>2442</v>
      </c>
      <c r="D10067" t="s">
        <v>533</v>
      </c>
      <c r="E10067" t="s">
        <v>724</v>
      </c>
      <c r="F10067" t="s">
        <v>233</v>
      </c>
      <c r="G10067" t="s">
        <v>292</v>
      </c>
      <c r="H10067" t="s">
        <v>141</v>
      </c>
    </row>
    <row r="10068" spans="1:8" x14ac:dyDescent="0.3">
      <c r="A10068" t="s">
        <v>35</v>
      </c>
      <c r="B10068" t="s">
        <v>216</v>
      </c>
      <c r="C10068">
        <v>567</v>
      </c>
      <c r="D10068" t="s">
        <v>551</v>
      </c>
      <c r="E10068" t="s">
        <v>1214</v>
      </c>
      <c r="F10068" t="s">
        <v>395</v>
      </c>
      <c r="G10068" t="s">
        <v>114</v>
      </c>
      <c r="H10068" t="s">
        <v>207</v>
      </c>
    </row>
    <row r="10069" spans="1:8" x14ac:dyDescent="0.3">
      <c r="A10069" t="s">
        <v>37</v>
      </c>
      <c r="B10069" t="s">
        <v>210</v>
      </c>
      <c r="C10069">
        <v>138</v>
      </c>
      <c r="D10069" t="s">
        <v>574</v>
      </c>
      <c r="E10069" t="s">
        <v>1104</v>
      </c>
      <c r="F10069" t="s">
        <v>363</v>
      </c>
      <c r="G10069" t="s">
        <v>121</v>
      </c>
      <c r="H10069" t="s">
        <v>99</v>
      </c>
    </row>
    <row r="10070" spans="1:8" x14ac:dyDescent="0.3">
      <c r="A10070" t="s">
        <v>37</v>
      </c>
      <c r="B10070" t="s">
        <v>212</v>
      </c>
      <c r="C10070">
        <v>3606</v>
      </c>
      <c r="D10070" t="s">
        <v>282</v>
      </c>
      <c r="E10070" t="s">
        <v>224</v>
      </c>
      <c r="F10070" t="s">
        <v>299</v>
      </c>
      <c r="G10070" t="s">
        <v>147</v>
      </c>
      <c r="H10070" t="s">
        <v>104</v>
      </c>
    </row>
    <row r="10071" spans="1:8" x14ac:dyDescent="0.3">
      <c r="A10071" t="s">
        <v>37</v>
      </c>
      <c r="B10071" t="s">
        <v>216</v>
      </c>
      <c r="C10071">
        <v>111</v>
      </c>
      <c r="D10071" t="s">
        <v>515</v>
      </c>
      <c r="E10071" t="s">
        <v>824</v>
      </c>
      <c r="F10071" t="s">
        <v>710</v>
      </c>
      <c r="G10071" t="s">
        <v>126</v>
      </c>
      <c r="H10071" t="s">
        <v>99</v>
      </c>
    </row>
    <row r="10072" spans="1:8" x14ac:dyDescent="0.3">
      <c r="A10072" t="s">
        <v>36</v>
      </c>
      <c r="B10072" t="s">
        <v>210</v>
      </c>
      <c r="C10072">
        <v>165</v>
      </c>
      <c r="D10072" t="s">
        <v>592</v>
      </c>
      <c r="E10072" t="s">
        <v>895</v>
      </c>
      <c r="F10072" t="s">
        <v>718</v>
      </c>
      <c r="G10072" t="s">
        <v>104</v>
      </c>
      <c r="H10072" t="s">
        <v>198</v>
      </c>
    </row>
    <row r="10073" spans="1:8" x14ac:dyDescent="0.3">
      <c r="A10073" t="s">
        <v>36</v>
      </c>
      <c r="B10073" t="s">
        <v>212</v>
      </c>
      <c r="C10073">
        <v>1875</v>
      </c>
      <c r="D10073" t="s">
        <v>645</v>
      </c>
      <c r="E10073" t="s">
        <v>2115</v>
      </c>
      <c r="F10073" t="s">
        <v>820</v>
      </c>
      <c r="G10073" t="s">
        <v>100</v>
      </c>
      <c r="H10073" t="s">
        <v>99</v>
      </c>
    </row>
    <row r="10074" spans="1:8" x14ac:dyDescent="0.3">
      <c r="A10074" t="s">
        <v>36</v>
      </c>
      <c r="B10074" t="s">
        <v>216</v>
      </c>
      <c r="C10074">
        <v>265</v>
      </c>
      <c r="D10074" t="s">
        <v>956</v>
      </c>
      <c r="E10074" t="s">
        <v>227</v>
      </c>
      <c r="F10074" t="s">
        <v>704</v>
      </c>
      <c r="G10074" t="s">
        <v>115</v>
      </c>
      <c r="H10074" t="s">
        <v>99</v>
      </c>
    </row>
    <row r="10075" spans="1:8" x14ac:dyDescent="0.3">
      <c r="A10075" t="s">
        <v>34</v>
      </c>
      <c r="B10075" t="s">
        <v>210</v>
      </c>
      <c r="C10075">
        <v>256</v>
      </c>
      <c r="D10075" t="s">
        <v>515</v>
      </c>
      <c r="E10075" t="s">
        <v>576</v>
      </c>
      <c r="F10075" t="s">
        <v>117</v>
      </c>
      <c r="G10075" t="s">
        <v>121</v>
      </c>
      <c r="H10075" t="s">
        <v>99</v>
      </c>
    </row>
    <row r="10076" spans="1:8" x14ac:dyDescent="0.3">
      <c r="A10076" t="s">
        <v>34</v>
      </c>
      <c r="B10076" t="s">
        <v>212</v>
      </c>
      <c r="C10076">
        <v>1582</v>
      </c>
      <c r="D10076" t="s">
        <v>1106</v>
      </c>
      <c r="E10076" t="s">
        <v>532</v>
      </c>
      <c r="F10076" t="s">
        <v>139</v>
      </c>
      <c r="G10076" t="s">
        <v>132</v>
      </c>
      <c r="H10076" t="s">
        <v>104</v>
      </c>
    </row>
    <row r="10077" spans="1:8" x14ac:dyDescent="0.3">
      <c r="A10077" t="s">
        <v>34</v>
      </c>
      <c r="B10077" t="s">
        <v>216</v>
      </c>
      <c r="C10077">
        <v>242</v>
      </c>
      <c r="D10077" t="s">
        <v>551</v>
      </c>
      <c r="E10077" t="s">
        <v>947</v>
      </c>
      <c r="F10077" t="s">
        <v>98</v>
      </c>
      <c r="G10077" t="s">
        <v>114</v>
      </c>
      <c r="H10077" t="s">
        <v>121</v>
      </c>
    </row>
    <row r="10078" spans="1:8" x14ac:dyDescent="0.3">
      <c r="A10078" t="s">
        <v>33</v>
      </c>
      <c r="B10078" t="s">
        <v>210</v>
      </c>
      <c r="C10078">
        <v>68</v>
      </c>
      <c r="D10078" t="s">
        <v>940</v>
      </c>
      <c r="E10078" t="s">
        <v>1386</v>
      </c>
      <c r="F10078" t="s">
        <v>737</v>
      </c>
      <c r="G10078" t="s">
        <v>99</v>
      </c>
      <c r="H10078" t="s">
        <v>99</v>
      </c>
    </row>
    <row r="10079" spans="1:8" x14ac:dyDescent="0.3">
      <c r="A10079" t="s">
        <v>33</v>
      </c>
      <c r="B10079" t="s">
        <v>212</v>
      </c>
      <c r="C10079">
        <v>1800</v>
      </c>
      <c r="D10079" t="s">
        <v>907</v>
      </c>
      <c r="E10079" t="s">
        <v>580</v>
      </c>
      <c r="F10079" t="s">
        <v>355</v>
      </c>
      <c r="G10079" t="s">
        <v>141</v>
      </c>
      <c r="H10079" t="s">
        <v>99</v>
      </c>
    </row>
    <row r="10080" spans="1:8" x14ac:dyDescent="0.3">
      <c r="A10080" t="s">
        <v>33</v>
      </c>
      <c r="B10080" t="s">
        <v>216</v>
      </c>
      <c r="C10080">
        <v>69</v>
      </c>
      <c r="D10080" t="s">
        <v>919</v>
      </c>
      <c r="E10080" t="s">
        <v>555</v>
      </c>
      <c r="F10080" t="s">
        <v>315</v>
      </c>
      <c r="G10080" t="s">
        <v>474</v>
      </c>
      <c r="H10080" t="s">
        <v>99</v>
      </c>
    </row>
    <row r="10081" spans="1:8" x14ac:dyDescent="0.3">
      <c r="A10081" t="s">
        <v>49</v>
      </c>
      <c r="B10081" t="s">
        <v>210</v>
      </c>
      <c r="C10081">
        <v>763</v>
      </c>
      <c r="D10081" t="s">
        <v>62</v>
      </c>
      <c r="E10081" t="s">
        <v>596</v>
      </c>
      <c r="F10081" t="s">
        <v>262</v>
      </c>
      <c r="G10081" t="s">
        <v>126</v>
      </c>
      <c r="H10081" t="s">
        <v>99</v>
      </c>
    </row>
    <row r="10082" spans="1:8" x14ac:dyDescent="0.3">
      <c r="A10082" t="s">
        <v>49</v>
      </c>
      <c r="B10082" t="s">
        <v>212</v>
      </c>
      <c r="C10082">
        <v>11305</v>
      </c>
      <c r="D10082" t="s">
        <v>556</v>
      </c>
      <c r="E10082" t="s">
        <v>545</v>
      </c>
      <c r="F10082" t="s">
        <v>379</v>
      </c>
      <c r="G10082" t="s">
        <v>127</v>
      </c>
      <c r="H10082" t="s">
        <v>198</v>
      </c>
    </row>
    <row r="10083" spans="1:8" x14ac:dyDescent="0.3">
      <c r="A10083" t="s">
        <v>49</v>
      </c>
      <c r="B10083" t="s">
        <v>216</v>
      </c>
      <c r="C10083">
        <v>1254</v>
      </c>
      <c r="D10083" t="s">
        <v>515</v>
      </c>
      <c r="E10083" t="s">
        <v>561</v>
      </c>
      <c r="F10083" t="s">
        <v>685</v>
      </c>
      <c r="G10083" t="s">
        <v>121</v>
      </c>
      <c r="H10083" t="s">
        <v>136</v>
      </c>
    </row>
    <row r="10085" spans="1:8" x14ac:dyDescent="0.3">
      <c r="A10085" t="s">
        <v>2489</v>
      </c>
    </row>
    <row r="10086" spans="1:8" x14ac:dyDescent="0.3">
      <c r="A10086" t="s">
        <v>44</v>
      </c>
      <c r="B10086" t="s">
        <v>388</v>
      </c>
      <c r="C10086" t="s">
        <v>32</v>
      </c>
      <c r="D10086" t="s">
        <v>83</v>
      </c>
      <c r="E10086" t="s">
        <v>66</v>
      </c>
      <c r="F10086" t="s">
        <v>2484</v>
      </c>
      <c r="G10086" t="s">
        <v>2485</v>
      </c>
      <c r="H10086" t="s">
        <v>2486</v>
      </c>
    </row>
    <row r="10087" spans="1:8" x14ac:dyDescent="0.3">
      <c r="A10087" t="s">
        <v>35</v>
      </c>
      <c r="B10087" t="s">
        <v>389</v>
      </c>
      <c r="C10087">
        <v>2141</v>
      </c>
      <c r="D10087" t="s">
        <v>111</v>
      </c>
      <c r="E10087" t="s">
        <v>1340</v>
      </c>
      <c r="F10087" t="s">
        <v>429</v>
      </c>
      <c r="G10087" t="s">
        <v>318</v>
      </c>
      <c r="H10087" t="s">
        <v>198</v>
      </c>
    </row>
    <row r="10088" spans="1:8" x14ac:dyDescent="0.3">
      <c r="A10088" t="s">
        <v>35</v>
      </c>
      <c r="B10088" t="s">
        <v>390</v>
      </c>
      <c r="C10088">
        <v>875</v>
      </c>
      <c r="D10088" t="s">
        <v>100</v>
      </c>
      <c r="E10088" t="s">
        <v>1180</v>
      </c>
      <c r="F10088" t="s">
        <v>153</v>
      </c>
      <c r="G10088" t="s">
        <v>663</v>
      </c>
      <c r="H10088" t="s">
        <v>100</v>
      </c>
    </row>
    <row r="10089" spans="1:8" x14ac:dyDescent="0.3">
      <c r="A10089" t="s">
        <v>35</v>
      </c>
      <c r="B10089" t="s">
        <v>365</v>
      </c>
      <c r="C10089">
        <v>129</v>
      </c>
      <c r="D10089" t="s">
        <v>198</v>
      </c>
      <c r="E10089" t="s">
        <v>914</v>
      </c>
      <c r="F10089" t="s">
        <v>914</v>
      </c>
      <c r="G10089" t="s">
        <v>457</v>
      </c>
      <c r="H10089" t="s">
        <v>99</v>
      </c>
    </row>
    <row r="10090" spans="1:8" x14ac:dyDescent="0.3">
      <c r="A10090" t="s">
        <v>37</v>
      </c>
      <c r="B10090" t="s">
        <v>389</v>
      </c>
      <c r="C10090">
        <v>2305</v>
      </c>
      <c r="D10090" t="s">
        <v>120</v>
      </c>
      <c r="E10090" t="s">
        <v>983</v>
      </c>
      <c r="F10090" t="s">
        <v>116</v>
      </c>
      <c r="G10090" t="s">
        <v>679</v>
      </c>
      <c r="H10090" t="s">
        <v>99</v>
      </c>
    </row>
    <row r="10091" spans="1:8" x14ac:dyDescent="0.3">
      <c r="A10091" t="s">
        <v>37</v>
      </c>
      <c r="B10091" t="s">
        <v>390</v>
      </c>
      <c r="C10091">
        <v>1309</v>
      </c>
      <c r="D10091" t="s">
        <v>120</v>
      </c>
      <c r="E10091" t="s">
        <v>603</v>
      </c>
      <c r="F10091" t="s">
        <v>489</v>
      </c>
      <c r="G10091" t="s">
        <v>722</v>
      </c>
      <c r="H10091" t="s">
        <v>198</v>
      </c>
    </row>
    <row r="10092" spans="1:8" x14ac:dyDescent="0.3">
      <c r="A10092" t="s">
        <v>37</v>
      </c>
      <c r="B10092" t="s">
        <v>365</v>
      </c>
      <c r="C10092">
        <v>241</v>
      </c>
      <c r="D10092" t="s">
        <v>120</v>
      </c>
      <c r="E10092" t="s">
        <v>839</v>
      </c>
      <c r="F10092" t="s">
        <v>919</v>
      </c>
      <c r="G10092" t="s">
        <v>353</v>
      </c>
      <c r="H10092" t="s">
        <v>99</v>
      </c>
    </row>
    <row r="10093" spans="1:8" x14ac:dyDescent="0.3">
      <c r="A10093" t="s">
        <v>36</v>
      </c>
      <c r="B10093" t="s">
        <v>389</v>
      </c>
      <c r="C10093">
        <v>1578</v>
      </c>
      <c r="D10093" t="s">
        <v>253</v>
      </c>
      <c r="E10093" t="s">
        <v>532</v>
      </c>
      <c r="F10093" t="s">
        <v>963</v>
      </c>
      <c r="G10093" t="s">
        <v>743</v>
      </c>
      <c r="H10093" t="s">
        <v>99</v>
      </c>
    </row>
    <row r="10094" spans="1:8" x14ac:dyDescent="0.3">
      <c r="A10094" t="s">
        <v>36</v>
      </c>
      <c r="B10094" t="s">
        <v>390</v>
      </c>
      <c r="C10094">
        <v>627</v>
      </c>
      <c r="D10094" t="s">
        <v>151</v>
      </c>
      <c r="E10094" t="s">
        <v>827</v>
      </c>
      <c r="F10094" t="s">
        <v>1068</v>
      </c>
      <c r="G10094" t="s">
        <v>751</v>
      </c>
      <c r="H10094" t="s">
        <v>104</v>
      </c>
    </row>
    <row r="10095" spans="1:8" x14ac:dyDescent="0.3">
      <c r="A10095" t="s">
        <v>36</v>
      </c>
      <c r="B10095" t="s">
        <v>365</v>
      </c>
      <c r="C10095">
        <v>100</v>
      </c>
      <c r="D10095" t="s">
        <v>99</v>
      </c>
      <c r="E10095" t="s">
        <v>821</v>
      </c>
      <c r="F10095" t="s">
        <v>599</v>
      </c>
      <c r="G10095" t="s">
        <v>38</v>
      </c>
      <c r="H10095" t="s">
        <v>99</v>
      </c>
    </row>
    <row r="10096" spans="1:8" x14ac:dyDescent="0.3">
      <c r="A10096" t="s">
        <v>34</v>
      </c>
      <c r="B10096" t="s">
        <v>389</v>
      </c>
      <c r="C10096">
        <v>1385</v>
      </c>
      <c r="D10096" t="s">
        <v>132</v>
      </c>
      <c r="E10096" t="s">
        <v>596</v>
      </c>
      <c r="F10096" t="s">
        <v>557</v>
      </c>
      <c r="G10096" t="s">
        <v>110</v>
      </c>
      <c r="H10096" t="s">
        <v>207</v>
      </c>
    </row>
    <row r="10097" spans="1:8" x14ac:dyDescent="0.3">
      <c r="A10097" t="s">
        <v>34</v>
      </c>
      <c r="B10097" t="s">
        <v>390</v>
      </c>
      <c r="C10097">
        <v>615</v>
      </c>
      <c r="D10097" t="s">
        <v>101</v>
      </c>
      <c r="E10097" t="s">
        <v>1184</v>
      </c>
      <c r="F10097" t="s">
        <v>1120</v>
      </c>
      <c r="G10097" t="s">
        <v>158</v>
      </c>
      <c r="H10097" t="s">
        <v>198</v>
      </c>
    </row>
    <row r="10098" spans="1:8" x14ac:dyDescent="0.3">
      <c r="A10098" t="s">
        <v>34</v>
      </c>
      <c r="B10098" t="s">
        <v>365</v>
      </c>
      <c r="C10098">
        <v>80</v>
      </c>
      <c r="D10098" t="s">
        <v>99</v>
      </c>
      <c r="E10098" t="s">
        <v>1163</v>
      </c>
      <c r="F10098" t="s">
        <v>56</v>
      </c>
      <c r="G10098" t="s">
        <v>684</v>
      </c>
      <c r="H10098" t="s">
        <v>99</v>
      </c>
    </row>
    <row r="10099" spans="1:8" x14ac:dyDescent="0.3">
      <c r="A10099" t="s">
        <v>33</v>
      </c>
      <c r="B10099" t="s">
        <v>389</v>
      </c>
      <c r="C10099">
        <v>1090</v>
      </c>
      <c r="D10099" t="s">
        <v>132</v>
      </c>
      <c r="E10099" t="s">
        <v>887</v>
      </c>
      <c r="F10099" t="s">
        <v>102</v>
      </c>
      <c r="G10099" t="s">
        <v>321</v>
      </c>
      <c r="H10099" t="s">
        <v>99</v>
      </c>
    </row>
    <row r="10100" spans="1:8" x14ac:dyDescent="0.3">
      <c r="A10100" t="s">
        <v>33</v>
      </c>
      <c r="B10100" t="s">
        <v>390</v>
      </c>
      <c r="C10100">
        <v>708</v>
      </c>
      <c r="D10100" t="s">
        <v>141</v>
      </c>
      <c r="E10100" t="s">
        <v>1149</v>
      </c>
      <c r="F10100" t="s">
        <v>645</v>
      </c>
      <c r="G10100" t="s">
        <v>218</v>
      </c>
      <c r="H10100" t="s">
        <v>99</v>
      </c>
    </row>
    <row r="10101" spans="1:8" x14ac:dyDescent="0.3">
      <c r="A10101" t="s">
        <v>33</v>
      </c>
      <c r="B10101" t="s">
        <v>365</v>
      </c>
      <c r="C10101">
        <v>139</v>
      </c>
      <c r="D10101" t="s">
        <v>99</v>
      </c>
      <c r="E10101" t="s">
        <v>1132</v>
      </c>
      <c r="F10101" t="s">
        <v>315</v>
      </c>
      <c r="G10101" t="s">
        <v>449</v>
      </c>
      <c r="H10101" t="s">
        <v>99</v>
      </c>
    </row>
    <row r="10102" spans="1:8" x14ac:dyDescent="0.3">
      <c r="A10102" t="s">
        <v>49</v>
      </c>
      <c r="B10102" t="s">
        <v>389</v>
      </c>
      <c r="C10102">
        <v>8499</v>
      </c>
      <c r="D10102" t="s">
        <v>215</v>
      </c>
      <c r="E10102" t="s">
        <v>594</v>
      </c>
      <c r="F10102" t="s">
        <v>729</v>
      </c>
      <c r="G10102" t="s">
        <v>291</v>
      </c>
      <c r="H10102" t="s">
        <v>104</v>
      </c>
    </row>
    <row r="10103" spans="1:8" x14ac:dyDescent="0.3">
      <c r="A10103" t="s">
        <v>49</v>
      </c>
      <c r="B10103" t="s">
        <v>390</v>
      </c>
      <c r="C10103">
        <v>4134</v>
      </c>
      <c r="D10103" t="s">
        <v>382</v>
      </c>
      <c r="E10103" t="s">
        <v>596</v>
      </c>
      <c r="F10103" t="s">
        <v>1214</v>
      </c>
      <c r="G10103" t="s">
        <v>220</v>
      </c>
      <c r="H10103" t="s">
        <v>136</v>
      </c>
    </row>
    <row r="10104" spans="1:8" x14ac:dyDescent="0.3">
      <c r="A10104" t="s">
        <v>49</v>
      </c>
      <c r="B10104" t="s">
        <v>365</v>
      </c>
      <c r="C10104">
        <v>689</v>
      </c>
      <c r="D10104" t="s">
        <v>114</v>
      </c>
      <c r="E10104" t="s">
        <v>576</v>
      </c>
      <c r="F10104" t="s">
        <v>816</v>
      </c>
      <c r="G10104" t="s">
        <v>206</v>
      </c>
      <c r="H10104" t="s">
        <v>99</v>
      </c>
    </row>
    <row r="10106" spans="1:8" x14ac:dyDescent="0.3">
      <c r="A10106" t="s">
        <v>2490</v>
      </c>
    </row>
    <row r="10107" spans="1:8" x14ac:dyDescent="0.3">
      <c r="A10107" t="s">
        <v>44</v>
      </c>
      <c r="B10107" t="s">
        <v>235</v>
      </c>
      <c r="C10107" t="s">
        <v>32</v>
      </c>
      <c r="D10107" t="s">
        <v>83</v>
      </c>
      <c r="E10107" t="s">
        <v>66</v>
      </c>
      <c r="F10107" t="s">
        <v>2484</v>
      </c>
      <c r="G10107" t="s">
        <v>2485</v>
      </c>
      <c r="H10107" t="s">
        <v>2486</v>
      </c>
    </row>
    <row r="10108" spans="1:8" x14ac:dyDescent="0.3">
      <c r="A10108" t="s">
        <v>35</v>
      </c>
      <c r="B10108" t="s">
        <v>236</v>
      </c>
      <c r="C10108">
        <v>1610</v>
      </c>
      <c r="D10108" t="s">
        <v>132</v>
      </c>
      <c r="E10108" t="s">
        <v>1001</v>
      </c>
      <c r="F10108" t="s">
        <v>690</v>
      </c>
      <c r="G10108" t="s">
        <v>379</v>
      </c>
      <c r="H10108" t="s">
        <v>207</v>
      </c>
    </row>
    <row r="10109" spans="1:8" x14ac:dyDescent="0.3">
      <c r="A10109" t="s">
        <v>35</v>
      </c>
      <c r="B10109" t="s">
        <v>238</v>
      </c>
      <c r="C10109">
        <v>1535</v>
      </c>
      <c r="D10109" t="s">
        <v>268</v>
      </c>
      <c r="E10109" t="s">
        <v>1188</v>
      </c>
      <c r="F10109" t="s">
        <v>666</v>
      </c>
      <c r="G10109" t="s">
        <v>76</v>
      </c>
      <c r="H10109" t="s">
        <v>136</v>
      </c>
    </row>
    <row r="10110" spans="1:8" x14ac:dyDescent="0.3">
      <c r="A10110" t="s">
        <v>37</v>
      </c>
      <c r="B10110" t="s">
        <v>236</v>
      </c>
      <c r="C10110">
        <v>2211</v>
      </c>
      <c r="D10110" t="s">
        <v>138</v>
      </c>
      <c r="E10110" t="s">
        <v>635</v>
      </c>
      <c r="F10110" t="s">
        <v>140</v>
      </c>
      <c r="G10110" t="s">
        <v>72</v>
      </c>
      <c r="H10110" t="s">
        <v>104</v>
      </c>
    </row>
    <row r="10111" spans="1:8" x14ac:dyDescent="0.3">
      <c r="A10111" t="s">
        <v>37</v>
      </c>
      <c r="B10111" t="s">
        <v>238</v>
      </c>
      <c r="C10111">
        <v>1644</v>
      </c>
      <c r="D10111" t="s">
        <v>292</v>
      </c>
      <c r="E10111" t="s">
        <v>941</v>
      </c>
      <c r="F10111" t="s">
        <v>930</v>
      </c>
      <c r="G10111" t="s">
        <v>248</v>
      </c>
      <c r="H10111" t="s">
        <v>99</v>
      </c>
    </row>
    <row r="10112" spans="1:8" x14ac:dyDescent="0.3">
      <c r="A10112" t="s">
        <v>36</v>
      </c>
      <c r="B10112" t="s">
        <v>236</v>
      </c>
      <c r="C10112">
        <v>1566</v>
      </c>
      <c r="D10112" t="s">
        <v>126</v>
      </c>
      <c r="E10112" t="s">
        <v>1110</v>
      </c>
      <c r="F10112" t="s">
        <v>930</v>
      </c>
      <c r="G10112" t="s">
        <v>864</v>
      </c>
      <c r="H10112" t="s">
        <v>104</v>
      </c>
    </row>
    <row r="10113" spans="1:8" x14ac:dyDescent="0.3">
      <c r="A10113" t="s">
        <v>36</v>
      </c>
      <c r="B10113" t="s">
        <v>238</v>
      </c>
      <c r="C10113">
        <v>739</v>
      </c>
      <c r="D10113" t="s">
        <v>141</v>
      </c>
      <c r="E10113" t="s">
        <v>597</v>
      </c>
      <c r="F10113" t="s">
        <v>604</v>
      </c>
      <c r="G10113" t="s">
        <v>39</v>
      </c>
      <c r="H10113" t="s">
        <v>99</v>
      </c>
    </row>
    <row r="10114" spans="1:8" x14ac:dyDescent="0.3">
      <c r="A10114" t="s">
        <v>34</v>
      </c>
      <c r="B10114" t="s">
        <v>236</v>
      </c>
      <c r="C10114">
        <v>717</v>
      </c>
      <c r="D10114" t="s">
        <v>115</v>
      </c>
      <c r="E10114" t="s">
        <v>839</v>
      </c>
      <c r="F10114" t="s">
        <v>1183</v>
      </c>
      <c r="G10114" t="s">
        <v>434</v>
      </c>
      <c r="H10114" t="s">
        <v>136</v>
      </c>
    </row>
    <row r="10115" spans="1:8" x14ac:dyDescent="0.3">
      <c r="A10115" t="s">
        <v>34</v>
      </c>
      <c r="B10115" t="s">
        <v>238</v>
      </c>
      <c r="C10115">
        <v>1363</v>
      </c>
      <c r="D10115" t="s">
        <v>114</v>
      </c>
      <c r="E10115" t="s">
        <v>1255</v>
      </c>
      <c r="F10115" t="s">
        <v>604</v>
      </c>
      <c r="G10115" t="s">
        <v>474</v>
      </c>
      <c r="H10115" t="s">
        <v>198</v>
      </c>
    </row>
    <row r="10116" spans="1:8" x14ac:dyDescent="0.3">
      <c r="A10116" t="s">
        <v>33</v>
      </c>
      <c r="B10116" t="s">
        <v>236</v>
      </c>
      <c r="C10116">
        <v>1116</v>
      </c>
      <c r="D10116" t="s">
        <v>115</v>
      </c>
      <c r="E10116" t="s">
        <v>622</v>
      </c>
      <c r="F10116" t="s">
        <v>695</v>
      </c>
      <c r="G10116" t="s">
        <v>289</v>
      </c>
      <c r="H10116" t="s">
        <v>99</v>
      </c>
    </row>
    <row r="10117" spans="1:8" x14ac:dyDescent="0.3">
      <c r="A10117" t="s">
        <v>33</v>
      </c>
      <c r="B10117" t="s">
        <v>238</v>
      </c>
      <c r="C10117">
        <v>821</v>
      </c>
      <c r="D10117" t="s">
        <v>141</v>
      </c>
      <c r="E10117" t="s">
        <v>607</v>
      </c>
      <c r="F10117" t="s">
        <v>532</v>
      </c>
      <c r="G10117" t="s">
        <v>694</v>
      </c>
      <c r="H10117" t="s">
        <v>99</v>
      </c>
    </row>
    <row r="10118" spans="1:8" x14ac:dyDescent="0.3">
      <c r="A10118" t="s">
        <v>49</v>
      </c>
      <c r="B10118" t="s">
        <v>236</v>
      </c>
      <c r="C10118">
        <v>7220</v>
      </c>
      <c r="D10118" t="s">
        <v>127</v>
      </c>
      <c r="E10118" t="s">
        <v>625</v>
      </c>
      <c r="F10118" t="s">
        <v>916</v>
      </c>
      <c r="G10118" t="s">
        <v>369</v>
      </c>
      <c r="H10118" t="s">
        <v>198</v>
      </c>
    </row>
    <row r="10119" spans="1:8" x14ac:dyDescent="0.3">
      <c r="A10119" t="s">
        <v>49</v>
      </c>
      <c r="B10119" t="s">
        <v>238</v>
      </c>
      <c r="C10119">
        <v>6102</v>
      </c>
      <c r="D10119" t="s">
        <v>382</v>
      </c>
      <c r="E10119" t="s">
        <v>1498</v>
      </c>
      <c r="F10119" t="s">
        <v>1232</v>
      </c>
      <c r="G10119" t="s">
        <v>291</v>
      </c>
      <c r="H10119" t="s">
        <v>198</v>
      </c>
    </row>
    <row r="10121" spans="1:8" x14ac:dyDescent="0.3">
      <c r="A10121" t="s">
        <v>2491</v>
      </c>
    </row>
    <row r="10122" spans="1:8" x14ac:dyDescent="0.3">
      <c r="A10122" t="s">
        <v>44</v>
      </c>
      <c r="B10122" t="s">
        <v>1720</v>
      </c>
      <c r="C10122" t="s">
        <v>32</v>
      </c>
      <c r="D10122" t="s">
        <v>83</v>
      </c>
      <c r="E10122" t="s">
        <v>66</v>
      </c>
      <c r="F10122" t="s">
        <v>2484</v>
      </c>
      <c r="G10122" t="s">
        <v>2485</v>
      </c>
      <c r="H10122" t="s">
        <v>2486</v>
      </c>
    </row>
    <row r="10123" spans="1:8" x14ac:dyDescent="0.3">
      <c r="A10123" t="s">
        <v>35</v>
      </c>
      <c r="B10123" t="s">
        <v>1721</v>
      </c>
      <c r="C10123">
        <v>996</v>
      </c>
      <c r="D10123" t="s">
        <v>114</v>
      </c>
      <c r="E10123" t="s">
        <v>566</v>
      </c>
      <c r="F10123" t="s">
        <v>797</v>
      </c>
      <c r="G10123" t="s">
        <v>523</v>
      </c>
      <c r="H10123" t="s">
        <v>198</v>
      </c>
    </row>
    <row r="10124" spans="1:8" x14ac:dyDescent="0.3">
      <c r="A10124" t="s">
        <v>35</v>
      </c>
      <c r="B10124" t="s">
        <v>1722</v>
      </c>
      <c r="C10124">
        <v>2149</v>
      </c>
      <c r="D10124" t="s">
        <v>268</v>
      </c>
      <c r="E10124" t="s">
        <v>1237</v>
      </c>
      <c r="F10124" t="s">
        <v>140</v>
      </c>
      <c r="G10124" t="s">
        <v>369</v>
      </c>
      <c r="H10124" t="s">
        <v>141</v>
      </c>
    </row>
    <row r="10125" spans="1:8" x14ac:dyDescent="0.3">
      <c r="A10125" t="s">
        <v>37</v>
      </c>
      <c r="B10125" t="s">
        <v>1721</v>
      </c>
      <c r="C10125">
        <v>1252</v>
      </c>
      <c r="D10125" t="s">
        <v>316</v>
      </c>
      <c r="E10125" t="s">
        <v>1173</v>
      </c>
      <c r="F10125" t="s">
        <v>797</v>
      </c>
      <c r="G10125" t="s">
        <v>133</v>
      </c>
      <c r="H10125" t="s">
        <v>104</v>
      </c>
    </row>
    <row r="10126" spans="1:8" x14ac:dyDescent="0.3">
      <c r="A10126" t="s">
        <v>37</v>
      </c>
      <c r="B10126" t="s">
        <v>1722</v>
      </c>
      <c r="C10126">
        <v>2603</v>
      </c>
      <c r="D10126" t="s">
        <v>147</v>
      </c>
      <c r="E10126" t="s">
        <v>562</v>
      </c>
      <c r="F10126" t="s">
        <v>60</v>
      </c>
      <c r="G10126" t="s">
        <v>78</v>
      </c>
      <c r="H10126" t="s">
        <v>99</v>
      </c>
    </row>
    <row r="10127" spans="1:8" x14ac:dyDescent="0.3">
      <c r="A10127" t="s">
        <v>36</v>
      </c>
      <c r="B10127" t="s">
        <v>1721</v>
      </c>
      <c r="C10127">
        <v>813</v>
      </c>
      <c r="D10127" t="s">
        <v>382</v>
      </c>
      <c r="E10127" t="s">
        <v>967</v>
      </c>
      <c r="F10127" t="s">
        <v>936</v>
      </c>
      <c r="G10127" t="s">
        <v>689</v>
      </c>
      <c r="H10127" t="s">
        <v>99</v>
      </c>
    </row>
    <row r="10128" spans="1:8" x14ac:dyDescent="0.3">
      <c r="A10128" t="s">
        <v>36</v>
      </c>
      <c r="B10128" t="s">
        <v>1722</v>
      </c>
      <c r="C10128">
        <v>1492</v>
      </c>
      <c r="D10128" t="s">
        <v>141</v>
      </c>
      <c r="E10128" t="s">
        <v>506</v>
      </c>
      <c r="F10128" t="s">
        <v>1156</v>
      </c>
      <c r="G10128" t="s">
        <v>820</v>
      </c>
      <c r="H10128" t="s">
        <v>99</v>
      </c>
    </row>
    <row r="10129" spans="1:8" x14ac:dyDescent="0.3">
      <c r="A10129" t="s">
        <v>34</v>
      </c>
      <c r="B10129" t="s">
        <v>1721</v>
      </c>
      <c r="C10129">
        <v>621</v>
      </c>
      <c r="D10129" t="s">
        <v>104</v>
      </c>
      <c r="E10129" t="s">
        <v>1285</v>
      </c>
      <c r="F10129" t="s">
        <v>576</v>
      </c>
      <c r="G10129" t="s">
        <v>145</v>
      </c>
      <c r="H10129" t="s">
        <v>99</v>
      </c>
    </row>
    <row r="10130" spans="1:8" x14ac:dyDescent="0.3">
      <c r="A10130" t="s">
        <v>34</v>
      </c>
      <c r="B10130" t="s">
        <v>1722</v>
      </c>
      <c r="C10130">
        <v>1459</v>
      </c>
      <c r="D10130" t="s">
        <v>101</v>
      </c>
      <c r="E10130" t="s">
        <v>625</v>
      </c>
      <c r="F10130" t="s">
        <v>1067</v>
      </c>
      <c r="G10130" t="s">
        <v>155</v>
      </c>
      <c r="H10130" t="s">
        <v>136</v>
      </c>
    </row>
    <row r="10131" spans="1:8" x14ac:dyDescent="0.3">
      <c r="A10131" t="s">
        <v>33</v>
      </c>
      <c r="B10131" t="s">
        <v>1721</v>
      </c>
      <c r="C10131">
        <v>557</v>
      </c>
      <c r="D10131" t="s">
        <v>198</v>
      </c>
      <c r="E10131" t="s">
        <v>459</v>
      </c>
      <c r="F10131" t="s">
        <v>936</v>
      </c>
      <c r="G10131" t="s">
        <v>173</v>
      </c>
      <c r="H10131" t="s">
        <v>99</v>
      </c>
    </row>
    <row r="10132" spans="1:8" x14ac:dyDescent="0.3">
      <c r="A10132" t="s">
        <v>33</v>
      </c>
      <c r="B10132" t="s">
        <v>1722</v>
      </c>
      <c r="C10132">
        <v>1380</v>
      </c>
      <c r="D10132" t="s">
        <v>132</v>
      </c>
      <c r="E10132" t="s">
        <v>1165</v>
      </c>
      <c r="F10132" t="s">
        <v>1102</v>
      </c>
      <c r="G10132" t="s">
        <v>737</v>
      </c>
      <c r="H10132" t="s">
        <v>99</v>
      </c>
    </row>
    <row r="10133" spans="1:8" x14ac:dyDescent="0.3">
      <c r="A10133" t="s">
        <v>49</v>
      </c>
      <c r="B10133" t="s">
        <v>1721</v>
      </c>
      <c r="C10133">
        <v>4239</v>
      </c>
      <c r="D10133" t="s">
        <v>121</v>
      </c>
      <c r="E10133" t="s">
        <v>584</v>
      </c>
      <c r="F10133" t="s">
        <v>1120</v>
      </c>
      <c r="G10133" t="s">
        <v>731</v>
      </c>
      <c r="H10133" t="s">
        <v>104</v>
      </c>
    </row>
    <row r="10134" spans="1:8" x14ac:dyDescent="0.3">
      <c r="A10134" t="s">
        <v>49</v>
      </c>
      <c r="B10134" t="s">
        <v>1722</v>
      </c>
      <c r="C10134">
        <v>9083</v>
      </c>
      <c r="D10134" t="s">
        <v>123</v>
      </c>
      <c r="E10134" t="s">
        <v>618</v>
      </c>
      <c r="F10134" t="s">
        <v>64</v>
      </c>
      <c r="G10134" t="s">
        <v>722</v>
      </c>
      <c r="H10134" t="s">
        <v>198</v>
      </c>
    </row>
    <row r="10136" spans="1:8" x14ac:dyDescent="0.3">
      <c r="A10136" t="s">
        <v>2492</v>
      </c>
    </row>
    <row r="10137" spans="1:8" x14ac:dyDescent="0.3">
      <c r="A10137" t="s">
        <v>44</v>
      </c>
      <c r="B10137" t="s">
        <v>257</v>
      </c>
      <c r="C10137" t="s">
        <v>32</v>
      </c>
      <c r="D10137" t="s">
        <v>83</v>
      </c>
      <c r="E10137" t="s">
        <v>66</v>
      </c>
      <c r="F10137" t="s">
        <v>2484</v>
      </c>
      <c r="G10137" t="s">
        <v>2485</v>
      </c>
      <c r="H10137" t="s">
        <v>2486</v>
      </c>
    </row>
    <row r="10138" spans="1:8" x14ac:dyDescent="0.3">
      <c r="A10138" t="s">
        <v>35</v>
      </c>
      <c r="B10138" t="s">
        <v>258</v>
      </c>
      <c r="C10138">
        <v>2873</v>
      </c>
      <c r="D10138" t="s">
        <v>151</v>
      </c>
      <c r="E10138" t="s">
        <v>1106</v>
      </c>
      <c r="F10138" t="s">
        <v>58</v>
      </c>
      <c r="G10138" t="s">
        <v>672</v>
      </c>
      <c r="H10138" t="s">
        <v>136</v>
      </c>
    </row>
    <row r="10139" spans="1:8" x14ac:dyDescent="0.3">
      <c r="A10139" t="s">
        <v>35</v>
      </c>
      <c r="B10139" t="s">
        <v>260</v>
      </c>
      <c r="C10139">
        <v>272</v>
      </c>
      <c r="D10139" t="s">
        <v>136</v>
      </c>
      <c r="E10139" t="s">
        <v>632</v>
      </c>
      <c r="F10139" t="s">
        <v>906</v>
      </c>
      <c r="G10139" t="s">
        <v>138</v>
      </c>
      <c r="H10139" t="s">
        <v>132</v>
      </c>
    </row>
    <row r="10140" spans="1:8" x14ac:dyDescent="0.3">
      <c r="A10140" t="s">
        <v>37</v>
      </c>
      <c r="B10140" t="s">
        <v>258</v>
      </c>
      <c r="C10140">
        <v>3855</v>
      </c>
      <c r="D10140" t="s">
        <v>120</v>
      </c>
      <c r="E10140" t="s">
        <v>618</v>
      </c>
      <c r="F10140" t="s">
        <v>667</v>
      </c>
      <c r="G10140" t="s">
        <v>113</v>
      </c>
      <c r="H10140" t="s">
        <v>104</v>
      </c>
    </row>
    <row r="10141" spans="1:8" x14ac:dyDescent="0.3">
      <c r="A10141" t="s">
        <v>36</v>
      </c>
      <c r="B10141" t="s">
        <v>258</v>
      </c>
      <c r="C10141">
        <v>2100</v>
      </c>
      <c r="D10141" t="s">
        <v>108</v>
      </c>
      <c r="E10141" t="s">
        <v>913</v>
      </c>
      <c r="F10141" t="s">
        <v>597</v>
      </c>
      <c r="G10141" t="s">
        <v>720</v>
      </c>
      <c r="H10141" t="s">
        <v>99</v>
      </c>
    </row>
    <row r="10142" spans="1:8" x14ac:dyDescent="0.3">
      <c r="A10142" t="s">
        <v>36</v>
      </c>
      <c r="B10142" t="s">
        <v>260</v>
      </c>
      <c r="C10142">
        <v>205</v>
      </c>
      <c r="D10142" t="s">
        <v>99</v>
      </c>
      <c r="E10142" t="s">
        <v>838</v>
      </c>
      <c r="F10142" t="s">
        <v>1119</v>
      </c>
      <c r="G10142" t="s">
        <v>151</v>
      </c>
      <c r="H10142" t="s">
        <v>99</v>
      </c>
    </row>
    <row r="10143" spans="1:8" x14ac:dyDescent="0.3">
      <c r="A10143" t="s">
        <v>34</v>
      </c>
      <c r="B10143" t="s">
        <v>258</v>
      </c>
      <c r="C10143">
        <v>1221</v>
      </c>
      <c r="D10143" t="s">
        <v>100</v>
      </c>
      <c r="E10143" t="s">
        <v>1001</v>
      </c>
      <c r="F10143" t="s">
        <v>40</v>
      </c>
      <c r="G10143" t="s">
        <v>118</v>
      </c>
      <c r="H10143" t="s">
        <v>99</v>
      </c>
    </row>
    <row r="10144" spans="1:8" x14ac:dyDescent="0.3">
      <c r="A10144" t="s">
        <v>34</v>
      </c>
      <c r="B10144" t="s">
        <v>260</v>
      </c>
      <c r="C10144">
        <v>859</v>
      </c>
      <c r="D10144" t="s">
        <v>132</v>
      </c>
      <c r="E10144" t="s">
        <v>566</v>
      </c>
      <c r="F10144" t="s">
        <v>598</v>
      </c>
      <c r="G10144" t="s">
        <v>149</v>
      </c>
      <c r="H10144" t="s">
        <v>136</v>
      </c>
    </row>
    <row r="10145" spans="1:8" x14ac:dyDescent="0.3">
      <c r="A10145" t="s">
        <v>33</v>
      </c>
      <c r="B10145" t="s">
        <v>258</v>
      </c>
      <c r="C10145">
        <v>1937</v>
      </c>
      <c r="D10145" t="s">
        <v>253</v>
      </c>
      <c r="E10145" t="s">
        <v>633</v>
      </c>
      <c r="F10145" t="s">
        <v>56</v>
      </c>
      <c r="G10145" t="s">
        <v>368</v>
      </c>
      <c r="H10145" t="s">
        <v>99</v>
      </c>
    </row>
    <row r="10146" spans="1:8" x14ac:dyDescent="0.3">
      <c r="A10146" t="s">
        <v>49</v>
      </c>
      <c r="B10146" t="s">
        <v>258</v>
      </c>
      <c r="C10146">
        <v>11986</v>
      </c>
      <c r="D10146" t="s">
        <v>127</v>
      </c>
      <c r="E10146" t="s">
        <v>1497</v>
      </c>
      <c r="F10146" t="s">
        <v>545</v>
      </c>
      <c r="G10146" t="s">
        <v>179</v>
      </c>
      <c r="H10146" t="s">
        <v>104</v>
      </c>
    </row>
    <row r="10147" spans="1:8" x14ac:dyDescent="0.3">
      <c r="A10147" t="s">
        <v>49</v>
      </c>
      <c r="B10147" t="s">
        <v>260</v>
      </c>
      <c r="C10147">
        <v>1336</v>
      </c>
      <c r="D10147" t="s">
        <v>115</v>
      </c>
      <c r="E10147" t="s">
        <v>609</v>
      </c>
      <c r="F10147" t="s">
        <v>610</v>
      </c>
      <c r="G10147" t="s">
        <v>474</v>
      </c>
      <c r="H10147" t="s">
        <v>141</v>
      </c>
    </row>
    <row r="10149" spans="1:8" x14ac:dyDescent="0.3">
      <c r="A10149" t="s">
        <v>2493</v>
      </c>
    </row>
    <row r="10150" spans="1:8" x14ac:dyDescent="0.3">
      <c r="A10150" t="s">
        <v>44</v>
      </c>
      <c r="B10150" t="s">
        <v>32</v>
      </c>
      <c r="C10150" t="s">
        <v>83</v>
      </c>
      <c r="D10150" t="s">
        <v>66</v>
      </c>
      <c r="E10150" t="s">
        <v>2486</v>
      </c>
      <c r="F10150" t="s">
        <v>2494</v>
      </c>
      <c r="G10150" t="s">
        <v>2495</v>
      </c>
    </row>
    <row r="10151" spans="1:8" x14ac:dyDescent="0.3">
      <c r="A10151" t="s">
        <v>35</v>
      </c>
      <c r="B10151">
        <v>3145</v>
      </c>
      <c r="C10151" t="s">
        <v>741</v>
      </c>
      <c r="D10151" t="s">
        <v>284</v>
      </c>
      <c r="E10151" t="s">
        <v>115</v>
      </c>
      <c r="F10151" t="s">
        <v>126</v>
      </c>
      <c r="G10151" t="s">
        <v>133</v>
      </c>
    </row>
    <row r="10152" spans="1:8" x14ac:dyDescent="0.3">
      <c r="A10152" t="s">
        <v>37</v>
      </c>
      <c r="B10152">
        <v>3855</v>
      </c>
      <c r="C10152" t="s">
        <v>721</v>
      </c>
      <c r="D10152" t="s">
        <v>885</v>
      </c>
      <c r="E10152" t="s">
        <v>104</v>
      </c>
      <c r="F10152" t="s">
        <v>99</v>
      </c>
      <c r="G10152" t="s">
        <v>126</v>
      </c>
    </row>
    <row r="10153" spans="1:8" x14ac:dyDescent="0.3">
      <c r="A10153" t="s">
        <v>36</v>
      </c>
      <c r="B10153">
        <v>2305</v>
      </c>
      <c r="C10153" t="s">
        <v>179</v>
      </c>
      <c r="D10153" t="s">
        <v>1075</v>
      </c>
      <c r="E10153" t="s">
        <v>207</v>
      </c>
      <c r="F10153" t="s">
        <v>292</v>
      </c>
      <c r="G10153" t="s">
        <v>267</v>
      </c>
    </row>
    <row r="10154" spans="1:8" x14ac:dyDescent="0.3">
      <c r="A10154" t="s">
        <v>34</v>
      </c>
      <c r="B10154">
        <v>2080</v>
      </c>
      <c r="C10154" t="s">
        <v>933</v>
      </c>
      <c r="D10154" t="s">
        <v>1748</v>
      </c>
      <c r="E10154" t="s">
        <v>136</v>
      </c>
      <c r="F10154" t="s">
        <v>158</v>
      </c>
      <c r="G10154" t="s">
        <v>179</v>
      </c>
    </row>
    <row r="10155" spans="1:8" x14ac:dyDescent="0.3">
      <c r="A10155" t="s">
        <v>33</v>
      </c>
      <c r="B10155">
        <v>1937</v>
      </c>
      <c r="C10155" t="s">
        <v>379</v>
      </c>
      <c r="D10155" t="s">
        <v>854</v>
      </c>
      <c r="E10155" t="s">
        <v>104</v>
      </c>
      <c r="F10155" t="s">
        <v>104</v>
      </c>
      <c r="G10155" t="s">
        <v>127</v>
      </c>
    </row>
    <row r="10156" spans="1:8" x14ac:dyDescent="0.3">
      <c r="A10156" t="s">
        <v>49</v>
      </c>
      <c r="B10156">
        <v>13322</v>
      </c>
      <c r="C10156" t="s">
        <v>718</v>
      </c>
      <c r="D10156" t="s">
        <v>1174</v>
      </c>
      <c r="E10156" t="s">
        <v>207</v>
      </c>
      <c r="F10156" t="s">
        <v>382</v>
      </c>
      <c r="G10156" t="s">
        <v>109</v>
      </c>
    </row>
    <row r="10158" spans="1:8" x14ac:dyDescent="0.3">
      <c r="A10158" t="s">
        <v>2496</v>
      </c>
    </row>
    <row r="10159" spans="1:8" x14ac:dyDescent="0.3">
      <c r="A10159" t="s">
        <v>44</v>
      </c>
      <c r="B10159" t="s">
        <v>361</v>
      </c>
      <c r="C10159" t="s">
        <v>32</v>
      </c>
      <c r="D10159" t="s">
        <v>83</v>
      </c>
      <c r="E10159" t="s">
        <v>66</v>
      </c>
      <c r="F10159" t="s">
        <v>2486</v>
      </c>
      <c r="G10159" t="s">
        <v>2494</v>
      </c>
      <c r="H10159" t="s">
        <v>2495</v>
      </c>
    </row>
    <row r="10160" spans="1:8" x14ac:dyDescent="0.3">
      <c r="A10160" t="s">
        <v>35</v>
      </c>
      <c r="B10160" t="s">
        <v>339</v>
      </c>
      <c r="C10160">
        <v>890</v>
      </c>
      <c r="D10160" t="s">
        <v>803</v>
      </c>
      <c r="E10160" t="s">
        <v>800</v>
      </c>
      <c r="F10160" t="s">
        <v>141</v>
      </c>
      <c r="G10160" t="s">
        <v>316</v>
      </c>
      <c r="H10160" t="s">
        <v>165</v>
      </c>
    </row>
    <row r="10161" spans="1:8" x14ac:dyDescent="0.3">
      <c r="A10161" t="s">
        <v>35</v>
      </c>
      <c r="B10161" t="s">
        <v>340</v>
      </c>
      <c r="C10161">
        <v>2215</v>
      </c>
      <c r="D10161" t="s">
        <v>309</v>
      </c>
      <c r="E10161" t="s">
        <v>1196</v>
      </c>
      <c r="F10161" t="s">
        <v>115</v>
      </c>
      <c r="G10161" t="s">
        <v>114</v>
      </c>
      <c r="H10161" t="s">
        <v>296</v>
      </c>
    </row>
    <row r="10162" spans="1:8" x14ac:dyDescent="0.3">
      <c r="A10162" t="s">
        <v>35</v>
      </c>
      <c r="B10162" t="s">
        <v>365</v>
      </c>
      <c r="C10162">
        <v>40</v>
      </c>
      <c r="D10162" t="s">
        <v>670</v>
      </c>
      <c r="E10162" t="s">
        <v>302</v>
      </c>
      <c r="F10162" t="s">
        <v>99</v>
      </c>
      <c r="G10162" t="s">
        <v>99</v>
      </c>
      <c r="H10162" t="s">
        <v>98</v>
      </c>
    </row>
    <row r="10163" spans="1:8" x14ac:dyDescent="0.3">
      <c r="A10163" t="s">
        <v>37</v>
      </c>
      <c r="B10163" t="s">
        <v>339</v>
      </c>
      <c r="C10163">
        <v>1093</v>
      </c>
      <c r="D10163" t="s">
        <v>677</v>
      </c>
      <c r="E10163" t="s">
        <v>855</v>
      </c>
      <c r="F10163" t="s">
        <v>198</v>
      </c>
      <c r="G10163" t="s">
        <v>104</v>
      </c>
      <c r="H10163" t="s">
        <v>132</v>
      </c>
    </row>
    <row r="10164" spans="1:8" x14ac:dyDescent="0.3">
      <c r="A10164" t="s">
        <v>37</v>
      </c>
      <c r="B10164" t="s">
        <v>340</v>
      </c>
      <c r="C10164">
        <v>2721</v>
      </c>
      <c r="D10164" t="s">
        <v>721</v>
      </c>
      <c r="E10164" t="s">
        <v>1135</v>
      </c>
      <c r="F10164" t="s">
        <v>104</v>
      </c>
      <c r="G10164" t="s">
        <v>99</v>
      </c>
      <c r="H10164" t="s">
        <v>382</v>
      </c>
    </row>
    <row r="10165" spans="1:8" x14ac:dyDescent="0.3">
      <c r="A10165" t="s">
        <v>37</v>
      </c>
      <c r="B10165" t="s">
        <v>365</v>
      </c>
      <c r="C10165">
        <v>41</v>
      </c>
      <c r="D10165" t="s">
        <v>685</v>
      </c>
      <c r="E10165" t="s">
        <v>968</v>
      </c>
      <c r="F10165" t="s">
        <v>99</v>
      </c>
      <c r="G10165" t="s">
        <v>99</v>
      </c>
      <c r="H10165" t="s">
        <v>254</v>
      </c>
    </row>
    <row r="10166" spans="1:8" x14ac:dyDescent="0.3">
      <c r="A10166" t="s">
        <v>36</v>
      </c>
      <c r="B10166" t="s">
        <v>339</v>
      </c>
      <c r="C10166">
        <v>770</v>
      </c>
      <c r="D10166" t="s">
        <v>714</v>
      </c>
      <c r="E10166" t="s">
        <v>63</v>
      </c>
      <c r="F10166" t="s">
        <v>132</v>
      </c>
      <c r="G10166" t="s">
        <v>120</v>
      </c>
      <c r="H10166" t="s">
        <v>38</v>
      </c>
    </row>
    <row r="10167" spans="1:8" x14ac:dyDescent="0.3">
      <c r="A10167" t="s">
        <v>36</v>
      </c>
      <c r="B10167" t="s">
        <v>340</v>
      </c>
      <c r="C10167">
        <v>1472</v>
      </c>
      <c r="D10167" t="s">
        <v>449</v>
      </c>
      <c r="E10167" t="s">
        <v>1366</v>
      </c>
      <c r="F10167" t="s">
        <v>104</v>
      </c>
      <c r="G10167" t="s">
        <v>215</v>
      </c>
      <c r="H10167" t="s">
        <v>721</v>
      </c>
    </row>
    <row r="10168" spans="1:8" x14ac:dyDescent="0.3">
      <c r="A10168" t="s">
        <v>36</v>
      </c>
      <c r="B10168" t="s">
        <v>365</v>
      </c>
      <c r="C10168">
        <v>63</v>
      </c>
      <c r="D10168" t="s">
        <v>671</v>
      </c>
      <c r="E10168" t="s">
        <v>205</v>
      </c>
      <c r="F10168" t="s">
        <v>99</v>
      </c>
      <c r="G10168" t="s">
        <v>138</v>
      </c>
      <c r="H10168" t="s">
        <v>100</v>
      </c>
    </row>
    <row r="10169" spans="1:8" x14ac:dyDescent="0.3">
      <c r="A10169" t="s">
        <v>34</v>
      </c>
      <c r="B10169" t="s">
        <v>339</v>
      </c>
      <c r="C10169">
        <v>555</v>
      </c>
      <c r="D10169" t="s">
        <v>1008</v>
      </c>
      <c r="E10169" t="s">
        <v>579</v>
      </c>
      <c r="F10169" t="s">
        <v>108</v>
      </c>
      <c r="G10169" t="s">
        <v>468</v>
      </c>
      <c r="H10169" t="s">
        <v>708</v>
      </c>
    </row>
    <row r="10170" spans="1:8" x14ac:dyDescent="0.3">
      <c r="A10170" t="s">
        <v>34</v>
      </c>
      <c r="B10170" t="s">
        <v>340</v>
      </c>
      <c r="C10170">
        <v>1497</v>
      </c>
      <c r="D10170" t="s">
        <v>741</v>
      </c>
      <c r="E10170" t="s">
        <v>1650</v>
      </c>
      <c r="F10170" t="s">
        <v>104</v>
      </c>
      <c r="G10170" t="s">
        <v>277</v>
      </c>
      <c r="H10170" t="s">
        <v>416</v>
      </c>
    </row>
    <row r="10171" spans="1:8" x14ac:dyDescent="0.3">
      <c r="A10171" t="s">
        <v>34</v>
      </c>
      <c r="B10171" t="s">
        <v>365</v>
      </c>
      <c r="C10171">
        <v>28</v>
      </c>
      <c r="D10171" t="s">
        <v>868</v>
      </c>
      <c r="E10171" t="s">
        <v>1052</v>
      </c>
      <c r="F10171" t="s">
        <v>99</v>
      </c>
      <c r="G10171" t="s">
        <v>41</v>
      </c>
      <c r="H10171" t="s">
        <v>468</v>
      </c>
    </row>
    <row r="10172" spans="1:8" x14ac:dyDescent="0.3">
      <c r="A10172" t="s">
        <v>33</v>
      </c>
      <c r="B10172" t="s">
        <v>339</v>
      </c>
      <c r="C10172">
        <v>503</v>
      </c>
      <c r="D10172" t="s">
        <v>231</v>
      </c>
      <c r="E10172" t="s">
        <v>1226</v>
      </c>
      <c r="F10172" t="s">
        <v>198</v>
      </c>
      <c r="G10172" t="s">
        <v>136</v>
      </c>
      <c r="H10172" t="s">
        <v>268</v>
      </c>
    </row>
    <row r="10173" spans="1:8" x14ac:dyDescent="0.3">
      <c r="A10173" t="s">
        <v>33</v>
      </c>
      <c r="B10173" t="s">
        <v>340</v>
      </c>
      <c r="C10173">
        <v>1415</v>
      </c>
      <c r="D10173" t="s">
        <v>113</v>
      </c>
      <c r="E10173" t="s">
        <v>250</v>
      </c>
      <c r="F10173" t="s">
        <v>99</v>
      </c>
      <c r="G10173" t="s">
        <v>99</v>
      </c>
      <c r="H10173" t="s">
        <v>382</v>
      </c>
    </row>
    <row r="10174" spans="1:8" x14ac:dyDescent="0.3">
      <c r="A10174" t="s">
        <v>33</v>
      </c>
      <c r="B10174" t="s">
        <v>365</v>
      </c>
      <c r="C10174">
        <v>19</v>
      </c>
      <c r="D10174" t="s">
        <v>188</v>
      </c>
      <c r="E10174" t="s">
        <v>189</v>
      </c>
      <c r="F10174" t="s">
        <v>99</v>
      </c>
      <c r="G10174" t="s">
        <v>99</v>
      </c>
      <c r="H10174" t="s">
        <v>99</v>
      </c>
    </row>
    <row r="10175" spans="1:8" x14ac:dyDescent="0.3">
      <c r="A10175" t="s">
        <v>49</v>
      </c>
      <c r="B10175" t="s">
        <v>339</v>
      </c>
      <c r="C10175">
        <v>3811</v>
      </c>
      <c r="D10175" t="s">
        <v>738</v>
      </c>
      <c r="E10175" t="s">
        <v>1187</v>
      </c>
      <c r="F10175" t="s">
        <v>141</v>
      </c>
      <c r="G10175" t="s">
        <v>268</v>
      </c>
      <c r="H10175" t="s">
        <v>248</v>
      </c>
    </row>
    <row r="10176" spans="1:8" x14ac:dyDescent="0.3">
      <c r="A10176" t="s">
        <v>49</v>
      </c>
      <c r="B10176" t="s">
        <v>340</v>
      </c>
      <c r="C10176">
        <v>9320</v>
      </c>
      <c r="D10176" t="s">
        <v>536</v>
      </c>
      <c r="E10176" t="s">
        <v>568</v>
      </c>
      <c r="F10176" t="s">
        <v>207</v>
      </c>
      <c r="G10176" t="s">
        <v>101</v>
      </c>
      <c r="H10176" t="s">
        <v>254</v>
      </c>
    </row>
    <row r="10177" spans="1:8" x14ac:dyDescent="0.3">
      <c r="A10177" t="s">
        <v>49</v>
      </c>
      <c r="B10177" t="s">
        <v>365</v>
      </c>
      <c r="C10177">
        <v>191</v>
      </c>
      <c r="D10177" t="s">
        <v>303</v>
      </c>
      <c r="E10177" t="s">
        <v>861</v>
      </c>
      <c r="F10177" t="s">
        <v>99</v>
      </c>
      <c r="G10177" t="s">
        <v>103</v>
      </c>
      <c r="H10177" t="s">
        <v>712</v>
      </c>
    </row>
    <row r="10179" spans="1:8" x14ac:dyDescent="0.3">
      <c r="A10179" t="s">
        <v>2497</v>
      </c>
    </row>
    <row r="10180" spans="1:8" x14ac:dyDescent="0.3">
      <c r="A10180" t="s">
        <v>44</v>
      </c>
      <c r="B10180" t="s">
        <v>209</v>
      </c>
      <c r="C10180" t="s">
        <v>32</v>
      </c>
      <c r="D10180" t="s">
        <v>83</v>
      </c>
      <c r="E10180" t="s">
        <v>66</v>
      </c>
      <c r="F10180" t="s">
        <v>2495</v>
      </c>
      <c r="G10180" t="s">
        <v>2486</v>
      </c>
      <c r="H10180" t="s">
        <v>2494</v>
      </c>
    </row>
    <row r="10181" spans="1:8" x14ac:dyDescent="0.3">
      <c r="A10181" t="s">
        <v>35</v>
      </c>
      <c r="B10181" t="s">
        <v>210</v>
      </c>
      <c r="C10181">
        <v>136</v>
      </c>
      <c r="D10181" t="s">
        <v>188</v>
      </c>
      <c r="E10181" t="s">
        <v>428</v>
      </c>
      <c r="F10181" t="s">
        <v>296</v>
      </c>
      <c r="G10181" t="s">
        <v>319</v>
      </c>
      <c r="H10181" t="s">
        <v>115</v>
      </c>
    </row>
    <row r="10182" spans="1:8" x14ac:dyDescent="0.3">
      <c r="A10182" t="s">
        <v>35</v>
      </c>
      <c r="B10182" t="s">
        <v>212</v>
      </c>
      <c r="C10182">
        <v>2442</v>
      </c>
      <c r="D10182" t="s">
        <v>670</v>
      </c>
      <c r="E10182" t="s">
        <v>1341</v>
      </c>
      <c r="F10182" t="s">
        <v>296</v>
      </c>
      <c r="G10182" t="s">
        <v>115</v>
      </c>
      <c r="H10182" t="s">
        <v>101</v>
      </c>
    </row>
    <row r="10183" spans="1:8" x14ac:dyDescent="0.3">
      <c r="A10183" t="s">
        <v>35</v>
      </c>
      <c r="B10183" t="s">
        <v>216</v>
      </c>
      <c r="C10183">
        <v>567</v>
      </c>
      <c r="D10183" t="s">
        <v>751</v>
      </c>
      <c r="E10183" t="s">
        <v>346</v>
      </c>
      <c r="F10183" t="s">
        <v>165</v>
      </c>
      <c r="G10183" t="s">
        <v>136</v>
      </c>
      <c r="H10183" t="s">
        <v>111</v>
      </c>
    </row>
    <row r="10184" spans="1:8" x14ac:dyDescent="0.3">
      <c r="A10184" t="s">
        <v>37</v>
      </c>
      <c r="B10184" t="s">
        <v>210</v>
      </c>
      <c r="C10184">
        <v>138</v>
      </c>
      <c r="D10184" t="s">
        <v>372</v>
      </c>
      <c r="E10184" t="s">
        <v>1226</v>
      </c>
      <c r="F10184" t="s">
        <v>117</v>
      </c>
      <c r="G10184" t="s">
        <v>99</v>
      </c>
      <c r="H10184" t="s">
        <v>99</v>
      </c>
    </row>
    <row r="10185" spans="1:8" x14ac:dyDescent="0.3">
      <c r="A10185" t="s">
        <v>37</v>
      </c>
      <c r="B10185" t="s">
        <v>212</v>
      </c>
      <c r="C10185">
        <v>3606</v>
      </c>
      <c r="D10185" t="s">
        <v>688</v>
      </c>
      <c r="E10185" t="s">
        <v>263</v>
      </c>
      <c r="F10185" t="s">
        <v>319</v>
      </c>
      <c r="G10185" t="s">
        <v>104</v>
      </c>
      <c r="H10185" t="s">
        <v>99</v>
      </c>
    </row>
    <row r="10186" spans="1:8" x14ac:dyDescent="0.3">
      <c r="A10186" t="s">
        <v>37</v>
      </c>
      <c r="B10186" t="s">
        <v>216</v>
      </c>
      <c r="C10186">
        <v>111</v>
      </c>
      <c r="D10186" t="s">
        <v>478</v>
      </c>
      <c r="E10186" t="s">
        <v>1476</v>
      </c>
      <c r="F10186" t="s">
        <v>126</v>
      </c>
      <c r="G10186" t="s">
        <v>99</v>
      </c>
      <c r="H10186" t="s">
        <v>99</v>
      </c>
    </row>
    <row r="10187" spans="1:8" x14ac:dyDescent="0.3">
      <c r="A10187" t="s">
        <v>36</v>
      </c>
      <c r="B10187" t="s">
        <v>210</v>
      </c>
      <c r="C10187">
        <v>165</v>
      </c>
      <c r="D10187" t="s">
        <v>738</v>
      </c>
      <c r="E10187" t="s">
        <v>567</v>
      </c>
      <c r="F10187" t="s">
        <v>131</v>
      </c>
      <c r="G10187" t="s">
        <v>99</v>
      </c>
      <c r="H10187" t="s">
        <v>107</v>
      </c>
    </row>
    <row r="10188" spans="1:8" x14ac:dyDescent="0.3">
      <c r="A10188" t="s">
        <v>36</v>
      </c>
      <c r="B10188" t="s">
        <v>212</v>
      </c>
      <c r="C10188">
        <v>1875</v>
      </c>
      <c r="D10188" t="s">
        <v>291</v>
      </c>
      <c r="E10188" t="s">
        <v>901</v>
      </c>
      <c r="F10188" t="s">
        <v>405</v>
      </c>
      <c r="G10188" t="s">
        <v>136</v>
      </c>
      <c r="H10188" t="s">
        <v>108</v>
      </c>
    </row>
    <row r="10189" spans="1:8" x14ac:dyDescent="0.3">
      <c r="A10189" t="s">
        <v>36</v>
      </c>
      <c r="B10189" t="s">
        <v>216</v>
      </c>
      <c r="C10189">
        <v>265</v>
      </c>
      <c r="D10189" t="s">
        <v>296</v>
      </c>
      <c r="E10189" t="s">
        <v>603</v>
      </c>
      <c r="F10189" t="s">
        <v>834</v>
      </c>
      <c r="G10189" t="s">
        <v>99</v>
      </c>
      <c r="H10189" t="s">
        <v>296</v>
      </c>
    </row>
    <row r="10190" spans="1:8" x14ac:dyDescent="0.3">
      <c r="A10190" t="s">
        <v>34</v>
      </c>
      <c r="B10190" t="s">
        <v>210</v>
      </c>
      <c r="C10190">
        <v>256</v>
      </c>
      <c r="D10190" t="s">
        <v>1057</v>
      </c>
      <c r="E10190" t="s">
        <v>562</v>
      </c>
      <c r="F10190" t="s">
        <v>420</v>
      </c>
      <c r="G10190" t="s">
        <v>99</v>
      </c>
      <c r="H10190" t="s">
        <v>474</v>
      </c>
    </row>
    <row r="10191" spans="1:8" x14ac:dyDescent="0.3">
      <c r="A10191" t="s">
        <v>34</v>
      </c>
      <c r="B10191" t="s">
        <v>212</v>
      </c>
      <c r="C10191">
        <v>1582</v>
      </c>
      <c r="D10191" t="s">
        <v>499</v>
      </c>
      <c r="E10191" t="s">
        <v>1146</v>
      </c>
      <c r="F10191" t="s">
        <v>716</v>
      </c>
      <c r="G10191" t="s">
        <v>136</v>
      </c>
      <c r="H10191" t="s">
        <v>118</v>
      </c>
    </row>
    <row r="10192" spans="1:8" x14ac:dyDescent="0.3">
      <c r="A10192" t="s">
        <v>34</v>
      </c>
      <c r="B10192" t="s">
        <v>216</v>
      </c>
      <c r="C10192">
        <v>242</v>
      </c>
      <c r="D10192" t="s">
        <v>457</v>
      </c>
      <c r="E10192" t="s">
        <v>653</v>
      </c>
      <c r="F10192" t="s">
        <v>442</v>
      </c>
      <c r="G10192" t="s">
        <v>132</v>
      </c>
      <c r="H10192" t="s">
        <v>267</v>
      </c>
    </row>
    <row r="10193" spans="1:8" x14ac:dyDescent="0.3">
      <c r="A10193" t="s">
        <v>33</v>
      </c>
      <c r="B10193" t="s">
        <v>210</v>
      </c>
      <c r="C10193">
        <v>68</v>
      </c>
      <c r="D10193" t="s">
        <v>109</v>
      </c>
      <c r="E10193" t="s">
        <v>392</v>
      </c>
      <c r="F10193" t="s">
        <v>138</v>
      </c>
      <c r="G10193" t="s">
        <v>99</v>
      </c>
      <c r="H10193" t="s">
        <v>99</v>
      </c>
    </row>
    <row r="10194" spans="1:8" x14ac:dyDescent="0.3">
      <c r="A10194" t="s">
        <v>33</v>
      </c>
      <c r="B10194" t="s">
        <v>212</v>
      </c>
      <c r="C10194">
        <v>1800</v>
      </c>
      <c r="D10194" t="s">
        <v>470</v>
      </c>
      <c r="E10194" t="s">
        <v>180</v>
      </c>
      <c r="F10194" t="s">
        <v>127</v>
      </c>
      <c r="G10194" t="s">
        <v>104</v>
      </c>
      <c r="H10194" t="s">
        <v>104</v>
      </c>
    </row>
    <row r="10195" spans="1:8" x14ac:dyDescent="0.3">
      <c r="A10195" t="s">
        <v>33</v>
      </c>
      <c r="B10195" t="s">
        <v>216</v>
      </c>
      <c r="C10195">
        <v>69</v>
      </c>
      <c r="D10195" t="s">
        <v>727</v>
      </c>
      <c r="E10195" t="s">
        <v>859</v>
      </c>
      <c r="F10195" t="s">
        <v>114</v>
      </c>
      <c r="G10195" t="s">
        <v>99</v>
      </c>
      <c r="H10195" t="s">
        <v>99</v>
      </c>
    </row>
    <row r="10196" spans="1:8" x14ac:dyDescent="0.3">
      <c r="A10196" t="s">
        <v>49</v>
      </c>
      <c r="B10196" t="s">
        <v>210</v>
      </c>
      <c r="C10196">
        <v>763</v>
      </c>
      <c r="D10196" t="s">
        <v>727</v>
      </c>
      <c r="E10196" t="s">
        <v>278</v>
      </c>
      <c r="F10196" t="s">
        <v>125</v>
      </c>
      <c r="G10196" t="s">
        <v>207</v>
      </c>
      <c r="H10196" t="s">
        <v>117</v>
      </c>
    </row>
    <row r="10197" spans="1:8" x14ac:dyDescent="0.3">
      <c r="A10197" t="s">
        <v>49</v>
      </c>
      <c r="B10197" t="s">
        <v>212</v>
      </c>
      <c r="C10197">
        <v>11305</v>
      </c>
      <c r="D10197" t="s">
        <v>186</v>
      </c>
      <c r="E10197" t="s">
        <v>1186</v>
      </c>
      <c r="F10197" t="s">
        <v>124</v>
      </c>
      <c r="G10197" t="s">
        <v>207</v>
      </c>
      <c r="H10197" t="s">
        <v>114</v>
      </c>
    </row>
    <row r="10198" spans="1:8" x14ac:dyDescent="0.3">
      <c r="A10198" t="s">
        <v>49</v>
      </c>
      <c r="B10198" t="s">
        <v>216</v>
      </c>
      <c r="C10198">
        <v>1254</v>
      </c>
      <c r="D10198" t="s">
        <v>309</v>
      </c>
      <c r="E10198" t="s">
        <v>983</v>
      </c>
      <c r="F10198" t="s">
        <v>267</v>
      </c>
      <c r="G10198" t="s">
        <v>136</v>
      </c>
      <c r="H10198" t="s">
        <v>242</v>
      </c>
    </row>
    <row r="10200" spans="1:8" x14ac:dyDescent="0.3">
      <c r="A10200" t="s">
        <v>2498</v>
      </c>
    </row>
    <row r="10201" spans="1:8" x14ac:dyDescent="0.3">
      <c r="A10201" t="s">
        <v>44</v>
      </c>
      <c r="B10201" t="s">
        <v>388</v>
      </c>
      <c r="C10201" t="s">
        <v>32</v>
      </c>
      <c r="D10201" t="s">
        <v>83</v>
      </c>
      <c r="E10201" t="s">
        <v>66</v>
      </c>
      <c r="F10201" t="s">
        <v>2494</v>
      </c>
      <c r="G10201" t="s">
        <v>2495</v>
      </c>
      <c r="H10201" t="s">
        <v>2486</v>
      </c>
    </row>
    <row r="10202" spans="1:8" x14ac:dyDescent="0.3">
      <c r="A10202" t="s">
        <v>35</v>
      </c>
      <c r="B10202" t="s">
        <v>389</v>
      </c>
      <c r="C10202">
        <v>2141</v>
      </c>
      <c r="D10202" t="s">
        <v>820</v>
      </c>
      <c r="E10202" t="s">
        <v>593</v>
      </c>
      <c r="F10202" t="s">
        <v>121</v>
      </c>
      <c r="G10202" t="s">
        <v>671</v>
      </c>
      <c r="H10202" t="s">
        <v>207</v>
      </c>
    </row>
    <row r="10203" spans="1:8" x14ac:dyDescent="0.3">
      <c r="A10203" t="s">
        <v>35</v>
      </c>
      <c r="B10203" t="s">
        <v>390</v>
      </c>
      <c r="C10203">
        <v>875</v>
      </c>
      <c r="D10203" t="s">
        <v>246</v>
      </c>
      <c r="E10203" t="s">
        <v>962</v>
      </c>
      <c r="F10203" t="s">
        <v>292</v>
      </c>
      <c r="G10203" t="s">
        <v>804</v>
      </c>
      <c r="H10203" t="s">
        <v>215</v>
      </c>
    </row>
    <row r="10204" spans="1:8" x14ac:dyDescent="0.3">
      <c r="A10204" t="s">
        <v>35</v>
      </c>
      <c r="B10204" t="s">
        <v>365</v>
      </c>
      <c r="C10204">
        <v>129</v>
      </c>
      <c r="D10204" t="s">
        <v>309</v>
      </c>
      <c r="E10204" t="s">
        <v>1245</v>
      </c>
      <c r="F10204" t="s">
        <v>292</v>
      </c>
      <c r="G10204" t="s">
        <v>182</v>
      </c>
      <c r="H10204" t="s">
        <v>101</v>
      </c>
    </row>
    <row r="10205" spans="1:8" x14ac:dyDescent="0.3">
      <c r="A10205" t="s">
        <v>37</v>
      </c>
      <c r="B10205" t="s">
        <v>389</v>
      </c>
      <c r="C10205">
        <v>2305</v>
      </c>
      <c r="D10205" t="s">
        <v>685</v>
      </c>
      <c r="E10205" t="s">
        <v>174</v>
      </c>
      <c r="F10205" t="s">
        <v>99</v>
      </c>
      <c r="G10205" t="s">
        <v>319</v>
      </c>
      <c r="H10205" t="s">
        <v>104</v>
      </c>
    </row>
    <row r="10206" spans="1:8" x14ac:dyDescent="0.3">
      <c r="A10206" t="s">
        <v>37</v>
      </c>
      <c r="B10206" t="s">
        <v>390</v>
      </c>
      <c r="C10206">
        <v>1309</v>
      </c>
      <c r="D10206" t="s">
        <v>289</v>
      </c>
      <c r="E10206" t="s">
        <v>288</v>
      </c>
      <c r="F10206" t="s">
        <v>99</v>
      </c>
      <c r="G10206" t="s">
        <v>382</v>
      </c>
      <c r="H10206" t="s">
        <v>198</v>
      </c>
    </row>
    <row r="10207" spans="1:8" x14ac:dyDescent="0.3">
      <c r="A10207" t="s">
        <v>37</v>
      </c>
      <c r="B10207" t="s">
        <v>365</v>
      </c>
      <c r="C10207">
        <v>241</v>
      </c>
      <c r="D10207" t="s">
        <v>449</v>
      </c>
      <c r="E10207" t="s">
        <v>845</v>
      </c>
      <c r="F10207" t="s">
        <v>99</v>
      </c>
      <c r="G10207" t="s">
        <v>101</v>
      </c>
      <c r="H10207" t="s">
        <v>99</v>
      </c>
    </row>
    <row r="10208" spans="1:8" x14ac:dyDescent="0.3">
      <c r="A10208" t="s">
        <v>36</v>
      </c>
      <c r="B10208" t="s">
        <v>389</v>
      </c>
      <c r="C10208">
        <v>1578</v>
      </c>
      <c r="D10208" t="s">
        <v>672</v>
      </c>
      <c r="E10208" t="s">
        <v>297</v>
      </c>
      <c r="F10208" t="s">
        <v>111</v>
      </c>
      <c r="G10208" t="s">
        <v>267</v>
      </c>
      <c r="H10208" t="s">
        <v>104</v>
      </c>
    </row>
    <row r="10209" spans="1:8" x14ac:dyDescent="0.3">
      <c r="A10209" t="s">
        <v>36</v>
      </c>
      <c r="B10209" t="s">
        <v>390</v>
      </c>
      <c r="C10209">
        <v>627</v>
      </c>
      <c r="D10209" t="s">
        <v>664</v>
      </c>
      <c r="E10209" t="s">
        <v>1132</v>
      </c>
      <c r="F10209" t="s">
        <v>111</v>
      </c>
      <c r="G10209" t="s">
        <v>708</v>
      </c>
      <c r="H10209" t="s">
        <v>114</v>
      </c>
    </row>
    <row r="10210" spans="1:8" x14ac:dyDescent="0.3">
      <c r="A10210" t="s">
        <v>36</v>
      </c>
      <c r="B10210" t="s">
        <v>365</v>
      </c>
      <c r="C10210">
        <v>100</v>
      </c>
      <c r="D10210" t="s">
        <v>305</v>
      </c>
      <c r="E10210" t="s">
        <v>1056</v>
      </c>
      <c r="F10210" t="s">
        <v>198</v>
      </c>
      <c r="G10210" t="s">
        <v>501</v>
      </c>
      <c r="H10210" t="s">
        <v>99</v>
      </c>
    </row>
    <row r="10211" spans="1:8" x14ac:dyDescent="0.3">
      <c r="A10211" t="s">
        <v>34</v>
      </c>
      <c r="B10211" t="s">
        <v>389</v>
      </c>
      <c r="C10211">
        <v>1385</v>
      </c>
      <c r="D10211" t="s">
        <v>1059</v>
      </c>
      <c r="E10211" t="s">
        <v>641</v>
      </c>
      <c r="F10211" t="s">
        <v>325</v>
      </c>
      <c r="G10211" t="s">
        <v>708</v>
      </c>
      <c r="H10211" t="s">
        <v>207</v>
      </c>
    </row>
    <row r="10212" spans="1:8" x14ac:dyDescent="0.3">
      <c r="A10212" t="s">
        <v>34</v>
      </c>
      <c r="B10212" t="s">
        <v>390</v>
      </c>
      <c r="C10212">
        <v>615</v>
      </c>
      <c r="D10212" t="s">
        <v>508</v>
      </c>
      <c r="E10212" t="s">
        <v>1122</v>
      </c>
      <c r="F10212" t="s">
        <v>712</v>
      </c>
      <c r="G10212" t="s">
        <v>311</v>
      </c>
      <c r="H10212" t="s">
        <v>253</v>
      </c>
    </row>
    <row r="10213" spans="1:8" x14ac:dyDescent="0.3">
      <c r="A10213" t="s">
        <v>34</v>
      </c>
      <c r="B10213" t="s">
        <v>365</v>
      </c>
      <c r="C10213">
        <v>80</v>
      </c>
      <c r="D10213" t="s">
        <v>369</v>
      </c>
      <c r="E10213" t="s">
        <v>397</v>
      </c>
      <c r="F10213" t="s">
        <v>712</v>
      </c>
      <c r="G10213" t="s">
        <v>684</v>
      </c>
      <c r="H10213" t="s">
        <v>99</v>
      </c>
    </row>
    <row r="10214" spans="1:8" x14ac:dyDescent="0.3">
      <c r="A10214" t="s">
        <v>33</v>
      </c>
      <c r="B10214" t="s">
        <v>389</v>
      </c>
      <c r="C10214">
        <v>1090</v>
      </c>
      <c r="D10214" t="s">
        <v>311</v>
      </c>
      <c r="E10214" t="s">
        <v>205</v>
      </c>
      <c r="F10214" t="s">
        <v>104</v>
      </c>
      <c r="G10214" t="s">
        <v>103</v>
      </c>
      <c r="H10214" t="s">
        <v>99</v>
      </c>
    </row>
    <row r="10215" spans="1:8" x14ac:dyDescent="0.3">
      <c r="A10215" t="s">
        <v>33</v>
      </c>
      <c r="B10215" t="s">
        <v>390</v>
      </c>
      <c r="C10215">
        <v>708</v>
      </c>
      <c r="D10215" t="s">
        <v>78</v>
      </c>
      <c r="E10215" t="s">
        <v>183</v>
      </c>
      <c r="F10215" t="s">
        <v>104</v>
      </c>
      <c r="G10215" t="s">
        <v>100</v>
      </c>
      <c r="H10215" t="s">
        <v>198</v>
      </c>
    </row>
    <row r="10216" spans="1:8" x14ac:dyDescent="0.3">
      <c r="A10216" t="s">
        <v>33</v>
      </c>
      <c r="B10216" t="s">
        <v>365</v>
      </c>
      <c r="C10216">
        <v>139</v>
      </c>
      <c r="D10216" t="s">
        <v>705</v>
      </c>
      <c r="E10216" t="s">
        <v>230</v>
      </c>
      <c r="F10216" t="s">
        <v>99</v>
      </c>
      <c r="G10216" t="s">
        <v>99</v>
      </c>
      <c r="H10216" t="s">
        <v>99</v>
      </c>
    </row>
    <row r="10217" spans="1:8" x14ac:dyDescent="0.3">
      <c r="A10217" t="s">
        <v>49</v>
      </c>
      <c r="B10217" t="s">
        <v>389</v>
      </c>
      <c r="C10217">
        <v>8499</v>
      </c>
      <c r="D10217" t="s">
        <v>432</v>
      </c>
      <c r="E10217" t="s">
        <v>1080</v>
      </c>
      <c r="F10217" t="s">
        <v>127</v>
      </c>
      <c r="G10217" t="s">
        <v>122</v>
      </c>
      <c r="H10217" t="s">
        <v>198</v>
      </c>
    </row>
    <row r="10218" spans="1:8" x14ac:dyDescent="0.3">
      <c r="A10218" t="s">
        <v>49</v>
      </c>
      <c r="B10218" t="s">
        <v>390</v>
      </c>
      <c r="C10218">
        <v>4134</v>
      </c>
      <c r="D10218" t="s">
        <v>701</v>
      </c>
      <c r="E10218" t="s">
        <v>472</v>
      </c>
      <c r="F10218" t="s">
        <v>126</v>
      </c>
      <c r="G10218" t="s">
        <v>144</v>
      </c>
      <c r="H10218" t="s">
        <v>115</v>
      </c>
    </row>
    <row r="10219" spans="1:8" x14ac:dyDescent="0.3">
      <c r="A10219" t="s">
        <v>49</v>
      </c>
      <c r="B10219" t="s">
        <v>365</v>
      </c>
      <c r="C10219">
        <v>689</v>
      </c>
      <c r="D10219" t="s">
        <v>685</v>
      </c>
      <c r="E10219" t="s">
        <v>774</v>
      </c>
      <c r="F10219" t="s">
        <v>100</v>
      </c>
      <c r="G10219" t="s">
        <v>277</v>
      </c>
      <c r="H10219" t="s">
        <v>207</v>
      </c>
    </row>
    <row r="10221" spans="1:8" x14ac:dyDescent="0.3">
      <c r="A10221" t="s">
        <v>2499</v>
      </c>
    </row>
    <row r="10222" spans="1:8" x14ac:dyDescent="0.3">
      <c r="A10222" t="s">
        <v>44</v>
      </c>
      <c r="B10222" t="s">
        <v>235</v>
      </c>
      <c r="C10222" t="s">
        <v>32</v>
      </c>
      <c r="D10222" t="s">
        <v>83</v>
      </c>
      <c r="E10222" t="s">
        <v>66</v>
      </c>
      <c r="F10222" t="s">
        <v>2494</v>
      </c>
      <c r="G10222" t="s">
        <v>2495</v>
      </c>
      <c r="H10222" t="s">
        <v>2486</v>
      </c>
    </row>
    <row r="10223" spans="1:8" x14ac:dyDescent="0.3">
      <c r="A10223" t="s">
        <v>35</v>
      </c>
      <c r="B10223" t="s">
        <v>236</v>
      </c>
      <c r="C10223">
        <v>1610</v>
      </c>
      <c r="D10223" t="s">
        <v>525</v>
      </c>
      <c r="E10223" t="s">
        <v>539</v>
      </c>
      <c r="F10223" t="s">
        <v>121</v>
      </c>
      <c r="G10223" t="s">
        <v>714</v>
      </c>
      <c r="H10223" t="s">
        <v>253</v>
      </c>
    </row>
    <row r="10224" spans="1:8" x14ac:dyDescent="0.3">
      <c r="A10224" t="s">
        <v>35</v>
      </c>
      <c r="B10224" t="s">
        <v>238</v>
      </c>
      <c r="C10224">
        <v>1535</v>
      </c>
      <c r="D10224" t="s">
        <v>738</v>
      </c>
      <c r="E10224" t="s">
        <v>586</v>
      </c>
      <c r="F10224" t="s">
        <v>382</v>
      </c>
      <c r="G10224" t="s">
        <v>363</v>
      </c>
      <c r="H10224" t="s">
        <v>115</v>
      </c>
    </row>
    <row r="10225" spans="1:8" x14ac:dyDescent="0.3">
      <c r="A10225" t="s">
        <v>37</v>
      </c>
      <c r="B10225" t="s">
        <v>236</v>
      </c>
      <c r="C10225">
        <v>2211</v>
      </c>
      <c r="D10225" t="s">
        <v>171</v>
      </c>
      <c r="E10225" t="s">
        <v>877</v>
      </c>
      <c r="F10225" t="s">
        <v>99</v>
      </c>
      <c r="G10225" t="s">
        <v>253</v>
      </c>
      <c r="H10225" t="s">
        <v>198</v>
      </c>
    </row>
    <row r="10226" spans="1:8" x14ac:dyDescent="0.3">
      <c r="A10226" t="s">
        <v>37</v>
      </c>
      <c r="B10226" t="s">
        <v>238</v>
      </c>
      <c r="C10226">
        <v>1644</v>
      </c>
      <c r="D10226" t="s">
        <v>167</v>
      </c>
      <c r="E10226" t="s">
        <v>1253</v>
      </c>
      <c r="F10226" t="s">
        <v>99</v>
      </c>
      <c r="G10226" t="s">
        <v>316</v>
      </c>
      <c r="H10226" t="s">
        <v>99</v>
      </c>
    </row>
    <row r="10227" spans="1:8" x14ac:dyDescent="0.3">
      <c r="A10227" t="s">
        <v>36</v>
      </c>
      <c r="B10227" t="s">
        <v>236</v>
      </c>
      <c r="C10227">
        <v>1566</v>
      </c>
      <c r="D10227" t="s">
        <v>685</v>
      </c>
      <c r="E10227" t="s">
        <v>1325</v>
      </c>
      <c r="F10227" t="s">
        <v>154</v>
      </c>
      <c r="G10227" t="s">
        <v>420</v>
      </c>
      <c r="H10227" t="s">
        <v>104</v>
      </c>
    </row>
    <row r="10228" spans="1:8" x14ac:dyDescent="0.3">
      <c r="A10228" t="s">
        <v>36</v>
      </c>
      <c r="B10228" t="s">
        <v>238</v>
      </c>
      <c r="C10228">
        <v>739</v>
      </c>
      <c r="D10228" t="s">
        <v>262</v>
      </c>
      <c r="E10228" t="s">
        <v>428</v>
      </c>
      <c r="F10228" t="s">
        <v>114</v>
      </c>
      <c r="G10228" t="s">
        <v>395</v>
      </c>
      <c r="H10228" t="s">
        <v>141</v>
      </c>
    </row>
    <row r="10229" spans="1:8" x14ac:dyDescent="0.3">
      <c r="A10229" t="s">
        <v>34</v>
      </c>
      <c r="B10229" t="s">
        <v>236</v>
      </c>
      <c r="C10229">
        <v>717</v>
      </c>
      <c r="D10229" t="s">
        <v>705</v>
      </c>
      <c r="E10229" t="s">
        <v>1002</v>
      </c>
      <c r="F10229" t="s">
        <v>470</v>
      </c>
      <c r="G10229" t="s">
        <v>425</v>
      </c>
      <c r="H10229" t="s">
        <v>104</v>
      </c>
    </row>
    <row r="10230" spans="1:8" x14ac:dyDescent="0.3">
      <c r="A10230" t="s">
        <v>34</v>
      </c>
      <c r="B10230" t="s">
        <v>238</v>
      </c>
      <c r="C10230">
        <v>1363</v>
      </c>
      <c r="D10230" t="s">
        <v>240</v>
      </c>
      <c r="E10230" t="s">
        <v>55</v>
      </c>
      <c r="F10230" t="s">
        <v>138</v>
      </c>
      <c r="G10230" t="s">
        <v>113</v>
      </c>
      <c r="H10230" t="s">
        <v>141</v>
      </c>
    </row>
    <row r="10231" spans="1:8" x14ac:dyDescent="0.3">
      <c r="A10231" t="s">
        <v>33</v>
      </c>
      <c r="B10231" t="s">
        <v>236</v>
      </c>
      <c r="C10231">
        <v>1116</v>
      </c>
      <c r="D10231" t="s">
        <v>671</v>
      </c>
      <c r="E10231" t="s">
        <v>293</v>
      </c>
      <c r="F10231" t="s">
        <v>104</v>
      </c>
      <c r="G10231" t="s">
        <v>253</v>
      </c>
      <c r="H10231" t="s">
        <v>99</v>
      </c>
    </row>
    <row r="10232" spans="1:8" x14ac:dyDescent="0.3">
      <c r="A10232" t="s">
        <v>33</v>
      </c>
      <c r="B10232" t="s">
        <v>238</v>
      </c>
      <c r="C10232">
        <v>821</v>
      </c>
      <c r="D10232" t="s">
        <v>291</v>
      </c>
      <c r="E10232" t="s">
        <v>200</v>
      </c>
      <c r="F10232" t="s">
        <v>104</v>
      </c>
      <c r="G10232" t="s">
        <v>107</v>
      </c>
      <c r="H10232" t="s">
        <v>104</v>
      </c>
    </row>
    <row r="10233" spans="1:8" x14ac:dyDescent="0.3">
      <c r="A10233" t="s">
        <v>49</v>
      </c>
      <c r="B10233" t="s">
        <v>236</v>
      </c>
      <c r="C10233">
        <v>7220</v>
      </c>
      <c r="D10233" t="s">
        <v>372</v>
      </c>
      <c r="E10233" t="s">
        <v>568</v>
      </c>
      <c r="F10233" t="s">
        <v>123</v>
      </c>
      <c r="G10233" t="s">
        <v>145</v>
      </c>
      <c r="H10233" t="s">
        <v>198</v>
      </c>
    </row>
    <row r="10234" spans="1:8" x14ac:dyDescent="0.3">
      <c r="A10234" t="s">
        <v>49</v>
      </c>
      <c r="B10234" t="s">
        <v>238</v>
      </c>
      <c r="C10234">
        <v>6102</v>
      </c>
      <c r="D10234" t="s">
        <v>432</v>
      </c>
      <c r="E10234" t="s">
        <v>486</v>
      </c>
      <c r="F10234" t="s">
        <v>319</v>
      </c>
      <c r="G10234" t="s">
        <v>664</v>
      </c>
      <c r="H10234" t="s">
        <v>136</v>
      </c>
    </row>
    <row r="10236" spans="1:8" x14ac:dyDescent="0.3">
      <c r="A10236" t="s">
        <v>2500</v>
      </c>
    </row>
    <row r="10237" spans="1:8" x14ac:dyDescent="0.3">
      <c r="A10237" t="s">
        <v>44</v>
      </c>
      <c r="B10237" t="s">
        <v>1720</v>
      </c>
      <c r="C10237" t="s">
        <v>32</v>
      </c>
      <c r="D10237" t="s">
        <v>83</v>
      </c>
      <c r="E10237" t="s">
        <v>66</v>
      </c>
      <c r="F10237" t="s">
        <v>2494</v>
      </c>
      <c r="G10237" t="s">
        <v>2495</v>
      </c>
      <c r="H10237" t="s">
        <v>2486</v>
      </c>
    </row>
    <row r="10238" spans="1:8" x14ac:dyDescent="0.3">
      <c r="A10238" t="s">
        <v>35</v>
      </c>
      <c r="B10238" t="s">
        <v>1721</v>
      </c>
      <c r="C10238">
        <v>996</v>
      </c>
      <c r="D10238" t="s">
        <v>751</v>
      </c>
      <c r="E10238" t="s">
        <v>949</v>
      </c>
      <c r="F10238" t="s">
        <v>319</v>
      </c>
      <c r="G10238" t="s">
        <v>408</v>
      </c>
      <c r="H10238" t="s">
        <v>136</v>
      </c>
    </row>
    <row r="10239" spans="1:8" x14ac:dyDescent="0.3">
      <c r="A10239" t="s">
        <v>35</v>
      </c>
      <c r="B10239" t="s">
        <v>1722</v>
      </c>
      <c r="C10239">
        <v>2149</v>
      </c>
      <c r="D10239" t="s">
        <v>423</v>
      </c>
      <c r="E10239" t="s">
        <v>1257</v>
      </c>
      <c r="F10239" t="s">
        <v>382</v>
      </c>
      <c r="G10239" t="s">
        <v>113</v>
      </c>
      <c r="H10239" t="s">
        <v>132</v>
      </c>
    </row>
    <row r="10240" spans="1:8" x14ac:dyDescent="0.3">
      <c r="A10240" t="s">
        <v>37</v>
      </c>
      <c r="B10240" t="s">
        <v>1721</v>
      </c>
      <c r="C10240">
        <v>1252</v>
      </c>
      <c r="D10240" t="s">
        <v>289</v>
      </c>
      <c r="E10240" t="s">
        <v>288</v>
      </c>
      <c r="F10240" t="s">
        <v>104</v>
      </c>
      <c r="G10240" t="s">
        <v>319</v>
      </c>
      <c r="H10240" t="s">
        <v>207</v>
      </c>
    </row>
    <row r="10241" spans="1:8" x14ac:dyDescent="0.3">
      <c r="A10241" t="s">
        <v>37</v>
      </c>
      <c r="B10241" t="s">
        <v>1722</v>
      </c>
      <c r="C10241">
        <v>2603</v>
      </c>
      <c r="D10241" t="s">
        <v>244</v>
      </c>
      <c r="E10241" t="s">
        <v>243</v>
      </c>
      <c r="F10241" t="s">
        <v>99</v>
      </c>
      <c r="G10241" t="s">
        <v>126</v>
      </c>
      <c r="H10241" t="s">
        <v>99</v>
      </c>
    </row>
    <row r="10242" spans="1:8" x14ac:dyDescent="0.3">
      <c r="A10242" t="s">
        <v>36</v>
      </c>
      <c r="B10242" t="s">
        <v>1721</v>
      </c>
      <c r="C10242">
        <v>813</v>
      </c>
      <c r="D10242" t="s">
        <v>746</v>
      </c>
      <c r="E10242" t="s">
        <v>569</v>
      </c>
      <c r="F10242" t="s">
        <v>117</v>
      </c>
      <c r="G10242" t="s">
        <v>814</v>
      </c>
      <c r="H10242" t="s">
        <v>99</v>
      </c>
    </row>
    <row r="10243" spans="1:8" x14ac:dyDescent="0.3">
      <c r="A10243" t="s">
        <v>36</v>
      </c>
      <c r="B10243" t="s">
        <v>1722</v>
      </c>
      <c r="C10243">
        <v>1492</v>
      </c>
      <c r="D10243" t="s">
        <v>163</v>
      </c>
      <c r="E10243" t="s">
        <v>1080</v>
      </c>
      <c r="F10243" t="s">
        <v>123</v>
      </c>
      <c r="G10243" t="s">
        <v>267</v>
      </c>
      <c r="H10243" t="s">
        <v>141</v>
      </c>
    </row>
    <row r="10244" spans="1:8" x14ac:dyDescent="0.3">
      <c r="A10244" t="s">
        <v>34</v>
      </c>
      <c r="B10244" t="s">
        <v>1721</v>
      </c>
      <c r="C10244">
        <v>621</v>
      </c>
      <c r="D10244" t="s">
        <v>747</v>
      </c>
      <c r="E10244" t="s">
        <v>590</v>
      </c>
      <c r="F10244" t="s">
        <v>125</v>
      </c>
      <c r="G10244" t="s">
        <v>318</v>
      </c>
      <c r="H10244" t="s">
        <v>136</v>
      </c>
    </row>
    <row r="10245" spans="1:8" x14ac:dyDescent="0.3">
      <c r="A10245" t="s">
        <v>34</v>
      </c>
      <c r="B10245" t="s">
        <v>1722</v>
      </c>
      <c r="C10245">
        <v>1459</v>
      </c>
      <c r="D10245" t="s">
        <v>933</v>
      </c>
      <c r="E10245" t="s">
        <v>55</v>
      </c>
      <c r="F10245" t="s">
        <v>154</v>
      </c>
      <c r="G10245" t="s">
        <v>171</v>
      </c>
      <c r="H10245" t="s">
        <v>136</v>
      </c>
    </row>
    <row r="10246" spans="1:8" x14ac:dyDescent="0.3">
      <c r="A10246" t="s">
        <v>33</v>
      </c>
      <c r="B10246" t="s">
        <v>1721</v>
      </c>
      <c r="C10246">
        <v>557</v>
      </c>
      <c r="D10246" t="s">
        <v>251</v>
      </c>
      <c r="E10246" t="s">
        <v>221</v>
      </c>
      <c r="F10246" t="s">
        <v>198</v>
      </c>
      <c r="G10246" t="s">
        <v>117</v>
      </c>
      <c r="H10246" t="s">
        <v>99</v>
      </c>
    </row>
    <row r="10247" spans="1:8" x14ac:dyDescent="0.3">
      <c r="A10247" t="s">
        <v>33</v>
      </c>
      <c r="B10247" t="s">
        <v>1722</v>
      </c>
      <c r="C10247">
        <v>1380</v>
      </c>
      <c r="D10247" t="s">
        <v>262</v>
      </c>
      <c r="E10247" t="s">
        <v>764</v>
      </c>
      <c r="F10247" t="s">
        <v>104</v>
      </c>
      <c r="G10247" t="s">
        <v>126</v>
      </c>
      <c r="H10247" t="s">
        <v>104</v>
      </c>
    </row>
    <row r="10248" spans="1:8" x14ac:dyDescent="0.3">
      <c r="A10248" t="s">
        <v>49</v>
      </c>
      <c r="B10248" t="s">
        <v>1721</v>
      </c>
      <c r="C10248">
        <v>4239</v>
      </c>
      <c r="D10248" t="s">
        <v>167</v>
      </c>
      <c r="E10248" t="s">
        <v>348</v>
      </c>
      <c r="F10248" t="s">
        <v>117</v>
      </c>
      <c r="G10248" t="s">
        <v>363</v>
      </c>
      <c r="H10248" t="s">
        <v>207</v>
      </c>
    </row>
    <row r="10249" spans="1:8" x14ac:dyDescent="0.3">
      <c r="A10249" t="s">
        <v>49</v>
      </c>
      <c r="B10249" t="s">
        <v>1722</v>
      </c>
      <c r="C10249">
        <v>9083</v>
      </c>
      <c r="D10249" t="s">
        <v>357</v>
      </c>
      <c r="E10249" t="s">
        <v>1360</v>
      </c>
      <c r="F10249" t="s">
        <v>101</v>
      </c>
      <c r="G10249" t="s">
        <v>143</v>
      </c>
      <c r="H10249" t="s">
        <v>136</v>
      </c>
    </row>
    <row r="10251" spans="1:8" x14ac:dyDescent="0.3">
      <c r="A10251" t="s">
        <v>2501</v>
      </c>
    </row>
    <row r="10252" spans="1:8" x14ac:dyDescent="0.3">
      <c r="A10252" t="s">
        <v>44</v>
      </c>
      <c r="B10252" t="s">
        <v>257</v>
      </c>
      <c r="C10252" t="s">
        <v>32</v>
      </c>
      <c r="D10252" t="s">
        <v>83</v>
      </c>
      <c r="E10252" t="s">
        <v>66</v>
      </c>
      <c r="F10252" t="s">
        <v>2486</v>
      </c>
      <c r="G10252" t="s">
        <v>2494</v>
      </c>
      <c r="H10252" t="s">
        <v>2495</v>
      </c>
    </row>
    <row r="10253" spans="1:8" x14ac:dyDescent="0.3">
      <c r="A10253" t="s">
        <v>35</v>
      </c>
      <c r="B10253" t="s">
        <v>258</v>
      </c>
      <c r="C10253">
        <v>2873</v>
      </c>
      <c r="D10253" t="s">
        <v>683</v>
      </c>
      <c r="E10253" t="s">
        <v>59</v>
      </c>
      <c r="F10253" t="s">
        <v>253</v>
      </c>
      <c r="G10253" t="s">
        <v>114</v>
      </c>
      <c r="H10253" t="s">
        <v>122</v>
      </c>
    </row>
    <row r="10254" spans="1:8" x14ac:dyDescent="0.3">
      <c r="A10254" t="s">
        <v>35</v>
      </c>
      <c r="B10254" t="s">
        <v>260</v>
      </c>
      <c r="C10254">
        <v>272</v>
      </c>
      <c r="D10254" t="s">
        <v>489</v>
      </c>
      <c r="E10254" t="s">
        <v>809</v>
      </c>
      <c r="F10254" t="s">
        <v>126</v>
      </c>
      <c r="G10254" t="s">
        <v>124</v>
      </c>
      <c r="H10254" t="s">
        <v>803</v>
      </c>
    </row>
    <row r="10255" spans="1:8" x14ac:dyDescent="0.3">
      <c r="A10255" t="s">
        <v>37</v>
      </c>
      <c r="B10255" t="s">
        <v>258</v>
      </c>
      <c r="C10255">
        <v>3855</v>
      </c>
      <c r="D10255" t="s">
        <v>721</v>
      </c>
      <c r="E10255" t="s">
        <v>885</v>
      </c>
      <c r="F10255" t="s">
        <v>104</v>
      </c>
      <c r="G10255" t="s">
        <v>99</v>
      </c>
      <c r="H10255" t="s">
        <v>126</v>
      </c>
    </row>
    <row r="10256" spans="1:8" x14ac:dyDescent="0.3">
      <c r="A10256" t="s">
        <v>36</v>
      </c>
      <c r="B10256" t="s">
        <v>258</v>
      </c>
      <c r="C10256">
        <v>2100</v>
      </c>
      <c r="D10256" t="s">
        <v>179</v>
      </c>
      <c r="E10256" t="s">
        <v>773</v>
      </c>
      <c r="F10256" t="s">
        <v>207</v>
      </c>
      <c r="G10256" t="s">
        <v>123</v>
      </c>
      <c r="H10256" t="s">
        <v>368</v>
      </c>
    </row>
    <row r="10257" spans="1:8" x14ac:dyDescent="0.3">
      <c r="A10257" t="s">
        <v>36</v>
      </c>
      <c r="B10257" t="s">
        <v>260</v>
      </c>
      <c r="C10257">
        <v>205</v>
      </c>
      <c r="D10257" t="s">
        <v>705</v>
      </c>
      <c r="E10257" t="s">
        <v>287</v>
      </c>
      <c r="F10257" t="s">
        <v>99</v>
      </c>
      <c r="G10257" t="s">
        <v>456</v>
      </c>
      <c r="H10257" t="s">
        <v>1285</v>
      </c>
    </row>
    <row r="10258" spans="1:8" x14ac:dyDescent="0.3">
      <c r="A10258" t="s">
        <v>34</v>
      </c>
      <c r="B10258" t="s">
        <v>258</v>
      </c>
      <c r="C10258">
        <v>1221</v>
      </c>
      <c r="D10258" t="s">
        <v>1044</v>
      </c>
      <c r="E10258" t="s">
        <v>968</v>
      </c>
      <c r="F10258" t="s">
        <v>104</v>
      </c>
      <c r="G10258" t="s">
        <v>99</v>
      </c>
      <c r="H10258" t="s">
        <v>132</v>
      </c>
    </row>
    <row r="10259" spans="1:8" x14ac:dyDescent="0.3">
      <c r="A10259" t="s">
        <v>34</v>
      </c>
      <c r="B10259" t="s">
        <v>260</v>
      </c>
      <c r="C10259">
        <v>859</v>
      </c>
      <c r="D10259" t="s">
        <v>517</v>
      </c>
      <c r="E10259" t="s">
        <v>987</v>
      </c>
      <c r="F10259" t="s">
        <v>141</v>
      </c>
      <c r="G10259" t="s">
        <v>420</v>
      </c>
      <c r="H10259" t="s">
        <v>807</v>
      </c>
    </row>
    <row r="10260" spans="1:8" x14ac:dyDescent="0.3">
      <c r="A10260" t="s">
        <v>33</v>
      </c>
      <c r="B10260" t="s">
        <v>258</v>
      </c>
      <c r="C10260">
        <v>1937</v>
      </c>
      <c r="D10260" t="s">
        <v>379</v>
      </c>
      <c r="E10260" t="s">
        <v>854</v>
      </c>
      <c r="F10260" t="s">
        <v>104</v>
      </c>
      <c r="G10260" t="s">
        <v>104</v>
      </c>
      <c r="H10260" t="s">
        <v>127</v>
      </c>
    </row>
    <row r="10261" spans="1:8" x14ac:dyDescent="0.3">
      <c r="A10261" t="s">
        <v>49</v>
      </c>
      <c r="B10261" t="s">
        <v>258</v>
      </c>
      <c r="C10261">
        <v>11986</v>
      </c>
      <c r="D10261" t="s">
        <v>704</v>
      </c>
      <c r="E10261" t="s">
        <v>774</v>
      </c>
      <c r="F10261" t="s">
        <v>207</v>
      </c>
      <c r="G10261" t="s">
        <v>141</v>
      </c>
      <c r="H10261" t="s">
        <v>112</v>
      </c>
    </row>
    <row r="10262" spans="1:8" x14ac:dyDescent="0.3">
      <c r="A10262" t="s">
        <v>49</v>
      </c>
      <c r="B10262" t="s">
        <v>260</v>
      </c>
      <c r="C10262">
        <v>1336</v>
      </c>
      <c r="D10262" t="s">
        <v>137</v>
      </c>
      <c r="E10262" t="s">
        <v>823</v>
      </c>
      <c r="F10262" t="s">
        <v>115</v>
      </c>
      <c r="G10262" t="s">
        <v>401</v>
      </c>
      <c r="H10262" t="s">
        <v>720</v>
      </c>
    </row>
    <row r="10264" spans="1:8" x14ac:dyDescent="0.3">
      <c r="A10264" t="s">
        <v>2502</v>
      </c>
    </row>
    <row r="10265" spans="1:8" x14ac:dyDescent="0.3">
      <c r="A10265" t="s">
        <v>44</v>
      </c>
      <c r="B10265" t="s">
        <v>32</v>
      </c>
      <c r="C10265" t="s">
        <v>2503</v>
      </c>
      <c r="D10265" t="s">
        <v>2504</v>
      </c>
      <c r="E10265" t="s">
        <v>2505</v>
      </c>
      <c r="F10265" t="s">
        <v>2486</v>
      </c>
    </row>
    <row r="10266" spans="1:8" x14ac:dyDescent="0.3">
      <c r="A10266" t="s">
        <v>35</v>
      </c>
      <c r="B10266">
        <v>417</v>
      </c>
      <c r="C10266" t="s">
        <v>691</v>
      </c>
      <c r="D10266" t="s">
        <v>703</v>
      </c>
      <c r="E10266" t="s">
        <v>1113</v>
      </c>
      <c r="F10266" t="s">
        <v>101</v>
      </c>
    </row>
    <row r="10267" spans="1:8" x14ac:dyDescent="0.3">
      <c r="A10267" t="s">
        <v>37</v>
      </c>
      <c r="B10267">
        <v>46</v>
      </c>
      <c r="C10267" t="s">
        <v>600</v>
      </c>
      <c r="D10267" t="s">
        <v>613</v>
      </c>
      <c r="E10267" t="s">
        <v>802</v>
      </c>
      <c r="F10267" t="s">
        <v>99</v>
      </c>
    </row>
    <row r="10268" spans="1:8" x14ac:dyDescent="0.3">
      <c r="A10268" t="s">
        <v>36</v>
      </c>
      <c r="B10268">
        <v>283</v>
      </c>
      <c r="C10268" t="s">
        <v>206</v>
      </c>
      <c r="D10268" t="s">
        <v>1062</v>
      </c>
      <c r="E10268" t="s">
        <v>1006</v>
      </c>
      <c r="F10268" t="s">
        <v>99</v>
      </c>
    </row>
    <row r="10269" spans="1:8" x14ac:dyDescent="0.3">
      <c r="A10269" t="s">
        <v>34</v>
      </c>
      <c r="B10269">
        <v>193</v>
      </c>
      <c r="C10269" t="s">
        <v>201</v>
      </c>
      <c r="D10269" t="s">
        <v>201</v>
      </c>
      <c r="E10269" t="s">
        <v>428</v>
      </c>
      <c r="F10269" t="s">
        <v>99</v>
      </c>
    </row>
    <row r="10270" spans="1:8" s="5" customFormat="1" x14ac:dyDescent="0.3">
      <c r="A10270" s="5" t="s">
        <v>33</v>
      </c>
      <c r="B10270" s="5">
        <v>26</v>
      </c>
      <c r="C10270" s="5" t="s">
        <v>545</v>
      </c>
      <c r="D10270" s="5" t="s">
        <v>595</v>
      </c>
      <c r="E10270" s="5" t="s">
        <v>425</v>
      </c>
      <c r="F10270" s="5" t="s">
        <v>99</v>
      </c>
    </row>
    <row r="10271" spans="1:8" x14ac:dyDescent="0.3">
      <c r="A10271" t="s">
        <v>49</v>
      </c>
      <c r="B10271">
        <v>965</v>
      </c>
      <c r="C10271" t="s">
        <v>357</v>
      </c>
      <c r="D10271" t="s">
        <v>795</v>
      </c>
      <c r="E10271" t="s">
        <v>1239</v>
      </c>
      <c r="F10271" t="s">
        <v>141</v>
      </c>
    </row>
    <row r="10273" spans="1:7" x14ac:dyDescent="0.3">
      <c r="A10273" t="s">
        <v>2506</v>
      </c>
    </row>
    <row r="10274" spans="1:7" x14ac:dyDescent="0.3">
      <c r="A10274" t="s">
        <v>44</v>
      </c>
      <c r="B10274" t="s">
        <v>361</v>
      </c>
      <c r="C10274" t="s">
        <v>32</v>
      </c>
      <c r="D10274" t="s">
        <v>2503</v>
      </c>
      <c r="E10274" t="s">
        <v>2504</v>
      </c>
      <c r="F10274" t="s">
        <v>2505</v>
      </c>
      <c r="G10274" t="s">
        <v>2486</v>
      </c>
    </row>
    <row r="10275" spans="1:7" x14ac:dyDescent="0.3">
      <c r="A10275" t="s">
        <v>35</v>
      </c>
      <c r="B10275" t="s">
        <v>339</v>
      </c>
      <c r="C10275">
        <v>143</v>
      </c>
      <c r="D10275" t="s">
        <v>536</v>
      </c>
      <c r="E10275" t="s">
        <v>246</v>
      </c>
      <c r="F10275" t="s">
        <v>282</v>
      </c>
      <c r="G10275" t="s">
        <v>100</v>
      </c>
    </row>
    <row r="10276" spans="1:7" x14ac:dyDescent="0.3">
      <c r="A10276" t="s">
        <v>35</v>
      </c>
      <c r="B10276" t="s">
        <v>340</v>
      </c>
      <c r="C10276">
        <v>270</v>
      </c>
      <c r="D10276" t="s">
        <v>425</v>
      </c>
      <c r="E10276" t="s">
        <v>613</v>
      </c>
      <c r="F10276" t="s">
        <v>56</v>
      </c>
      <c r="G10276" t="s">
        <v>319</v>
      </c>
    </row>
    <row r="10277" spans="1:7" x14ac:dyDescent="0.3">
      <c r="A10277" t="s">
        <v>35</v>
      </c>
      <c r="B10277" t="s">
        <v>365</v>
      </c>
      <c r="C10277">
        <v>4</v>
      </c>
      <c r="D10277" t="s">
        <v>99</v>
      </c>
      <c r="E10277" t="s">
        <v>793</v>
      </c>
      <c r="F10277" t="s">
        <v>1383</v>
      </c>
      <c r="G10277" t="s">
        <v>99</v>
      </c>
    </row>
    <row r="10278" spans="1:7" s="5" customFormat="1" x14ac:dyDescent="0.3">
      <c r="A10278" s="5" t="s">
        <v>37</v>
      </c>
      <c r="B10278" s="5" t="s">
        <v>339</v>
      </c>
      <c r="C10278" s="5">
        <v>7</v>
      </c>
      <c r="D10278" s="5" t="s">
        <v>1326</v>
      </c>
      <c r="E10278" s="5" t="s">
        <v>833</v>
      </c>
      <c r="F10278" s="5" t="s">
        <v>513</v>
      </c>
      <c r="G10278" s="5" t="s">
        <v>99</v>
      </c>
    </row>
    <row r="10279" spans="1:7" x14ac:dyDescent="0.3">
      <c r="A10279" t="s">
        <v>37</v>
      </c>
      <c r="B10279" t="s">
        <v>340</v>
      </c>
      <c r="C10279">
        <v>38</v>
      </c>
      <c r="D10279" t="s">
        <v>967</v>
      </c>
      <c r="E10279" t="s">
        <v>957</v>
      </c>
      <c r="F10279" t="s">
        <v>807</v>
      </c>
      <c r="G10279" t="s">
        <v>99</v>
      </c>
    </row>
    <row r="10280" spans="1:7" x14ac:dyDescent="0.3">
      <c r="A10280" t="s">
        <v>37</v>
      </c>
      <c r="B10280" t="s">
        <v>365</v>
      </c>
      <c r="C10280">
        <v>1</v>
      </c>
      <c r="D10280" t="s">
        <v>99</v>
      </c>
      <c r="E10280" t="s">
        <v>99</v>
      </c>
      <c r="F10280" t="s">
        <v>211</v>
      </c>
      <c r="G10280" t="s">
        <v>99</v>
      </c>
    </row>
    <row r="10281" spans="1:7" x14ac:dyDescent="0.3">
      <c r="A10281" t="s">
        <v>36</v>
      </c>
      <c r="B10281" t="s">
        <v>339</v>
      </c>
      <c r="C10281">
        <v>106</v>
      </c>
      <c r="D10281" t="s">
        <v>222</v>
      </c>
      <c r="E10281" t="s">
        <v>668</v>
      </c>
      <c r="F10281" t="s">
        <v>579</v>
      </c>
      <c r="G10281" t="s">
        <v>99</v>
      </c>
    </row>
    <row r="10282" spans="1:7" x14ac:dyDescent="0.3">
      <c r="A10282" t="s">
        <v>36</v>
      </c>
      <c r="B10282" t="s">
        <v>340</v>
      </c>
      <c r="C10282">
        <v>171</v>
      </c>
      <c r="D10282" t="s">
        <v>449</v>
      </c>
      <c r="E10282" t="s">
        <v>729</v>
      </c>
      <c r="F10282" t="s">
        <v>1165</v>
      </c>
      <c r="G10282" t="s">
        <v>99</v>
      </c>
    </row>
    <row r="10283" spans="1:7" x14ac:dyDescent="0.3">
      <c r="A10283" t="s">
        <v>36</v>
      </c>
      <c r="B10283" t="s">
        <v>365</v>
      </c>
      <c r="C10283">
        <v>6</v>
      </c>
      <c r="D10283" t="s">
        <v>807</v>
      </c>
      <c r="E10283" t="s">
        <v>332</v>
      </c>
      <c r="F10283" t="s">
        <v>259</v>
      </c>
      <c r="G10283" t="s">
        <v>99</v>
      </c>
    </row>
    <row r="10284" spans="1:7" x14ac:dyDescent="0.3">
      <c r="A10284" t="s">
        <v>34</v>
      </c>
      <c r="B10284" t="s">
        <v>339</v>
      </c>
      <c r="C10284">
        <v>63</v>
      </c>
      <c r="D10284" t="s">
        <v>746</v>
      </c>
      <c r="E10284" t="s">
        <v>677</v>
      </c>
      <c r="F10284" t="s">
        <v>985</v>
      </c>
      <c r="G10284" t="s">
        <v>99</v>
      </c>
    </row>
    <row r="10285" spans="1:7" x14ac:dyDescent="0.3">
      <c r="A10285" t="s">
        <v>34</v>
      </c>
      <c r="B10285" t="s">
        <v>340</v>
      </c>
      <c r="C10285">
        <v>127</v>
      </c>
      <c r="D10285" t="s">
        <v>482</v>
      </c>
      <c r="E10285" t="s">
        <v>694</v>
      </c>
      <c r="F10285" t="s">
        <v>915</v>
      </c>
      <c r="G10285" t="s">
        <v>99</v>
      </c>
    </row>
    <row r="10286" spans="1:7" x14ac:dyDescent="0.3">
      <c r="A10286" t="s">
        <v>34</v>
      </c>
      <c r="B10286" t="s">
        <v>365</v>
      </c>
      <c r="C10286">
        <v>3</v>
      </c>
      <c r="D10286" t="s">
        <v>99</v>
      </c>
      <c r="E10286" t="s">
        <v>423</v>
      </c>
      <c r="F10286" t="s">
        <v>1186</v>
      </c>
      <c r="G10286" t="s">
        <v>99</v>
      </c>
    </row>
    <row r="10287" spans="1:7" s="5" customFormat="1" x14ac:dyDescent="0.3">
      <c r="A10287" s="5" t="s">
        <v>33</v>
      </c>
      <c r="B10287" s="5" t="s">
        <v>339</v>
      </c>
      <c r="C10287" s="5">
        <v>9</v>
      </c>
      <c r="D10287" s="5" t="s">
        <v>283</v>
      </c>
      <c r="E10287" s="5" t="s">
        <v>631</v>
      </c>
      <c r="F10287" s="5" t="s">
        <v>690</v>
      </c>
      <c r="G10287" s="5" t="s">
        <v>99</v>
      </c>
    </row>
    <row r="10288" spans="1:7" s="5" customFormat="1" x14ac:dyDescent="0.3">
      <c r="A10288" s="5" t="s">
        <v>33</v>
      </c>
      <c r="B10288" s="5" t="s">
        <v>340</v>
      </c>
      <c r="C10288" s="5">
        <v>17</v>
      </c>
      <c r="D10288" s="5" t="s">
        <v>916</v>
      </c>
      <c r="E10288" s="5" t="s">
        <v>818</v>
      </c>
      <c r="F10288" s="5" t="s">
        <v>188</v>
      </c>
      <c r="G10288" s="5" t="s">
        <v>99</v>
      </c>
    </row>
    <row r="10289" spans="1:7" x14ac:dyDescent="0.3">
      <c r="A10289" t="s">
        <v>49</v>
      </c>
      <c r="B10289" t="s">
        <v>339</v>
      </c>
      <c r="C10289">
        <v>328</v>
      </c>
      <c r="D10289" t="s">
        <v>372</v>
      </c>
      <c r="E10289" t="s">
        <v>802</v>
      </c>
      <c r="F10289" t="s">
        <v>922</v>
      </c>
      <c r="G10289" t="s">
        <v>136</v>
      </c>
    </row>
    <row r="10290" spans="1:7" x14ac:dyDescent="0.3">
      <c r="A10290" t="s">
        <v>49</v>
      </c>
      <c r="B10290" t="s">
        <v>340</v>
      </c>
      <c r="C10290">
        <v>623</v>
      </c>
      <c r="D10290" t="s">
        <v>188</v>
      </c>
      <c r="E10290" t="s">
        <v>64</v>
      </c>
      <c r="F10290" t="s">
        <v>909</v>
      </c>
      <c r="G10290" t="s">
        <v>141</v>
      </c>
    </row>
    <row r="10291" spans="1:7" x14ac:dyDescent="0.3">
      <c r="A10291" t="s">
        <v>49</v>
      </c>
      <c r="B10291" t="s">
        <v>365</v>
      </c>
      <c r="C10291">
        <v>14</v>
      </c>
      <c r="D10291" t="s">
        <v>117</v>
      </c>
      <c r="E10291" t="s">
        <v>534</v>
      </c>
      <c r="F10291" t="s">
        <v>1366</v>
      </c>
      <c r="G10291" t="s">
        <v>99</v>
      </c>
    </row>
    <row r="10293" spans="1:7" x14ac:dyDescent="0.3">
      <c r="A10293" t="s">
        <v>2507</v>
      </c>
    </row>
    <row r="10294" spans="1:7" x14ac:dyDescent="0.3">
      <c r="A10294" t="s">
        <v>44</v>
      </c>
      <c r="B10294" t="s">
        <v>209</v>
      </c>
      <c r="C10294" t="s">
        <v>32</v>
      </c>
      <c r="D10294" t="s">
        <v>2503</v>
      </c>
      <c r="E10294" t="s">
        <v>2504</v>
      </c>
      <c r="F10294" t="s">
        <v>2505</v>
      </c>
      <c r="G10294" t="s">
        <v>2486</v>
      </c>
    </row>
    <row r="10295" spans="1:7" s="5" customFormat="1" x14ac:dyDescent="0.3">
      <c r="A10295" s="5" t="s">
        <v>35</v>
      </c>
      <c r="B10295" s="5" t="s">
        <v>210</v>
      </c>
      <c r="C10295" s="5">
        <v>20</v>
      </c>
      <c r="D10295" s="5" t="s">
        <v>248</v>
      </c>
      <c r="E10295" s="5" t="s">
        <v>423</v>
      </c>
      <c r="F10295" s="5" t="s">
        <v>480</v>
      </c>
      <c r="G10295" s="5" t="s">
        <v>99</v>
      </c>
    </row>
    <row r="10296" spans="1:7" x14ac:dyDescent="0.3">
      <c r="A10296" t="s">
        <v>35</v>
      </c>
      <c r="B10296" t="s">
        <v>212</v>
      </c>
      <c r="C10296">
        <v>275</v>
      </c>
      <c r="D10296" t="s">
        <v>673</v>
      </c>
      <c r="E10296" t="s">
        <v>903</v>
      </c>
      <c r="F10296" t="s">
        <v>621</v>
      </c>
      <c r="G10296" t="s">
        <v>127</v>
      </c>
    </row>
    <row r="10297" spans="1:7" x14ac:dyDescent="0.3">
      <c r="A10297" t="s">
        <v>35</v>
      </c>
      <c r="B10297" t="s">
        <v>216</v>
      </c>
      <c r="C10297">
        <v>122</v>
      </c>
      <c r="D10297" t="s">
        <v>691</v>
      </c>
      <c r="E10297" t="s">
        <v>538</v>
      </c>
      <c r="F10297" t="s">
        <v>794</v>
      </c>
      <c r="G10297" t="s">
        <v>141</v>
      </c>
    </row>
    <row r="10298" spans="1:7" s="5" customFormat="1" x14ac:dyDescent="0.3">
      <c r="A10298" s="5" t="s">
        <v>37</v>
      </c>
      <c r="B10298" s="5" t="s">
        <v>210</v>
      </c>
      <c r="C10298" s="5">
        <v>4</v>
      </c>
      <c r="D10298" s="5" t="s">
        <v>936</v>
      </c>
      <c r="E10298" s="5" t="s">
        <v>99</v>
      </c>
      <c r="F10298" s="5" t="s">
        <v>1165</v>
      </c>
      <c r="G10298" s="5" t="s">
        <v>99</v>
      </c>
    </row>
    <row r="10299" spans="1:7" x14ac:dyDescent="0.3">
      <c r="A10299" t="s">
        <v>37</v>
      </c>
      <c r="B10299" t="s">
        <v>212</v>
      </c>
      <c r="C10299">
        <v>42</v>
      </c>
      <c r="D10299" t="s">
        <v>489</v>
      </c>
      <c r="E10299" t="s">
        <v>826</v>
      </c>
      <c r="F10299" t="s">
        <v>303</v>
      </c>
      <c r="G10299" t="s">
        <v>99</v>
      </c>
    </row>
    <row r="10300" spans="1:7" x14ac:dyDescent="0.3">
      <c r="A10300" t="s">
        <v>36</v>
      </c>
      <c r="B10300" t="s">
        <v>210</v>
      </c>
      <c r="C10300">
        <v>34</v>
      </c>
      <c r="D10300" t="s">
        <v>296</v>
      </c>
      <c r="E10300" t="s">
        <v>690</v>
      </c>
      <c r="F10300" t="s">
        <v>63</v>
      </c>
      <c r="G10300" t="s">
        <v>99</v>
      </c>
    </row>
    <row r="10301" spans="1:7" x14ac:dyDescent="0.3">
      <c r="A10301" t="s">
        <v>36</v>
      </c>
      <c r="B10301" t="s">
        <v>212</v>
      </c>
      <c r="C10301">
        <v>113</v>
      </c>
      <c r="D10301" t="s">
        <v>685</v>
      </c>
      <c r="E10301" t="s">
        <v>695</v>
      </c>
      <c r="F10301" t="s">
        <v>942</v>
      </c>
      <c r="G10301" t="s">
        <v>99</v>
      </c>
    </row>
    <row r="10302" spans="1:7" x14ac:dyDescent="0.3">
      <c r="A10302" t="s">
        <v>36</v>
      </c>
      <c r="B10302" t="s">
        <v>216</v>
      </c>
      <c r="C10302">
        <v>136</v>
      </c>
      <c r="D10302" t="s">
        <v>291</v>
      </c>
      <c r="E10302" t="s">
        <v>344</v>
      </c>
      <c r="F10302" t="s">
        <v>498</v>
      </c>
      <c r="G10302" t="s">
        <v>99</v>
      </c>
    </row>
    <row r="10303" spans="1:7" s="5" customFormat="1" x14ac:dyDescent="0.3">
      <c r="A10303" s="5" t="s">
        <v>34</v>
      </c>
      <c r="B10303" s="5" t="s">
        <v>210</v>
      </c>
      <c r="C10303" s="5">
        <v>24</v>
      </c>
      <c r="D10303" s="5" t="s">
        <v>805</v>
      </c>
      <c r="E10303" s="5" t="s">
        <v>222</v>
      </c>
      <c r="F10303" s="5" t="s">
        <v>61</v>
      </c>
      <c r="G10303" s="5" t="s">
        <v>99</v>
      </c>
    </row>
    <row r="10304" spans="1:7" x14ac:dyDescent="0.3">
      <c r="A10304" t="s">
        <v>34</v>
      </c>
      <c r="B10304" t="s">
        <v>212</v>
      </c>
      <c r="C10304">
        <v>109</v>
      </c>
      <c r="D10304" t="s">
        <v>255</v>
      </c>
      <c r="E10304" t="s">
        <v>432</v>
      </c>
      <c r="F10304" t="s">
        <v>1245</v>
      </c>
      <c r="G10304" t="s">
        <v>99</v>
      </c>
    </row>
    <row r="10305" spans="1:7" x14ac:dyDescent="0.3">
      <c r="A10305" t="s">
        <v>34</v>
      </c>
      <c r="B10305" t="s">
        <v>216</v>
      </c>
      <c r="C10305">
        <v>60</v>
      </c>
      <c r="D10305" t="s">
        <v>804</v>
      </c>
      <c r="E10305" t="s">
        <v>125</v>
      </c>
      <c r="F10305" t="s">
        <v>1510</v>
      </c>
      <c r="G10305" t="s">
        <v>99</v>
      </c>
    </row>
    <row r="10306" spans="1:7" s="5" customFormat="1" x14ac:dyDescent="0.3">
      <c r="A10306" s="5" t="s">
        <v>33</v>
      </c>
      <c r="B10306" s="5" t="s">
        <v>210</v>
      </c>
      <c r="C10306" s="5">
        <v>1</v>
      </c>
      <c r="D10306" s="5" t="s">
        <v>211</v>
      </c>
      <c r="E10306" s="5" t="s">
        <v>99</v>
      </c>
      <c r="F10306" s="5" t="s">
        <v>99</v>
      </c>
      <c r="G10306" s="5" t="s">
        <v>99</v>
      </c>
    </row>
    <row r="10307" spans="1:7" s="5" customFormat="1" x14ac:dyDescent="0.3">
      <c r="A10307" s="5" t="s">
        <v>33</v>
      </c>
      <c r="B10307" s="5" t="s">
        <v>212</v>
      </c>
      <c r="C10307" s="5">
        <v>24</v>
      </c>
      <c r="D10307" s="5" t="s">
        <v>119</v>
      </c>
      <c r="E10307" s="5" t="s">
        <v>937</v>
      </c>
      <c r="F10307" s="5" t="s">
        <v>751</v>
      </c>
      <c r="G10307" s="5" t="s">
        <v>99</v>
      </c>
    </row>
    <row r="10308" spans="1:7" s="5" customFormat="1" x14ac:dyDescent="0.3">
      <c r="A10308" s="5" t="s">
        <v>33</v>
      </c>
      <c r="B10308" s="5" t="s">
        <v>216</v>
      </c>
      <c r="C10308" s="5">
        <v>1</v>
      </c>
      <c r="D10308" s="5" t="s">
        <v>99</v>
      </c>
      <c r="E10308" s="5" t="s">
        <v>211</v>
      </c>
      <c r="F10308" s="5" t="s">
        <v>99</v>
      </c>
      <c r="G10308" s="5" t="s">
        <v>99</v>
      </c>
    </row>
    <row r="10309" spans="1:7" x14ac:dyDescent="0.3">
      <c r="A10309" t="s">
        <v>49</v>
      </c>
      <c r="B10309" t="s">
        <v>210</v>
      </c>
      <c r="C10309">
        <v>83</v>
      </c>
      <c r="D10309" t="s">
        <v>691</v>
      </c>
      <c r="E10309" t="s">
        <v>718</v>
      </c>
      <c r="F10309" t="s">
        <v>648</v>
      </c>
      <c r="G10309" t="s">
        <v>99</v>
      </c>
    </row>
    <row r="10310" spans="1:7" x14ac:dyDescent="0.3">
      <c r="A10310" t="s">
        <v>49</v>
      </c>
      <c r="B10310" t="s">
        <v>212</v>
      </c>
      <c r="C10310">
        <v>563</v>
      </c>
      <c r="D10310" t="s">
        <v>303</v>
      </c>
      <c r="E10310" t="s">
        <v>148</v>
      </c>
      <c r="F10310" t="s">
        <v>1143</v>
      </c>
      <c r="G10310" t="s">
        <v>115</v>
      </c>
    </row>
    <row r="10311" spans="1:7" x14ac:dyDescent="0.3">
      <c r="A10311" t="s">
        <v>49</v>
      </c>
      <c r="B10311" t="s">
        <v>216</v>
      </c>
      <c r="C10311">
        <v>319</v>
      </c>
      <c r="D10311" t="s">
        <v>244</v>
      </c>
      <c r="E10311" t="s">
        <v>513</v>
      </c>
      <c r="F10311" t="s">
        <v>1236</v>
      </c>
      <c r="G10311" t="s">
        <v>198</v>
      </c>
    </row>
    <row r="10313" spans="1:7" x14ac:dyDescent="0.3">
      <c r="A10313" t="s">
        <v>2508</v>
      </c>
    </row>
    <row r="10314" spans="1:7" x14ac:dyDescent="0.3">
      <c r="A10314" t="s">
        <v>44</v>
      </c>
      <c r="B10314" t="s">
        <v>388</v>
      </c>
      <c r="C10314" t="s">
        <v>32</v>
      </c>
      <c r="D10314" t="s">
        <v>2503</v>
      </c>
      <c r="E10314" t="s">
        <v>2504</v>
      </c>
      <c r="F10314" t="s">
        <v>2505</v>
      </c>
      <c r="G10314" t="s">
        <v>2486</v>
      </c>
    </row>
    <row r="10315" spans="1:7" x14ac:dyDescent="0.3">
      <c r="A10315" t="s">
        <v>35</v>
      </c>
      <c r="B10315" t="s">
        <v>389</v>
      </c>
      <c r="C10315">
        <v>279</v>
      </c>
      <c r="D10315" t="s">
        <v>432</v>
      </c>
      <c r="E10315" t="s">
        <v>930</v>
      </c>
      <c r="F10315" t="s">
        <v>965</v>
      </c>
      <c r="G10315" t="s">
        <v>108</v>
      </c>
    </row>
    <row r="10316" spans="1:7" x14ac:dyDescent="0.3">
      <c r="A10316" t="s">
        <v>35</v>
      </c>
      <c r="B10316" t="s">
        <v>390</v>
      </c>
      <c r="C10316">
        <v>120</v>
      </c>
      <c r="D10316" t="s">
        <v>676</v>
      </c>
      <c r="E10316" t="s">
        <v>341</v>
      </c>
      <c r="F10316" t="s">
        <v>941</v>
      </c>
      <c r="G10316" t="s">
        <v>117</v>
      </c>
    </row>
    <row r="10317" spans="1:7" x14ac:dyDescent="0.3">
      <c r="A10317" t="s">
        <v>35</v>
      </c>
      <c r="B10317" t="s">
        <v>365</v>
      </c>
      <c r="C10317">
        <v>18</v>
      </c>
      <c r="D10317" t="s">
        <v>525</v>
      </c>
      <c r="E10317" t="s">
        <v>1113</v>
      </c>
      <c r="F10317" t="s">
        <v>868</v>
      </c>
      <c r="G10317" t="s">
        <v>99</v>
      </c>
    </row>
    <row r="10318" spans="1:7" s="5" customFormat="1" x14ac:dyDescent="0.3">
      <c r="A10318" s="5" t="s">
        <v>37</v>
      </c>
      <c r="B10318" s="5" t="s">
        <v>389</v>
      </c>
      <c r="C10318" s="5">
        <v>25</v>
      </c>
      <c r="D10318" s="5" t="s">
        <v>934</v>
      </c>
      <c r="E10318" s="5" t="s">
        <v>584</v>
      </c>
      <c r="F10318" s="5" t="s">
        <v>1008</v>
      </c>
      <c r="G10318" s="5" t="s">
        <v>99</v>
      </c>
    </row>
    <row r="10319" spans="1:7" s="5" customFormat="1" x14ac:dyDescent="0.3">
      <c r="A10319" s="5" t="s">
        <v>37</v>
      </c>
      <c r="B10319" s="5" t="s">
        <v>390</v>
      </c>
      <c r="C10319" s="5">
        <v>19</v>
      </c>
      <c r="D10319" s="5" t="s">
        <v>1057</v>
      </c>
      <c r="E10319" s="5" t="s">
        <v>595</v>
      </c>
      <c r="F10319" s="5" t="s">
        <v>665</v>
      </c>
      <c r="G10319" s="5" t="s">
        <v>99</v>
      </c>
    </row>
    <row r="10320" spans="1:7" x14ac:dyDescent="0.3">
      <c r="A10320" t="s">
        <v>37</v>
      </c>
      <c r="B10320" t="s">
        <v>365</v>
      </c>
      <c r="C10320">
        <v>2</v>
      </c>
      <c r="D10320" t="s">
        <v>211</v>
      </c>
      <c r="E10320" t="s">
        <v>99</v>
      </c>
      <c r="F10320" t="s">
        <v>99</v>
      </c>
      <c r="G10320" t="s">
        <v>99</v>
      </c>
    </row>
    <row r="10321" spans="1:7" x14ac:dyDescent="0.3">
      <c r="A10321" t="s">
        <v>36</v>
      </c>
      <c r="B10321" t="s">
        <v>389</v>
      </c>
      <c r="C10321">
        <v>196</v>
      </c>
      <c r="D10321" t="s">
        <v>173</v>
      </c>
      <c r="E10321" t="s">
        <v>805</v>
      </c>
      <c r="F10321" t="s">
        <v>983</v>
      </c>
      <c r="G10321" t="s">
        <v>99</v>
      </c>
    </row>
    <row r="10322" spans="1:7" x14ac:dyDescent="0.3">
      <c r="A10322" t="s">
        <v>36</v>
      </c>
      <c r="B10322" t="s">
        <v>390</v>
      </c>
      <c r="C10322">
        <v>72</v>
      </c>
      <c r="D10322" t="s">
        <v>110</v>
      </c>
      <c r="E10322" t="s">
        <v>616</v>
      </c>
      <c r="F10322" t="s">
        <v>856</v>
      </c>
      <c r="G10322" t="s">
        <v>99</v>
      </c>
    </row>
    <row r="10323" spans="1:7" x14ac:dyDescent="0.3">
      <c r="A10323" t="s">
        <v>36</v>
      </c>
      <c r="B10323" t="s">
        <v>365</v>
      </c>
      <c r="C10323">
        <v>15</v>
      </c>
      <c r="D10323" t="s">
        <v>233</v>
      </c>
      <c r="E10323" t="s">
        <v>1057</v>
      </c>
      <c r="F10323" t="s">
        <v>1066</v>
      </c>
      <c r="G10323" t="s">
        <v>99</v>
      </c>
    </row>
    <row r="10324" spans="1:7" x14ac:dyDescent="0.3">
      <c r="A10324" t="s">
        <v>34</v>
      </c>
      <c r="B10324" t="s">
        <v>389</v>
      </c>
      <c r="C10324">
        <v>130</v>
      </c>
      <c r="D10324" t="s">
        <v>676</v>
      </c>
      <c r="E10324" t="s">
        <v>291</v>
      </c>
      <c r="F10324" t="s">
        <v>494</v>
      </c>
      <c r="G10324" t="s">
        <v>99</v>
      </c>
    </row>
    <row r="10325" spans="1:7" x14ac:dyDescent="0.3">
      <c r="A10325" t="s">
        <v>34</v>
      </c>
      <c r="B10325" t="s">
        <v>390</v>
      </c>
      <c r="C10325">
        <v>58</v>
      </c>
      <c r="D10325" t="s">
        <v>70</v>
      </c>
      <c r="E10325" t="s">
        <v>690</v>
      </c>
      <c r="F10325" t="s">
        <v>1162</v>
      </c>
      <c r="G10325" t="s">
        <v>99</v>
      </c>
    </row>
    <row r="10326" spans="1:7" x14ac:dyDescent="0.3">
      <c r="A10326" t="s">
        <v>34</v>
      </c>
      <c r="B10326" t="s">
        <v>365</v>
      </c>
      <c r="C10326">
        <v>5</v>
      </c>
      <c r="D10326" t="s">
        <v>99</v>
      </c>
      <c r="E10326" t="s">
        <v>911</v>
      </c>
      <c r="F10326" t="s">
        <v>912</v>
      </c>
      <c r="G10326" t="s">
        <v>99</v>
      </c>
    </row>
    <row r="10327" spans="1:7" s="5" customFormat="1" x14ac:dyDescent="0.3">
      <c r="A10327" s="5" t="s">
        <v>33</v>
      </c>
      <c r="B10327" s="5" t="s">
        <v>389</v>
      </c>
      <c r="C10327" s="5">
        <v>22</v>
      </c>
      <c r="D10327" s="5" t="s">
        <v>1067</v>
      </c>
      <c r="E10327" s="5" t="s">
        <v>532</v>
      </c>
      <c r="F10327" s="5" t="s">
        <v>692</v>
      </c>
      <c r="G10327" s="5" t="s">
        <v>99</v>
      </c>
    </row>
    <row r="10328" spans="1:7" s="5" customFormat="1" x14ac:dyDescent="0.3">
      <c r="A10328" s="5" t="s">
        <v>33</v>
      </c>
      <c r="B10328" s="5" t="s">
        <v>390</v>
      </c>
      <c r="C10328" s="5">
        <v>4</v>
      </c>
      <c r="D10328" s="5" t="s">
        <v>99</v>
      </c>
      <c r="E10328" s="5" t="s">
        <v>211</v>
      </c>
      <c r="F10328" s="5" t="s">
        <v>99</v>
      </c>
      <c r="G10328" s="5" t="s">
        <v>99</v>
      </c>
    </row>
    <row r="10329" spans="1:7" x14ac:dyDescent="0.3">
      <c r="A10329" t="s">
        <v>49</v>
      </c>
      <c r="B10329" t="s">
        <v>389</v>
      </c>
      <c r="C10329">
        <v>652</v>
      </c>
      <c r="D10329" t="s">
        <v>39</v>
      </c>
      <c r="E10329" t="s">
        <v>488</v>
      </c>
      <c r="F10329" t="s">
        <v>563</v>
      </c>
      <c r="G10329" t="s">
        <v>207</v>
      </c>
    </row>
    <row r="10330" spans="1:7" x14ac:dyDescent="0.3">
      <c r="A10330" t="s">
        <v>49</v>
      </c>
      <c r="B10330" t="s">
        <v>390</v>
      </c>
      <c r="C10330">
        <v>273</v>
      </c>
      <c r="D10330" t="s">
        <v>710</v>
      </c>
      <c r="E10330" t="s">
        <v>214</v>
      </c>
      <c r="F10330" t="s">
        <v>1165</v>
      </c>
      <c r="G10330" t="s">
        <v>108</v>
      </c>
    </row>
    <row r="10331" spans="1:7" x14ac:dyDescent="0.3">
      <c r="A10331" t="s">
        <v>49</v>
      </c>
      <c r="B10331" t="s">
        <v>365</v>
      </c>
      <c r="C10331">
        <v>40</v>
      </c>
      <c r="D10331" t="s">
        <v>730</v>
      </c>
      <c r="E10331" t="s">
        <v>812</v>
      </c>
      <c r="F10331" t="s">
        <v>955</v>
      </c>
      <c r="G10331" t="s">
        <v>99</v>
      </c>
    </row>
    <row r="10333" spans="1:7" x14ac:dyDescent="0.3">
      <c r="A10333" t="s">
        <v>2509</v>
      </c>
    </row>
    <row r="10334" spans="1:7" x14ac:dyDescent="0.3">
      <c r="A10334" t="s">
        <v>44</v>
      </c>
      <c r="B10334" t="s">
        <v>235</v>
      </c>
      <c r="C10334" t="s">
        <v>32</v>
      </c>
      <c r="D10334" t="s">
        <v>2503</v>
      </c>
      <c r="E10334" t="s">
        <v>2504</v>
      </c>
      <c r="F10334" t="s">
        <v>2505</v>
      </c>
      <c r="G10334" t="s">
        <v>2486</v>
      </c>
    </row>
    <row r="10335" spans="1:7" x14ac:dyDescent="0.3">
      <c r="A10335" t="s">
        <v>35</v>
      </c>
      <c r="B10335" t="s">
        <v>236</v>
      </c>
      <c r="C10335">
        <v>202</v>
      </c>
      <c r="D10335" t="s">
        <v>357</v>
      </c>
      <c r="E10335" t="s">
        <v>909</v>
      </c>
      <c r="F10335" t="s">
        <v>836</v>
      </c>
      <c r="G10335" t="s">
        <v>114</v>
      </c>
    </row>
    <row r="10336" spans="1:7" x14ac:dyDescent="0.3">
      <c r="A10336" t="s">
        <v>35</v>
      </c>
      <c r="B10336" t="s">
        <v>238</v>
      </c>
      <c r="C10336">
        <v>215</v>
      </c>
      <c r="D10336" t="s">
        <v>738</v>
      </c>
      <c r="E10336" t="s">
        <v>58</v>
      </c>
      <c r="F10336" t="s">
        <v>886</v>
      </c>
      <c r="G10336" t="s">
        <v>319</v>
      </c>
    </row>
    <row r="10337" spans="1:7" s="5" customFormat="1" x14ac:dyDescent="0.3">
      <c r="A10337" s="5" t="s">
        <v>37</v>
      </c>
      <c r="B10337" s="5" t="s">
        <v>236</v>
      </c>
      <c r="C10337" s="5">
        <v>9</v>
      </c>
      <c r="D10337" s="5" t="s">
        <v>626</v>
      </c>
      <c r="E10337" s="5" t="s">
        <v>2132</v>
      </c>
      <c r="F10337" s="5" t="s">
        <v>676</v>
      </c>
      <c r="G10337" s="5" t="s">
        <v>99</v>
      </c>
    </row>
    <row r="10338" spans="1:7" x14ac:dyDescent="0.3">
      <c r="A10338" t="s">
        <v>37</v>
      </c>
      <c r="B10338" t="s">
        <v>238</v>
      </c>
      <c r="C10338">
        <v>37</v>
      </c>
      <c r="D10338" t="s">
        <v>944</v>
      </c>
      <c r="E10338" t="s">
        <v>597</v>
      </c>
      <c r="F10338" t="s">
        <v>686</v>
      </c>
      <c r="G10338" t="s">
        <v>99</v>
      </c>
    </row>
    <row r="10339" spans="1:7" x14ac:dyDescent="0.3">
      <c r="A10339" t="s">
        <v>36</v>
      </c>
      <c r="B10339" t="s">
        <v>236</v>
      </c>
      <c r="C10339">
        <v>203</v>
      </c>
      <c r="D10339" t="s">
        <v>357</v>
      </c>
      <c r="E10339" t="s">
        <v>1414</v>
      </c>
      <c r="F10339" t="s">
        <v>1106</v>
      </c>
      <c r="G10339" t="s">
        <v>99</v>
      </c>
    </row>
    <row r="10340" spans="1:7" x14ac:dyDescent="0.3">
      <c r="A10340" t="s">
        <v>36</v>
      </c>
      <c r="B10340" t="s">
        <v>238</v>
      </c>
      <c r="C10340">
        <v>80</v>
      </c>
      <c r="D10340" t="s">
        <v>220</v>
      </c>
      <c r="E10340" t="s">
        <v>1206</v>
      </c>
      <c r="F10340" t="s">
        <v>644</v>
      </c>
      <c r="G10340" t="s">
        <v>99</v>
      </c>
    </row>
    <row r="10341" spans="1:7" x14ac:dyDescent="0.3">
      <c r="A10341" t="s">
        <v>34</v>
      </c>
      <c r="B10341" t="s">
        <v>236</v>
      </c>
      <c r="C10341">
        <v>72</v>
      </c>
      <c r="D10341" t="s">
        <v>264</v>
      </c>
      <c r="E10341" t="s">
        <v>716</v>
      </c>
      <c r="F10341" t="s">
        <v>767</v>
      </c>
      <c r="G10341" t="s">
        <v>99</v>
      </c>
    </row>
    <row r="10342" spans="1:7" x14ac:dyDescent="0.3">
      <c r="A10342" t="s">
        <v>34</v>
      </c>
      <c r="B10342" t="s">
        <v>238</v>
      </c>
      <c r="C10342">
        <v>121</v>
      </c>
      <c r="D10342" t="s">
        <v>798</v>
      </c>
      <c r="E10342" t="s">
        <v>673</v>
      </c>
      <c r="F10342" t="s">
        <v>1001</v>
      </c>
      <c r="G10342" t="s">
        <v>99</v>
      </c>
    </row>
    <row r="10343" spans="1:7" s="5" customFormat="1" x14ac:dyDescent="0.3">
      <c r="A10343" s="5" t="s">
        <v>33</v>
      </c>
      <c r="B10343" s="5" t="s">
        <v>236</v>
      </c>
      <c r="C10343" s="5">
        <v>6</v>
      </c>
      <c r="D10343" s="5" t="s">
        <v>523</v>
      </c>
      <c r="E10343" s="5" t="s">
        <v>1368</v>
      </c>
      <c r="F10343" s="5" t="s">
        <v>523</v>
      </c>
      <c r="G10343" s="5" t="s">
        <v>99</v>
      </c>
    </row>
    <row r="10344" spans="1:7" s="5" customFormat="1" x14ac:dyDescent="0.3">
      <c r="A10344" s="5" t="s">
        <v>33</v>
      </c>
      <c r="B10344" s="5" t="s">
        <v>238</v>
      </c>
      <c r="C10344" s="5">
        <v>20</v>
      </c>
      <c r="D10344" s="5" t="s">
        <v>489</v>
      </c>
      <c r="E10344" s="5" t="s">
        <v>609</v>
      </c>
      <c r="F10344" s="5" t="s">
        <v>298</v>
      </c>
      <c r="G10344" s="5" t="s">
        <v>99</v>
      </c>
    </row>
    <row r="10345" spans="1:7" x14ac:dyDescent="0.3">
      <c r="A10345" t="s">
        <v>49</v>
      </c>
      <c r="B10345" t="s">
        <v>236</v>
      </c>
      <c r="C10345">
        <v>492</v>
      </c>
      <c r="D10345" t="s">
        <v>186</v>
      </c>
      <c r="E10345" t="s">
        <v>795</v>
      </c>
      <c r="F10345" t="s">
        <v>910</v>
      </c>
      <c r="G10345" t="s">
        <v>207</v>
      </c>
    </row>
    <row r="10346" spans="1:7" x14ac:dyDescent="0.3">
      <c r="A10346" t="s">
        <v>49</v>
      </c>
      <c r="B10346" t="s">
        <v>238</v>
      </c>
      <c r="C10346">
        <v>473</v>
      </c>
      <c r="D10346" t="s">
        <v>432</v>
      </c>
      <c r="E10346" t="s">
        <v>446</v>
      </c>
      <c r="F10346" t="s">
        <v>1049</v>
      </c>
      <c r="G10346" t="s">
        <v>253</v>
      </c>
    </row>
    <row r="10348" spans="1:7" x14ac:dyDescent="0.3">
      <c r="A10348" t="s">
        <v>2510</v>
      </c>
    </row>
    <row r="10349" spans="1:7" x14ac:dyDescent="0.3">
      <c r="A10349" t="s">
        <v>44</v>
      </c>
      <c r="B10349" t="s">
        <v>257</v>
      </c>
      <c r="C10349" t="s">
        <v>32</v>
      </c>
      <c r="D10349" t="s">
        <v>2503</v>
      </c>
      <c r="E10349" t="s">
        <v>2504</v>
      </c>
      <c r="F10349" t="s">
        <v>2505</v>
      </c>
      <c r="G10349" t="s">
        <v>2486</v>
      </c>
    </row>
    <row r="10350" spans="1:7" x14ac:dyDescent="0.3">
      <c r="A10350" t="s">
        <v>35</v>
      </c>
      <c r="B10350" t="s">
        <v>258</v>
      </c>
      <c r="C10350">
        <v>332</v>
      </c>
      <c r="D10350" t="s">
        <v>197</v>
      </c>
      <c r="E10350" t="s">
        <v>620</v>
      </c>
      <c r="F10350" t="s">
        <v>967</v>
      </c>
      <c r="G10350" t="s">
        <v>101</v>
      </c>
    </row>
    <row r="10351" spans="1:7" x14ac:dyDescent="0.3">
      <c r="A10351" t="s">
        <v>35</v>
      </c>
      <c r="B10351" t="s">
        <v>260</v>
      </c>
      <c r="C10351">
        <v>85</v>
      </c>
      <c r="D10351" t="s">
        <v>175</v>
      </c>
      <c r="E10351" t="s">
        <v>463</v>
      </c>
      <c r="F10351" t="s">
        <v>2101</v>
      </c>
      <c r="G10351" t="s">
        <v>121</v>
      </c>
    </row>
    <row r="10352" spans="1:7" x14ac:dyDescent="0.3">
      <c r="A10352" t="s">
        <v>37</v>
      </c>
      <c r="B10352" t="s">
        <v>258</v>
      </c>
      <c r="C10352">
        <v>46</v>
      </c>
      <c r="D10352" t="s">
        <v>600</v>
      </c>
      <c r="E10352" t="s">
        <v>613</v>
      </c>
      <c r="F10352" t="s">
        <v>802</v>
      </c>
      <c r="G10352" t="s">
        <v>99</v>
      </c>
    </row>
    <row r="10353" spans="1:7" x14ac:dyDescent="0.3">
      <c r="A10353" t="s">
        <v>36</v>
      </c>
      <c r="B10353" t="s">
        <v>258</v>
      </c>
      <c r="C10353">
        <v>136</v>
      </c>
      <c r="D10353" t="s">
        <v>737</v>
      </c>
      <c r="E10353" t="s">
        <v>810</v>
      </c>
      <c r="F10353" t="s">
        <v>552</v>
      </c>
      <c r="G10353" t="s">
        <v>99</v>
      </c>
    </row>
    <row r="10354" spans="1:7" x14ac:dyDescent="0.3">
      <c r="A10354" t="s">
        <v>36</v>
      </c>
      <c r="B10354" t="s">
        <v>260</v>
      </c>
      <c r="C10354">
        <v>147</v>
      </c>
      <c r="D10354" t="s">
        <v>130</v>
      </c>
      <c r="E10354" t="s">
        <v>143</v>
      </c>
      <c r="F10354" t="s">
        <v>1276</v>
      </c>
      <c r="G10354" t="s">
        <v>99</v>
      </c>
    </row>
    <row r="10355" spans="1:7" s="5" customFormat="1" x14ac:dyDescent="0.3">
      <c r="A10355" s="5" t="s">
        <v>34</v>
      </c>
      <c r="B10355" s="5" t="s">
        <v>258</v>
      </c>
      <c r="C10355" s="5">
        <v>10</v>
      </c>
      <c r="D10355" s="5" t="s">
        <v>704</v>
      </c>
      <c r="E10355" s="5" t="s">
        <v>118</v>
      </c>
      <c r="F10355" s="5" t="s">
        <v>475</v>
      </c>
      <c r="G10355" s="5" t="s">
        <v>99</v>
      </c>
    </row>
    <row r="10356" spans="1:7" x14ac:dyDescent="0.3">
      <c r="A10356" t="s">
        <v>34</v>
      </c>
      <c r="B10356" t="s">
        <v>260</v>
      </c>
      <c r="C10356">
        <v>183</v>
      </c>
      <c r="D10356" t="s">
        <v>201</v>
      </c>
      <c r="E10356" t="s">
        <v>318</v>
      </c>
      <c r="F10356" t="s">
        <v>569</v>
      </c>
      <c r="G10356" t="s">
        <v>99</v>
      </c>
    </row>
    <row r="10357" spans="1:7" s="5" customFormat="1" x14ac:dyDescent="0.3">
      <c r="A10357" s="5" t="s">
        <v>33</v>
      </c>
      <c r="B10357" s="5" t="s">
        <v>258</v>
      </c>
      <c r="C10357" s="5">
        <v>26</v>
      </c>
      <c r="D10357" s="5" t="s">
        <v>545</v>
      </c>
      <c r="E10357" s="5" t="s">
        <v>595</v>
      </c>
      <c r="F10357" s="5" t="s">
        <v>425</v>
      </c>
      <c r="G10357" s="5" t="s">
        <v>99</v>
      </c>
    </row>
    <row r="10358" spans="1:7" x14ac:dyDescent="0.3">
      <c r="A10358" t="s">
        <v>49</v>
      </c>
      <c r="B10358" t="s">
        <v>258</v>
      </c>
      <c r="C10358">
        <v>550</v>
      </c>
      <c r="D10358" t="s">
        <v>370</v>
      </c>
      <c r="E10358" t="s">
        <v>645</v>
      </c>
      <c r="F10358" t="s">
        <v>827</v>
      </c>
      <c r="G10358" t="s">
        <v>115</v>
      </c>
    </row>
    <row r="10359" spans="1:7" x14ac:dyDescent="0.3">
      <c r="A10359" t="s">
        <v>49</v>
      </c>
      <c r="B10359" t="s">
        <v>260</v>
      </c>
      <c r="C10359">
        <v>415</v>
      </c>
      <c r="D10359" t="s">
        <v>264</v>
      </c>
      <c r="E10359" t="s">
        <v>482</v>
      </c>
      <c r="F10359" t="s">
        <v>308</v>
      </c>
      <c r="G10359" t="s">
        <v>207</v>
      </c>
    </row>
    <row r="10361" spans="1:7" x14ac:dyDescent="0.3">
      <c r="A10361" t="s">
        <v>2511</v>
      </c>
    </row>
    <row r="10362" spans="1:7" x14ac:dyDescent="0.3">
      <c r="A10362" t="s">
        <v>44</v>
      </c>
      <c r="B10362" t="s">
        <v>1720</v>
      </c>
      <c r="C10362" t="s">
        <v>32</v>
      </c>
      <c r="D10362" t="s">
        <v>2503</v>
      </c>
      <c r="E10362" t="s">
        <v>2504</v>
      </c>
      <c r="F10362" t="s">
        <v>2505</v>
      </c>
      <c r="G10362" t="s">
        <v>2486</v>
      </c>
    </row>
    <row r="10363" spans="1:7" x14ac:dyDescent="0.3">
      <c r="A10363" t="s">
        <v>35</v>
      </c>
      <c r="B10363" t="s">
        <v>1721</v>
      </c>
      <c r="C10363">
        <v>164</v>
      </c>
      <c r="D10363" t="s">
        <v>188</v>
      </c>
      <c r="E10363" t="s">
        <v>1115</v>
      </c>
      <c r="F10363" t="s">
        <v>1149</v>
      </c>
      <c r="G10363" t="s">
        <v>114</v>
      </c>
    </row>
    <row r="10364" spans="1:7" x14ac:dyDescent="0.3">
      <c r="A10364" t="s">
        <v>35</v>
      </c>
      <c r="B10364" t="s">
        <v>1722</v>
      </c>
      <c r="C10364">
        <v>253</v>
      </c>
      <c r="D10364" t="s">
        <v>478</v>
      </c>
      <c r="E10364" t="s">
        <v>1068</v>
      </c>
      <c r="F10364" t="s">
        <v>1494</v>
      </c>
      <c r="G10364" t="s">
        <v>126</v>
      </c>
    </row>
    <row r="10365" spans="1:7" s="5" customFormat="1" x14ac:dyDescent="0.3">
      <c r="A10365" s="5" t="s">
        <v>37</v>
      </c>
      <c r="B10365" s="5" t="s">
        <v>1721</v>
      </c>
      <c r="C10365" s="5">
        <v>13</v>
      </c>
      <c r="D10365" s="5" t="s">
        <v>597</v>
      </c>
      <c r="E10365" s="5" t="s">
        <v>723</v>
      </c>
      <c r="F10365" s="5" t="s">
        <v>699</v>
      </c>
      <c r="G10365" s="5" t="s">
        <v>99</v>
      </c>
    </row>
    <row r="10366" spans="1:7" x14ac:dyDescent="0.3">
      <c r="A10366" t="s">
        <v>37</v>
      </c>
      <c r="B10366" t="s">
        <v>1722</v>
      </c>
      <c r="C10366">
        <v>33</v>
      </c>
      <c r="D10366" t="s">
        <v>647</v>
      </c>
      <c r="E10366" t="s">
        <v>615</v>
      </c>
      <c r="F10366" t="s">
        <v>303</v>
      </c>
      <c r="G10366" t="s">
        <v>99</v>
      </c>
    </row>
    <row r="10367" spans="1:7" x14ac:dyDescent="0.3">
      <c r="A10367" t="s">
        <v>36</v>
      </c>
      <c r="B10367" t="s">
        <v>1721</v>
      </c>
      <c r="C10367">
        <v>118</v>
      </c>
      <c r="D10367" t="s">
        <v>165</v>
      </c>
      <c r="E10367" t="s">
        <v>58</v>
      </c>
      <c r="F10367" t="s">
        <v>533</v>
      </c>
      <c r="G10367" t="s">
        <v>99</v>
      </c>
    </row>
    <row r="10368" spans="1:7" x14ac:dyDescent="0.3">
      <c r="A10368" t="s">
        <v>36</v>
      </c>
      <c r="B10368" t="s">
        <v>1722</v>
      </c>
      <c r="C10368">
        <v>165</v>
      </c>
      <c r="D10368" t="s">
        <v>677</v>
      </c>
      <c r="E10368" t="s">
        <v>1206</v>
      </c>
      <c r="F10368" t="s">
        <v>1061</v>
      </c>
      <c r="G10368" t="s">
        <v>99</v>
      </c>
    </row>
    <row r="10369" spans="1:7" x14ac:dyDescent="0.3">
      <c r="A10369" t="s">
        <v>34</v>
      </c>
      <c r="B10369" t="s">
        <v>1721</v>
      </c>
      <c r="C10369">
        <v>80</v>
      </c>
      <c r="D10369" t="s">
        <v>694</v>
      </c>
      <c r="E10369" t="s">
        <v>721</v>
      </c>
      <c r="F10369" t="s">
        <v>343</v>
      </c>
      <c r="G10369" t="s">
        <v>99</v>
      </c>
    </row>
    <row r="10370" spans="1:7" x14ac:dyDescent="0.3">
      <c r="A10370" t="s">
        <v>34</v>
      </c>
      <c r="B10370" t="s">
        <v>1722</v>
      </c>
      <c r="C10370">
        <v>113</v>
      </c>
      <c r="D10370" t="s">
        <v>672</v>
      </c>
      <c r="E10370" t="s">
        <v>482</v>
      </c>
      <c r="F10370" t="s">
        <v>297</v>
      </c>
      <c r="G10370" t="s">
        <v>99</v>
      </c>
    </row>
    <row r="10371" spans="1:7" s="5" customFormat="1" x14ac:dyDescent="0.3">
      <c r="A10371" s="5" t="s">
        <v>33</v>
      </c>
      <c r="B10371" s="5" t="s">
        <v>1721</v>
      </c>
      <c r="C10371" s="5">
        <v>11</v>
      </c>
      <c r="D10371" s="5" t="s">
        <v>599</v>
      </c>
      <c r="E10371" s="5" t="s">
        <v>281</v>
      </c>
      <c r="F10371" s="5" t="s">
        <v>682</v>
      </c>
      <c r="G10371" s="5" t="s">
        <v>99</v>
      </c>
    </row>
    <row r="10372" spans="1:7" s="5" customFormat="1" x14ac:dyDescent="0.3">
      <c r="A10372" s="5" t="s">
        <v>33</v>
      </c>
      <c r="B10372" s="5" t="s">
        <v>1722</v>
      </c>
      <c r="C10372" s="5">
        <v>15</v>
      </c>
      <c r="D10372" s="5" t="s">
        <v>499</v>
      </c>
      <c r="E10372" s="5" t="s">
        <v>581</v>
      </c>
      <c r="F10372" s="5" t="s">
        <v>726</v>
      </c>
      <c r="G10372" s="5" t="s">
        <v>99</v>
      </c>
    </row>
    <row r="10373" spans="1:7" x14ac:dyDescent="0.3">
      <c r="A10373" t="s">
        <v>49</v>
      </c>
      <c r="B10373" t="s">
        <v>1721</v>
      </c>
      <c r="C10373">
        <v>386</v>
      </c>
      <c r="D10373" t="s">
        <v>678</v>
      </c>
      <c r="E10373" t="s">
        <v>833</v>
      </c>
      <c r="F10373" t="s">
        <v>1163</v>
      </c>
      <c r="G10373" t="s">
        <v>136</v>
      </c>
    </row>
    <row r="10374" spans="1:7" x14ac:dyDescent="0.3">
      <c r="A10374" t="s">
        <v>49</v>
      </c>
      <c r="B10374" t="s">
        <v>1722</v>
      </c>
      <c r="C10374">
        <v>579</v>
      </c>
      <c r="D10374" t="s">
        <v>440</v>
      </c>
      <c r="E10374" t="s">
        <v>481</v>
      </c>
      <c r="F10374" t="s">
        <v>576</v>
      </c>
      <c r="G10374" t="s">
        <v>253</v>
      </c>
    </row>
    <row r="10376" spans="1:7" x14ac:dyDescent="0.3">
      <c r="A10376" t="s">
        <v>2512</v>
      </c>
    </row>
    <row r="10377" spans="1:7" x14ac:dyDescent="0.3">
      <c r="A10377" t="s">
        <v>44</v>
      </c>
      <c r="B10377" t="s">
        <v>32</v>
      </c>
      <c r="C10377" t="s">
        <v>352</v>
      </c>
      <c r="D10377" t="s">
        <v>66</v>
      </c>
      <c r="E10377" t="s">
        <v>67</v>
      </c>
      <c r="F10377" t="s">
        <v>193</v>
      </c>
    </row>
    <row r="10378" spans="1:7" x14ac:dyDescent="0.3">
      <c r="A10378" t="s">
        <v>35</v>
      </c>
      <c r="B10378">
        <v>429</v>
      </c>
      <c r="C10378" t="s">
        <v>804</v>
      </c>
      <c r="D10378" t="s">
        <v>957</v>
      </c>
      <c r="E10378" t="s">
        <v>642</v>
      </c>
      <c r="F10378" t="s">
        <v>198</v>
      </c>
    </row>
    <row r="10379" spans="1:7" x14ac:dyDescent="0.3">
      <c r="A10379" t="s">
        <v>37</v>
      </c>
      <c r="B10379">
        <v>57</v>
      </c>
      <c r="C10379" t="s">
        <v>121</v>
      </c>
      <c r="D10379" t="s">
        <v>851</v>
      </c>
      <c r="E10379" t="s">
        <v>121</v>
      </c>
      <c r="F10379" t="s">
        <v>99</v>
      </c>
    </row>
    <row r="10380" spans="1:7" x14ac:dyDescent="0.3">
      <c r="A10380" t="s">
        <v>36</v>
      </c>
      <c r="B10380">
        <v>301</v>
      </c>
      <c r="C10380" t="s">
        <v>675</v>
      </c>
      <c r="D10380" t="s">
        <v>947</v>
      </c>
      <c r="E10380" t="s">
        <v>946</v>
      </c>
      <c r="F10380" t="s">
        <v>198</v>
      </c>
    </row>
    <row r="10381" spans="1:7" x14ac:dyDescent="0.3">
      <c r="A10381" t="s">
        <v>34</v>
      </c>
      <c r="B10381">
        <v>205</v>
      </c>
      <c r="C10381" t="s">
        <v>150</v>
      </c>
      <c r="D10381" t="s">
        <v>1167</v>
      </c>
      <c r="E10381" t="s">
        <v>1160</v>
      </c>
      <c r="F10381" t="s">
        <v>99</v>
      </c>
    </row>
    <row r="10382" spans="1:7" s="5" customFormat="1" x14ac:dyDescent="0.3">
      <c r="A10382" s="5" t="s">
        <v>33</v>
      </c>
      <c r="B10382" s="5">
        <v>30</v>
      </c>
      <c r="C10382" s="5" t="s">
        <v>254</v>
      </c>
      <c r="D10382" s="5" t="s">
        <v>991</v>
      </c>
      <c r="E10382" s="5" t="s">
        <v>289</v>
      </c>
      <c r="F10382" s="5" t="s">
        <v>99</v>
      </c>
    </row>
    <row r="10383" spans="1:7" x14ac:dyDescent="0.3">
      <c r="A10383" t="s">
        <v>49</v>
      </c>
      <c r="B10383">
        <v>1022</v>
      </c>
      <c r="C10383" t="s">
        <v>70</v>
      </c>
      <c r="D10383" t="s">
        <v>557</v>
      </c>
      <c r="E10383" t="s">
        <v>839</v>
      </c>
      <c r="F10383" t="s">
        <v>104</v>
      </c>
    </row>
    <row r="10385" spans="1:7" x14ac:dyDescent="0.3">
      <c r="A10385" t="s">
        <v>2513</v>
      </c>
    </row>
    <row r="10386" spans="1:7" x14ac:dyDescent="0.3">
      <c r="A10386" t="s">
        <v>44</v>
      </c>
      <c r="B10386" t="s">
        <v>361</v>
      </c>
      <c r="C10386" t="s">
        <v>32</v>
      </c>
      <c r="D10386" t="s">
        <v>66</v>
      </c>
      <c r="E10386" t="s">
        <v>67</v>
      </c>
      <c r="F10386" t="s">
        <v>352</v>
      </c>
      <c r="G10386" t="s">
        <v>193</v>
      </c>
    </row>
    <row r="10387" spans="1:7" x14ac:dyDescent="0.3">
      <c r="A10387" t="s">
        <v>35</v>
      </c>
      <c r="B10387" t="s">
        <v>339</v>
      </c>
      <c r="C10387">
        <v>147</v>
      </c>
      <c r="D10387" t="s">
        <v>932</v>
      </c>
      <c r="E10387" t="s">
        <v>905</v>
      </c>
      <c r="F10387" t="s">
        <v>173</v>
      </c>
      <c r="G10387" t="s">
        <v>99</v>
      </c>
    </row>
    <row r="10388" spans="1:7" x14ac:dyDescent="0.3">
      <c r="A10388" t="s">
        <v>35</v>
      </c>
      <c r="B10388" t="s">
        <v>340</v>
      </c>
      <c r="C10388">
        <v>278</v>
      </c>
      <c r="D10388" t="s">
        <v>1256</v>
      </c>
      <c r="E10388" t="s">
        <v>506</v>
      </c>
      <c r="F10388" t="s">
        <v>675</v>
      </c>
      <c r="G10388" t="s">
        <v>207</v>
      </c>
    </row>
    <row r="10389" spans="1:7" x14ac:dyDescent="0.3">
      <c r="A10389" t="s">
        <v>35</v>
      </c>
      <c r="B10389" t="s">
        <v>365</v>
      </c>
      <c r="C10389">
        <v>4</v>
      </c>
      <c r="D10389" t="s">
        <v>243</v>
      </c>
      <c r="E10389" t="s">
        <v>704</v>
      </c>
      <c r="F10389" t="s">
        <v>99</v>
      </c>
      <c r="G10389" t="s">
        <v>99</v>
      </c>
    </row>
    <row r="10390" spans="1:7" s="5" customFormat="1" x14ac:dyDescent="0.3">
      <c r="A10390" s="5" t="s">
        <v>37</v>
      </c>
      <c r="B10390" s="5" t="s">
        <v>339</v>
      </c>
      <c r="C10390" s="5">
        <v>9</v>
      </c>
      <c r="D10390" s="5" t="s">
        <v>211</v>
      </c>
      <c r="E10390" s="5" t="s">
        <v>99</v>
      </c>
      <c r="F10390" s="5" t="s">
        <v>99</v>
      </c>
      <c r="G10390" s="5" t="s">
        <v>99</v>
      </c>
    </row>
    <row r="10391" spans="1:7" x14ac:dyDescent="0.3">
      <c r="A10391" t="s">
        <v>37</v>
      </c>
      <c r="B10391" t="s">
        <v>340</v>
      </c>
      <c r="C10391">
        <v>45</v>
      </c>
      <c r="D10391" t="s">
        <v>404</v>
      </c>
      <c r="E10391" t="s">
        <v>382</v>
      </c>
      <c r="F10391" t="s">
        <v>382</v>
      </c>
      <c r="G10391" t="s">
        <v>99</v>
      </c>
    </row>
    <row r="10392" spans="1:7" x14ac:dyDescent="0.3">
      <c r="A10392" t="s">
        <v>37</v>
      </c>
      <c r="B10392" t="s">
        <v>365</v>
      </c>
      <c r="C10392">
        <v>3</v>
      </c>
      <c r="D10392" t="s">
        <v>211</v>
      </c>
      <c r="E10392" t="s">
        <v>99</v>
      </c>
      <c r="F10392" t="s">
        <v>99</v>
      </c>
      <c r="G10392" t="s">
        <v>99</v>
      </c>
    </row>
    <row r="10393" spans="1:7" x14ac:dyDescent="0.3">
      <c r="A10393" t="s">
        <v>36</v>
      </c>
      <c r="B10393" t="s">
        <v>339</v>
      </c>
      <c r="C10393">
        <v>112</v>
      </c>
      <c r="D10393" t="s">
        <v>826</v>
      </c>
      <c r="E10393" t="s">
        <v>887</v>
      </c>
      <c r="F10393" t="s">
        <v>158</v>
      </c>
      <c r="G10393" t="s">
        <v>99</v>
      </c>
    </row>
    <row r="10394" spans="1:7" x14ac:dyDescent="0.3">
      <c r="A10394" t="s">
        <v>36</v>
      </c>
      <c r="B10394" t="s">
        <v>340</v>
      </c>
      <c r="C10394">
        <v>183</v>
      </c>
      <c r="D10394" t="s">
        <v>948</v>
      </c>
      <c r="E10394" t="s">
        <v>538</v>
      </c>
      <c r="F10394" t="s">
        <v>122</v>
      </c>
      <c r="G10394" t="s">
        <v>207</v>
      </c>
    </row>
    <row r="10395" spans="1:7" x14ac:dyDescent="0.3">
      <c r="A10395" t="s">
        <v>36</v>
      </c>
      <c r="B10395" t="s">
        <v>365</v>
      </c>
      <c r="C10395">
        <v>6</v>
      </c>
      <c r="D10395" t="s">
        <v>99</v>
      </c>
      <c r="E10395" t="s">
        <v>265</v>
      </c>
      <c r="F10395" t="s">
        <v>332</v>
      </c>
      <c r="G10395" t="s">
        <v>99</v>
      </c>
    </row>
    <row r="10396" spans="1:7" x14ac:dyDescent="0.3">
      <c r="A10396" t="s">
        <v>34</v>
      </c>
      <c r="B10396" t="s">
        <v>339</v>
      </c>
      <c r="C10396">
        <v>70</v>
      </c>
      <c r="D10396" t="s">
        <v>423</v>
      </c>
      <c r="E10396" t="s">
        <v>526</v>
      </c>
      <c r="F10396" t="s">
        <v>664</v>
      </c>
      <c r="G10396" t="s">
        <v>99</v>
      </c>
    </row>
    <row r="10397" spans="1:7" x14ac:dyDescent="0.3">
      <c r="A10397" t="s">
        <v>34</v>
      </c>
      <c r="B10397" t="s">
        <v>340</v>
      </c>
      <c r="C10397">
        <v>132</v>
      </c>
      <c r="D10397" t="s">
        <v>119</v>
      </c>
      <c r="E10397" t="s">
        <v>213</v>
      </c>
      <c r="F10397" t="s">
        <v>675</v>
      </c>
      <c r="G10397" t="s">
        <v>99</v>
      </c>
    </row>
    <row r="10398" spans="1:7" x14ac:dyDescent="0.3">
      <c r="A10398" t="s">
        <v>34</v>
      </c>
      <c r="B10398" t="s">
        <v>365</v>
      </c>
      <c r="C10398">
        <v>3</v>
      </c>
      <c r="D10398" t="s">
        <v>99</v>
      </c>
      <c r="E10398" t="s">
        <v>1186</v>
      </c>
      <c r="F10398" t="s">
        <v>423</v>
      </c>
      <c r="G10398" t="s">
        <v>99</v>
      </c>
    </row>
    <row r="10399" spans="1:7" s="5" customFormat="1" x14ac:dyDescent="0.3">
      <c r="A10399" s="5" t="s">
        <v>33</v>
      </c>
      <c r="B10399" s="5" t="s">
        <v>339</v>
      </c>
      <c r="C10399" s="5">
        <v>11</v>
      </c>
      <c r="D10399" s="5" t="s">
        <v>400</v>
      </c>
      <c r="E10399" s="5" t="s">
        <v>420</v>
      </c>
      <c r="F10399" s="5" t="s">
        <v>99</v>
      </c>
      <c r="G10399" s="5" t="s">
        <v>99</v>
      </c>
    </row>
    <row r="10400" spans="1:7" s="5" customFormat="1" x14ac:dyDescent="0.3">
      <c r="A10400" s="5" t="s">
        <v>33</v>
      </c>
      <c r="B10400" s="5" t="s">
        <v>340</v>
      </c>
      <c r="C10400" s="5">
        <v>19</v>
      </c>
      <c r="D10400" s="5" t="s">
        <v>1166</v>
      </c>
      <c r="E10400" s="5" t="s">
        <v>355</v>
      </c>
      <c r="F10400" s="5" t="s">
        <v>262</v>
      </c>
      <c r="G10400" s="5" t="s">
        <v>99</v>
      </c>
    </row>
    <row r="10401" spans="1:7" x14ac:dyDescent="0.3">
      <c r="A10401" t="s">
        <v>49</v>
      </c>
      <c r="B10401" t="s">
        <v>339</v>
      </c>
      <c r="C10401">
        <v>349</v>
      </c>
      <c r="D10401" t="s">
        <v>797</v>
      </c>
      <c r="E10401" t="s">
        <v>1049</v>
      </c>
      <c r="F10401" t="s">
        <v>722</v>
      </c>
      <c r="G10401" t="s">
        <v>99</v>
      </c>
    </row>
    <row r="10402" spans="1:7" x14ac:dyDescent="0.3">
      <c r="A10402" t="s">
        <v>49</v>
      </c>
      <c r="B10402" t="s">
        <v>340</v>
      </c>
      <c r="C10402">
        <v>657</v>
      </c>
      <c r="D10402" t="s">
        <v>957</v>
      </c>
      <c r="E10402" t="s">
        <v>615</v>
      </c>
      <c r="F10402" t="s">
        <v>675</v>
      </c>
      <c r="G10402" t="s">
        <v>198</v>
      </c>
    </row>
    <row r="10403" spans="1:7" x14ac:dyDescent="0.3">
      <c r="A10403" t="s">
        <v>49</v>
      </c>
      <c r="B10403" t="s">
        <v>365</v>
      </c>
      <c r="C10403">
        <v>16</v>
      </c>
      <c r="D10403" t="s">
        <v>930</v>
      </c>
      <c r="E10403" t="s">
        <v>1123</v>
      </c>
      <c r="F10403" t="s">
        <v>163</v>
      </c>
      <c r="G10403" t="s">
        <v>99</v>
      </c>
    </row>
    <row r="10405" spans="1:7" x14ac:dyDescent="0.3">
      <c r="A10405" t="s">
        <v>2514</v>
      </c>
    </row>
    <row r="10406" spans="1:7" x14ac:dyDescent="0.3">
      <c r="A10406" t="s">
        <v>44</v>
      </c>
      <c r="B10406" t="s">
        <v>209</v>
      </c>
      <c r="C10406" t="s">
        <v>32</v>
      </c>
      <c r="D10406" t="s">
        <v>66</v>
      </c>
      <c r="E10406" t="s">
        <v>352</v>
      </c>
      <c r="F10406" t="s">
        <v>67</v>
      </c>
      <c r="G10406" t="s">
        <v>193</v>
      </c>
    </row>
    <row r="10407" spans="1:7" s="5" customFormat="1" x14ac:dyDescent="0.3">
      <c r="A10407" s="5" t="s">
        <v>35</v>
      </c>
      <c r="B10407" s="5" t="s">
        <v>210</v>
      </c>
      <c r="C10407" s="5">
        <v>20</v>
      </c>
      <c r="D10407" s="5" t="s">
        <v>913</v>
      </c>
      <c r="E10407" s="5" t="s">
        <v>468</v>
      </c>
      <c r="F10407" s="5" t="s">
        <v>1106</v>
      </c>
      <c r="G10407" s="5" t="s">
        <v>99</v>
      </c>
    </row>
    <row r="10408" spans="1:7" x14ac:dyDescent="0.3">
      <c r="A10408" t="s">
        <v>35</v>
      </c>
      <c r="B10408" t="s">
        <v>212</v>
      </c>
      <c r="C10408">
        <v>285</v>
      </c>
      <c r="D10408" t="s">
        <v>808</v>
      </c>
      <c r="E10408" t="s">
        <v>710</v>
      </c>
      <c r="F10408" t="s">
        <v>561</v>
      </c>
      <c r="G10408" t="s">
        <v>207</v>
      </c>
    </row>
    <row r="10409" spans="1:7" x14ac:dyDescent="0.3">
      <c r="A10409" t="s">
        <v>35</v>
      </c>
      <c r="B10409" t="s">
        <v>216</v>
      </c>
      <c r="C10409">
        <v>124</v>
      </c>
      <c r="D10409" t="s">
        <v>955</v>
      </c>
      <c r="E10409" t="s">
        <v>325</v>
      </c>
      <c r="F10409" t="s">
        <v>905</v>
      </c>
      <c r="G10409" t="s">
        <v>99</v>
      </c>
    </row>
    <row r="10410" spans="1:7" s="5" customFormat="1" x14ac:dyDescent="0.3">
      <c r="A10410" s="5" t="s">
        <v>37</v>
      </c>
      <c r="B10410" s="5" t="s">
        <v>210</v>
      </c>
      <c r="C10410" s="5">
        <v>4</v>
      </c>
      <c r="D10410" s="5" t="s">
        <v>211</v>
      </c>
      <c r="E10410" s="5" t="s">
        <v>99</v>
      </c>
      <c r="F10410" s="5" t="s">
        <v>99</v>
      </c>
      <c r="G10410" s="5" t="s">
        <v>99</v>
      </c>
    </row>
    <row r="10411" spans="1:7" x14ac:dyDescent="0.3">
      <c r="A10411" t="s">
        <v>37</v>
      </c>
      <c r="B10411" t="s">
        <v>212</v>
      </c>
      <c r="C10411">
        <v>51</v>
      </c>
      <c r="D10411" t="s">
        <v>780</v>
      </c>
      <c r="E10411" t="s">
        <v>319</v>
      </c>
      <c r="F10411" t="s">
        <v>319</v>
      </c>
      <c r="G10411" t="s">
        <v>99</v>
      </c>
    </row>
    <row r="10412" spans="1:7" s="5" customFormat="1" x14ac:dyDescent="0.3">
      <c r="A10412" s="5" t="s">
        <v>37</v>
      </c>
      <c r="B10412" s="5" t="s">
        <v>216</v>
      </c>
      <c r="C10412" s="5">
        <v>2</v>
      </c>
      <c r="D10412" s="5" t="s">
        <v>211</v>
      </c>
      <c r="E10412" s="5" t="s">
        <v>99</v>
      </c>
      <c r="F10412" s="5" t="s">
        <v>99</v>
      </c>
      <c r="G10412" s="5" t="s">
        <v>99</v>
      </c>
    </row>
    <row r="10413" spans="1:7" x14ac:dyDescent="0.3">
      <c r="A10413" t="s">
        <v>36</v>
      </c>
      <c r="B10413" t="s">
        <v>210</v>
      </c>
      <c r="C10413">
        <v>35</v>
      </c>
      <c r="D10413" t="s">
        <v>1106</v>
      </c>
      <c r="E10413" t="s">
        <v>328</v>
      </c>
      <c r="F10413" t="s">
        <v>725</v>
      </c>
      <c r="G10413" t="s">
        <v>99</v>
      </c>
    </row>
    <row r="10414" spans="1:7" x14ac:dyDescent="0.3">
      <c r="A10414" t="s">
        <v>36</v>
      </c>
      <c r="B10414" t="s">
        <v>212</v>
      </c>
      <c r="C10414">
        <v>126</v>
      </c>
      <c r="D10414" t="s">
        <v>887</v>
      </c>
      <c r="E10414" t="s">
        <v>204</v>
      </c>
      <c r="F10414" t="s">
        <v>906</v>
      </c>
      <c r="G10414" t="s">
        <v>136</v>
      </c>
    </row>
    <row r="10415" spans="1:7" x14ac:dyDescent="0.3">
      <c r="A10415" t="s">
        <v>36</v>
      </c>
      <c r="B10415" t="s">
        <v>216</v>
      </c>
      <c r="C10415">
        <v>140</v>
      </c>
      <c r="D10415" t="s">
        <v>597</v>
      </c>
      <c r="E10415" t="s">
        <v>363</v>
      </c>
      <c r="F10415" t="s">
        <v>572</v>
      </c>
      <c r="G10415" t="s">
        <v>99</v>
      </c>
    </row>
    <row r="10416" spans="1:7" s="5" customFormat="1" x14ac:dyDescent="0.3">
      <c r="A10416" s="5" t="s">
        <v>34</v>
      </c>
      <c r="B10416" s="5" t="s">
        <v>210</v>
      </c>
      <c r="C10416" s="5">
        <v>25</v>
      </c>
      <c r="D10416" s="5" t="s">
        <v>747</v>
      </c>
      <c r="E10416" s="5" t="s">
        <v>254</v>
      </c>
      <c r="F10416" s="5" t="s">
        <v>1370</v>
      </c>
      <c r="G10416" s="5" t="s">
        <v>99</v>
      </c>
    </row>
    <row r="10417" spans="1:7" x14ac:dyDescent="0.3">
      <c r="A10417" t="s">
        <v>34</v>
      </c>
      <c r="B10417" t="s">
        <v>212</v>
      </c>
      <c r="C10417">
        <v>118</v>
      </c>
      <c r="D10417" t="s">
        <v>828</v>
      </c>
      <c r="E10417" t="s">
        <v>171</v>
      </c>
      <c r="F10417" t="s">
        <v>646</v>
      </c>
      <c r="G10417" t="s">
        <v>99</v>
      </c>
    </row>
    <row r="10418" spans="1:7" x14ac:dyDescent="0.3">
      <c r="A10418" t="s">
        <v>34</v>
      </c>
      <c r="B10418" t="s">
        <v>216</v>
      </c>
      <c r="C10418">
        <v>62</v>
      </c>
      <c r="D10418" t="s">
        <v>747</v>
      </c>
      <c r="E10418" t="s">
        <v>136</v>
      </c>
      <c r="F10418" t="s">
        <v>1186</v>
      </c>
      <c r="G10418" t="s">
        <v>99</v>
      </c>
    </row>
    <row r="10419" spans="1:7" s="5" customFormat="1" x14ac:dyDescent="0.3">
      <c r="A10419" s="5" t="s">
        <v>33</v>
      </c>
      <c r="B10419" s="5" t="s">
        <v>210</v>
      </c>
      <c r="C10419" s="5">
        <v>2</v>
      </c>
      <c r="D10419" s="5" t="s">
        <v>211</v>
      </c>
      <c r="E10419" s="5" t="s">
        <v>99</v>
      </c>
      <c r="F10419" s="5" t="s">
        <v>99</v>
      </c>
      <c r="G10419" s="5" t="s">
        <v>99</v>
      </c>
    </row>
    <row r="10420" spans="1:7" s="5" customFormat="1" x14ac:dyDescent="0.3">
      <c r="A10420" s="5" t="s">
        <v>33</v>
      </c>
      <c r="B10420" s="5" t="s">
        <v>212</v>
      </c>
      <c r="C10420" s="5">
        <v>27</v>
      </c>
      <c r="D10420" s="5" t="s">
        <v>1137</v>
      </c>
      <c r="E10420" s="5" t="s">
        <v>150</v>
      </c>
      <c r="F10420" s="5" t="s">
        <v>262</v>
      </c>
      <c r="G10420" s="5" t="s">
        <v>99</v>
      </c>
    </row>
    <row r="10421" spans="1:7" s="5" customFormat="1" x14ac:dyDescent="0.3">
      <c r="A10421" s="5" t="s">
        <v>33</v>
      </c>
      <c r="B10421" s="5" t="s">
        <v>216</v>
      </c>
      <c r="C10421" s="5">
        <v>1</v>
      </c>
      <c r="D10421" s="5" t="s">
        <v>99</v>
      </c>
      <c r="E10421" s="5" t="s">
        <v>99</v>
      </c>
      <c r="F10421" s="5" t="s">
        <v>211</v>
      </c>
      <c r="G10421" s="5" t="s">
        <v>99</v>
      </c>
    </row>
    <row r="10422" spans="1:7" x14ac:dyDescent="0.3">
      <c r="A10422" t="s">
        <v>49</v>
      </c>
      <c r="B10422" t="s">
        <v>210</v>
      </c>
      <c r="C10422">
        <v>86</v>
      </c>
      <c r="D10422" t="s">
        <v>862</v>
      </c>
      <c r="E10422" t="s">
        <v>328</v>
      </c>
      <c r="F10422" t="s">
        <v>552</v>
      </c>
      <c r="G10422" t="s">
        <v>99</v>
      </c>
    </row>
    <row r="10423" spans="1:7" x14ac:dyDescent="0.3">
      <c r="A10423" t="s">
        <v>49</v>
      </c>
      <c r="B10423" t="s">
        <v>212</v>
      </c>
      <c r="C10423">
        <v>607</v>
      </c>
      <c r="D10423" t="s">
        <v>938</v>
      </c>
      <c r="E10423" t="s">
        <v>722</v>
      </c>
      <c r="F10423" t="s">
        <v>642</v>
      </c>
      <c r="G10423" t="s">
        <v>198</v>
      </c>
    </row>
    <row r="10424" spans="1:7" x14ac:dyDescent="0.3">
      <c r="A10424" t="s">
        <v>49</v>
      </c>
      <c r="B10424" t="s">
        <v>216</v>
      </c>
      <c r="C10424">
        <v>329</v>
      </c>
      <c r="D10424" t="s">
        <v>600</v>
      </c>
      <c r="E10424" t="s">
        <v>130</v>
      </c>
      <c r="F10424" t="s">
        <v>1180</v>
      </c>
      <c r="G10424" t="s">
        <v>99</v>
      </c>
    </row>
    <row r="10426" spans="1:7" x14ac:dyDescent="0.3">
      <c r="A10426" t="s">
        <v>2515</v>
      </c>
    </row>
    <row r="10427" spans="1:7" x14ac:dyDescent="0.3">
      <c r="A10427" t="s">
        <v>44</v>
      </c>
      <c r="B10427" t="s">
        <v>388</v>
      </c>
      <c r="C10427" t="s">
        <v>32</v>
      </c>
      <c r="D10427" t="s">
        <v>352</v>
      </c>
      <c r="E10427" t="s">
        <v>66</v>
      </c>
      <c r="F10427" t="s">
        <v>67</v>
      </c>
      <c r="G10427" t="s">
        <v>193</v>
      </c>
    </row>
    <row r="10428" spans="1:7" x14ac:dyDescent="0.3">
      <c r="A10428" t="s">
        <v>35</v>
      </c>
      <c r="B10428" t="s">
        <v>389</v>
      </c>
      <c r="C10428">
        <v>287</v>
      </c>
      <c r="D10428" t="s">
        <v>70</v>
      </c>
      <c r="E10428" t="s">
        <v>557</v>
      </c>
      <c r="F10428" t="s">
        <v>937</v>
      </c>
      <c r="G10428" t="s">
        <v>207</v>
      </c>
    </row>
    <row r="10429" spans="1:7" x14ac:dyDescent="0.3">
      <c r="A10429" t="s">
        <v>35</v>
      </c>
      <c r="B10429" t="s">
        <v>390</v>
      </c>
      <c r="C10429">
        <v>124</v>
      </c>
      <c r="D10429" t="s">
        <v>175</v>
      </c>
      <c r="E10429" t="s">
        <v>1095</v>
      </c>
      <c r="F10429" t="s">
        <v>916</v>
      </c>
      <c r="G10429" t="s">
        <v>99</v>
      </c>
    </row>
    <row r="10430" spans="1:7" x14ac:dyDescent="0.3">
      <c r="A10430" t="s">
        <v>35</v>
      </c>
      <c r="B10430" t="s">
        <v>365</v>
      </c>
      <c r="C10430">
        <v>18</v>
      </c>
      <c r="D10430" t="s">
        <v>368</v>
      </c>
      <c r="E10430" t="s">
        <v>1190</v>
      </c>
      <c r="F10430" t="s">
        <v>662</v>
      </c>
      <c r="G10430" t="s">
        <v>99</v>
      </c>
    </row>
    <row r="10431" spans="1:7" x14ac:dyDescent="0.3">
      <c r="A10431" t="s">
        <v>37</v>
      </c>
      <c r="B10431" t="s">
        <v>389</v>
      </c>
      <c r="C10431">
        <v>32</v>
      </c>
      <c r="D10431" t="s">
        <v>99</v>
      </c>
      <c r="E10431" t="s">
        <v>211</v>
      </c>
      <c r="F10431" t="s">
        <v>99</v>
      </c>
      <c r="G10431" t="s">
        <v>99</v>
      </c>
    </row>
    <row r="10432" spans="1:7" s="5" customFormat="1" x14ac:dyDescent="0.3">
      <c r="A10432" s="5" t="s">
        <v>37</v>
      </c>
      <c r="B10432" s="5" t="s">
        <v>390</v>
      </c>
      <c r="C10432" s="5">
        <v>23</v>
      </c>
      <c r="D10432" s="5" t="s">
        <v>105</v>
      </c>
      <c r="E10432" s="5" t="s">
        <v>414</v>
      </c>
      <c r="F10432" s="5" t="s">
        <v>105</v>
      </c>
      <c r="G10432" s="5" t="s">
        <v>99</v>
      </c>
    </row>
    <row r="10433" spans="1:7" x14ac:dyDescent="0.3">
      <c r="A10433" t="s">
        <v>37</v>
      </c>
      <c r="B10433" t="s">
        <v>365</v>
      </c>
      <c r="C10433">
        <v>2</v>
      </c>
      <c r="D10433" t="s">
        <v>99</v>
      </c>
      <c r="E10433" t="s">
        <v>211</v>
      </c>
      <c r="F10433" t="s">
        <v>99</v>
      </c>
      <c r="G10433" t="s">
        <v>99</v>
      </c>
    </row>
    <row r="10434" spans="1:7" x14ac:dyDescent="0.3">
      <c r="A10434" t="s">
        <v>36</v>
      </c>
      <c r="B10434" t="s">
        <v>389</v>
      </c>
      <c r="C10434">
        <v>207</v>
      </c>
      <c r="D10434" t="s">
        <v>353</v>
      </c>
      <c r="E10434" t="s">
        <v>824</v>
      </c>
      <c r="F10434" t="s">
        <v>1116</v>
      </c>
      <c r="G10434" t="s">
        <v>99</v>
      </c>
    </row>
    <row r="10435" spans="1:7" x14ac:dyDescent="0.3">
      <c r="A10435" t="s">
        <v>36</v>
      </c>
      <c r="B10435" t="s">
        <v>390</v>
      </c>
      <c r="C10435">
        <v>78</v>
      </c>
      <c r="D10435" t="s">
        <v>128</v>
      </c>
      <c r="E10435" t="s">
        <v>1051</v>
      </c>
      <c r="F10435" t="s">
        <v>943</v>
      </c>
      <c r="G10435" t="s">
        <v>132</v>
      </c>
    </row>
    <row r="10436" spans="1:7" x14ac:dyDescent="0.3">
      <c r="A10436" t="s">
        <v>36</v>
      </c>
      <c r="B10436" t="s">
        <v>365</v>
      </c>
      <c r="C10436">
        <v>16</v>
      </c>
      <c r="D10436" t="s">
        <v>150</v>
      </c>
      <c r="E10436" t="s">
        <v>394</v>
      </c>
      <c r="F10436" t="s">
        <v>125</v>
      </c>
      <c r="G10436" t="s">
        <v>99</v>
      </c>
    </row>
    <row r="10437" spans="1:7" x14ac:dyDescent="0.3">
      <c r="A10437" t="s">
        <v>34</v>
      </c>
      <c r="B10437" t="s">
        <v>389</v>
      </c>
      <c r="C10437">
        <v>139</v>
      </c>
      <c r="D10437" t="s">
        <v>150</v>
      </c>
      <c r="E10437" t="s">
        <v>517</v>
      </c>
      <c r="F10437" t="s">
        <v>915</v>
      </c>
      <c r="G10437" t="s">
        <v>99</v>
      </c>
    </row>
    <row r="10438" spans="1:7" x14ac:dyDescent="0.3">
      <c r="A10438" t="s">
        <v>34</v>
      </c>
      <c r="B10438" t="s">
        <v>390</v>
      </c>
      <c r="C10438">
        <v>61</v>
      </c>
      <c r="D10438" t="s">
        <v>70</v>
      </c>
      <c r="E10438" t="s">
        <v>344</v>
      </c>
      <c r="F10438" t="s">
        <v>605</v>
      </c>
      <c r="G10438" t="s">
        <v>99</v>
      </c>
    </row>
    <row r="10439" spans="1:7" x14ac:dyDescent="0.3">
      <c r="A10439" t="s">
        <v>34</v>
      </c>
      <c r="B10439" t="s">
        <v>365</v>
      </c>
      <c r="C10439">
        <v>5</v>
      </c>
      <c r="D10439" t="s">
        <v>99</v>
      </c>
      <c r="E10439" t="s">
        <v>1178</v>
      </c>
      <c r="F10439" t="s">
        <v>895</v>
      </c>
      <c r="G10439" t="s">
        <v>99</v>
      </c>
    </row>
    <row r="10440" spans="1:7" s="5" customFormat="1" x14ac:dyDescent="0.3">
      <c r="A10440" s="5" t="s">
        <v>33</v>
      </c>
      <c r="B10440" s="5" t="s">
        <v>389</v>
      </c>
      <c r="C10440" s="5">
        <v>23</v>
      </c>
      <c r="D10440" s="5" t="s">
        <v>155</v>
      </c>
      <c r="E10440" s="5" t="s">
        <v>524</v>
      </c>
      <c r="F10440" s="5" t="s">
        <v>694</v>
      </c>
      <c r="G10440" s="5" t="s">
        <v>99</v>
      </c>
    </row>
    <row r="10441" spans="1:7" s="5" customFormat="1" x14ac:dyDescent="0.3">
      <c r="A10441" s="5" t="s">
        <v>33</v>
      </c>
      <c r="B10441" s="5" t="s">
        <v>390</v>
      </c>
      <c r="C10441" s="5">
        <v>7</v>
      </c>
      <c r="D10441" s="5" t="s">
        <v>406</v>
      </c>
      <c r="E10441" s="5" t="s">
        <v>407</v>
      </c>
      <c r="F10441" s="5" t="s">
        <v>99</v>
      </c>
      <c r="G10441" s="5" t="s">
        <v>99</v>
      </c>
    </row>
    <row r="10442" spans="1:7" x14ac:dyDescent="0.3">
      <c r="A10442" t="s">
        <v>49</v>
      </c>
      <c r="B10442" t="s">
        <v>389</v>
      </c>
      <c r="C10442">
        <v>688</v>
      </c>
      <c r="D10442" t="s">
        <v>152</v>
      </c>
      <c r="E10442" t="s">
        <v>698</v>
      </c>
      <c r="F10442" t="s">
        <v>1049</v>
      </c>
      <c r="G10442" t="s">
        <v>104</v>
      </c>
    </row>
    <row r="10443" spans="1:7" x14ac:dyDescent="0.3">
      <c r="A10443" t="s">
        <v>49</v>
      </c>
      <c r="B10443" t="s">
        <v>390</v>
      </c>
      <c r="C10443">
        <v>293</v>
      </c>
      <c r="D10443" t="s">
        <v>133</v>
      </c>
      <c r="E10443" t="s">
        <v>1116</v>
      </c>
      <c r="F10443" t="s">
        <v>1043</v>
      </c>
      <c r="G10443" t="s">
        <v>104</v>
      </c>
    </row>
    <row r="10444" spans="1:7" x14ac:dyDescent="0.3">
      <c r="A10444" t="s">
        <v>49</v>
      </c>
      <c r="B10444" t="s">
        <v>365</v>
      </c>
      <c r="C10444">
        <v>41</v>
      </c>
      <c r="D10444" t="s">
        <v>122</v>
      </c>
      <c r="E10444" t="s">
        <v>1153</v>
      </c>
      <c r="F10444" t="s">
        <v>347</v>
      </c>
      <c r="G10444" t="s">
        <v>99</v>
      </c>
    </row>
    <row r="10446" spans="1:7" x14ac:dyDescent="0.3">
      <c r="A10446" t="s">
        <v>2516</v>
      </c>
    </row>
    <row r="10447" spans="1:7" x14ac:dyDescent="0.3">
      <c r="A10447" t="s">
        <v>44</v>
      </c>
      <c r="B10447" t="s">
        <v>235</v>
      </c>
      <c r="C10447" t="s">
        <v>32</v>
      </c>
      <c r="D10447" t="s">
        <v>352</v>
      </c>
      <c r="E10447" t="s">
        <v>66</v>
      </c>
      <c r="F10447" t="s">
        <v>67</v>
      </c>
      <c r="G10447" t="s">
        <v>193</v>
      </c>
    </row>
    <row r="10448" spans="1:7" x14ac:dyDescent="0.3">
      <c r="A10448" t="s">
        <v>35</v>
      </c>
      <c r="B10448" t="s">
        <v>236</v>
      </c>
      <c r="C10448">
        <v>208</v>
      </c>
      <c r="D10448" t="s">
        <v>305</v>
      </c>
      <c r="E10448" t="s">
        <v>550</v>
      </c>
      <c r="F10448" t="s">
        <v>934</v>
      </c>
      <c r="G10448" t="s">
        <v>253</v>
      </c>
    </row>
    <row r="10449" spans="1:7" x14ac:dyDescent="0.3">
      <c r="A10449" t="s">
        <v>35</v>
      </c>
      <c r="B10449" t="s">
        <v>238</v>
      </c>
      <c r="C10449">
        <v>221</v>
      </c>
      <c r="D10449" t="s">
        <v>171</v>
      </c>
      <c r="E10449" t="s">
        <v>506</v>
      </c>
      <c r="F10449" t="s">
        <v>948</v>
      </c>
      <c r="G10449" t="s">
        <v>99</v>
      </c>
    </row>
    <row r="10450" spans="1:7" s="5" customFormat="1" x14ac:dyDescent="0.3">
      <c r="A10450" s="5" t="s">
        <v>37</v>
      </c>
      <c r="B10450" s="5" t="s">
        <v>236</v>
      </c>
      <c r="C10450" s="5">
        <v>12</v>
      </c>
      <c r="D10450" s="5" t="s">
        <v>99</v>
      </c>
      <c r="E10450" s="5" t="s">
        <v>211</v>
      </c>
      <c r="F10450" s="5" t="s">
        <v>99</v>
      </c>
      <c r="G10450" s="5" t="s">
        <v>99</v>
      </c>
    </row>
    <row r="10451" spans="1:7" x14ac:dyDescent="0.3">
      <c r="A10451" t="s">
        <v>37</v>
      </c>
      <c r="B10451" t="s">
        <v>238</v>
      </c>
      <c r="C10451">
        <v>45</v>
      </c>
      <c r="D10451" t="s">
        <v>382</v>
      </c>
      <c r="E10451" t="s">
        <v>384</v>
      </c>
      <c r="F10451" t="s">
        <v>382</v>
      </c>
      <c r="G10451" t="s">
        <v>99</v>
      </c>
    </row>
    <row r="10452" spans="1:7" x14ac:dyDescent="0.3">
      <c r="A10452" t="s">
        <v>36</v>
      </c>
      <c r="B10452" t="s">
        <v>236</v>
      </c>
      <c r="C10452">
        <v>210</v>
      </c>
      <c r="D10452" t="s">
        <v>107</v>
      </c>
      <c r="E10452" t="s">
        <v>1494</v>
      </c>
      <c r="F10452" t="s">
        <v>228</v>
      </c>
      <c r="G10452" t="s">
        <v>99</v>
      </c>
    </row>
    <row r="10453" spans="1:7" x14ac:dyDescent="0.3">
      <c r="A10453" t="s">
        <v>36</v>
      </c>
      <c r="B10453" t="s">
        <v>238</v>
      </c>
      <c r="C10453">
        <v>91</v>
      </c>
      <c r="D10453" t="s">
        <v>113</v>
      </c>
      <c r="E10453" t="s">
        <v>1576</v>
      </c>
      <c r="F10453" t="s">
        <v>824</v>
      </c>
      <c r="G10453" t="s">
        <v>207</v>
      </c>
    </row>
    <row r="10454" spans="1:7" x14ac:dyDescent="0.3">
      <c r="A10454" t="s">
        <v>34</v>
      </c>
      <c r="B10454" t="s">
        <v>236</v>
      </c>
      <c r="C10454">
        <v>74</v>
      </c>
      <c r="D10454" t="s">
        <v>110</v>
      </c>
      <c r="E10454" t="s">
        <v>457</v>
      </c>
      <c r="F10454" t="s">
        <v>1027</v>
      </c>
      <c r="G10454" t="s">
        <v>99</v>
      </c>
    </row>
    <row r="10455" spans="1:7" x14ac:dyDescent="0.3">
      <c r="A10455" t="s">
        <v>34</v>
      </c>
      <c r="B10455" t="s">
        <v>238</v>
      </c>
      <c r="C10455">
        <v>131</v>
      </c>
      <c r="D10455" t="s">
        <v>171</v>
      </c>
      <c r="E10455" t="s">
        <v>1062</v>
      </c>
      <c r="F10455" t="s">
        <v>641</v>
      </c>
      <c r="G10455" t="s">
        <v>99</v>
      </c>
    </row>
    <row r="10456" spans="1:7" s="5" customFormat="1" x14ac:dyDescent="0.3">
      <c r="A10456" s="5" t="s">
        <v>33</v>
      </c>
      <c r="B10456" s="5" t="s">
        <v>236</v>
      </c>
      <c r="C10456" s="5">
        <v>7</v>
      </c>
      <c r="D10456" s="5" t="s">
        <v>76</v>
      </c>
      <c r="E10456" s="5" t="s">
        <v>639</v>
      </c>
      <c r="F10456" s="5" t="s">
        <v>519</v>
      </c>
      <c r="G10456" s="5" t="s">
        <v>99</v>
      </c>
    </row>
    <row r="10457" spans="1:7" s="5" customFormat="1" x14ac:dyDescent="0.3">
      <c r="A10457" s="5" t="s">
        <v>33</v>
      </c>
      <c r="B10457" s="5" t="s">
        <v>238</v>
      </c>
      <c r="C10457" s="5">
        <v>23</v>
      </c>
      <c r="D10457" s="5" t="s">
        <v>149</v>
      </c>
      <c r="E10457" s="5" t="s">
        <v>221</v>
      </c>
      <c r="F10457" s="5" t="s">
        <v>353</v>
      </c>
      <c r="G10457" s="5" t="s">
        <v>99</v>
      </c>
    </row>
    <row r="10458" spans="1:7" x14ac:dyDescent="0.3">
      <c r="A10458" t="s">
        <v>49</v>
      </c>
      <c r="B10458" t="s">
        <v>236</v>
      </c>
      <c r="C10458">
        <v>511</v>
      </c>
      <c r="D10458" t="s">
        <v>158</v>
      </c>
      <c r="E10458" t="s">
        <v>862</v>
      </c>
      <c r="F10458" t="s">
        <v>630</v>
      </c>
      <c r="G10458" t="s">
        <v>198</v>
      </c>
    </row>
    <row r="10459" spans="1:7" x14ac:dyDescent="0.3">
      <c r="A10459" t="s">
        <v>49</v>
      </c>
      <c r="B10459" t="s">
        <v>238</v>
      </c>
      <c r="C10459">
        <v>511</v>
      </c>
      <c r="D10459" t="s">
        <v>671</v>
      </c>
      <c r="E10459" t="s">
        <v>936</v>
      </c>
      <c r="F10459" t="s">
        <v>551</v>
      </c>
      <c r="G10459" t="s">
        <v>104</v>
      </c>
    </row>
    <row r="10461" spans="1:7" x14ac:dyDescent="0.3">
      <c r="A10461" t="s">
        <v>2517</v>
      </c>
    </row>
    <row r="10462" spans="1:7" x14ac:dyDescent="0.3">
      <c r="A10462" t="s">
        <v>44</v>
      </c>
      <c r="B10462" t="s">
        <v>1720</v>
      </c>
      <c r="C10462" t="s">
        <v>32</v>
      </c>
      <c r="D10462" t="s">
        <v>352</v>
      </c>
      <c r="E10462" t="s">
        <v>66</v>
      </c>
      <c r="F10462" t="s">
        <v>67</v>
      </c>
      <c r="G10462" t="s">
        <v>193</v>
      </c>
    </row>
    <row r="10463" spans="1:7" x14ac:dyDescent="0.3">
      <c r="A10463" t="s">
        <v>35</v>
      </c>
      <c r="B10463" t="s">
        <v>1721</v>
      </c>
      <c r="C10463">
        <v>172</v>
      </c>
      <c r="D10463" t="s">
        <v>135</v>
      </c>
      <c r="E10463" t="s">
        <v>913</v>
      </c>
      <c r="F10463" t="s">
        <v>1165</v>
      </c>
      <c r="G10463" t="s">
        <v>99</v>
      </c>
    </row>
    <row r="10464" spans="1:7" x14ac:dyDescent="0.3">
      <c r="A10464" t="s">
        <v>35</v>
      </c>
      <c r="B10464" t="s">
        <v>1722</v>
      </c>
      <c r="C10464">
        <v>257</v>
      </c>
      <c r="D10464" t="s">
        <v>289</v>
      </c>
      <c r="E10464" t="s">
        <v>596</v>
      </c>
      <c r="F10464" t="s">
        <v>600</v>
      </c>
      <c r="G10464" t="s">
        <v>136</v>
      </c>
    </row>
    <row r="10465" spans="1:7" s="5" customFormat="1" x14ac:dyDescent="0.3">
      <c r="A10465" s="5" t="s">
        <v>37</v>
      </c>
      <c r="B10465" s="5" t="s">
        <v>1721</v>
      </c>
      <c r="C10465" s="5">
        <v>21</v>
      </c>
      <c r="D10465" s="5" t="s">
        <v>99</v>
      </c>
      <c r="E10465" s="5" t="s">
        <v>768</v>
      </c>
      <c r="F10465" s="5" t="s">
        <v>110</v>
      </c>
      <c r="G10465" s="5" t="s">
        <v>99</v>
      </c>
    </row>
    <row r="10466" spans="1:7" x14ac:dyDescent="0.3">
      <c r="A10466" t="s">
        <v>37</v>
      </c>
      <c r="B10466" t="s">
        <v>1722</v>
      </c>
      <c r="C10466">
        <v>36</v>
      </c>
      <c r="D10466" t="s">
        <v>127</v>
      </c>
      <c r="E10466" t="s">
        <v>1026</v>
      </c>
      <c r="F10466" t="s">
        <v>99</v>
      </c>
      <c r="G10466" t="s">
        <v>99</v>
      </c>
    </row>
    <row r="10467" spans="1:7" x14ac:dyDescent="0.3">
      <c r="A10467" t="s">
        <v>36</v>
      </c>
      <c r="B10467" t="s">
        <v>1721</v>
      </c>
      <c r="C10467">
        <v>124</v>
      </c>
      <c r="D10467" t="s">
        <v>716</v>
      </c>
      <c r="E10467" t="s">
        <v>595</v>
      </c>
      <c r="F10467" t="s">
        <v>636</v>
      </c>
      <c r="G10467" t="s">
        <v>99</v>
      </c>
    </row>
    <row r="10468" spans="1:7" x14ac:dyDescent="0.3">
      <c r="A10468" t="s">
        <v>36</v>
      </c>
      <c r="B10468" t="s">
        <v>1722</v>
      </c>
      <c r="C10468">
        <v>177</v>
      </c>
      <c r="D10468" t="s">
        <v>130</v>
      </c>
      <c r="E10468" t="s">
        <v>615</v>
      </c>
      <c r="F10468" t="s">
        <v>884</v>
      </c>
      <c r="G10468" t="s">
        <v>207</v>
      </c>
    </row>
    <row r="10469" spans="1:7" x14ac:dyDescent="0.3">
      <c r="A10469" t="s">
        <v>34</v>
      </c>
      <c r="B10469" t="s">
        <v>1721</v>
      </c>
      <c r="C10469">
        <v>87</v>
      </c>
      <c r="D10469" t="s">
        <v>152</v>
      </c>
      <c r="E10469" t="s">
        <v>833</v>
      </c>
      <c r="F10469" t="s">
        <v>915</v>
      </c>
      <c r="G10469" t="s">
        <v>99</v>
      </c>
    </row>
    <row r="10470" spans="1:7" x14ac:dyDescent="0.3">
      <c r="A10470" t="s">
        <v>34</v>
      </c>
      <c r="B10470" t="s">
        <v>1722</v>
      </c>
      <c r="C10470">
        <v>118</v>
      </c>
      <c r="D10470" t="s">
        <v>160</v>
      </c>
      <c r="E10470" t="s">
        <v>148</v>
      </c>
      <c r="F10470" t="s">
        <v>213</v>
      </c>
      <c r="G10470" t="s">
        <v>99</v>
      </c>
    </row>
    <row r="10471" spans="1:7" s="5" customFormat="1" x14ac:dyDescent="0.3">
      <c r="A10471" s="5" t="s">
        <v>33</v>
      </c>
      <c r="B10471" s="5" t="s">
        <v>1721</v>
      </c>
      <c r="C10471" s="5">
        <v>13</v>
      </c>
      <c r="D10471" s="5" t="s">
        <v>133</v>
      </c>
      <c r="E10471" s="5" t="s">
        <v>297</v>
      </c>
      <c r="F10471" s="5" t="s">
        <v>748</v>
      </c>
      <c r="G10471" s="5" t="s">
        <v>99</v>
      </c>
    </row>
    <row r="10472" spans="1:7" s="5" customFormat="1" x14ac:dyDescent="0.3">
      <c r="A10472" s="5" t="s">
        <v>33</v>
      </c>
      <c r="B10472" s="5" t="s">
        <v>1722</v>
      </c>
      <c r="C10472" s="5">
        <v>17</v>
      </c>
      <c r="D10472" s="5" t="s">
        <v>474</v>
      </c>
      <c r="E10472" s="5" t="s">
        <v>422</v>
      </c>
      <c r="F10472" s="5" t="s">
        <v>98</v>
      </c>
      <c r="G10472" s="5" t="s">
        <v>99</v>
      </c>
    </row>
    <row r="10473" spans="1:7" x14ac:dyDescent="0.3">
      <c r="A10473" t="s">
        <v>49</v>
      </c>
      <c r="B10473" t="s">
        <v>1721</v>
      </c>
      <c r="C10473">
        <v>417</v>
      </c>
      <c r="D10473" t="s">
        <v>664</v>
      </c>
      <c r="E10473" t="s">
        <v>1068</v>
      </c>
      <c r="F10473" t="s">
        <v>1106</v>
      </c>
      <c r="G10473" t="s">
        <v>99</v>
      </c>
    </row>
    <row r="10474" spans="1:7" x14ac:dyDescent="0.3">
      <c r="A10474" t="s">
        <v>49</v>
      </c>
      <c r="B10474" t="s">
        <v>1722</v>
      </c>
      <c r="C10474">
        <v>605</v>
      </c>
      <c r="D10474" t="s">
        <v>353</v>
      </c>
      <c r="E10474" t="s">
        <v>793</v>
      </c>
      <c r="F10474" t="s">
        <v>609</v>
      </c>
      <c r="G10474" t="s">
        <v>198</v>
      </c>
    </row>
    <row r="10476" spans="1:7" x14ac:dyDescent="0.3">
      <c r="A10476" t="s">
        <v>2518</v>
      </c>
    </row>
    <row r="10477" spans="1:7" x14ac:dyDescent="0.3">
      <c r="A10477" t="s">
        <v>44</v>
      </c>
      <c r="B10477" t="s">
        <v>257</v>
      </c>
      <c r="C10477" t="s">
        <v>32</v>
      </c>
      <c r="D10477" t="s">
        <v>352</v>
      </c>
      <c r="E10477" t="s">
        <v>66</v>
      </c>
      <c r="F10477" t="s">
        <v>67</v>
      </c>
      <c r="G10477" t="s">
        <v>193</v>
      </c>
    </row>
    <row r="10478" spans="1:7" x14ac:dyDescent="0.3">
      <c r="A10478" t="s">
        <v>35</v>
      </c>
      <c r="B10478" t="s">
        <v>258</v>
      </c>
      <c r="C10478">
        <v>343</v>
      </c>
      <c r="D10478" t="s">
        <v>287</v>
      </c>
      <c r="E10478" t="s">
        <v>522</v>
      </c>
      <c r="F10478" t="s">
        <v>148</v>
      </c>
      <c r="G10478" t="s">
        <v>207</v>
      </c>
    </row>
    <row r="10479" spans="1:7" x14ac:dyDescent="0.3">
      <c r="A10479" t="s">
        <v>35</v>
      </c>
      <c r="B10479" t="s">
        <v>260</v>
      </c>
      <c r="C10479">
        <v>86</v>
      </c>
      <c r="D10479" t="s">
        <v>122</v>
      </c>
      <c r="E10479" t="s">
        <v>478</v>
      </c>
      <c r="F10479" t="s">
        <v>1054</v>
      </c>
      <c r="G10479" t="s">
        <v>99</v>
      </c>
    </row>
    <row r="10480" spans="1:7" x14ac:dyDescent="0.3">
      <c r="A10480" t="s">
        <v>37</v>
      </c>
      <c r="B10480" t="s">
        <v>258</v>
      </c>
      <c r="C10480">
        <v>57</v>
      </c>
      <c r="D10480" t="s">
        <v>121</v>
      </c>
      <c r="E10480" t="s">
        <v>851</v>
      </c>
      <c r="F10480" t="s">
        <v>121</v>
      </c>
      <c r="G10480" t="s">
        <v>99</v>
      </c>
    </row>
    <row r="10481" spans="1:20" x14ac:dyDescent="0.3">
      <c r="A10481" t="s">
        <v>36</v>
      </c>
      <c r="B10481" t="s">
        <v>258</v>
      </c>
      <c r="C10481">
        <v>153</v>
      </c>
      <c r="D10481" t="s">
        <v>663</v>
      </c>
      <c r="E10481" t="s">
        <v>887</v>
      </c>
      <c r="F10481" t="s">
        <v>570</v>
      </c>
      <c r="G10481" t="s">
        <v>198</v>
      </c>
    </row>
    <row r="10482" spans="1:20" x14ac:dyDescent="0.3">
      <c r="A10482" t="s">
        <v>36</v>
      </c>
      <c r="B10482" t="s">
        <v>260</v>
      </c>
      <c r="C10482">
        <v>148</v>
      </c>
      <c r="D10482" t="s">
        <v>149</v>
      </c>
      <c r="E10482" t="s">
        <v>714</v>
      </c>
      <c r="F10482" t="s">
        <v>439</v>
      </c>
      <c r="G10482" t="s">
        <v>99</v>
      </c>
    </row>
    <row r="10483" spans="1:20" s="5" customFormat="1" x14ac:dyDescent="0.3">
      <c r="A10483" s="5" t="s">
        <v>34</v>
      </c>
      <c r="B10483" s="5" t="s">
        <v>258</v>
      </c>
      <c r="C10483" s="5">
        <v>10</v>
      </c>
      <c r="D10483" s="5" t="s">
        <v>99</v>
      </c>
      <c r="E10483" s="5" t="s">
        <v>779</v>
      </c>
      <c r="F10483" s="5" t="s">
        <v>118</v>
      </c>
      <c r="G10483" s="5" t="s">
        <v>99</v>
      </c>
    </row>
    <row r="10484" spans="1:20" x14ac:dyDescent="0.3">
      <c r="A10484" t="s">
        <v>34</v>
      </c>
      <c r="B10484" t="s">
        <v>260</v>
      </c>
      <c r="C10484">
        <v>195</v>
      </c>
      <c r="D10484" t="s">
        <v>160</v>
      </c>
      <c r="E10484" t="s">
        <v>488</v>
      </c>
      <c r="F10484" t="s">
        <v>1230</v>
      </c>
      <c r="G10484" t="s">
        <v>99</v>
      </c>
    </row>
    <row r="10485" spans="1:20" s="5" customFormat="1" x14ac:dyDescent="0.3">
      <c r="A10485" s="5" t="s">
        <v>33</v>
      </c>
      <c r="B10485" s="5" t="s">
        <v>258</v>
      </c>
      <c r="C10485" s="5">
        <v>30</v>
      </c>
      <c r="D10485" s="5" t="s">
        <v>254</v>
      </c>
      <c r="E10485" s="5" t="s">
        <v>991</v>
      </c>
      <c r="F10485" s="5" t="s">
        <v>289</v>
      </c>
      <c r="G10485" s="5" t="s">
        <v>99</v>
      </c>
    </row>
    <row r="10486" spans="1:20" x14ac:dyDescent="0.3">
      <c r="A10486" t="s">
        <v>49</v>
      </c>
      <c r="B10486" t="s">
        <v>258</v>
      </c>
      <c r="C10486">
        <v>593</v>
      </c>
      <c r="D10486" t="s">
        <v>299</v>
      </c>
      <c r="E10486" t="s">
        <v>962</v>
      </c>
      <c r="F10486" t="s">
        <v>349</v>
      </c>
      <c r="G10486" t="s">
        <v>198</v>
      </c>
    </row>
    <row r="10487" spans="1:20" x14ac:dyDescent="0.3">
      <c r="A10487" t="s">
        <v>49</v>
      </c>
      <c r="B10487" t="s">
        <v>260</v>
      </c>
      <c r="C10487">
        <v>429</v>
      </c>
      <c r="D10487" t="s">
        <v>160</v>
      </c>
      <c r="E10487" t="s">
        <v>833</v>
      </c>
      <c r="F10487" t="s">
        <v>280</v>
      </c>
      <c r="G10487" t="s">
        <v>99</v>
      </c>
    </row>
    <row r="10489" spans="1:20" x14ac:dyDescent="0.3">
      <c r="A10489" t="s">
        <v>2519</v>
      </c>
    </row>
    <row r="10490" spans="1:20" x14ac:dyDescent="0.3">
      <c r="A10490" t="s">
        <v>44</v>
      </c>
      <c r="B10490" t="s">
        <v>32</v>
      </c>
      <c r="C10490" t="s">
        <v>1323</v>
      </c>
      <c r="D10490" t="s">
        <v>2520</v>
      </c>
      <c r="E10490" t="s">
        <v>2521</v>
      </c>
      <c r="F10490" t="s">
        <v>2522</v>
      </c>
      <c r="G10490" t="s">
        <v>2523</v>
      </c>
      <c r="H10490" t="s">
        <v>2524</v>
      </c>
      <c r="I10490" t="s">
        <v>2525</v>
      </c>
      <c r="J10490" t="s">
        <v>2526</v>
      </c>
      <c r="K10490" t="s">
        <v>2527</v>
      </c>
      <c r="L10490" t="s">
        <v>2528</v>
      </c>
      <c r="M10490" t="s">
        <v>2529</v>
      </c>
      <c r="N10490" t="s">
        <v>2530</v>
      </c>
      <c r="O10490" t="s">
        <v>2531</v>
      </c>
      <c r="P10490" t="s">
        <v>2532</v>
      </c>
      <c r="Q10490" t="s">
        <v>2533</v>
      </c>
      <c r="R10490" t="s">
        <v>1275</v>
      </c>
      <c r="S10490" t="s">
        <v>83</v>
      </c>
      <c r="T10490" t="s">
        <v>193</v>
      </c>
    </row>
    <row r="10491" spans="1:20" x14ac:dyDescent="0.3">
      <c r="A10491" t="s">
        <v>35</v>
      </c>
      <c r="B10491">
        <v>3144</v>
      </c>
      <c r="C10491" t="s">
        <v>1350</v>
      </c>
      <c r="D10491" t="s">
        <v>123</v>
      </c>
      <c r="E10491" t="s">
        <v>292</v>
      </c>
      <c r="F10491" t="s">
        <v>110</v>
      </c>
      <c r="G10491" t="s">
        <v>136</v>
      </c>
      <c r="H10491" t="s">
        <v>474</v>
      </c>
      <c r="I10491" t="s">
        <v>268</v>
      </c>
      <c r="J10491" t="s">
        <v>319</v>
      </c>
      <c r="K10491" t="s">
        <v>319</v>
      </c>
      <c r="L10491" t="s">
        <v>253</v>
      </c>
      <c r="M10491" t="s">
        <v>104</v>
      </c>
      <c r="N10491" t="s">
        <v>198</v>
      </c>
      <c r="O10491" t="s">
        <v>253</v>
      </c>
      <c r="P10491" t="s">
        <v>136</v>
      </c>
      <c r="Q10491" t="s">
        <v>198</v>
      </c>
      <c r="R10491" t="s">
        <v>253</v>
      </c>
      <c r="S10491" t="s">
        <v>751</v>
      </c>
      <c r="T10491" t="s">
        <v>253</v>
      </c>
    </row>
    <row r="10492" spans="1:20" x14ac:dyDescent="0.3">
      <c r="A10492" t="s">
        <v>37</v>
      </c>
      <c r="B10492">
        <v>3853</v>
      </c>
      <c r="C10492" t="s">
        <v>775</v>
      </c>
      <c r="D10492" t="s">
        <v>147</v>
      </c>
      <c r="E10492" t="s">
        <v>215</v>
      </c>
      <c r="F10492" t="s">
        <v>104</v>
      </c>
      <c r="G10492" t="s">
        <v>115</v>
      </c>
      <c r="H10492" t="s">
        <v>129</v>
      </c>
      <c r="I10492" t="s">
        <v>128</v>
      </c>
      <c r="J10492" t="s">
        <v>117</v>
      </c>
      <c r="K10492" t="s">
        <v>215</v>
      </c>
      <c r="L10492" t="s">
        <v>115</v>
      </c>
      <c r="M10492" t="s">
        <v>253</v>
      </c>
      <c r="N10492" t="s">
        <v>141</v>
      </c>
      <c r="O10492" t="s">
        <v>141</v>
      </c>
      <c r="P10492" t="s">
        <v>141</v>
      </c>
      <c r="Q10492" t="s">
        <v>104</v>
      </c>
      <c r="R10492" t="s">
        <v>104</v>
      </c>
      <c r="S10492" t="s">
        <v>321</v>
      </c>
      <c r="T10492" t="s">
        <v>198</v>
      </c>
    </row>
    <row r="10493" spans="1:20" x14ac:dyDescent="0.3">
      <c r="A10493" t="s">
        <v>36</v>
      </c>
      <c r="B10493">
        <v>2304</v>
      </c>
      <c r="C10493" t="s">
        <v>825</v>
      </c>
      <c r="D10493" t="s">
        <v>149</v>
      </c>
      <c r="E10493" t="s">
        <v>434</v>
      </c>
      <c r="F10493" t="s">
        <v>117</v>
      </c>
      <c r="G10493" t="s">
        <v>132</v>
      </c>
      <c r="H10493" t="s">
        <v>124</v>
      </c>
      <c r="I10493" t="s">
        <v>107</v>
      </c>
      <c r="J10493" t="s">
        <v>215</v>
      </c>
      <c r="K10493" t="s">
        <v>138</v>
      </c>
      <c r="L10493" t="s">
        <v>316</v>
      </c>
      <c r="M10493" t="s">
        <v>111</v>
      </c>
      <c r="N10493" t="s">
        <v>115</v>
      </c>
      <c r="O10493" t="s">
        <v>126</v>
      </c>
      <c r="P10493" t="s">
        <v>99</v>
      </c>
      <c r="Q10493" t="s">
        <v>382</v>
      </c>
      <c r="R10493" t="s">
        <v>121</v>
      </c>
      <c r="S10493" t="s">
        <v>536</v>
      </c>
      <c r="T10493" t="s">
        <v>136</v>
      </c>
    </row>
    <row r="10494" spans="1:20" x14ac:dyDescent="0.3">
      <c r="A10494" t="s">
        <v>34</v>
      </c>
      <c r="B10494">
        <v>2080</v>
      </c>
      <c r="C10494" t="s">
        <v>1125</v>
      </c>
      <c r="D10494" t="s">
        <v>136</v>
      </c>
      <c r="E10494" t="s">
        <v>157</v>
      </c>
      <c r="F10494" t="s">
        <v>363</v>
      </c>
      <c r="G10494" t="s">
        <v>104</v>
      </c>
      <c r="H10494" t="s">
        <v>154</v>
      </c>
      <c r="I10494" t="s">
        <v>151</v>
      </c>
      <c r="J10494" t="s">
        <v>114</v>
      </c>
      <c r="K10494" t="s">
        <v>108</v>
      </c>
      <c r="L10494" t="s">
        <v>104</v>
      </c>
      <c r="M10494" t="s">
        <v>104</v>
      </c>
      <c r="N10494" t="s">
        <v>319</v>
      </c>
      <c r="O10494" t="s">
        <v>157</v>
      </c>
      <c r="P10494" t="s">
        <v>104</v>
      </c>
      <c r="Q10494" t="s">
        <v>99</v>
      </c>
      <c r="R10494" t="s">
        <v>132</v>
      </c>
      <c r="S10494" t="s">
        <v>798</v>
      </c>
      <c r="T10494" t="s">
        <v>136</v>
      </c>
    </row>
    <row r="10495" spans="1:20" x14ac:dyDescent="0.3">
      <c r="A10495" t="s">
        <v>33</v>
      </c>
      <c r="B10495">
        <v>1937</v>
      </c>
      <c r="C10495" t="s">
        <v>875</v>
      </c>
      <c r="D10495" t="s">
        <v>292</v>
      </c>
      <c r="E10495" t="s">
        <v>319</v>
      </c>
      <c r="F10495" t="s">
        <v>108</v>
      </c>
      <c r="G10495" t="s">
        <v>104</v>
      </c>
      <c r="H10495" t="s">
        <v>147</v>
      </c>
      <c r="I10495" t="s">
        <v>316</v>
      </c>
      <c r="J10495" t="s">
        <v>126</v>
      </c>
      <c r="K10495" t="s">
        <v>123</v>
      </c>
      <c r="L10495" t="s">
        <v>136</v>
      </c>
      <c r="M10495" t="s">
        <v>198</v>
      </c>
      <c r="N10495" t="s">
        <v>104</v>
      </c>
      <c r="O10495" t="s">
        <v>207</v>
      </c>
      <c r="P10495" t="s">
        <v>99</v>
      </c>
      <c r="Q10495" t="s">
        <v>104</v>
      </c>
      <c r="R10495" t="s">
        <v>198</v>
      </c>
      <c r="S10495" t="s">
        <v>157</v>
      </c>
      <c r="T10495" t="s">
        <v>104</v>
      </c>
    </row>
    <row r="10496" spans="1:20" x14ac:dyDescent="0.3">
      <c r="A10496" t="s">
        <v>49</v>
      </c>
      <c r="B10496">
        <v>13318</v>
      </c>
      <c r="C10496" t="s">
        <v>1337</v>
      </c>
      <c r="D10496" t="s">
        <v>111</v>
      </c>
      <c r="E10496" t="s">
        <v>268</v>
      </c>
      <c r="F10496" t="s">
        <v>107</v>
      </c>
      <c r="G10496" t="s">
        <v>136</v>
      </c>
      <c r="H10496" t="s">
        <v>129</v>
      </c>
      <c r="I10496" t="s">
        <v>103</v>
      </c>
      <c r="J10496" t="s">
        <v>215</v>
      </c>
      <c r="K10496" t="s">
        <v>382</v>
      </c>
      <c r="L10496" t="s">
        <v>115</v>
      </c>
      <c r="M10496" t="s">
        <v>136</v>
      </c>
      <c r="N10496" t="s">
        <v>141</v>
      </c>
      <c r="O10496" t="s">
        <v>100</v>
      </c>
      <c r="P10496" t="s">
        <v>207</v>
      </c>
      <c r="Q10496" t="s">
        <v>207</v>
      </c>
      <c r="R10496" t="s">
        <v>141</v>
      </c>
      <c r="S10496" t="s">
        <v>726</v>
      </c>
      <c r="T10496" t="s">
        <v>136</v>
      </c>
    </row>
    <row r="10498" spans="1:21" x14ac:dyDescent="0.3">
      <c r="A10498" t="s">
        <v>2534</v>
      </c>
    </row>
    <row r="10499" spans="1:21" x14ac:dyDescent="0.3">
      <c r="A10499" t="s">
        <v>44</v>
      </c>
      <c r="B10499" t="s">
        <v>361</v>
      </c>
      <c r="C10499" t="s">
        <v>32</v>
      </c>
      <c r="D10499" t="s">
        <v>1323</v>
      </c>
      <c r="E10499" t="s">
        <v>2520</v>
      </c>
      <c r="F10499" t="s">
        <v>2521</v>
      </c>
      <c r="G10499" t="s">
        <v>2522</v>
      </c>
      <c r="H10499" t="s">
        <v>2523</v>
      </c>
      <c r="I10499" t="s">
        <v>2524</v>
      </c>
      <c r="J10499" t="s">
        <v>2525</v>
      </c>
      <c r="K10499" t="s">
        <v>2526</v>
      </c>
      <c r="L10499" t="s">
        <v>2527</v>
      </c>
      <c r="M10499" t="s">
        <v>2528</v>
      </c>
      <c r="N10499" t="s">
        <v>2529</v>
      </c>
      <c r="O10499" t="s">
        <v>2530</v>
      </c>
      <c r="P10499" t="s">
        <v>2531</v>
      </c>
      <c r="Q10499" t="s">
        <v>2532</v>
      </c>
      <c r="R10499" t="s">
        <v>2533</v>
      </c>
      <c r="S10499" t="s">
        <v>1275</v>
      </c>
      <c r="T10499" t="s">
        <v>83</v>
      </c>
      <c r="U10499" t="s">
        <v>193</v>
      </c>
    </row>
    <row r="10500" spans="1:21" x14ac:dyDescent="0.3">
      <c r="A10500" t="s">
        <v>35</v>
      </c>
      <c r="B10500" t="s">
        <v>339</v>
      </c>
      <c r="C10500">
        <v>890</v>
      </c>
      <c r="D10500" t="s">
        <v>1104</v>
      </c>
      <c r="E10500" t="s">
        <v>127</v>
      </c>
      <c r="F10500" t="s">
        <v>134</v>
      </c>
      <c r="G10500" t="s">
        <v>134</v>
      </c>
      <c r="H10500" t="s">
        <v>319</v>
      </c>
      <c r="I10500" t="s">
        <v>434</v>
      </c>
      <c r="J10500" t="s">
        <v>114</v>
      </c>
      <c r="K10500" t="s">
        <v>100</v>
      </c>
      <c r="L10500" t="s">
        <v>104</v>
      </c>
      <c r="M10500" t="s">
        <v>108</v>
      </c>
      <c r="N10500" t="s">
        <v>104</v>
      </c>
      <c r="O10500" t="s">
        <v>141</v>
      </c>
      <c r="P10500" t="s">
        <v>100</v>
      </c>
      <c r="Q10500" t="s">
        <v>115</v>
      </c>
      <c r="R10500" t="s">
        <v>99</v>
      </c>
      <c r="S10500" t="s">
        <v>141</v>
      </c>
      <c r="T10500" t="s">
        <v>724</v>
      </c>
      <c r="U10500" t="s">
        <v>108</v>
      </c>
    </row>
    <row r="10501" spans="1:21" x14ac:dyDescent="0.3">
      <c r="A10501" t="s">
        <v>35</v>
      </c>
      <c r="B10501" t="s">
        <v>340</v>
      </c>
      <c r="C10501">
        <v>2214</v>
      </c>
      <c r="D10501" t="s">
        <v>1193</v>
      </c>
      <c r="E10501" t="s">
        <v>123</v>
      </c>
      <c r="F10501" t="s">
        <v>126</v>
      </c>
      <c r="G10501" t="s">
        <v>129</v>
      </c>
      <c r="H10501" t="s">
        <v>104</v>
      </c>
      <c r="I10501" t="s">
        <v>139</v>
      </c>
      <c r="J10501" t="s">
        <v>147</v>
      </c>
      <c r="K10501" t="s">
        <v>382</v>
      </c>
      <c r="L10501" t="s">
        <v>123</v>
      </c>
      <c r="M10501" t="s">
        <v>136</v>
      </c>
      <c r="N10501" t="s">
        <v>104</v>
      </c>
      <c r="O10501" t="s">
        <v>104</v>
      </c>
      <c r="P10501" t="s">
        <v>141</v>
      </c>
      <c r="Q10501" t="s">
        <v>207</v>
      </c>
      <c r="R10501" t="s">
        <v>207</v>
      </c>
      <c r="S10501" t="s">
        <v>115</v>
      </c>
      <c r="T10501" t="s">
        <v>738</v>
      </c>
      <c r="U10501" t="s">
        <v>136</v>
      </c>
    </row>
    <row r="10502" spans="1:21" x14ac:dyDescent="0.3">
      <c r="A10502" t="s">
        <v>35</v>
      </c>
      <c r="B10502" t="s">
        <v>365</v>
      </c>
      <c r="C10502">
        <v>40</v>
      </c>
      <c r="D10502" t="s">
        <v>458</v>
      </c>
      <c r="E10502" t="s">
        <v>99</v>
      </c>
      <c r="F10502" t="s">
        <v>132</v>
      </c>
      <c r="G10502" t="s">
        <v>99</v>
      </c>
      <c r="H10502" t="s">
        <v>99</v>
      </c>
      <c r="I10502" t="s">
        <v>99</v>
      </c>
      <c r="J10502" t="s">
        <v>215</v>
      </c>
      <c r="K10502" t="s">
        <v>99</v>
      </c>
      <c r="L10502" t="s">
        <v>215</v>
      </c>
      <c r="M10502" t="s">
        <v>215</v>
      </c>
      <c r="N10502" t="s">
        <v>99</v>
      </c>
      <c r="O10502" t="s">
        <v>99</v>
      </c>
      <c r="P10502" t="s">
        <v>99</v>
      </c>
      <c r="Q10502" t="s">
        <v>99</v>
      </c>
      <c r="R10502" t="s">
        <v>99</v>
      </c>
      <c r="S10502" t="s">
        <v>99</v>
      </c>
      <c r="T10502" t="s">
        <v>843</v>
      </c>
      <c r="U10502" t="s">
        <v>99</v>
      </c>
    </row>
    <row r="10503" spans="1:21" x14ac:dyDescent="0.3">
      <c r="A10503" t="s">
        <v>37</v>
      </c>
      <c r="B10503" t="s">
        <v>339</v>
      </c>
      <c r="C10503">
        <v>1093</v>
      </c>
      <c r="D10503" t="s">
        <v>939</v>
      </c>
      <c r="E10503" t="s">
        <v>111</v>
      </c>
      <c r="F10503" t="s">
        <v>319</v>
      </c>
      <c r="G10503" t="s">
        <v>198</v>
      </c>
      <c r="H10503" t="s">
        <v>198</v>
      </c>
      <c r="I10503" t="s">
        <v>128</v>
      </c>
      <c r="J10503" t="s">
        <v>120</v>
      </c>
      <c r="K10503" t="s">
        <v>121</v>
      </c>
      <c r="L10503" t="s">
        <v>319</v>
      </c>
      <c r="M10503" t="s">
        <v>108</v>
      </c>
      <c r="N10503" t="s">
        <v>198</v>
      </c>
      <c r="O10503" t="s">
        <v>207</v>
      </c>
      <c r="P10503" t="s">
        <v>198</v>
      </c>
      <c r="Q10503" t="s">
        <v>141</v>
      </c>
      <c r="R10503" t="s">
        <v>198</v>
      </c>
      <c r="S10503" t="s">
        <v>198</v>
      </c>
      <c r="T10503" t="s">
        <v>406</v>
      </c>
      <c r="U10503" t="s">
        <v>198</v>
      </c>
    </row>
    <row r="10504" spans="1:21" x14ac:dyDescent="0.3">
      <c r="A10504" t="s">
        <v>37</v>
      </c>
      <c r="B10504" t="s">
        <v>340</v>
      </c>
      <c r="C10504">
        <v>2719</v>
      </c>
      <c r="D10504" t="s">
        <v>775</v>
      </c>
      <c r="E10504" t="s">
        <v>157</v>
      </c>
      <c r="F10504" t="s">
        <v>127</v>
      </c>
      <c r="G10504" t="s">
        <v>99</v>
      </c>
      <c r="H10504" t="s">
        <v>108</v>
      </c>
      <c r="I10504" t="s">
        <v>112</v>
      </c>
      <c r="J10504" t="s">
        <v>316</v>
      </c>
      <c r="K10504" t="s">
        <v>120</v>
      </c>
      <c r="L10504" t="s">
        <v>123</v>
      </c>
      <c r="M10504" t="s">
        <v>253</v>
      </c>
      <c r="N10504" t="s">
        <v>115</v>
      </c>
      <c r="O10504" t="s">
        <v>141</v>
      </c>
      <c r="P10504" t="s">
        <v>253</v>
      </c>
      <c r="Q10504" t="s">
        <v>253</v>
      </c>
      <c r="R10504" t="s">
        <v>104</v>
      </c>
      <c r="S10504" t="s">
        <v>99</v>
      </c>
      <c r="T10504" t="s">
        <v>677</v>
      </c>
      <c r="U10504" t="s">
        <v>198</v>
      </c>
    </row>
    <row r="10505" spans="1:21" x14ac:dyDescent="0.3">
      <c r="A10505" t="s">
        <v>37</v>
      </c>
      <c r="B10505" t="s">
        <v>365</v>
      </c>
      <c r="C10505">
        <v>41</v>
      </c>
      <c r="D10505" t="s">
        <v>1400</v>
      </c>
      <c r="E10505" t="s">
        <v>233</v>
      </c>
      <c r="F10505" t="s">
        <v>292</v>
      </c>
      <c r="G10505" t="s">
        <v>99</v>
      </c>
      <c r="H10505" t="s">
        <v>292</v>
      </c>
      <c r="I10505" t="s">
        <v>292</v>
      </c>
      <c r="J10505" t="s">
        <v>461</v>
      </c>
      <c r="K10505" t="s">
        <v>292</v>
      </c>
      <c r="L10505" t="s">
        <v>99</v>
      </c>
      <c r="M10505" t="s">
        <v>99</v>
      </c>
      <c r="N10505" t="s">
        <v>103</v>
      </c>
      <c r="O10505" t="s">
        <v>99</v>
      </c>
      <c r="P10505" t="s">
        <v>99</v>
      </c>
      <c r="Q10505" t="s">
        <v>99</v>
      </c>
      <c r="R10505" t="s">
        <v>99</v>
      </c>
      <c r="S10505" t="s">
        <v>99</v>
      </c>
      <c r="T10505" t="s">
        <v>41</v>
      </c>
      <c r="U10505" t="s">
        <v>99</v>
      </c>
    </row>
    <row r="10506" spans="1:21" x14ac:dyDescent="0.3">
      <c r="A10506" t="s">
        <v>36</v>
      </c>
      <c r="B10506" t="s">
        <v>339</v>
      </c>
      <c r="C10506">
        <v>770</v>
      </c>
      <c r="D10506" t="s">
        <v>345</v>
      </c>
      <c r="E10506" t="s">
        <v>154</v>
      </c>
      <c r="F10506" t="s">
        <v>434</v>
      </c>
      <c r="G10506" t="s">
        <v>128</v>
      </c>
      <c r="H10506" t="s">
        <v>104</v>
      </c>
      <c r="I10506" t="s">
        <v>155</v>
      </c>
      <c r="J10506" t="s">
        <v>123</v>
      </c>
      <c r="K10506" t="s">
        <v>100</v>
      </c>
      <c r="L10506" t="s">
        <v>316</v>
      </c>
      <c r="M10506" t="s">
        <v>111</v>
      </c>
      <c r="N10506" t="s">
        <v>128</v>
      </c>
      <c r="O10506" t="s">
        <v>104</v>
      </c>
      <c r="P10506" t="s">
        <v>141</v>
      </c>
      <c r="Q10506" t="s">
        <v>99</v>
      </c>
      <c r="R10506" t="s">
        <v>198</v>
      </c>
      <c r="S10506" t="s">
        <v>132</v>
      </c>
      <c r="T10506" t="s">
        <v>694</v>
      </c>
      <c r="U10506" t="s">
        <v>104</v>
      </c>
    </row>
    <row r="10507" spans="1:21" x14ac:dyDescent="0.3">
      <c r="A10507" t="s">
        <v>36</v>
      </c>
      <c r="B10507" t="s">
        <v>340</v>
      </c>
      <c r="C10507">
        <v>1471</v>
      </c>
      <c r="D10507" t="s">
        <v>1100</v>
      </c>
      <c r="E10507" t="s">
        <v>98</v>
      </c>
      <c r="F10507" t="s">
        <v>474</v>
      </c>
      <c r="G10507" t="s">
        <v>111</v>
      </c>
      <c r="H10507" t="s">
        <v>121</v>
      </c>
      <c r="I10507" t="s">
        <v>135</v>
      </c>
      <c r="J10507" t="s">
        <v>154</v>
      </c>
      <c r="K10507" t="s">
        <v>292</v>
      </c>
      <c r="L10507" t="s">
        <v>134</v>
      </c>
      <c r="M10507" t="s">
        <v>147</v>
      </c>
      <c r="N10507" t="s">
        <v>292</v>
      </c>
      <c r="O10507" t="s">
        <v>100</v>
      </c>
      <c r="P10507" t="s">
        <v>292</v>
      </c>
      <c r="Q10507" t="s">
        <v>99</v>
      </c>
      <c r="R10507" t="s">
        <v>117</v>
      </c>
      <c r="S10507" t="s">
        <v>126</v>
      </c>
      <c r="T10507" t="s">
        <v>542</v>
      </c>
      <c r="U10507" t="s">
        <v>253</v>
      </c>
    </row>
    <row r="10508" spans="1:21" x14ac:dyDescent="0.3">
      <c r="A10508" t="s">
        <v>36</v>
      </c>
      <c r="B10508" t="s">
        <v>365</v>
      </c>
      <c r="C10508">
        <v>63</v>
      </c>
      <c r="D10508" t="s">
        <v>877</v>
      </c>
      <c r="E10508" t="s">
        <v>127</v>
      </c>
      <c r="F10508" t="s">
        <v>121</v>
      </c>
      <c r="G10508" t="s">
        <v>154</v>
      </c>
      <c r="H10508" t="s">
        <v>99</v>
      </c>
      <c r="I10508" t="s">
        <v>319</v>
      </c>
      <c r="J10508" t="s">
        <v>99</v>
      </c>
      <c r="K10508" t="s">
        <v>99</v>
      </c>
      <c r="L10508" t="s">
        <v>99</v>
      </c>
      <c r="M10508" t="s">
        <v>121</v>
      </c>
      <c r="N10508" t="s">
        <v>99</v>
      </c>
      <c r="O10508" t="s">
        <v>99</v>
      </c>
      <c r="P10508" t="s">
        <v>99</v>
      </c>
      <c r="Q10508" t="s">
        <v>99</v>
      </c>
      <c r="R10508" t="s">
        <v>99</v>
      </c>
      <c r="S10508" t="s">
        <v>99</v>
      </c>
      <c r="T10508" t="s">
        <v>474</v>
      </c>
      <c r="U10508" t="s">
        <v>99</v>
      </c>
    </row>
    <row r="10509" spans="1:21" x14ac:dyDescent="0.3">
      <c r="A10509" t="s">
        <v>34</v>
      </c>
      <c r="B10509" t="s">
        <v>339</v>
      </c>
      <c r="C10509">
        <v>555</v>
      </c>
      <c r="D10509" t="s">
        <v>581</v>
      </c>
      <c r="E10509" t="s">
        <v>207</v>
      </c>
      <c r="F10509" t="s">
        <v>268</v>
      </c>
      <c r="G10509" t="s">
        <v>184</v>
      </c>
      <c r="H10509" t="s">
        <v>104</v>
      </c>
      <c r="I10509" t="s">
        <v>157</v>
      </c>
      <c r="J10509" t="s">
        <v>120</v>
      </c>
      <c r="K10509" t="s">
        <v>132</v>
      </c>
      <c r="L10509" t="s">
        <v>115</v>
      </c>
      <c r="M10509" t="s">
        <v>99</v>
      </c>
      <c r="N10509" t="s">
        <v>99</v>
      </c>
      <c r="O10509" t="s">
        <v>127</v>
      </c>
      <c r="P10509" t="s">
        <v>130</v>
      </c>
      <c r="Q10509" t="s">
        <v>99</v>
      </c>
      <c r="R10509" t="s">
        <v>99</v>
      </c>
      <c r="S10509" t="s">
        <v>114</v>
      </c>
      <c r="T10509" t="s">
        <v>811</v>
      </c>
      <c r="U10509" t="s">
        <v>115</v>
      </c>
    </row>
    <row r="10510" spans="1:21" x14ac:dyDescent="0.3">
      <c r="A10510" t="s">
        <v>34</v>
      </c>
      <c r="B10510" t="s">
        <v>340</v>
      </c>
      <c r="C10510">
        <v>1497</v>
      </c>
      <c r="D10510" t="s">
        <v>997</v>
      </c>
      <c r="E10510" t="s">
        <v>141</v>
      </c>
      <c r="F10510" t="s">
        <v>154</v>
      </c>
      <c r="G10510" t="s">
        <v>305</v>
      </c>
      <c r="H10510" t="s">
        <v>99</v>
      </c>
      <c r="I10510" t="s">
        <v>134</v>
      </c>
      <c r="J10510" t="s">
        <v>215</v>
      </c>
      <c r="K10510" t="s">
        <v>121</v>
      </c>
      <c r="L10510" t="s">
        <v>114</v>
      </c>
      <c r="M10510" t="s">
        <v>104</v>
      </c>
      <c r="N10510" t="s">
        <v>198</v>
      </c>
      <c r="O10510" t="s">
        <v>101</v>
      </c>
      <c r="P10510" t="s">
        <v>128</v>
      </c>
      <c r="Q10510" t="s">
        <v>104</v>
      </c>
      <c r="R10510" t="s">
        <v>99</v>
      </c>
      <c r="S10510" t="s">
        <v>115</v>
      </c>
      <c r="T10510" t="s">
        <v>731</v>
      </c>
      <c r="U10510" t="s">
        <v>207</v>
      </c>
    </row>
    <row r="10511" spans="1:21" x14ac:dyDescent="0.3">
      <c r="A10511" t="s">
        <v>34</v>
      </c>
      <c r="B10511" t="s">
        <v>365</v>
      </c>
      <c r="C10511">
        <v>28</v>
      </c>
      <c r="D10511" t="s">
        <v>618</v>
      </c>
      <c r="E10511" t="s">
        <v>99</v>
      </c>
      <c r="F10511" t="s">
        <v>99</v>
      </c>
      <c r="G10511" t="s">
        <v>372</v>
      </c>
      <c r="H10511" t="s">
        <v>99</v>
      </c>
      <c r="I10511" t="s">
        <v>461</v>
      </c>
      <c r="J10511" t="s">
        <v>99</v>
      </c>
      <c r="K10511" t="s">
        <v>99</v>
      </c>
      <c r="L10511" t="s">
        <v>99</v>
      </c>
      <c r="M10511" t="s">
        <v>99</v>
      </c>
      <c r="N10511" t="s">
        <v>99</v>
      </c>
      <c r="O10511" t="s">
        <v>99</v>
      </c>
      <c r="P10511" t="s">
        <v>99</v>
      </c>
      <c r="Q10511" t="s">
        <v>99</v>
      </c>
      <c r="R10511" t="s">
        <v>99</v>
      </c>
      <c r="S10511" t="s">
        <v>99</v>
      </c>
      <c r="T10511" t="s">
        <v>738</v>
      </c>
      <c r="U10511" t="s">
        <v>99</v>
      </c>
    </row>
    <row r="10512" spans="1:21" x14ac:dyDescent="0.3">
      <c r="A10512" t="s">
        <v>33</v>
      </c>
      <c r="B10512" t="s">
        <v>339</v>
      </c>
      <c r="C10512">
        <v>503</v>
      </c>
      <c r="D10512" t="s">
        <v>178</v>
      </c>
      <c r="E10512" t="s">
        <v>147</v>
      </c>
      <c r="F10512" t="s">
        <v>151</v>
      </c>
      <c r="G10512" t="s">
        <v>253</v>
      </c>
      <c r="H10512" t="s">
        <v>99</v>
      </c>
      <c r="I10512" t="s">
        <v>118</v>
      </c>
      <c r="J10512" t="s">
        <v>128</v>
      </c>
      <c r="K10512" t="s">
        <v>126</v>
      </c>
      <c r="L10512" t="s">
        <v>151</v>
      </c>
      <c r="M10512" t="s">
        <v>115</v>
      </c>
      <c r="N10512" t="s">
        <v>99</v>
      </c>
      <c r="O10512" t="s">
        <v>99</v>
      </c>
      <c r="P10512" t="s">
        <v>198</v>
      </c>
      <c r="Q10512" t="s">
        <v>99</v>
      </c>
      <c r="R10512" t="s">
        <v>99</v>
      </c>
      <c r="S10512" t="s">
        <v>207</v>
      </c>
      <c r="T10512" t="s">
        <v>143</v>
      </c>
      <c r="U10512" t="s">
        <v>136</v>
      </c>
    </row>
    <row r="10513" spans="1:21" x14ac:dyDescent="0.3">
      <c r="A10513" t="s">
        <v>33</v>
      </c>
      <c r="B10513" t="s">
        <v>340</v>
      </c>
      <c r="C10513">
        <v>1415</v>
      </c>
      <c r="D10513" t="s">
        <v>877</v>
      </c>
      <c r="E10513" t="s">
        <v>382</v>
      </c>
      <c r="F10513" t="s">
        <v>100</v>
      </c>
      <c r="G10513" t="s">
        <v>114</v>
      </c>
      <c r="H10513" t="s">
        <v>104</v>
      </c>
      <c r="I10513" t="s">
        <v>103</v>
      </c>
      <c r="J10513" t="s">
        <v>103</v>
      </c>
      <c r="K10513" t="s">
        <v>382</v>
      </c>
      <c r="L10513" t="s">
        <v>123</v>
      </c>
      <c r="M10513" t="s">
        <v>207</v>
      </c>
      <c r="N10513" t="s">
        <v>198</v>
      </c>
      <c r="O10513" t="s">
        <v>104</v>
      </c>
      <c r="P10513" t="s">
        <v>136</v>
      </c>
      <c r="Q10513" t="s">
        <v>99</v>
      </c>
      <c r="R10513" t="s">
        <v>104</v>
      </c>
      <c r="S10513" t="s">
        <v>104</v>
      </c>
      <c r="T10513" t="s">
        <v>151</v>
      </c>
      <c r="U10513" t="s">
        <v>99</v>
      </c>
    </row>
    <row r="10514" spans="1:21" x14ac:dyDescent="0.3">
      <c r="A10514" t="s">
        <v>33</v>
      </c>
      <c r="B10514" t="s">
        <v>365</v>
      </c>
      <c r="C10514">
        <v>19</v>
      </c>
      <c r="D10514" t="s">
        <v>178</v>
      </c>
      <c r="E10514" t="s">
        <v>315</v>
      </c>
      <c r="F10514" t="s">
        <v>680</v>
      </c>
      <c r="G10514" t="s">
        <v>99</v>
      </c>
      <c r="H10514" t="s">
        <v>99</v>
      </c>
      <c r="I10514" t="s">
        <v>99</v>
      </c>
      <c r="J10514" t="s">
        <v>99</v>
      </c>
      <c r="K10514" t="s">
        <v>99</v>
      </c>
      <c r="L10514" t="s">
        <v>99</v>
      </c>
      <c r="M10514" t="s">
        <v>99</v>
      </c>
      <c r="N10514" t="s">
        <v>99</v>
      </c>
      <c r="O10514" t="s">
        <v>99</v>
      </c>
      <c r="P10514" t="s">
        <v>99</v>
      </c>
      <c r="Q10514" t="s">
        <v>99</v>
      </c>
      <c r="R10514" t="s">
        <v>99</v>
      </c>
      <c r="S10514" t="s">
        <v>99</v>
      </c>
      <c r="T10514" t="s">
        <v>99</v>
      </c>
      <c r="U10514" t="s">
        <v>99</v>
      </c>
    </row>
    <row r="10515" spans="1:21" x14ac:dyDescent="0.3">
      <c r="A10515" t="s">
        <v>49</v>
      </c>
      <c r="B10515" t="s">
        <v>339</v>
      </c>
      <c r="C10515">
        <v>3811</v>
      </c>
      <c r="D10515" t="s">
        <v>1259</v>
      </c>
      <c r="E10515" t="s">
        <v>123</v>
      </c>
      <c r="F10515" t="s">
        <v>316</v>
      </c>
      <c r="G10515" t="s">
        <v>107</v>
      </c>
      <c r="H10515" t="s">
        <v>141</v>
      </c>
      <c r="I10515" t="s">
        <v>332</v>
      </c>
      <c r="J10515" t="s">
        <v>111</v>
      </c>
      <c r="K10515" t="s">
        <v>100</v>
      </c>
      <c r="L10515" t="s">
        <v>100</v>
      </c>
      <c r="M10515" t="s">
        <v>132</v>
      </c>
      <c r="N10515" t="s">
        <v>136</v>
      </c>
      <c r="O10515" t="s">
        <v>253</v>
      </c>
      <c r="P10515" t="s">
        <v>101</v>
      </c>
      <c r="Q10515" t="s">
        <v>207</v>
      </c>
      <c r="R10515" t="s">
        <v>104</v>
      </c>
      <c r="S10515" t="s">
        <v>141</v>
      </c>
      <c r="T10515" t="s">
        <v>676</v>
      </c>
      <c r="U10515" t="s">
        <v>141</v>
      </c>
    </row>
    <row r="10516" spans="1:21" x14ac:dyDescent="0.3">
      <c r="A10516" t="s">
        <v>49</v>
      </c>
      <c r="B10516" t="s">
        <v>340</v>
      </c>
      <c r="C10516">
        <v>9316</v>
      </c>
      <c r="D10516" t="s">
        <v>520</v>
      </c>
      <c r="E10516" t="s">
        <v>268</v>
      </c>
      <c r="F10516" t="s">
        <v>292</v>
      </c>
      <c r="G10516" t="s">
        <v>107</v>
      </c>
      <c r="H10516" t="s">
        <v>136</v>
      </c>
      <c r="I10516" t="s">
        <v>434</v>
      </c>
      <c r="J10516" t="s">
        <v>316</v>
      </c>
      <c r="K10516" t="s">
        <v>123</v>
      </c>
      <c r="L10516" t="s">
        <v>123</v>
      </c>
      <c r="M10516" t="s">
        <v>253</v>
      </c>
      <c r="N10516" t="s">
        <v>141</v>
      </c>
      <c r="O10516" t="s">
        <v>141</v>
      </c>
      <c r="P10516" t="s">
        <v>114</v>
      </c>
      <c r="Q10516" t="s">
        <v>207</v>
      </c>
      <c r="R10516" t="s">
        <v>207</v>
      </c>
      <c r="S10516" t="s">
        <v>141</v>
      </c>
      <c r="T10516" t="s">
        <v>368</v>
      </c>
      <c r="U10516" t="s">
        <v>207</v>
      </c>
    </row>
    <row r="10517" spans="1:21" x14ac:dyDescent="0.3">
      <c r="A10517" t="s">
        <v>49</v>
      </c>
      <c r="B10517" t="s">
        <v>365</v>
      </c>
      <c r="C10517">
        <v>191</v>
      </c>
      <c r="D10517" t="s">
        <v>428</v>
      </c>
      <c r="E10517" t="s">
        <v>130</v>
      </c>
      <c r="F10517" t="s">
        <v>268</v>
      </c>
      <c r="G10517" t="s">
        <v>129</v>
      </c>
      <c r="H10517" t="s">
        <v>141</v>
      </c>
      <c r="I10517" t="s">
        <v>316</v>
      </c>
      <c r="J10517" t="s">
        <v>103</v>
      </c>
      <c r="K10517" t="s">
        <v>141</v>
      </c>
      <c r="L10517" t="s">
        <v>136</v>
      </c>
      <c r="M10517" t="s">
        <v>253</v>
      </c>
      <c r="N10517" t="s">
        <v>253</v>
      </c>
      <c r="O10517" t="s">
        <v>99</v>
      </c>
      <c r="P10517" t="s">
        <v>99</v>
      </c>
      <c r="Q10517" t="s">
        <v>99</v>
      </c>
      <c r="R10517" t="s">
        <v>99</v>
      </c>
      <c r="S10517" t="s">
        <v>99</v>
      </c>
      <c r="T10517" t="s">
        <v>444</v>
      </c>
      <c r="U10517" t="s">
        <v>99</v>
      </c>
    </row>
    <row r="10519" spans="1:21" x14ac:dyDescent="0.3">
      <c r="A10519" t="s">
        <v>2535</v>
      </c>
    </row>
    <row r="10520" spans="1:21" x14ac:dyDescent="0.3">
      <c r="A10520" t="s">
        <v>44</v>
      </c>
      <c r="B10520" t="s">
        <v>209</v>
      </c>
      <c r="C10520" t="s">
        <v>32</v>
      </c>
      <c r="D10520" t="s">
        <v>1323</v>
      </c>
      <c r="E10520" t="s">
        <v>2520</v>
      </c>
      <c r="F10520" t="s">
        <v>2521</v>
      </c>
      <c r="G10520" t="s">
        <v>2522</v>
      </c>
      <c r="H10520" t="s">
        <v>2523</v>
      </c>
      <c r="I10520" t="s">
        <v>2524</v>
      </c>
      <c r="J10520" t="s">
        <v>2525</v>
      </c>
      <c r="K10520" t="s">
        <v>2526</v>
      </c>
      <c r="L10520" t="s">
        <v>2527</v>
      </c>
      <c r="M10520" t="s">
        <v>2528</v>
      </c>
      <c r="N10520" t="s">
        <v>2529</v>
      </c>
      <c r="O10520" t="s">
        <v>2530</v>
      </c>
      <c r="P10520" t="s">
        <v>2531</v>
      </c>
      <c r="Q10520" t="s">
        <v>2532</v>
      </c>
      <c r="R10520" t="s">
        <v>2533</v>
      </c>
      <c r="S10520" t="s">
        <v>1275</v>
      </c>
      <c r="T10520" t="s">
        <v>83</v>
      </c>
      <c r="U10520" t="s">
        <v>193</v>
      </c>
    </row>
    <row r="10521" spans="1:21" x14ac:dyDescent="0.3">
      <c r="A10521" t="s">
        <v>35</v>
      </c>
      <c r="B10521" t="s">
        <v>210</v>
      </c>
      <c r="C10521">
        <v>136</v>
      </c>
      <c r="D10521" t="s">
        <v>962</v>
      </c>
      <c r="E10521" t="s">
        <v>207</v>
      </c>
      <c r="F10521" t="s">
        <v>207</v>
      </c>
      <c r="G10521" t="s">
        <v>125</v>
      </c>
      <c r="H10521" t="s">
        <v>99</v>
      </c>
      <c r="I10521" t="s">
        <v>100</v>
      </c>
      <c r="J10521" t="s">
        <v>115</v>
      </c>
      <c r="K10521" t="s">
        <v>115</v>
      </c>
      <c r="L10521" t="s">
        <v>141</v>
      </c>
      <c r="M10521" t="s">
        <v>114</v>
      </c>
      <c r="N10521" t="s">
        <v>99</v>
      </c>
      <c r="O10521" t="s">
        <v>198</v>
      </c>
      <c r="P10521" t="s">
        <v>198</v>
      </c>
      <c r="Q10521" t="s">
        <v>99</v>
      </c>
      <c r="R10521" t="s">
        <v>99</v>
      </c>
      <c r="S10521" t="s">
        <v>99</v>
      </c>
      <c r="T10521" t="s">
        <v>696</v>
      </c>
      <c r="U10521" t="s">
        <v>101</v>
      </c>
    </row>
    <row r="10522" spans="1:21" x14ac:dyDescent="0.3">
      <c r="A10522" t="s">
        <v>35</v>
      </c>
      <c r="B10522" t="s">
        <v>212</v>
      </c>
      <c r="C10522">
        <v>2442</v>
      </c>
      <c r="D10522" t="s">
        <v>304</v>
      </c>
      <c r="E10522" t="s">
        <v>126</v>
      </c>
      <c r="F10522" t="s">
        <v>126</v>
      </c>
      <c r="G10522" t="s">
        <v>138</v>
      </c>
      <c r="H10522" t="s">
        <v>253</v>
      </c>
      <c r="I10522" t="s">
        <v>112</v>
      </c>
      <c r="J10522" t="s">
        <v>382</v>
      </c>
      <c r="K10522" t="s">
        <v>382</v>
      </c>
      <c r="L10522" t="s">
        <v>108</v>
      </c>
      <c r="M10522" t="s">
        <v>136</v>
      </c>
      <c r="N10522" t="s">
        <v>104</v>
      </c>
      <c r="O10522" t="s">
        <v>198</v>
      </c>
      <c r="P10522" t="s">
        <v>141</v>
      </c>
      <c r="Q10522" t="s">
        <v>253</v>
      </c>
      <c r="R10522" t="s">
        <v>207</v>
      </c>
      <c r="S10522" t="s">
        <v>207</v>
      </c>
      <c r="T10522" t="s">
        <v>197</v>
      </c>
      <c r="U10522" t="s">
        <v>253</v>
      </c>
    </row>
    <row r="10523" spans="1:21" x14ac:dyDescent="0.3">
      <c r="A10523" t="s">
        <v>35</v>
      </c>
      <c r="B10523" t="s">
        <v>216</v>
      </c>
      <c r="C10523">
        <v>566</v>
      </c>
      <c r="D10523" t="s">
        <v>640</v>
      </c>
      <c r="E10523" t="s">
        <v>157</v>
      </c>
      <c r="F10523" t="s">
        <v>712</v>
      </c>
      <c r="G10523" t="s">
        <v>112</v>
      </c>
      <c r="H10523" t="s">
        <v>198</v>
      </c>
      <c r="I10523" t="s">
        <v>242</v>
      </c>
      <c r="J10523" t="s">
        <v>112</v>
      </c>
      <c r="K10523" t="s">
        <v>100</v>
      </c>
      <c r="L10523" t="s">
        <v>120</v>
      </c>
      <c r="M10523" t="s">
        <v>114</v>
      </c>
      <c r="N10523" t="s">
        <v>136</v>
      </c>
      <c r="O10523" t="s">
        <v>198</v>
      </c>
      <c r="P10523" t="s">
        <v>114</v>
      </c>
      <c r="Q10523" t="s">
        <v>99</v>
      </c>
      <c r="R10523" t="s">
        <v>104</v>
      </c>
      <c r="S10523" t="s">
        <v>126</v>
      </c>
      <c r="T10523" t="s">
        <v>281</v>
      </c>
      <c r="U10523" t="s">
        <v>198</v>
      </c>
    </row>
    <row r="10524" spans="1:21" x14ac:dyDescent="0.3">
      <c r="A10524" t="s">
        <v>37</v>
      </c>
      <c r="B10524" t="s">
        <v>210</v>
      </c>
      <c r="C10524">
        <v>138</v>
      </c>
      <c r="D10524" t="s">
        <v>458</v>
      </c>
      <c r="E10524" t="s">
        <v>118</v>
      </c>
      <c r="F10524" t="s">
        <v>434</v>
      </c>
      <c r="G10524" t="s">
        <v>99</v>
      </c>
      <c r="H10524" t="s">
        <v>98</v>
      </c>
      <c r="I10524" t="s">
        <v>218</v>
      </c>
      <c r="J10524" t="s">
        <v>248</v>
      </c>
      <c r="K10524" t="s">
        <v>482</v>
      </c>
      <c r="L10524" t="s">
        <v>112</v>
      </c>
      <c r="M10524" t="s">
        <v>101</v>
      </c>
      <c r="N10524" t="s">
        <v>138</v>
      </c>
      <c r="O10524" t="s">
        <v>382</v>
      </c>
      <c r="P10524" t="s">
        <v>100</v>
      </c>
      <c r="Q10524" t="s">
        <v>99</v>
      </c>
      <c r="R10524" t="s">
        <v>99</v>
      </c>
      <c r="S10524" t="s">
        <v>99</v>
      </c>
      <c r="T10524" t="s">
        <v>289</v>
      </c>
      <c r="U10524" t="s">
        <v>99</v>
      </c>
    </row>
    <row r="10525" spans="1:21" x14ac:dyDescent="0.3">
      <c r="A10525" t="s">
        <v>37</v>
      </c>
      <c r="B10525" t="s">
        <v>212</v>
      </c>
      <c r="C10525">
        <v>3604</v>
      </c>
      <c r="D10525" t="s">
        <v>245</v>
      </c>
      <c r="E10525" t="s">
        <v>120</v>
      </c>
      <c r="F10525" t="s">
        <v>126</v>
      </c>
      <c r="G10525" t="s">
        <v>104</v>
      </c>
      <c r="H10525" t="s">
        <v>141</v>
      </c>
      <c r="I10525" t="s">
        <v>154</v>
      </c>
      <c r="J10525" t="s">
        <v>103</v>
      </c>
      <c r="K10525" t="s">
        <v>127</v>
      </c>
      <c r="L10525" t="s">
        <v>382</v>
      </c>
      <c r="M10525" t="s">
        <v>253</v>
      </c>
      <c r="N10525" t="s">
        <v>141</v>
      </c>
      <c r="O10525" t="s">
        <v>136</v>
      </c>
      <c r="P10525" t="s">
        <v>141</v>
      </c>
      <c r="Q10525" t="s">
        <v>141</v>
      </c>
      <c r="R10525" t="s">
        <v>104</v>
      </c>
      <c r="S10525" t="s">
        <v>104</v>
      </c>
      <c r="T10525" t="s">
        <v>672</v>
      </c>
      <c r="U10525" t="s">
        <v>198</v>
      </c>
    </row>
    <row r="10526" spans="1:21" x14ac:dyDescent="0.3">
      <c r="A10526" t="s">
        <v>37</v>
      </c>
      <c r="B10526" t="s">
        <v>216</v>
      </c>
      <c r="C10526">
        <v>111</v>
      </c>
      <c r="D10526" t="s">
        <v>424</v>
      </c>
      <c r="E10526" t="s">
        <v>254</v>
      </c>
      <c r="F10526" t="s">
        <v>98</v>
      </c>
      <c r="G10526" t="s">
        <v>99</v>
      </c>
      <c r="H10526" t="s">
        <v>99</v>
      </c>
      <c r="I10526" t="s">
        <v>316</v>
      </c>
      <c r="J10526" t="s">
        <v>111</v>
      </c>
      <c r="K10526" t="s">
        <v>115</v>
      </c>
      <c r="L10526" t="s">
        <v>151</v>
      </c>
      <c r="M10526" t="s">
        <v>115</v>
      </c>
      <c r="N10526" t="s">
        <v>99</v>
      </c>
      <c r="O10526" t="s">
        <v>99</v>
      </c>
      <c r="P10526" t="s">
        <v>99</v>
      </c>
      <c r="Q10526" t="s">
        <v>316</v>
      </c>
      <c r="R10526" t="s">
        <v>99</v>
      </c>
      <c r="S10526" t="s">
        <v>99</v>
      </c>
      <c r="T10526" t="s">
        <v>41</v>
      </c>
      <c r="U10526" t="s">
        <v>99</v>
      </c>
    </row>
    <row r="10527" spans="1:21" x14ac:dyDescent="0.3">
      <c r="A10527" t="s">
        <v>36</v>
      </c>
      <c r="B10527" t="s">
        <v>210</v>
      </c>
      <c r="C10527">
        <v>165</v>
      </c>
      <c r="D10527" t="s">
        <v>1368</v>
      </c>
      <c r="E10527" t="s">
        <v>112</v>
      </c>
      <c r="F10527" t="s">
        <v>151</v>
      </c>
      <c r="G10527" t="s">
        <v>268</v>
      </c>
      <c r="H10527" t="s">
        <v>99</v>
      </c>
      <c r="I10527" t="s">
        <v>132</v>
      </c>
      <c r="J10527" t="s">
        <v>99</v>
      </c>
      <c r="K10527" t="s">
        <v>99</v>
      </c>
      <c r="L10527" t="s">
        <v>139</v>
      </c>
      <c r="M10527" t="s">
        <v>120</v>
      </c>
      <c r="N10527" t="s">
        <v>107</v>
      </c>
      <c r="O10527" t="s">
        <v>319</v>
      </c>
      <c r="P10527" t="s">
        <v>319</v>
      </c>
      <c r="Q10527" t="s">
        <v>99</v>
      </c>
      <c r="R10527" t="s">
        <v>99</v>
      </c>
      <c r="S10527" t="s">
        <v>268</v>
      </c>
      <c r="T10527" t="s">
        <v>465</v>
      </c>
      <c r="U10527" t="s">
        <v>117</v>
      </c>
    </row>
    <row r="10528" spans="1:21" x14ac:dyDescent="0.3">
      <c r="A10528" t="s">
        <v>36</v>
      </c>
      <c r="B10528" t="s">
        <v>212</v>
      </c>
      <c r="C10528">
        <v>1874</v>
      </c>
      <c r="D10528" t="s">
        <v>1146</v>
      </c>
      <c r="E10528" t="s">
        <v>149</v>
      </c>
      <c r="F10528" t="s">
        <v>474</v>
      </c>
      <c r="G10528" t="s">
        <v>127</v>
      </c>
      <c r="H10528" t="s">
        <v>114</v>
      </c>
      <c r="I10528" t="s">
        <v>663</v>
      </c>
      <c r="J10528" t="s">
        <v>147</v>
      </c>
      <c r="K10528" t="s">
        <v>123</v>
      </c>
      <c r="L10528" t="s">
        <v>103</v>
      </c>
      <c r="M10528" t="s">
        <v>268</v>
      </c>
      <c r="N10528" t="s">
        <v>127</v>
      </c>
      <c r="O10528" t="s">
        <v>115</v>
      </c>
      <c r="P10528" t="s">
        <v>215</v>
      </c>
      <c r="Q10528" t="s">
        <v>99</v>
      </c>
      <c r="R10528" t="s">
        <v>127</v>
      </c>
      <c r="S10528" t="s">
        <v>132</v>
      </c>
      <c r="T10528" t="s">
        <v>38</v>
      </c>
      <c r="U10528" t="s">
        <v>198</v>
      </c>
    </row>
    <row r="10529" spans="1:21" x14ac:dyDescent="0.3">
      <c r="A10529" t="s">
        <v>36</v>
      </c>
      <c r="B10529" t="s">
        <v>216</v>
      </c>
      <c r="C10529">
        <v>265</v>
      </c>
      <c r="D10529" t="s">
        <v>935</v>
      </c>
      <c r="E10529" t="s">
        <v>98</v>
      </c>
      <c r="F10529" t="s">
        <v>684</v>
      </c>
      <c r="G10529" t="s">
        <v>74</v>
      </c>
      <c r="H10529" t="s">
        <v>99</v>
      </c>
      <c r="I10529" t="s">
        <v>316</v>
      </c>
      <c r="J10529" t="s">
        <v>663</v>
      </c>
      <c r="K10529" t="s">
        <v>111</v>
      </c>
      <c r="L10529" t="s">
        <v>135</v>
      </c>
      <c r="M10529" t="s">
        <v>242</v>
      </c>
      <c r="N10529" t="s">
        <v>712</v>
      </c>
      <c r="O10529" t="s">
        <v>99</v>
      </c>
      <c r="P10529" t="s">
        <v>136</v>
      </c>
      <c r="Q10529" t="s">
        <v>99</v>
      </c>
      <c r="R10529" t="s">
        <v>292</v>
      </c>
      <c r="S10529" t="s">
        <v>147</v>
      </c>
      <c r="T10529" t="s">
        <v>432</v>
      </c>
      <c r="U10529" t="s">
        <v>99</v>
      </c>
    </row>
    <row r="10530" spans="1:21" x14ac:dyDescent="0.3">
      <c r="A10530" t="s">
        <v>34</v>
      </c>
      <c r="B10530" t="s">
        <v>210</v>
      </c>
      <c r="C10530">
        <v>256</v>
      </c>
      <c r="D10530" t="s">
        <v>445</v>
      </c>
      <c r="E10530" t="s">
        <v>141</v>
      </c>
      <c r="F10530" t="s">
        <v>215</v>
      </c>
      <c r="G10530" t="s">
        <v>142</v>
      </c>
      <c r="H10530" t="s">
        <v>99</v>
      </c>
      <c r="I10530" t="s">
        <v>121</v>
      </c>
      <c r="J10530" t="s">
        <v>123</v>
      </c>
      <c r="K10530" t="s">
        <v>132</v>
      </c>
      <c r="L10530" t="s">
        <v>141</v>
      </c>
      <c r="M10530" t="s">
        <v>99</v>
      </c>
      <c r="N10530" t="s">
        <v>99</v>
      </c>
      <c r="O10530" t="s">
        <v>114</v>
      </c>
      <c r="P10530" t="s">
        <v>332</v>
      </c>
      <c r="Q10530" t="s">
        <v>99</v>
      </c>
      <c r="R10530" t="s">
        <v>99</v>
      </c>
      <c r="S10530" t="s">
        <v>141</v>
      </c>
      <c r="T10530" t="s">
        <v>718</v>
      </c>
      <c r="U10530" t="s">
        <v>99</v>
      </c>
    </row>
    <row r="10531" spans="1:21" x14ac:dyDescent="0.3">
      <c r="A10531" t="s">
        <v>34</v>
      </c>
      <c r="B10531" t="s">
        <v>212</v>
      </c>
      <c r="C10531">
        <v>1582</v>
      </c>
      <c r="D10531" t="s">
        <v>280</v>
      </c>
      <c r="E10531" t="s">
        <v>136</v>
      </c>
      <c r="F10531" t="s">
        <v>110</v>
      </c>
      <c r="G10531" t="s">
        <v>144</v>
      </c>
      <c r="H10531" t="s">
        <v>99</v>
      </c>
      <c r="I10531" t="s">
        <v>112</v>
      </c>
      <c r="J10531" t="s">
        <v>111</v>
      </c>
      <c r="K10531" t="s">
        <v>114</v>
      </c>
      <c r="L10531" t="s">
        <v>108</v>
      </c>
      <c r="M10531" t="s">
        <v>99</v>
      </c>
      <c r="N10531" t="s">
        <v>99</v>
      </c>
      <c r="O10531" t="s">
        <v>100</v>
      </c>
      <c r="P10531" t="s">
        <v>292</v>
      </c>
      <c r="Q10531" t="s">
        <v>99</v>
      </c>
      <c r="R10531" t="s">
        <v>99</v>
      </c>
      <c r="S10531" t="s">
        <v>115</v>
      </c>
      <c r="T10531" t="s">
        <v>355</v>
      </c>
      <c r="U10531" t="s">
        <v>253</v>
      </c>
    </row>
    <row r="10532" spans="1:21" x14ac:dyDescent="0.3">
      <c r="A10532" t="s">
        <v>34</v>
      </c>
      <c r="B10532" t="s">
        <v>216</v>
      </c>
      <c r="C10532">
        <v>242</v>
      </c>
      <c r="D10532" t="s">
        <v>1101</v>
      </c>
      <c r="E10532" t="s">
        <v>207</v>
      </c>
      <c r="F10532" t="s">
        <v>253</v>
      </c>
      <c r="G10532" t="s">
        <v>373</v>
      </c>
      <c r="H10532" t="s">
        <v>104</v>
      </c>
      <c r="I10532" t="s">
        <v>111</v>
      </c>
      <c r="J10532" t="s">
        <v>100</v>
      </c>
      <c r="K10532" t="s">
        <v>121</v>
      </c>
      <c r="L10532" t="s">
        <v>121</v>
      </c>
      <c r="M10532" t="s">
        <v>207</v>
      </c>
      <c r="N10532" t="s">
        <v>108</v>
      </c>
      <c r="O10532" t="s">
        <v>134</v>
      </c>
      <c r="P10532" t="s">
        <v>122</v>
      </c>
      <c r="Q10532" t="s">
        <v>207</v>
      </c>
      <c r="R10532" t="s">
        <v>99</v>
      </c>
      <c r="S10532" t="s">
        <v>127</v>
      </c>
      <c r="T10532" t="s">
        <v>673</v>
      </c>
      <c r="U10532" t="s">
        <v>207</v>
      </c>
    </row>
    <row r="10533" spans="1:21" x14ac:dyDescent="0.3">
      <c r="A10533" t="s">
        <v>33</v>
      </c>
      <c r="B10533" t="s">
        <v>210</v>
      </c>
      <c r="C10533">
        <v>68</v>
      </c>
      <c r="D10533" t="s">
        <v>286</v>
      </c>
      <c r="E10533" t="s">
        <v>121</v>
      </c>
      <c r="F10533" t="s">
        <v>99</v>
      </c>
      <c r="G10533" t="s">
        <v>99</v>
      </c>
      <c r="H10533" t="s">
        <v>99</v>
      </c>
      <c r="I10533" t="s">
        <v>332</v>
      </c>
      <c r="J10533" t="s">
        <v>138</v>
      </c>
      <c r="K10533" t="s">
        <v>101</v>
      </c>
      <c r="L10533" t="s">
        <v>107</v>
      </c>
      <c r="M10533" t="s">
        <v>121</v>
      </c>
      <c r="N10533" t="s">
        <v>215</v>
      </c>
      <c r="O10533" t="s">
        <v>99</v>
      </c>
      <c r="P10533" t="s">
        <v>99</v>
      </c>
      <c r="Q10533" t="s">
        <v>99</v>
      </c>
      <c r="R10533" t="s">
        <v>99</v>
      </c>
      <c r="S10533" t="s">
        <v>99</v>
      </c>
      <c r="T10533" t="s">
        <v>151</v>
      </c>
      <c r="U10533" t="s">
        <v>99</v>
      </c>
    </row>
    <row r="10534" spans="1:21" x14ac:dyDescent="0.3">
      <c r="A10534" t="s">
        <v>33</v>
      </c>
      <c r="B10534" t="s">
        <v>212</v>
      </c>
      <c r="C10534">
        <v>1800</v>
      </c>
      <c r="D10534" t="s">
        <v>447</v>
      </c>
      <c r="E10534" t="s">
        <v>151</v>
      </c>
      <c r="F10534" t="s">
        <v>121</v>
      </c>
      <c r="G10534" t="s">
        <v>115</v>
      </c>
      <c r="H10534" t="s">
        <v>99</v>
      </c>
      <c r="I10534" t="s">
        <v>316</v>
      </c>
      <c r="J10534" t="s">
        <v>268</v>
      </c>
      <c r="K10534" t="s">
        <v>319</v>
      </c>
      <c r="L10534" t="s">
        <v>215</v>
      </c>
      <c r="M10534" t="s">
        <v>136</v>
      </c>
      <c r="N10534" t="s">
        <v>104</v>
      </c>
      <c r="O10534" t="s">
        <v>104</v>
      </c>
      <c r="P10534" t="s">
        <v>198</v>
      </c>
      <c r="Q10534" t="s">
        <v>99</v>
      </c>
      <c r="R10534" t="s">
        <v>104</v>
      </c>
      <c r="S10534" t="s">
        <v>104</v>
      </c>
      <c r="T10534" t="s">
        <v>147</v>
      </c>
      <c r="U10534" t="s">
        <v>104</v>
      </c>
    </row>
    <row r="10535" spans="1:21" x14ac:dyDescent="0.3">
      <c r="A10535" t="s">
        <v>33</v>
      </c>
      <c r="B10535" t="s">
        <v>216</v>
      </c>
      <c r="C10535">
        <v>69</v>
      </c>
      <c r="D10535" t="s">
        <v>1125</v>
      </c>
      <c r="E10535" t="s">
        <v>474</v>
      </c>
      <c r="F10535" t="s">
        <v>679</v>
      </c>
      <c r="G10535" t="s">
        <v>112</v>
      </c>
      <c r="H10535" t="s">
        <v>382</v>
      </c>
      <c r="I10535" t="s">
        <v>664</v>
      </c>
      <c r="J10535" t="s">
        <v>109</v>
      </c>
      <c r="K10535" t="s">
        <v>149</v>
      </c>
      <c r="L10535" t="s">
        <v>474</v>
      </c>
      <c r="M10535" t="s">
        <v>99</v>
      </c>
      <c r="N10535" t="s">
        <v>99</v>
      </c>
      <c r="O10535" t="s">
        <v>99</v>
      </c>
      <c r="P10535" t="s">
        <v>107</v>
      </c>
      <c r="Q10535" t="s">
        <v>99</v>
      </c>
      <c r="R10535" t="s">
        <v>99</v>
      </c>
      <c r="S10535" t="s">
        <v>127</v>
      </c>
      <c r="T10535" t="s">
        <v>248</v>
      </c>
      <c r="U10535" t="s">
        <v>99</v>
      </c>
    </row>
    <row r="10536" spans="1:21" x14ac:dyDescent="0.3">
      <c r="A10536" t="s">
        <v>49</v>
      </c>
      <c r="B10536" t="s">
        <v>210</v>
      </c>
      <c r="C10536">
        <v>763</v>
      </c>
      <c r="D10536" t="s">
        <v>345</v>
      </c>
      <c r="E10536" t="s">
        <v>382</v>
      </c>
      <c r="F10536" t="s">
        <v>215</v>
      </c>
      <c r="G10536" t="s">
        <v>143</v>
      </c>
      <c r="H10536" t="s">
        <v>108</v>
      </c>
      <c r="I10536" t="s">
        <v>105</v>
      </c>
      <c r="J10536" t="s">
        <v>117</v>
      </c>
      <c r="K10536" t="s">
        <v>157</v>
      </c>
      <c r="L10536" t="s">
        <v>123</v>
      </c>
      <c r="M10536" t="s">
        <v>108</v>
      </c>
      <c r="N10536" t="s">
        <v>100</v>
      </c>
      <c r="O10536" t="s">
        <v>108</v>
      </c>
      <c r="P10536" t="s">
        <v>127</v>
      </c>
      <c r="Q10536" t="s">
        <v>99</v>
      </c>
      <c r="R10536" t="s">
        <v>99</v>
      </c>
      <c r="S10536" t="s">
        <v>141</v>
      </c>
      <c r="T10536" t="s">
        <v>444</v>
      </c>
      <c r="U10536" t="s">
        <v>253</v>
      </c>
    </row>
    <row r="10537" spans="1:21" x14ac:dyDescent="0.3">
      <c r="A10537" t="s">
        <v>49</v>
      </c>
      <c r="B10537" t="s">
        <v>212</v>
      </c>
      <c r="C10537">
        <v>11302</v>
      </c>
      <c r="D10537" t="s">
        <v>53</v>
      </c>
      <c r="E10537" t="s">
        <v>292</v>
      </c>
      <c r="F10537" t="s">
        <v>292</v>
      </c>
      <c r="G10537" t="s">
        <v>292</v>
      </c>
      <c r="H10537" t="s">
        <v>136</v>
      </c>
      <c r="I10537" t="s">
        <v>130</v>
      </c>
      <c r="J10537" t="s">
        <v>111</v>
      </c>
      <c r="K10537" t="s">
        <v>382</v>
      </c>
      <c r="L10537" t="s">
        <v>319</v>
      </c>
      <c r="M10537" t="s">
        <v>253</v>
      </c>
      <c r="N10537" t="s">
        <v>207</v>
      </c>
      <c r="O10537" t="s">
        <v>141</v>
      </c>
      <c r="P10537" t="s">
        <v>132</v>
      </c>
      <c r="Q10537" t="s">
        <v>207</v>
      </c>
      <c r="R10537" t="s">
        <v>207</v>
      </c>
      <c r="S10537" t="s">
        <v>207</v>
      </c>
      <c r="T10537" t="s">
        <v>267</v>
      </c>
      <c r="U10537" t="s">
        <v>136</v>
      </c>
    </row>
    <row r="10538" spans="1:21" x14ac:dyDescent="0.3">
      <c r="A10538" t="s">
        <v>49</v>
      </c>
      <c r="B10538" t="s">
        <v>216</v>
      </c>
      <c r="C10538">
        <v>1253</v>
      </c>
      <c r="D10538" t="s">
        <v>634</v>
      </c>
      <c r="E10538" t="s">
        <v>107</v>
      </c>
      <c r="F10538" t="s">
        <v>118</v>
      </c>
      <c r="G10538" t="s">
        <v>160</v>
      </c>
      <c r="H10538" t="s">
        <v>198</v>
      </c>
      <c r="I10538" t="s">
        <v>130</v>
      </c>
      <c r="J10538" t="s">
        <v>110</v>
      </c>
      <c r="K10538" t="s">
        <v>319</v>
      </c>
      <c r="L10538" t="s">
        <v>120</v>
      </c>
      <c r="M10538" t="s">
        <v>100</v>
      </c>
      <c r="N10538" t="s">
        <v>132</v>
      </c>
      <c r="O10538" t="s">
        <v>108</v>
      </c>
      <c r="P10538" t="s">
        <v>117</v>
      </c>
      <c r="Q10538" t="s">
        <v>198</v>
      </c>
      <c r="R10538" t="s">
        <v>198</v>
      </c>
      <c r="S10538" t="s">
        <v>382</v>
      </c>
      <c r="T10538" t="s">
        <v>309</v>
      </c>
      <c r="U10538" t="s">
        <v>198</v>
      </c>
    </row>
    <row r="10540" spans="1:21" x14ac:dyDescent="0.3">
      <c r="A10540" t="s">
        <v>2536</v>
      </c>
    </row>
    <row r="10541" spans="1:21" x14ac:dyDescent="0.3">
      <c r="A10541" t="s">
        <v>44</v>
      </c>
      <c r="B10541" t="s">
        <v>388</v>
      </c>
      <c r="C10541" t="s">
        <v>32</v>
      </c>
      <c r="D10541" t="s">
        <v>1323</v>
      </c>
      <c r="E10541" t="s">
        <v>2520</v>
      </c>
      <c r="F10541" t="s">
        <v>2521</v>
      </c>
      <c r="G10541" t="s">
        <v>2522</v>
      </c>
      <c r="H10541" t="s">
        <v>2523</v>
      </c>
      <c r="I10541" t="s">
        <v>2524</v>
      </c>
      <c r="J10541" t="s">
        <v>2525</v>
      </c>
      <c r="K10541" t="s">
        <v>2526</v>
      </c>
      <c r="L10541" t="s">
        <v>2527</v>
      </c>
      <c r="M10541" t="s">
        <v>2528</v>
      </c>
      <c r="N10541" t="s">
        <v>2529</v>
      </c>
      <c r="O10541" t="s">
        <v>2530</v>
      </c>
      <c r="P10541" t="s">
        <v>2531</v>
      </c>
      <c r="Q10541" t="s">
        <v>2532</v>
      </c>
      <c r="R10541" t="s">
        <v>2533</v>
      </c>
      <c r="S10541" t="s">
        <v>1275</v>
      </c>
      <c r="T10541" t="s">
        <v>83</v>
      </c>
      <c r="U10541" t="s">
        <v>193</v>
      </c>
    </row>
    <row r="10542" spans="1:21" x14ac:dyDescent="0.3">
      <c r="A10542" t="s">
        <v>35</v>
      </c>
      <c r="B10542" t="s">
        <v>389</v>
      </c>
      <c r="C10542">
        <v>2140</v>
      </c>
      <c r="D10542" t="s">
        <v>61</v>
      </c>
      <c r="E10542" t="s">
        <v>319</v>
      </c>
      <c r="F10542" t="s">
        <v>117</v>
      </c>
      <c r="G10542" t="s">
        <v>434</v>
      </c>
      <c r="H10542" t="s">
        <v>253</v>
      </c>
      <c r="I10542" t="s">
        <v>412</v>
      </c>
      <c r="J10542" t="s">
        <v>268</v>
      </c>
      <c r="K10542" t="s">
        <v>319</v>
      </c>
      <c r="L10542" t="s">
        <v>126</v>
      </c>
      <c r="M10542" t="s">
        <v>136</v>
      </c>
      <c r="N10542" t="s">
        <v>104</v>
      </c>
      <c r="O10542" t="s">
        <v>198</v>
      </c>
      <c r="P10542" t="s">
        <v>132</v>
      </c>
      <c r="Q10542" t="s">
        <v>141</v>
      </c>
      <c r="R10542" t="s">
        <v>207</v>
      </c>
      <c r="S10542" t="s">
        <v>132</v>
      </c>
      <c r="T10542" t="s">
        <v>743</v>
      </c>
      <c r="U10542" t="s">
        <v>253</v>
      </c>
    </row>
    <row r="10543" spans="1:21" x14ac:dyDescent="0.3">
      <c r="A10543" t="s">
        <v>35</v>
      </c>
      <c r="B10543" t="s">
        <v>390</v>
      </c>
      <c r="C10543">
        <v>875</v>
      </c>
      <c r="D10543" t="s">
        <v>1063</v>
      </c>
      <c r="E10543" t="s">
        <v>138</v>
      </c>
      <c r="F10543" t="s">
        <v>123</v>
      </c>
      <c r="G10543" t="s">
        <v>138</v>
      </c>
      <c r="H10543" t="s">
        <v>99</v>
      </c>
      <c r="I10543" t="s">
        <v>128</v>
      </c>
      <c r="J10543" t="s">
        <v>115</v>
      </c>
      <c r="K10543" t="s">
        <v>253</v>
      </c>
      <c r="L10543" t="s">
        <v>136</v>
      </c>
      <c r="M10543" t="s">
        <v>100</v>
      </c>
      <c r="N10543" t="s">
        <v>198</v>
      </c>
      <c r="O10543" t="s">
        <v>207</v>
      </c>
      <c r="P10543" t="s">
        <v>207</v>
      </c>
      <c r="Q10543" t="s">
        <v>99</v>
      </c>
      <c r="R10543" t="s">
        <v>104</v>
      </c>
      <c r="S10543" t="s">
        <v>198</v>
      </c>
      <c r="T10543" t="s">
        <v>742</v>
      </c>
      <c r="U10543" t="s">
        <v>207</v>
      </c>
    </row>
    <row r="10544" spans="1:21" x14ac:dyDescent="0.3">
      <c r="A10544" t="s">
        <v>35</v>
      </c>
      <c r="B10544" t="s">
        <v>365</v>
      </c>
      <c r="C10544">
        <v>129</v>
      </c>
      <c r="D10544" t="s">
        <v>1331</v>
      </c>
      <c r="E10544" t="s">
        <v>253</v>
      </c>
      <c r="F10544" t="s">
        <v>99</v>
      </c>
      <c r="G10544" t="s">
        <v>157</v>
      </c>
      <c r="H10544" t="s">
        <v>99</v>
      </c>
      <c r="I10544" t="s">
        <v>242</v>
      </c>
      <c r="J10544" t="s">
        <v>737</v>
      </c>
      <c r="K10544" t="s">
        <v>145</v>
      </c>
      <c r="L10544" t="s">
        <v>184</v>
      </c>
      <c r="M10544" t="s">
        <v>207</v>
      </c>
      <c r="N10544" t="s">
        <v>99</v>
      </c>
      <c r="O10544" t="s">
        <v>99</v>
      </c>
      <c r="P10544" t="s">
        <v>99</v>
      </c>
      <c r="Q10544" t="s">
        <v>99</v>
      </c>
      <c r="R10544" t="s">
        <v>99</v>
      </c>
      <c r="S10544" t="s">
        <v>121</v>
      </c>
      <c r="T10544" t="s">
        <v>444</v>
      </c>
      <c r="U10544" t="s">
        <v>115</v>
      </c>
    </row>
    <row r="10545" spans="1:21" x14ac:dyDescent="0.3">
      <c r="A10545" t="s">
        <v>37</v>
      </c>
      <c r="B10545" t="s">
        <v>389</v>
      </c>
      <c r="C10545">
        <v>2304</v>
      </c>
      <c r="D10545" t="s">
        <v>1405</v>
      </c>
      <c r="E10545" t="s">
        <v>107</v>
      </c>
      <c r="F10545" t="s">
        <v>382</v>
      </c>
      <c r="G10545" t="s">
        <v>99</v>
      </c>
      <c r="H10545" t="s">
        <v>115</v>
      </c>
      <c r="I10545" t="s">
        <v>105</v>
      </c>
      <c r="J10545" t="s">
        <v>157</v>
      </c>
      <c r="K10545" t="s">
        <v>147</v>
      </c>
      <c r="L10545" t="s">
        <v>292</v>
      </c>
      <c r="M10545" t="s">
        <v>115</v>
      </c>
      <c r="N10545" t="s">
        <v>141</v>
      </c>
      <c r="O10545" t="s">
        <v>141</v>
      </c>
      <c r="P10545" t="s">
        <v>136</v>
      </c>
      <c r="Q10545" t="s">
        <v>104</v>
      </c>
      <c r="R10545" t="s">
        <v>104</v>
      </c>
      <c r="S10545" t="s">
        <v>104</v>
      </c>
      <c r="T10545" t="s">
        <v>721</v>
      </c>
      <c r="U10545" t="s">
        <v>198</v>
      </c>
    </row>
    <row r="10546" spans="1:21" x14ac:dyDescent="0.3">
      <c r="A10546" t="s">
        <v>37</v>
      </c>
      <c r="B10546" t="s">
        <v>390</v>
      </c>
      <c r="C10546">
        <v>1308</v>
      </c>
      <c r="D10546" t="s">
        <v>1366</v>
      </c>
      <c r="E10546" t="s">
        <v>147</v>
      </c>
      <c r="F10546" t="s">
        <v>127</v>
      </c>
      <c r="G10546" t="s">
        <v>198</v>
      </c>
      <c r="H10546" t="s">
        <v>132</v>
      </c>
      <c r="I10546" t="s">
        <v>277</v>
      </c>
      <c r="J10546" t="s">
        <v>292</v>
      </c>
      <c r="K10546" t="s">
        <v>126</v>
      </c>
      <c r="L10546" t="s">
        <v>100</v>
      </c>
      <c r="M10546" t="s">
        <v>136</v>
      </c>
      <c r="N10546" t="s">
        <v>136</v>
      </c>
      <c r="O10546" t="s">
        <v>207</v>
      </c>
      <c r="P10546" t="s">
        <v>253</v>
      </c>
      <c r="Q10546" t="s">
        <v>101</v>
      </c>
      <c r="R10546" t="s">
        <v>198</v>
      </c>
      <c r="S10546" t="s">
        <v>99</v>
      </c>
      <c r="T10546" t="s">
        <v>701</v>
      </c>
      <c r="U10546" t="s">
        <v>198</v>
      </c>
    </row>
    <row r="10547" spans="1:21" x14ac:dyDescent="0.3">
      <c r="A10547" t="s">
        <v>37</v>
      </c>
      <c r="B10547" t="s">
        <v>365</v>
      </c>
      <c r="C10547">
        <v>241</v>
      </c>
      <c r="D10547" t="s">
        <v>302</v>
      </c>
      <c r="E10547" t="s">
        <v>111</v>
      </c>
      <c r="F10547" t="s">
        <v>292</v>
      </c>
      <c r="G10547" t="s">
        <v>99</v>
      </c>
      <c r="H10547" t="s">
        <v>99</v>
      </c>
      <c r="I10547" t="s">
        <v>68</v>
      </c>
      <c r="J10547" t="s">
        <v>138</v>
      </c>
      <c r="K10547" t="s">
        <v>151</v>
      </c>
      <c r="L10547" t="s">
        <v>215</v>
      </c>
      <c r="M10547" t="s">
        <v>319</v>
      </c>
      <c r="N10547" t="s">
        <v>111</v>
      </c>
      <c r="O10547" t="s">
        <v>141</v>
      </c>
      <c r="P10547" t="s">
        <v>141</v>
      </c>
      <c r="Q10547" t="s">
        <v>99</v>
      </c>
      <c r="R10547" t="s">
        <v>99</v>
      </c>
      <c r="S10547" t="s">
        <v>99</v>
      </c>
      <c r="T10547" t="s">
        <v>688</v>
      </c>
      <c r="U10547" t="s">
        <v>207</v>
      </c>
    </row>
    <row r="10548" spans="1:21" x14ac:dyDescent="0.3">
      <c r="A10548" t="s">
        <v>36</v>
      </c>
      <c r="B10548" t="s">
        <v>389</v>
      </c>
      <c r="C10548">
        <v>1577</v>
      </c>
      <c r="D10548" t="s">
        <v>1146</v>
      </c>
      <c r="E10548" t="s">
        <v>242</v>
      </c>
      <c r="F10548" t="s">
        <v>712</v>
      </c>
      <c r="G10548" t="s">
        <v>120</v>
      </c>
      <c r="H10548" t="s">
        <v>136</v>
      </c>
      <c r="I10548" t="s">
        <v>145</v>
      </c>
      <c r="J10548" t="s">
        <v>120</v>
      </c>
      <c r="K10548" t="s">
        <v>215</v>
      </c>
      <c r="L10548" t="s">
        <v>138</v>
      </c>
      <c r="M10548" t="s">
        <v>120</v>
      </c>
      <c r="N10548" t="s">
        <v>127</v>
      </c>
      <c r="O10548" t="s">
        <v>253</v>
      </c>
      <c r="P10548" t="s">
        <v>215</v>
      </c>
      <c r="Q10548" t="s">
        <v>99</v>
      </c>
      <c r="R10548" t="s">
        <v>126</v>
      </c>
      <c r="S10548" t="s">
        <v>215</v>
      </c>
      <c r="T10548" t="s">
        <v>814</v>
      </c>
      <c r="U10548" t="s">
        <v>253</v>
      </c>
    </row>
    <row r="10549" spans="1:21" x14ac:dyDescent="0.3">
      <c r="A10549" t="s">
        <v>36</v>
      </c>
      <c r="B10549" t="s">
        <v>390</v>
      </c>
      <c r="C10549">
        <v>627</v>
      </c>
      <c r="D10549" t="s">
        <v>635</v>
      </c>
      <c r="E10549" t="s">
        <v>158</v>
      </c>
      <c r="F10549" t="s">
        <v>242</v>
      </c>
      <c r="G10549" t="s">
        <v>215</v>
      </c>
      <c r="H10549" t="s">
        <v>114</v>
      </c>
      <c r="I10549" t="s">
        <v>118</v>
      </c>
      <c r="J10549" t="s">
        <v>157</v>
      </c>
      <c r="K10549" t="s">
        <v>151</v>
      </c>
      <c r="L10549" t="s">
        <v>130</v>
      </c>
      <c r="M10549" t="s">
        <v>120</v>
      </c>
      <c r="N10549" t="s">
        <v>120</v>
      </c>
      <c r="O10549" t="s">
        <v>121</v>
      </c>
      <c r="P10549" t="s">
        <v>126</v>
      </c>
      <c r="Q10549" t="s">
        <v>99</v>
      </c>
      <c r="R10549" t="s">
        <v>268</v>
      </c>
      <c r="S10549" t="s">
        <v>99</v>
      </c>
      <c r="T10549" t="s">
        <v>437</v>
      </c>
      <c r="U10549" t="s">
        <v>104</v>
      </c>
    </row>
    <row r="10550" spans="1:21" x14ac:dyDescent="0.3">
      <c r="A10550" t="s">
        <v>36</v>
      </c>
      <c r="B10550" t="s">
        <v>365</v>
      </c>
      <c r="C10550">
        <v>100</v>
      </c>
      <c r="D10550" t="s">
        <v>59</v>
      </c>
      <c r="E10550" t="s">
        <v>114</v>
      </c>
      <c r="F10550" t="s">
        <v>114</v>
      </c>
      <c r="G10550" t="s">
        <v>100</v>
      </c>
      <c r="H10550" t="s">
        <v>110</v>
      </c>
      <c r="I10550" t="s">
        <v>139</v>
      </c>
      <c r="J10550" t="s">
        <v>712</v>
      </c>
      <c r="K10550" t="s">
        <v>198</v>
      </c>
      <c r="L10550" t="s">
        <v>198</v>
      </c>
      <c r="M10550" t="s">
        <v>253</v>
      </c>
      <c r="N10550" t="s">
        <v>110</v>
      </c>
      <c r="O10550" t="s">
        <v>99</v>
      </c>
      <c r="P10550" t="s">
        <v>104</v>
      </c>
      <c r="Q10550" t="s">
        <v>99</v>
      </c>
      <c r="R10550" t="s">
        <v>198</v>
      </c>
      <c r="S10550" t="s">
        <v>121</v>
      </c>
      <c r="T10550" t="s">
        <v>368</v>
      </c>
      <c r="U10550" t="s">
        <v>99</v>
      </c>
    </row>
    <row r="10551" spans="1:21" x14ac:dyDescent="0.3">
      <c r="A10551" t="s">
        <v>34</v>
      </c>
      <c r="B10551" t="s">
        <v>389</v>
      </c>
      <c r="C10551">
        <v>1385</v>
      </c>
      <c r="D10551" t="s">
        <v>1082</v>
      </c>
      <c r="E10551" t="s">
        <v>207</v>
      </c>
      <c r="F10551" t="s">
        <v>117</v>
      </c>
      <c r="G10551" t="s">
        <v>679</v>
      </c>
      <c r="H10551" t="s">
        <v>99</v>
      </c>
      <c r="I10551" t="s">
        <v>105</v>
      </c>
      <c r="J10551" t="s">
        <v>127</v>
      </c>
      <c r="K10551" t="s">
        <v>132</v>
      </c>
      <c r="L10551" t="s">
        <v>253</v>
      </c>
      <c r="M10551" t="s">
        <v>104</v>
      </c>
      <c r="N10551" t="s">
        <v>99</v>
      </c>
      <c r="O10551" t="s">
        <v>151</v>
      </c>
      <c r="P10551" t="s">
        <v>157</v>
      </c>
      <c r="Q10551" t="s">
        <v>99</v>
      </c>
      <c r="R10551" t="s">
        <v>99</v>
      </c>
      <c r="S10551" t="s">
        <v>132</v>
      </c>
      <c r="T10551" t="s">
        <v>231</v>
      </c>
      <c r="U10551" t="s">
        <v>253</v>
      </c>
    </row>
    <row r="10552" spans="1:21" x14ac:dyDescent="0.3">
      <c r="A10552" t="s">
        <v>34</v>
      </c>
      <c r="B10552" t="s">
        <v>390</v>
      </c>
      <c r="C10552">
        <v>615</v>
      </c>
      <c r="D10552" t="s">
        <v>922</v>
      </c>
      <c r="E10552" t="s">
        <v>132</v>
      </c>
      <c r="F10552" t="s">
        <v>149</v>
      </c>
      <c r="G10552" t="s">
        <v>251</v>
      </c>
      <c r="H10552" t="s">
        <v>104</v>
      </c>
      <c r="I10552" t="s">
        <v>118</v>
      </c>
      <c r="J10552" t="s">
        <v>215</v>
      </c>
      <c r="K10552" t="s">
        <v>126</v>
      </c>
      <c r="L10552" t="s">
        <v>101</v>
      </c>
      <c r="M10552" t="s">
        <v>99</v>
      </c>
      <c r="N10552" t="s">
        <v>141</v>
      </c>
      <c r="O10552" t="s">
        <v>136</v>
      </c>
      <c r="P10552" t="s">
        <v>157</v>
      </c>
      <c r="Q10552" t="s">
        <v>99</v>
      </c>
      <c r="R10552" t="s">
        <v>99</v>
      </c>
      <c r="S10552" t="s">
        <v>114</v>
      </c>
      <c r="T10552" t="s">
        <v>536</v>
      </c>
      <c r="U10552" t="s">
        <v>198</v>
      </c>
    </row>
    <row r="10553" spans="1:21" x14ac:dyDescent="0.3">
      <c r="A10553" t="s">
        <v>34</v>
      </c>
      <c r="B10553" t="s">
        <v>365</v>
      </c>
      <c r="C10553">
        <v>80</v>
      </c>
      <c r="D10553" t="s">
        <v>1064</v>
      </c>
      <c r="E10553" t="s">
        <v>99</v>
      </c>
      <c r="F10553" t="s">
        <v>128</v>
      </c>
      <c r="G10553" t="s">
        <v>184</v>
      </c>
      <c r="H10553" t="s">
        <v>99</v>
      </c>
      <c r="I10553" t="s">
        <v>70</v>
      </c>
      <c r="J10553" t="s">
        <v>663</v>
      </c>
      <c r="K10553" t="s">
        <v>121</v>
      </c>
      <c r="L10553" t="s">
        <v>128</v>
      </c>
      <c r="M10553" t="s">
        <v>99</v>
      </c>
      <c r="N10553" t="s">
        <v>99</v>
      </c>
      <c r="O10553" t="s">
        <v>141</v>
      </c>
      <c r="P10553" t="s">
        <v>105</v>
      </c>
      <c r="Q10553" t="s">
        <v>121</v>
      </c>
      <c r="R10553" t="s">
        <v>99</v>
      </c>
      <c r="S10553" t="s">
        <v>99</v>
      </c>
      <c r="T10553" t="s">
        <v>204</v>
      </c>
      <c r="U10553" t="s">
        <v>99</v>
      </c>
    </row>
    <row r="10554" spans="1:21" x14ac:dyDescent="0.3">
      <c r="A10554" t="s">
        <v>33</v>
      </c>
      <c r="B10554" t="s">
        <v>389</v>
      </c>
      <c r="C10554">
        <v>1090</v>
      </c>
      <c r="D10554" t="s">
        <v>290</v>
      </c>
      <c r="E10554" t="s">
        <v>151</v>
      </c>
      <c r="F10554" t="s">
        <v>101</v>
      </c>
      <c r="G10554" t="s">
        <v>132</v>
      </c>
      <c r="H10554" t="s">
        <v>99</v>
      </c>
      <c r="I10554" t="s">
        <v>268</v>
      </c>
      <c r="J10554" t="s">
        <v>147</v>
      </c>
      <c r="K10554" t="s">
        <v>123</v>
      </c>
      <c r="L10554" t="s">
        <v>292</v>
      </c>
      <c r="M10554" t="s">
        <v>207</v>
      </c>
      <c r="N10554" t="s">
        <v>198</v>
      </c>
      <c r="O10554" t="s">
        <v>104</v>
      </c>
      <c r="P10554" t="s">
        <v>253</v>
      </c>
      <c r="Q10554" t="s">
        <v>99</v>
      </c>
      <c r="R10554" t="s">
        <v>104</v>
      </c>
      <c r="S10554" t="s">
        <v>198</v>
      </c>
      <c r="T10554" t="s">
        <v>155</v>
      </c>
      <c r="U10554" t="s">
        <v>99</v>
      </c>
    </row>
    <row r="10555" spans="1:21" x14ac:dyDescent="0.3">
      <c r="A10555" t="s">
        <v>33</v>
      </c>
      <c r="B10555" t="s">
        <v>390</v>
      </c>
      <c r="C10555">
        <v>708</v>
      </c>
      <c r="D10555" t="s">
        <v>219</v>
      </c>
      <c r="E10555" t="s">
        <v>268</v>
      </c>
      <c r="F10555" t="s">
        <v>126</v>
      </c>
      <c r="G10555" t="s">
        <v>132</v>
      </c>
      <c r="H10555" t="s">
        <v>198</v>
      </c>
      <c r="I10555" t="s">
        <v>292</v>
      </c>
      <c r="J10555" t="s">
        <v>111</v>
      </c>
      <c r="K10555" t="s">
        <v>121</v>
      </c>
      <c r="L10555" t="s">
        <v>382</v>
      </c>
      <c r="M10555" t="s">
        <v>198</v>
      </c>
      <c r="N10555" t="s">
        <v>198</v>
      </c>
      <c r="O10555" t="s">
        <v>104</v>
      </c>
      <c r="P10555" t="s">
        <v>99</v>
      </c>
      <c r="Q10555" t="s">
        <v>99</v>
      </c>
      <c r="R10555" t="s">
        <v>99</v>
      </c>
      <c r="S10555" t="s">
        <v>99</v>
      </c>
      <c r="T10555" t="s">
        <v>147</v>
      </c>
      <c r="U10555" t="s">
        <v>207</v>
      </c>
    </row>
    <row r="10556" spans="1:21" x14ac:dyDescent="0.3">
      <c r="A10556" t="s">
        <v>33</v>
      </c>
      <c r="B10556" t="s">
        <v>365</v>
      </c>
      <c r="C10556">
        <v>139</v>
      </c>
      <c r="D10556" t="s">
        <v>189</v>
      </c>
      <c r="E10556" t="s">
        <v>127</v>
      </c>
      <c r="F10556" t="s">
        <v>128</v>
      </c>
      <c r="G10556" t="s">
        <v>127</v>
      </c>
      <c r="H10556" t="s">
        <v>99</v>
      </c>
      <c r="I10556" t="s">
        <v>416</v>
      </c>
      <c r="J10556" t="s">
        <v>100</v>
      </c>
      <c r="K10556" t="s">
        <v>99</v>
      </c>
      <c r="L10556" t="s">
        <v>100</v>
      </c>
      <c r="M10556" t="s">
        <v>151</v>
      </c>
      <c r="N10556" t="s">
        <v>99</v>
      </c>
      <c r="O10556" t="s">
        <v>99</v>
      </c>
      <c r="P10556" t="s">
        <v>99</v>
      </c>
      <c r="Q10556" t="s">
        <v>99</v>
      </c>
      <c r="R10556" t="s">
        <v>99</v>
      </c>
      <c r="S10556" t="s">
        <v>253</v>
      </c>
      <c r="T10556" t="s">
        <v>126</v>
      </c>
      <c r="U10556" t="s">
        <v>99</v>
      </c>
    </row>
    <row r="10557" spans="1:21" x14ac:dyDescent="0.3">
      <c r="A10557" t="s">
        <v>49</v>
      </c>
      <c r="B10557" t="s">
        <v>389</v>
      </c>
      <c r="C10557">
        <v>8496</v>
      </c>
      <c r="D10557" t="s">
        <v>428</v>
      </c>
      <c r="E10557" t="s">
        <v>151</v>
      </c>
      <c r="F10557" t="s">
        <v>111</v>
      </c>
      <c r="G10557" t="s">
        <v>105</v>
      </c>
      <c r="H10557" t="s">
        <v>136</v>
      </c>
      <c r="I10557" t="s">
        <v>110</v>
      </c>
      <c r="J10557" t="s">
        <v>316</v>
      </c>
      <c r="K10557" t="s">
        <v>127</v>
      </c>
      <c r="L10557" t="s">
        <v>215</v>
      </c>
      <c r="M10557" t="s">
        <v>253</v>
      </c>
      <c r="N10557" t="s">
        <v>136</v>
      </c>
      <c r="O10557" t="s">
        <v>115</v>
      </c>
      <c r="P10557" t="s">
        <v>121</v>
      </c>
      <c r="Q10557" t="s">
        <v>198</v>
      </c>
      <c r="R10557" t="s">
        <v>207</v>
      </c>
      <c r="S10557" t="s">
        <v>253</v>
      </c>
      <c r="T10557" t="s">
        <v>465</v>
      </c>
      <c r="U10557" t="s">
        <v>136</v>
      </c>
    </row>
    <row r="10558" spans="1:21" x14ac:dyDescent="0.3">
      <c r="A10558" t="s">
        <v>49</v>
      </c>
      <c r="B10558" t="s">
        <v>390</v>
      </c>
      <c r="C10558">
        <v>4133</v>
      </c>
      <c r="D10558" t="s">
        <v>1337</v>
      </c>
      <c r="E10558" t="s">
        <v>128</v>
      </c>
      <c r="F10558" t="s">
        <v>103</v>
      </c>
      <c r="G10558" t="s">
        <v>147</v>
      </c>
      <c r="H10558" t="s">
        <v>136</v>
      </c>
      <c r="I10558" t="s">
        <v>154</v>
      </c>
      <c r="J10558" t="s">
        <v>127</v>
      </c>
      <c r="K10558" t="s">
        <v>101</v>
      </c>
      <c r="L10558" t="s">
        <v>101</v>
      </c>
      <c r="M10558" t="s">
        <v>253</v>
      </c>
      <c r="N10558" t="s">
        <v>141</v>
      </c>
      <c r="O10558" t="s">
        <v>136</v>
      </c>
      <c r="P10558" t="s">
        <v>108</v>
      </c>
      <c r="Q10558" t="s">
        <v>136</v>
      </c>
      <c r="R10558" t="s">
        <v>207</v>
      </c>
      <c r="S10558" t="s">
        <v>198</v>
      </c>
      <c r="T10558" t="s">
        <v>536</v>
      </c>
      <c r="U10558" t="s">
        <v>198</v>
      </c>
    </row>
    <row r="10559" spans="1:21" x14ac:dyDescent="0.3">
      <c r="A10559" t="s">
        <v>49</v>
      </c>
      <c r="B10559" t="s">
        <v>365</v>
      </c>
      <c r="C10559">
        <v>689</v>
      </c>
      <c r="D10559" t="s">
        <v>1124</v>
      </c>
      <c r="E10559" t="s">
        <v>101</v>
      </c>
      <c r="F10559" t="s">
        <v>127</v>
      </c>
      <c r="G10559" t="s">
        <v>111</v>
      </c>
      <c r="H10559" t="s">
        <v>136</v>
      </c>
      <c r="I10559" t="s">
        <v>675</v>
      </c>
      <c r="J10559" t="s">
        <v>158</v>
      </c>
      <c r="K10559" t="s">
        <v>111</v>
      </c>
      <c r="L10559" t="s">
        <v>128</v>
      </c>
      <c r="M10559" t="s">
        <v>114</v>
      </c>
      <c r="N10559" t="s">
        <v>121</v>
      </c>
      <c r="O10559" t="s">
        <v>198</v>
      </c>
      <c r="P10559" t="s">
        <v>253</v>
      </c>
      <c r="Q10559" t="s">
        <v>198</v>
      </c>
      <c r="R10559" t="s">
        <v>99</v>
      </c>
      <c r="S10559" t="s">
        <v>141</v>
      </c>
      <c r="T10559" t="s">
        <v>262</v>
      </c>
      <c r="U10559" t="s">
        <v>207</v>
      </c>
    </row>
    <row r="10561" spans="1:21" x14ac:dyDescent="0.3">
      <c r="A10561" t="s">
        <v>2537</v>
      </c>
    </row>
    <row r="10562" spans="1:21" x14ac:dyDescent="0.3">
      <c r="A10562" t="s">
        <v>44</v>
      </c>
      <c r="B10562" t="s">
        <v>235</v>
      </c>
      <c r="C10562" t="s">
        <v>32</v>
      </c>
      <c r="D10562" t="s">
        <v>1323</v>
      </c>
      <c r="E10562" t="s">
        <v>2520</v>
      </c>
      <c r="F10562" t="s">
        <v>2521</v>
      </c>
      <c r="G10562" t="s">
        <v>2522</v>
      </c>
      <c r="H10562" t="s">
        <v>2523</v>
      </c>
      <c r="I10562" t="s">
        <v>2524</v>
      </c>
      <c r="J10562" t="s">
        <v>2525</v>
      </c>
      <c r="K10562" t="s">
        <v>2526</v>
      </c>
      <c r="L10562" t="s">
        <v>2527</v>
      </c>
      <c r="M10562" t="s">
        <v>2528</v>
      </c>
      <c r="N10562" t="s">
        <v>2529</v>
      </c>
      <c r="O10562" t="s">
        <v>2530</v>
      </c>
      <c r="P10562" t="s">
        <v>2531</v>
      </c>
      <c r="Q10562" t="s">
        <v>2532</v>
      </c>
      <c r="R10562" t="s">
        <v>2533</v>
      </c>
      <c r="S10562" t="s">
        <v>1275</v>
      </c>
      <c r="T10562" t="s">
        <v>83</v>
      </c>
      <c r="U10562" t="s">
        <v>193</v>
      </c>
    </row>
    <row r="10563" spans="1:21" x14ac:dyDescent="0.3">
      <c r="A10563" t="s">
        <v>35</v>
      </c>
      <c r="B10563" t="s">
        <v>236</v>
      </c>
      <c r="C10563">
        <v>1610</v>
      </c>
      <c r="D10563" t="s">
        <v>1186</v>
      </c>
      <c r="E10563" t="s">
        <v>141</v>
      </c>
      <c r="F10563" t="s">
        <v>136</v>
      </c>
      <c r="G10563" t="s">
        <v>111</v>
      </c>
      <c r="H10563" t="s">
        <v>198</v>
      </c>
      <c r="I10563" t="s">
        <v>101</v>
      </c>
      <c r="J10563" t="s">
        <v>100</v>
      </c>
      <c r="K10563" t="s">
        <v>198</v>
      </c>
      <c r="L10563" t="s">
        <v>136</v>
      </c>
      <c r="M10563" t="s">
        <v>198</v>
      </c>
      <c r="N10563" t="s">
        <v>198</v>
      </c>
      <c r="O10563" t="s">
        <v>104</v>
      </c>
      <c r="P10563" t="s">
        <v>198</v>
      </c>
      <c r="Q10563" t="s">
        <v>99</v>
      </c>
      <c r="R10563" t="s">
        <v>104</v>
      </c>
      <c r="S10563" t="s">
        <v>141</v>
      </c>
      <c r="T10563" t="s">
        <v>739</v>
      </c>
      <c r="U10563" t="s">
        <v>198</v>
      </c>
    </row>
    <row r="10564" spans="1:21" x14ac:dyDescent="0.3">
      <c r="A10564" t="s">
        <v>35</v>
      </c>
      <c r="B10564" t="s">
        <v>238</v>
      </c>
      <c r="C10564">
        <v>1534</v>
      </c>
      <c r="D10564" t="s">
        <v>1151</v>
      </c>
      <c r="E10564" t="s">
        <v>103</v>
      </c>
      <c r="F10564" t="s">
        <v>147</v>
      </c>
      <c r="G10564" t="s">
        <v>139</v>
      </c>
      <c r="H10564" t="s">
        <v>141</v>
      </c>
      <c r="I10564" t="s">
        <v>328</v>
      </c>
      <c r="J10564" t="s">
        <v>120</v>
      </c>
      <c r="K10564" t="s">
        <v>123</v>
      </c>
      <c r="L10564" t="s">
        <v>127</v>
      </c>
      <c r="M10564" t="s">
        <v>115</v>
      </c>
      <c r="N10564" t="s">
        <v>104</v>
      </c>
      <c r="O10564" t="s">
        <v>207</v>
      </c>
      <c r="P10564" t="s">
        <v>132</v>
      </c>
      <c r="Q10564" t="s">
        <v>141</v>
      </c>
      <c r="R10564" t="s">
        <v>207</v>
      </c>
      <c r="S10564" t="s">
        <v>115</v>
      </c>
      <c r="T10564" t="s">
        <v>692</v>
      </c>
      <c r="U10564" t="s">
        <v>115</v>
      </c>
    </row>
    <row r="10565" spans="1:21" x14ac:dyDescent="0.3">
      <c r="A10565" t="s">
        <v>37</v>
      </c>
      <c r="B10565" t="s">
        <v>236</v>
      </c>
      <c r="C10565">
        <v>2209</v>
      </c>
      <c r="D10565" t="s">
        <v>623</v>
      </c>
      <c r="E10565" t="s">
        <v>111</v>
      </c>
      <c r="F10565" t="s">
        <v>114</v>
      </c>
      <c r="G10565" t="s">
        <v>104</v>
      </c>
      <c r="H10565" t="s">
        <v>198</v>
      </c>
      <c r="I10565" t="s">
        <v>268</v>
      </c>
      <c r="J10565" t="s">
        <v>215</v>
      </c>
      <c r="K10565" t="s">
        <v>108</v>
      </c>
      <c r="L10565" t="s">
        <v>100</v>
      </c>
      <c r="M10565" t="s">
        <v>207</v>
      </c>
      <c r="N10565" t="s">
        <v>104</v>
      </c>
      <c r="O10565" t="s">
        <v>198</v>
      </c>
      <c r="P10565" t="s">
        <v>136</v>
      </c>
      <c r="Q10565" t="s">
        <v>198</v>
      </c>
      <c r="R10565" t="s">
        <v>198</v>
      </c>
      <c r="S10565" t="s">
        <v>104</v>
      </c>
      <c r="T10565" t="s">
        <v>688</v>
      </c>
      <c r="U10565" t="s">
        <v>207</v>
      </c>
    </row>
    <row r="10566" spans="1:21" x14ac:dyDescent="0.3">
      <c r="A10566" t="s">
        <v>37</v>
      </c>
      <c r="B10566" t="s">
        <v>238</v>
      </c>
      <c r="C10566">
        <v>1644</v>
      </c>
      <c r="D10566" t="s">
        <v>63</v>
      </c>
      <c r="E10566" t="s">
        <v>110</v>
      </c>
      <c r="F10566" t="s">
        <v>316</v>
      </c>
      <c r="G10566" t="s">
        <v>104</v>
      </c>
      <c r="H10566" t="s">
        <v>319</v>
      </c>
      <c r="I10566" t="s">
        <v>74</v>
      </c>
      <c r="J10566" t="s">
        <v>129</v>
      </c>
      <c r="K10566" t="s">
        <v>712</v>
      </c>
      <c r="L10566" t="s">
        <v>103</v>
      </c>
      <c r="M10566" t="s">
        <v>100</v>
      </c>
      <c r="N10566" t="s">
        <v>100</v>
      </c>
      <c r="O10566" t="s">
        <v>132</v>
      </c>
      <c r="P10566" t="s">
        <v>253</v>
      </c>
      <c r="Q10566" t="s">
        <v>108</v>
      </c>
      <c r="R10566" t="s">
        <v>104</v>
      </c>
      <c r="S10566" t="s">
        <v>99</v>
      </c>
      <c r="T10566" t="s">
        <v>704</v>
      </c>
      <c r="U10566" t="s">
        <v>104</v>
      </c>
    </row>
    <row r="10567" spans="1:21" x14ac:dyDescent="0.3">
      <c r="A10567" t="s">
        <v>36</v>
      </c>
      <c r="B10567" t="s">
        <v>236</v>
      </c>
      <c r="C10567">
        <v>1566</v>
      </c>
      <c r="D10567" t="s">
        <v>1337</v>
      </c>
      <c r="E10567" t="s">
        <v>468</v>
      </c>
      <c r="F10567" t="s">
        <v>154</v>
      </c>
      <c r="G10567" t="s">
        <v>111</v>
      </c>
      <c r="H10567" t="s">
        <v>99</v>
      </c>
      <c r="I10567" t="s">
        <v>292</v>
      </c>
      <c r="J10567" t="s">
        <v>207</v>
      </c>
      <c r="K10567" t="s">
        <v>207</v>
      </c>
      <c r="L10567" t="s">
        <v>207</v>
      </c>
      <c r="M10567" t="s">
        <v>215</v>
      </c>
      <c r="N10567" t="s">
        <v>126</v>
      </c>
      <c r="O10567" t="s">
        <v>99</v>
      </c>
      <c r="P10567" t="s">
        <v>141</v>
      </c>
      <c r="Q10567" t="s">
        <v>99</v>
      </c>
      <c r="R10567" t="s">
        <v>151</v>
      </c>
      <c r="S10567" t="s">
        <v>108</v>
      </c>
      <c r="T10567" t="s">
        <v>726</v>
      </c>
      <c r="U10567" t="s">
        <v>136</v>
      </c>
    </row>
    <row r="10568" spans="1:21" x14ac:dyDescent="0.3">
      <c r="A10568" t="s">
        <v>36</v>
      </c>
      <c r="B10568" t="s">
        <v>238</v>
      </c>
      <c r="C10568">
        <v>738</v>
      </c>
      <c r="D10568" t="s">
        <v>507</v>
      </c>
      <c r="E10568" t="s">
        <v>130</v>
      </c>
      <c r="F10568" t="s">
        <v>149</v>
      </c>
      <c r="G10568" t="s">
        <v>316</v>
      </c>
      <c r="H10568" t="s">
        <v>319</v>
      </c>
      <c r="I10568" t="s">
        <v>401</v>
      </c>
      <c r="J10568" t="s">
        <v>412</v>
      </c>
      <c r="K10568" t="s">
        <v>128</v>
      </c>
      <c r="L10568" t="s">
        <v>98</v>
      </c>
      <c r="M10568" t="s">
        <v>138</v>
      </c>
      <c r="N10568" t="s">
        <v>128</v>
      </c>
      <c r="O10568" t="s">
        <v>121</v>
      </c>
      <c r="P10568" t="s">
        <v>268</v>
      </c>
      <c r="Q10568" t="s">
        <v>99</v>
      </c>
      <c r="R10568" t="s">
        <v>101</v>
      </c>
      <c r="S10568" t="s">
        <v>126</v>
      </c>
      <c r="T10568" t="s">
        <v>542</v>
      </c>
      <c r="U10568" t="s">
        <v>141</v>
      </c>
    </row>
    <row r="10569" spans="1:21" x14ac:dyDescent="0.3">
      <c r="A10569" t="s">
        <v>34</v>
      </c>
      <c r="B10569" t="s">
        <v>236</v>
      </c>
      <c r="C10569">
        <v>717</v>
      </c>
      <c r="D10569" t="s">
        <v>1054</v>
      </c>
      <c r="E10569" t="s">
        <v>104</v>
      </c>
      <c r="F10569" t="s">
        <v>115</v>
      </c>
      <c r="G10569" t="s">
        <v>420</v>
      </c>
      <c r="H10569" t="s">
        <v>99</v>
      </c>
      <c r="I10569" t="s">
        <v>319</v>
      </c>
      <c r="J10569" t="s">
        <v>207</v>
      </c>
      <c r="K10569" t="s">
        <v>99</v>
      </c>
      <c r="L10569" t="s">
        <v>136</v>
      </c>
      <c r="M10569" t="s">
        <v>99</v>
      </c>
      <c r="N10569" t="s">
        <v>99</v>
      </c>
      <c r="O10569" t="s">
        <v>114</v>
      </c>
      <c r="P10569" t="s">
        <v>128</v>
      </c>
      <c r="Q10569" t="s">
        <v>99</v>
      </c>
      <c r="R10569" t="s">
        <v>99</v>
      </c>
      <c r="S10569" t="s">
        <v>108</v>
      </c>
      <c r="T10569" t="s">
        <v>267</v>
      </c>
      <c r="U10569" t="s">
        <v>136</v>
      </c>
    </row>
    <row r="10570" spans="1:21" x14ac:dyDescent="0.3">
      <c r="A10570" t="s">
        <v>34</v>
      </c>
      <c r="B10570" t="s">
        <v>238</v>
      </c>
      <c r="C10570">
        <v>1363</v>
      </c>
      <c r="D10570" t="s">
        <v>55</v>
      </c>
      <c r="E10570" t="s">
        <v>253</v>
      </c>
      <c r="F10570" t="s">
        <v>130</v>
      </c>
      <c r="G10570" t="s">
        <v>299</v>
      </c>
      <c r="H10570" t="s">
        <v>104</v>
      </c>
      <c r="I10570" t="s">
        <v>112</v>
      </c>
      <c r="J10570" t="s">
        <v>120</v>
      </c>
      <c r="K10570" t="s">
        <v>126</v>
      </c>
      <c r="L10570" t="s">
        <v>100</v>
      </c>
      <c r="M10570" t="s">
        <v>104</v>
      </c>
      <c r="N10570" t="s">
        <v>198</v>
      </c>
      <c r="O10570" t="s">
        <v>215</v>
      </c>
      <c r="P10570" t="s">
        <v>138</v>
      </c>
      <c r="Q10570" t="s">
        <v>104</v>
      </c>
      <c r="R10570" t="s">
        <v>99</v>
      </c>
      <c r="S10570" t="s">
        <v>132</v>
      </c>
      <c r="T10570" t="s">
        <v>372</v>
      </c>
      <c r="U10570" t="s">
        <v>136</v>
      </c>
    </row>
    <row r="10571" spans="1:21" x14ac:dyDescent="0.3">
      <c r="A10571" t="s">
        <v>33</v>
      </c>
      <c r="B10571" t="s">
        <v>236</v>
      </c>
      <c r="C10571">
        <v>1116</v>
      </c>
      <c r="D10571" t="s">
        <v>359</v>
      </c>
      <c r="E10571" t="s">
        <v>123</v>
      </c>
      <c r="F10571" t="s">
        <v>101</v>
      </c>
      <c r="G10571" t="s">
        <v>253</v>
      </c>
      <c r="H10571" t="s">
        <v>99</v>
      </c>
      <c r="I10571" t="s">
        <v>101</v>
      </c>
      <c r="J10571" t="s">
        <v>108</v>
      </c>
      <c r="K10571" t="s">
        <v>141</v>
      </c>
      <c r="L10571" t="s">
        <v>100</v>
      </c>
      <c r="M10571" t="s">
        <v>104</v>
      </c>
      <c r="N10571" t="s">
        <v>104</v>
      </c>
      <c r="O10571" t="s">
        <v>198</v>
      </c>
      <c r="P10571" t="s">
        <v>253</v>
      </c>
      <c r="Q10571" t="s">
        <v>99</v>
      </c>
      <c r="R10571" t="s">
        <v>104</v>
      </c>
      <c r="S10571" t="s">
        <v>198</v>
      </c>
      <c r="T10571" t="s">
        <v>127</v>
      </c>
      <c r="U10571" t="s">
        <v>104</v>
      </c>
    </row>
    <row r="10572" spans="1:21" x14ac:dyDescent="0.3">
      <c r="A10572" t="s">
        <v>33</v>
      </c>
      <c r="B10572" t="s">
        <v>238</v>
      </c>
      <c r="C10572">
        <v>821</v>
      </c>
      <c r="D10572" t="s">
        <v>1292</v>
      </c>
      <c r="E10572" t="s">
        <v>268</v>
      </c>
      <c r="F10572" t="s">
        <v>382</v>
      </c>
      <c r="G10572" t="s">
        <v>100</v>
      </c>
      <c r="H10572" t="s">
        <v>104</v>
      </c>
      <c r="I10572" t="s">
        <v>112</v>
      </c>
      <c r="J10572" t="s">
        <v>712</v>
      </c>
      <c r="K10572" t="s">
        <v>316</v>
      </c>
      <c r="L10572" t="s">
        <v>128</v>
      </c>
      <c r="M10572" t="s">
        <v>115</v>
      </c>
      <c r="N10572" t="s">
        <v>198</v>
      </c>
      <c r="O10572" t="s">
        <v>99</v>
      </c>
      <c r="P10572" t="s">
        <v>104</v>
      </c>
      <c r="Q10572" t="s">
        <v>99</v>
      </c>
      <c r="R10572" t="s">
        <v>104</v>
      </c>
      <c r="S10572" t="s">
        <v>104</v>
      </c>
      <c r="T10572" t="s">
        <v>474</v>
      </c>
      <c r="U10572" t="s">
        <v>104</v>
      </c>
    </row>
    <row r="10573" spans="1:21" x14ac:dyDescent="0.3">
      <c r="A10573" t="s">
        <v>49</v>
      </c>
      <c r="B10573" t="s">
        <v>236</v>
      </c>
      <c r="C10573">
        <v>7218</v>
      </c>
      <c r="D10573" t="s">
        <v>968</v>
      </c>
      <c r="E10573" t="s">
        <v>127</v>
      </c>
      <c r="F10573" t="s">
        <v>100</v>
      </c>
      <c r="G10573" t="s">
        <v>151</v>
      </c>
      <c r="H10573" t="s">
        <v>104</v>
      </c>
      <c r="I10573" t="s">
        <v>215</v>
      </c>
      <c r="J10573" t="s">
        <v>100</v>
      </c>
      <c r="K10573" t="s">
        <v>141</v>
      </c>
      <c r="L10573" t="s">
        <v>132</v>
      </c>
      <c r="M10573" t="s">
        <v>207</v>
      </c>
      <c r="N10573" t="s">
        <v>198</v>
      </c>
      <c r="O10573" t="s">
        <v>207</v>
      </c>
      <c r="P10573" t="s">
        <v>115</v>
      </c>
      <c r="Q10573" t="s">
        <v>104</v>
      </c>
      <c r="R10573" t="s">
        <v>207</v>
      </c>
      <c r="S10573" t="s">
        <v>136</v>
      </c>
      <c r="T10573" t="s">
        <v>449</v>
      </c>
      <c r="U10573" t="s">
        <v>198</v>
      </c>
    </row>
    <row r="10574" spans="1:21" x14ac:dyDescent="0.3">
      <c r="A10574" t="s">
        <v>49</v>
      </c>
      <c r="B10574" t="s">
        <v>238</v>
      </c>
      <c r="C10574">
        <v>6100</v>
      </c>
      <c r="D10574" t="s">
        <v>648</v>
      </c>
      <c r="E10574" t="s">
        <v>103</v>
      </c>
      <c r="F10574" t="s">
        <v>157</v>
      </c>
      <c r="G10574" t="s">
        <v>118</v>
      </c>
      <c r="H10574" t="s">
        <v>253</v>
      </c>
      <c r="I10574" t="s">
        <v>468</v>
      </c>
      <c r="J10574" t="s">
        <v>155</v>
      </c>
      <c r="K10574" t="s">
        <v>103</v>
      </c>
      <c r="L10574" t="s">
        <v>111</v>
      </c>
      <c r="M10574" t="s">
        <v>108</v>
      </c>
      <c r="N10574" t="s">
        <v>253</v>
      </c>
      <c r="O10574" t="s">
        <v>132</v>
      </c>
      <c r="P10574" t="s">
        <v>319</v>
      </c>
      <c r="Q10574" t="s">
        <v>136</v>
      </c>
      <c r="R10574" t="s">
        <v>198</v>
      </c>
      <c r="S10574" t="s">
        <v>253</v>
      </c>
      <c r="T10574" t="s">
        <v>700</v>
      </c>
      <c r="U10574" t="s">
        <v>136</v>
      </c>
    </row>
    <row r="10576" spans="1:21" x14ac:dyDescent="0.3">
      <c r="A10576" t="s">
        <v>2538</v>
      </c>
    </row>
    <row r="10577" spans="1:21" x14ac:dyDescent="0.3">
      <c r="A10577" t="s">
        <v>44</v>
      </c>
      <c r="B10577" t="s">
        <v>1720</v>
      </c>
      <c r="C10577" t="s">
        <v>32</v>
      </c>
      <c r="D10577" t="s">
        <v>1323</v>
      </c>
      <c r="E10577" t="s">
        <v>2520</v>
      </c>
      <c r="F10577" t="s">
        <v>2521</v>
      </c>
      <c r="G10577" t="s">
        <v>2522</v>
      </c>
      <c r="H10577" t="s">
        <v>2523</v>
      </c>
      <c r="I10577" t="s">
        <v>2524</v>
      </c>
      <c r="J10577" t="s">
        <v>2525</v>
      </c>
      <c r="K10577" t="s">
        <v>2526</v>
      </c>
      <c r="L10577" t="s">
        <v>2527</v>
      </c>
      <c r="M10577" t="s">
        <v>2528</v>
      </c>
      <c r="N10577" t="s">
        <v>2529</v>
      </c>
      <c r="O10577" t="s">
        <v>2530</v>
      </c>
      <c r="P10577" t="s">
        <v>2531</v>
      </c>
      <c r="Q10577" t="s">
        <v>2532</v>
      </c>
      <c r="R10577" t="s">
        <v>2533</v>
      </c>
      <c r="S10577" t="s">
        <v>1275</v>
      </c>
      <c r="T10577" t="s">
        <v>83</v>
      </c>
      <c r="U10577" t="s">
        <v>193</v>
      </c>
    </row>
    <row r="10578" spans="1:21" x14ac:dyDescent="0.3">
      <c r="A10578" t="s">
        <v>35</v>
      </c>
      <c r="B10578" t="s">
        <v>1721</v>
      </c>
      <c r="C10578">
        <v>995</v>
      </c>
      <c r="D10578" t="s">
        <v>1257</v>
      </c>
      <c r="E10578" t="s">
        <v>128</v>
      </c>
      <c r="F10578" t="s">
        <v>107</v>
      </c>
      <c r="G10578" t="s">
        <v>154</v>
      </c>
      <c r="H10578" t="s">
        <v>198</v>
      </c>
      <c r="I10578" t="s">
        <v>712</v>
      </c>
      <c r="J10578" t="s">
        <v>147</v>
      </c>
      <c r="K10578" t="s">
        <v>108</v>
      </c>
      <c r="L10578" t="s">
        <v>127</v>
      </c>
      <c r="M10578" t="s">
        <v>198</v>
      </c>
      <c r="N10578" t="s">
        <v>104</v>
      </c>
      <c r="O10578" t="s">
        <v>207</v>
      </c>
      <c r="P10578" t="s">
        <v>132</v>
      </c>
      <c r="Q10578" t="s">
        <v>99</v>
      </c>
      <c r="R10578" t="s">
        <v>99</v>
      </c>
      <c r="S10578" t="s">
        <v>126</v>
      </c>
      <c r="T10578" t="s">
        <v>444</v>
      </c>
      <c r="U10578" t="s">
        <v>253</v>
      </c>
    </row>
    <row r="10579" spans="1:21" x14ac:dyDescent="0.3">
      <c r="A10579" t="s">
        <v>35</v>
      </c>
      <c r="B10579" t="s">
        <v>1722</v>
      </c>
      <c r="C10579">
        <v>2149</v>
      </c>
      <c r="D10579" t="s">
        <v>815</v>
      </c>
      <c r="E10579" t="s">
        <v>126</v>
      </c>
      <c r="F10579" t="s">
        <v>215</v>
      </c>
      <c r="G10579" t="s">
        <v>130</v>
      </c>
      <c r="H10579" t="s">
        <v>253</v>
      </c>
      <c r="I10579" t="s">
        <v>112</v>
      </c>
      <c r="J10579" t="s">
        <v>151</v>
      </c>
      <c r="K10579" t="s">
        <v>215</v>
      </c>
      <c r="L10579" t="s">
        <v>121</v>
      </c>
      <c r="M10579" t="s">
        <v>115</v>
      </c>
      <c r="N10579" t="s">
        <v>104</v>
      </c>
      <c r="O10579" t="s">
        <v>198</v>
      </c>
      <c r="P10579" t="s">
        <v>253</v>
      </c>
      <c r="Q10579" t="s">
        <v>253</v>
      </c>
      <c r="R10579" t="s">
        <v>207</v>
      </c>
      <c r="S10579" t="s">
        <v>198</v>
      </c>
      <c r="T10579" t="s">
        <v>307</v>
      </c>
      <c r="U10579" t="s">
        <v>253</v>
      </c>
    </row>
    <row r="10580" spans="1:21" x14ac:dyDescent="0.3">
      <c r="A10580" t="s">
        <v>37</v>
      </c>
      <c r="B10580" t="s">
        <v>1721</v>
      </c>
      <c r="C10580">
        <v>1251</v>
      </c>
      <c r="D10580" t="s">
        <v>1186</v>
      </c>
      <c r="E10580" t="s">
        <v>129</v>
      </c>
      <c r="F10580" t="s">
        <v>103</v>
      </c>
      <c r="G10580" t="s">
        <v>99</v>
      </c>
      <c r="H10580" t="s">
        <v>141</v>
      </c>
      <c r="I10580" t="s">
        <v>157</v>
      </c>
      <c r="J10580" t="s">
        <v>147</v>
      </c>
      <c r="K10580" t="s">
        <v>117</v>
      </c>
      <c r="L10580" t="s">
        <v>382</v>
      </c>
      <c r="M10580" t="s">
        <v>253</v>
      </c>
      <c r="N10580" t="s">
        <v>141</v>
      </c>
      <c r="O10580" t="s">
        <v>141</v>
      </c>
      <c r="P10580" t="s">
        <v>141</v>
      </c>
      <c r="Q10580" t="s">
        <v>207</v>
      </c>
      <c r="R10580" t="s">
        <v>104</v>
      </c>
      <c r="S10580" t="s">
        <v>104</v>
      </c>
      <c r="T10580" t="s">
        <v>163</v>
      </c>
      <c r="U10580" t="s">
        <v>198</v>
      </c>
    </row>
    <row r="10581" spans="1:21" x14ac:dyDescent="0.3">
      <c r="A10581" t="s">
        <v>37</v>
      </c>
      <c r="B10581" t="s">
        <v>1722</v>
      </c>
      <c r="C10581">
        <v>2602</v>
      </c>
      <c r="D10581" t="s">
        <v>53</v>
      </c>
      <c r="E10581" t="s">
        <v>117</v>
      </c>
      <c r="F10581" t="s">
        <v>101</v>
      </c>
      <c r="G10581" t="s">
        <v>104</v>
      </c>
      <c r="H10581" t="s">
        <v>132</v>
      </c>
      <c r="I10581" t="s">
        <v>474</v>
      </c>
      <c r="J10581" t="s">
        <v>128</v>
      </c>
      <c r="K10581" t="s">
        <v>268</v>
      </c>
      <c r="L10581" t="s">
        <v>127</v>
      </c>
      <c r="M10581" t="s">
        <v>115</v>
      </c>
      <c r="N10581" t="s">
        <v>253</v>
      </c>
      <c r="O10581" t="s">
        <v>136</v>
      </c>
      <c r="P10581" t="s">
        <v>136</v>
      </c>
      <c r="Q10581" t="s">
        <v>253</v>
      </c>
      <c r="R10581" t="s">
        <v>198</v>
      </c>
      <c r="S10581" t="s">
        <v>99</v>
      </c>
      <c r="T10581" t="s">
        <v>255</v>
      </c>
      <c r="U10581" t="s">
        <v>198</v>
      </c>
    </row>
    <row r="10582" spans="1:21" x14ac:dyDescent="0.3">
      <c r="A10582" t="s">
        <v>36</v>
      </c>
      <c r="B10582" t="s">
        <v>1721</v>
      </c>
      <c r="C10582">
        <v>813</v>
      </c>
      <c r="D10582" t="s">
        <v>297</v>
      </c>
      <c r="E10582" t="s">
        <v>130</v>
      </c>
      <c r="F10582" t="s">
        <v>118</v>
      </c>
      <c r="G10582" t="s">
        <v>157</v>
      </c>
      <c r="H10582" t="s">
        <v>115</v>
      </c>
      <c r="I10582" t="s">
        <v>110</v>
      </c>
      <c r="J10582" t="s">
        <v>382</v>
      </c>
      <c r="K10582" t="s">
        <v>126</v>
      </c>
      <c r="L10582" t="s">
        <v>134</v>
      </c>
      <c r="M10582" t="s">
        <v>154</v>
      </c>
      <c r="N10582" t="s">
        <v>127</v>
      </c>
      <c r="O10582" t="s">
        <v>99</v>
      </c>
      <c r="P10582" t="s">
        <v>132</v>
      </c>
      <c r="Q10582" t="s">
        <v>99</v>
      </c>
      <c r="R10582" t="s">
        <v>103</v>
      </c>
      <c r="S10582" t="s">
        <v>382</v>
      </c>
      <c r="T10582" t="s">
        <v>408</v>
      </c>
      <c r="U10582" t="s">
        <v>198</v>
      </c>
    </row>
    <row r="10583" spans="1:21" x14ac:dyDescent="0.3">
      <c r="A10583" t="s">
        <v>36</v>
      </c>
      <c r="B10583" t="s">
        <v>1722</v>
      </c>
      <c r="C10583">
        <v>1491</v>
      </c>
      <c r="D10583" t="s">
        <v>900</v>
      </c>
      <c r="E10583" t="s">
        <v>277</v>
      </c>
      <c r="F10583" t="s">
        <v>112</v>
      </c>
      <c r="G10583" t="s">
        <v>151</v>
      </c>
      <c r="H10583" t="s">
        <v>132</v>
      </c>
      <c r="I10583" t="s">
        <v>254</v>
      </c>
      <c r="J10583" t="s">
        <v>118</v>
      </c>
      <c r="K10583" t="s">
        <v>123</v>
      </c>
      <c r="L10583" t="s">
        <v>107</v>
      </c>
      <c r="M10583" t="s">
        <v>292</v>
      </c>
      <c r="N10583" t="s">
        <v>117</v>
      </c>
      <c r="O10583" t="s">
        <v>100</v>
      </c>
      <c r="P10583" t="s">
        <v>151</v>
      </c>
      <c r="Q10583" t="s">
        <v>99</v>
      </c>
      <c r="R10583" t="s">
        <v>100</v>
      </c>
      <c r="S10583" t="s">
        <v>114</v>
      </c>
      <c r="T10583" t="s">
        <v>478</v>
      </c>
      <c r="U10583" t="s">
        <v>253</v>
      </c>
    </row>
    <row r="10584" spans="1:21" x14ac:dyDescent="0.3">
      <c r="A10584" t="s">
        <v>34</v>
      </c>
      <c r="B10584" t="s">
        <v>1721</v>
      </c>
      <c r="C10584">
        <v>621</v>
      </c>
      <c r="D10584" t="s">
        <v>1327</v>
      </c>
      <c r="E10584" t="s">
        <v>141</v>
      </c>
      <c r="F10584" t="s">
        <v>147</v>
      </c>
      <c r="G10584" t="s">
        <v>353</v>
      </c>
      <c r="H10584" t="s">
        <v>104</v>
      </c>
      <c r="I10584" t="s">
        <v>105</v>
      </c>
      <c r="J10584" t="s">
        <v>215</v>
      </c>
      <c r="K10584" t="s">
        <v>127</v>
      </c>
      <c r="L10584" t="s">
        <v>114</v>
      </c>
      <c r="M10584" t="s">
        <v>99</v>
      </c>
      <c r="N10584" t="s">
        <v>99</v>
      </c>
      <c r="O10584" t="s">
        <v>117</v>
      </c>
      <c r="P10584" t="s">
        <v>110</v>
      </c>
      <c r="Q10584" t="s">
        <v>99</v>
      </c>
      <c r="R10584" t="s">
        <v>99</v>
      </c>
      <c r="S10584" t="s">
        <v>115</v>
      </c>
      <c r="T10584" t="s">
        <v>694</v>
      </c>
      <c r="U10584" t="s">
        <v>115</v>
      </c>
    </row>
    <row r="10585" spans="1:21" x14ac:dyDescent="0.3">
      <c r="A10585" t="s">
        <v>34</v>
      </c>
      <c r="B10585" t="s">
        <v>1722</v>
      </c>
      <c r="C10585">
        <v>1459</v>
      </c>
      <c r="D10585" t="s">
        <v>1119</v>
      </c>
      <c r="E10585" t="s">
        <v>136</v>
      </c>
      <c r="F10585" t="s">
        <v>105</v>
      </c>
      <c r="G10585" t="s">
        <v>305</v>
      </c>
      <c r="H10585" t="s">
        <v>99</v>
      </c>
      <c r="I10585" t="s">
        <v>118</v>
      </c>
      <c r="J10585" t="s">
        <v>292</v>
      </c>
      <c r="K10585" t="s">
        <v>115</v>
      </c>
      <c r="L10585" t="s">
        <v>108</v>
      </c>
      <c r="M10585" t="s">
        <v>104</v>
      </c>
      <c r="N10585" t="s">
        <v>198</v>
      </c>
      <c r="O10585" t="s">
        <v>114</v>
      </c>
      <c r="P10585" t="s">
        <v>128</v>
      </c>
      <c r="Q10585" t="s">
        <v>104</v>
      </c>
      <c r="R10585" t="s">
        <v>99</v>
      </c>
      <c r="S10585" t="s">
        <v>108</v>
      </c>
      <c r="T10585" t="s">
        <v>318</v>
      </c>
      <c r="U10585" t="s">
        <v>207</v>
      </c>
    </row>
    <row r="10586" spans="1:21" x14ac:dyDescent="0.3">
      <c r="A10586" t="s">
        <v>33</v>
      </c>
      <c r="B10586" t="s">
        <v>1721</v>
      </c>
      <c r="C10586">
        <v>557</v>
      </c>
      <c r="D10586" t="s">
        <v>883</v>
      </c>
      <c r="E10586" t="s">
        <v>316</v>
      </c>
      <c r="F10586" t="s">
        <v>103</v>
      </c>
      <c r="G10586" t="s">
        <v>127</v>
      </c>
      <c r="H10586" t="s">
        <v>99</v>
      </c>
      <c r="I10586" t="s">
        <v>138</v>
      </c>
      <c r="J10586" t="s">
        <v>117</v>
      </c>
      <c r="K10586" t="s">
        <v>382</v>
      </c>
      <c r="L10586" t="s">
        <v>382</v>
      </c>
      <c r="M10586" t="s">
        <v>198</v>
      </c>
      <c r="N10586" t="s">
        <v>136</v>
      </c>
      <c r="O10586" t="s">
        <v>198</v>
      </c>
      <c r="P10586" t="s">
        <v>253</v>
      </c>
      <c r="Q10586" t="s">
        <v>99</v>
      </c>
      <c r="R10586" t="s">
        <v>104</v>
      </c>
      <c r="S10586" t="s">
        <v>253</v>
      </c>
      <c r="T10586" t="s">
        <v>103</v>
      </c>
      <c r="U10586" t="s">
        <v>99</v>
      </c>
    </row>
    <row r="10587" spans="1:21" x14ac:dyDescent="0.3">
      <c r="A10587" t="s">
        <v>33</v>
      </c>
      <c r="B10587" t="s">
        <v>1722</v>
      </c>
      <c r="C10587">
        <v>1380</v>
      </c>
      <c r="D10587" t="s">
        <v>764</v>
      </c>
      <c r="E10587" t="s">
        <v>127</v>
      </c>
      <c r="F10587" t="s">
        <v>114</v>
      </c>
      <c r="G10587" t="s">
        <v>141</v>
      </c>
      <c r="H10587" t="s">
        <v>104</v>
      </c>
      <c r="I10587" t="s">
        <v>128</v>
      </c>
      <c r="J10587" t="s">
        <v>316</v>
      </c>
      <c r="K10587" t="s">
        <v>126</v>
      </c>
      <c r="L10587" t="s">
        <v>151</v>
      </c>
      <c r="M10587" t="s">
        <v>141</v>
      </c>
      <c r="N10587" t="s">
        <v>104</v>
      </c>
      <c r="O10587" t="s">
        <v>104</v>
      </c>
      <c r="P10587" t="s">
        <v>198</v>
      </c>
      <c r="Q10587" t="s">
        <v>99</v>
      </c>
      <c r="R10587" t="s">
        <v>104</v>
      </c>
      <c r="S10587" t="s">
        <v>99</v>
      </c>
      <c r="T10587" t="s">
        <v>138</v>
      </c>
      <c r="U10587" t="s">
        <v>198</v>
      </c>
    </row>
    <row r="10588" spans="1:21" x14ac:dyDescent="0.3">
      <c r="A10588" t="s">
        <v>49</v>
      </c>
      <c r="B10588" t="s">
        <v>1721</v>
      </c>
      <c r="C10588">
        <v>4237</v>
      </c>
      <c r="D10588" t="s">
        <v>1056</v>
      </c>
      <c r="E10588" t="s">
        <v>120</v>
      </c>
      <c r="F10588" t="s">
        <v>120</v>
      </c>
      <c r="G10588" t="s">
        <v>157</v>
      </c>
      <c r="H10588" t="s">
        <v>207</v>
      </c>
      <c r="I10588" t="s">
        <v>154</v>
      </c>
      <c r="J10588" t="s">
        <v>103</v>
      </c>
      <c r="K10588" t="s">
        <v>382</v>
      </c>
      <c r="L10588" t="s">
        <v>127</v>
      </c>
      <c r="M10588" t="s">
        <v>253</v>
      </c>
      <c r="N10588" t="s">
        <v>136</v>
      </c>
      <c r="O10588" t="s">
        <v>115</v>
      </c>
      <c r="P10588" t="s">
        <v>101</v>
      </c>
      <c r="Q10588" t="s">
        <v>104</v>
      </c>
      <c r="R10588" t="s">
        <v>207</v>
      </c>
      <c r="S10588" t="s">
        <v>132</v>
      </c>
      <c r="T10588" t="s">
        <v>714</v>
      </c>
      <c r="U10588" t="s">
        <v>136</v>
      </c>
    </row>
    <row r="10589" spans="1:21" x14ac:dyDescent="0.3">
      <c r="A10589" t="s">
        <v>49</v>
      </c>
      <c r="B10589" t="s">
        <v>1722</v>
      </c>
      <c r="C10589">
        <v>9081</v>
      </c>
      <c r="D10589" t="s">
        <v>1187</v>
      </c>
      <c r="E10589" t="s">
        <v>123</v>
      </c>
      <c r="F10589" t="s">
        <v>151</v>
      </c>
      <c r="G10589" t="s">
        <v>107</v>
      </c>
      <c r="H10589" t="s">
        <v>141</v>
      </c>
      <c r="I10589" t="s">
        <v>434</v>
      </c>
      <c r="J10589" t="s">
        <v>103</v>
      </c>
      <c r="K10589" t="s">
        <v>215</v>
      </c>
      <c r="L10589" t="s">
        <v>382</v>
      </c>
      <c r="M10589" t="s">
        <v>115</v>
      </c>
      <c r="N10589" t="s">
        <v>141</v>
      </c>
      <c r="O10589" t="s">
        <v>141</v>
      </c>
      <c r="P10589" t="s">
        <v>114</v>
      </c>
      <c r="Q10589" t="s">
        <v>136</v>
      </c>
      <c r="R10589" t="s">
        <v>198</v>
      </c>
      <c r="S10589" t="s">
        <v>207</v>
      </c>
      <c r="T10589" t="s">
        <v>536</v>
      </c>
      <c r="U10589" t="s">
        <v>207</v>
      </c>
    </row>
    <row r="10591" spans="1:21" x14ac:dyDescent="0.3">
      <c r="A10591" t="s">
        <v>2539</v>
      </c>
    </row>
    <row r="10592" spans="1:21" x14ac:dyDescent="0.3">
      <c r="A10592" t="s">
        <v>44</v>
      </c>
      <c r="B10592" t="s">
        <v>257</v>
      </c>
      <c r="C10592" t="s">
        <v>32</v>
      </c>
      <c r="D10592" t="s">
        <v>1323</v>
      </c>
      <c r="E10592" t="s">
        <v>2520</v>
      </c>
      <c r="F10592" t="s">
        <v>2521</v>
      </c>
      <c r="G10592" t="s">
        <v>2522</v>
      </c>
      <c r="H10592" t="s">
        <v>2523</v>
      </c>
      <c r="I10592" t="s">
        <v>2524</v>
      </c>
      <c r="J10592" t="s">
        <v>2525</v>
      </c>
      <c r="K10592" t="s">
        <v>2526</v>
      </c>
      <c r="L10592" t="s">
        <v>2527</v>
      </c>
      <c r="M10592" t="s">
        <v>2528</v>
      </c>
      <c r="N10592" t="s">
        <v>2529</v>
      </c>
      <c r="O10592" t="s">
        <v>2530</v>
      </c>
      <c r="P10592" t="s">
        <v>2531</v>
      </c>
      <c r="Q10592" t="s">
        <v>2532</v>
      </c>
      <c r="R10592" t="s">
        <v>2533</v>
      </c>
      <c r="S10592" t="s">
        <v>1275</v>
      </c>
      <c r="T10592" t="s">
        <v>83</v>
      </c>
      <c r="U10592" t="s">
        <v>193</v>
      </c>
    </row>
    <row r="10593" spans="1:22" x14ac:dyDescent="0.3">
      <c r="A10593" t="s">
        <v>35</v>
      </c>
      <c r="B10593" t="s">
        <v>258</v>
      </c>
      <c r="C10593">
        <v>2872</v>
      </c>
      <c r="D10593" t="s">
        <v>213</v>
      </c>
      <c r="E10593" t="s">
        <v>292</v>
      </c>
      <c r="F10593" t="s">
        <v>117</v>
      </c>
      <c r="G10593" t="s">
        <v>105</v>
      </c>
      <c r="H10593" t="s">
        <v>141</v>
      </c>
      <c r="I10593" t="s">
        <v>242</v>
      </c>
      <c r="J10593" t="s">
        <v>103</v>
      </c>
      <c r="K10593" t="s">
        <v>319</v>
      </c>
      <c r="L10593" t="s">
        <v>382</v>
      </c>
      <c r="M10593" t="s">
        <v>253</v>
      </c>
      <c r="N10593" t="s">
        <v>104</v>
      </c>
      <c r="O10593" t="s">
        <v>104</v>
      </c>
      <c r="P10593" t="s">
        <v>141</v>
      </c>
      <c r="Q10593" t="s">
        <v>136</v>
      </c>
      <c r="R10593" t="s">
        <v>198</v>
      </c>
      <c r="S10593" t="s">
        <v>253</v>
      </c>
      <c r="T10593" t="s">
        <v>802</v>
      </c>
      <c r="U10593" t="s">
        <v>141</v>
      </c>
    </row>
    <row r="10594" spans="1:22" x14ac:dyDescent="0.3">
      <c r="A10594" t="s">
        <v>35</v>
      </c>
      <c r="B10594" t="s">
        <v>260</v>
      </c>
      <c r="C10594">
        <v>272</v>
      </c>
      <c r="D10594" t="s">
        <v>1125</v>
      </c>
      <c r="E10594" t="s">
        <v>136</v>
      </c>
      <c r="F10594" t="s">
        <v>136</v>
      </c>
      <c r="G10594" t="s">
        <v>262</v>
      </c>
      <c r="H10594" t="s">
        <v>99</v>
      </c>
      <c r="I10594" t="s">
        <v>136</v>
      </c>
      <c r="J10594" t="s">
        <v>132</v>
      </c>
      <c r="K10594" t="s">
        <v>100</v>
      </c>
      <c r="L10594" t="s">
        <v>99</v>
      </c>
      <c r="M10594" t="s">
        <v>99</v>
      </c>
      <c r="N10594" t="s">
        <v>136</v>
      </c>
      <c r="O10594" t="s">
        <v>382</v>
      </c>
      <c r="P10594" t="s">
        <v>382</v>
      </c>
      <c r="Q10594" t="s">
        <v>99</v>
      </c>
      <c r="R10594" t="s">
        <v>99</v>
      </c>
      <c r="S10594" t="s">
        <v>115</v>
      </c>
      <c r="T10594" t="s">
        <v>39</v>
      </c>
      <c r="U10594" t="s">
        <v>132</v>
      </c>
    </row>
    <row r="10595" spans="1:22" x14ac:dyDescent="0.3">
      <c r="A10595" t="s">
        <v>37</v>
      </c>
      <c r="B10595" t="s">
        <v>258</v>
      </c>
      <c r="C10595">
        <v>3853</v>
      </c>
      <c r="D10595" t="s">
        <v>775</v>
      </c>
      <c r="E10595" t="s">
        <v>147</v>
      </c>
      <c r="F10595" t="s">
        <v>215</v>
      </c>
      <c r="G10595" t="s">
        <v>104</v>
      </c>
      <c r="H10595" t="s">
        <v>115</v>
      </c>
      <c r="I10595" t="s">
        <v>129</v>
      </c>
      <c r="J10595" t="s">
        <v>128</v>
      </c>
      <c r="K10595" t="s">
        <v>117</v>
      </c>
      <c r="L10595" t="s">
        <v>215</v>
      </c>
      <c r="M10595" t="s">
        <v>115</v>
      </c>
      <c r="N10595" t="s">
        <v>253</v>
      </c>
      <c r="O10595" t="s">
        <v>141</v>
      </c>
      <c r="P10595" t="s">
        <v>141</v>
      </c>
      <c r="Q10595" t="s">
        <v>141</v>
      </c>
      <c r="R10595" t="s">
        <v>104</v>
      </c>
      <c r="S10595" t="s">
        <v>104</v>
      </c>
      <c r="T10595" t="s">
        <v>321</v>
      </c>
      <c r="U10595" t="s">
        <v>198</v>
      </c>
    </row>
    <row r="10596" spans="1:22" x14ac:dyDescent="0.3">
      <c r="A10596" t="s">
        <v>36</v>
      </c>
      <c r="B10596" t="s">
        <v>258</v>
      </c>
      <c r="C10596">
        <v>2099</v>
      </c>
      <c r="D10596" t="s">
        <v>825</v>
      </c>
      <c r="E10596" t="s">
        <v>68</v>
      </c>
      <c r="F10596" t="s">
        <v>712</v>
      </c>
      <c r="G10596" t="s">
        <v>268</v>
      </c>
      <c r="H10596" t="s">
        <v>132</v>
      </c>
      <c r="I10596" t="s">
        <v>468</v>
      </c>
      <c r="J10596" t="s">
        <v>107</v>
      </c>
      <c r="K10596" t="s">
        <v>215</v>
      </c>
      <c r="L10596" t="s">
        <v>138</v>
      </c>
      <c r="M10596" t="s">
        <v>316</v>
      </c>
      <c r="N10596" t="s">
        <v>111</v>
      </c>
      <c r="O10596" t="s">
        <v>115</v>
      </c>
      <c r="P10596" t="s">
        <v>126</v>
      </c>
      <c r="Q10596" t="s">
        <v>99</v>
      </c>
      <c r="R10596" t="s">
        <v>382</v>
      </c>
      <c r="S10596" t="s">
        <v>121</v>
      </c>
      <c r="T10596" t="s">
        <v>536</v>
      </c>
      <c r="U10596" t="s">
        <v>136</v>
      </c>
    </row>
    <row r="10597" spans="1:22" x14ac:dyDescent="0.3">
      <c r="A10597" t="s">
        <v>36</v>
      </c>
      <c r="B10597" t="s">
        <v>260</v>
      </c>
      <c r="C10597">
        <v>205</v>
      </c>
      <c r="D10597" t="s">
        <v>573</v>
      </c>
      <c r="E10597" t="s">
        <v>141</v>
      </c>
      <c r="F10597" t="s">
        <v>141</v>
      </c>
      <c r="G10597" t="s">
        <v>740</v>
      </c>
      <c r="H10597" t="s">
        <v>141</v>
      </c>
      <c r="I10597" t="s">
        <v>99</v>
      </c>
      <c r="J10597" t="s">
        <v>99</v>
      </c>
      <c r="K10597" t="s">
        <v>99</v>
      </c>
      <c r="L10597" t="s">
        <v>99</v>
      </c>
      <c r="M10597" t="s">
        <v>114</v>
      </c>
      <c r="N10597" t="s">
        <v>99</v>
      </c>
      <c r="O10597" t="s">
        <v>141</v>
      </c>
      <c r="P10597" t="s">
        <v>474</v>
      </c>
      <c r="Q10597" t="s">
        <v>141</v>
      </c>
      <c r="R10597" t="s">
        <v>141</v>
      </c>
      <c r="S10597" t="s">
        <v>126</v>
      </c>
      <c r="T10597" t="s">
        <v>303</v>
      </c>
      <c r="U10597" t="s">
        <v>141</v>
      </c>
    </row>
    <row r="10598" spans="1:22" x14ac:dyDescent="0.3">
      <c r="A10598" t="s">
        <v>34</v>
      </c>
      <c r="B10598" t="s">
        <v>258</v>
      </c>
      <c r="C10598">
        <v>1221</v>
      </c>
      <c r="D10598" t="s">
        <v>1054</v>
      </c>
      <c r="E10598" t="s">
        <v>115</v>
      </c>
      <c r="F10598" t="s">
        <v>254</v>
      </c>
      <c r="G10598" t="s">
        <v>101</v>
      </c>
      <c r="H10598" t="s">
        <v>99</v>
      </c>
      <c r="I10598" t="s">
        <v>152</v>
      </c>
      <c r="J10598" t="s">
        <v>332</v>
      </c>
      <c r="K10598" t="s">
        <v>108</v>
      </c>
      <c r="L10598" t="s">
        <v>151</v>
      </c>
      <c r="M10598" t="s">
        <v>99</v>
      </c>
      <c r="N10598" t="s">
        <v>99</v>
      </c>
      <c r="O10598" t="s">
        <v>207</v>
      </c>
      <c r="P10598" t="s">
        <v>253</v>
      </c>
      <c r="Q10598" t="s">
        <v>99</v>
      </c>
      <c r="R10598" t="s">
        <v>99</v>
      </c>
      <c r="S10598" t="s">
        <v>207</v>
      </c>
      <c r="T10598" t="s">
        <v>72</v>
      </c>
      <c r="U10598" t="s">
        <v>99</v>
      </c>
    </row>
    <row r="10599" spans="1:22" x14ac:dyDescent="0.3">
      <c r="A10599" t="s">
        <v>34</v>
      </c>
      <c r="B10599" t="s">
        <v>260</v>
      </c>
      <c r="C10599">
        <v>859</v>
      </c>
      <c r="D10599" t="s">
        <v>815</v>
      </c>
      <c r="E10599" t="s">
        <v>207</v>
      </c>
      <c r="F10599" t="s">
        <v>100</v>
      </c>
      <c r="G10599" t="s">
        <v>294</v>
      </c>
      <c r="H10599" t="s">
        <v>104</v>
      </c>
      <c r="I10599" t="s">
        <v>382</v>
      </c>
      <c r="J10599" t="s">
        <v>100</v>
      </c>
      <c r="K10599" t="s">
        <v>100</v>
      </c>
      <c r="L10599" t="s">
        <v>198</v>
      </c>
      <c r="M10599" t="s">
        <v>104</v>
      </c>
      <c r="N10599" t="s">
        <v>198</v>
      </c>
      <c r="O10599" t="s">
        <v>111</v>
      </c>
      <c r="P10599" t="s">
        <v>139</v>
      </c>
      <c r="Q10599" t="s">
        <v>104</v>
      </c>
      <c r="R10599" t="s">
        <v>99</v>
      </c>
      <c r="S10599" t="s">
        <v>100</v>
      </c>
      <c r="T10599" t="s">
        <v>523</v>
      </c>
      <c r="U10599" t="s">
        <v>115</v>
      </c>
    </row>
    <row r="10600" spans="1:22" x14ac:dyDescent="0.3">
      <c r="A10600" t="s">
        <v>33</v>
      </c>
      <c r="B10600" t="s">
        <v>258</v>
      </c>
      <c r="C10600">
        <v>1937</v>
      </c>
      <c r="D10600" t="s">
        <v>875</v>
      </c>
      <c r="E10600" t="s">
        <v>292</v>
      </c>
      <c r="F10600" t="s">
        <v>319</v>
      </c>
      <c r="G10600" t="s">
        <v>108</v>
      </c>
      <c r="H10600" t="s">
        <v>104</v>
      </c>
      <c r="I10600" t="s">
        <v>147</v>
      </c>
      <c r="J10600" t="s">
        <v>316</v>
      </c>
      <c r="K10600" t="s">
        <v>126</v>
      </c>
      <c r="L10600" t="s">
        <v>123</v>
      </c>
      <c r="M10600" t="s">
        <v>136</v>
      </c>
      <c r="N10600" t="s">
        <v>198</v>
      </c>
      <c r="O10600" t="s">
        <v>104</v>
      </c>
      <c r="P10600" t="s">
        <v>207</v>
      </c>
      <c r="Q10600" t="s">
        <v>99</v>
      </c>
      <c r="R10600" t="s">
        <v>104</v>
      </c>
      <c r="S10600" t="s">
        <v>198</v>
      </c>
      <c r="T10600" t="s">
        <v>157</v>
      </c>
      <c r="U10600" t="s">
        <v>104</v>
      </c>
    </row>
    <row r="10601" spans="1:22" x14ac:dyDescent="0.3">
      <c r="A10601" t="s">
        <v>49</v>
      </c>
      <c r="B10601" t="s">
        <v>258</v>
      </c>
      <c r="C10601">
        <v>11982</v>
      </c>
      <c r="D10601" t="s">
        <v>1050</v>
      </c>
      <c r="E10601" t="s">
        <v>103</v>
      </c>
      <c r="F10601" t="s">
        <v>103</v>
      </c>
      <c r="G10601" t="s">
        <v>126</v>
      </c>
      <c r="H10601" t="s">
        <v>141</v>
      </c>
      <c r="I10601" t="s">
        <v>474</v>
      </c>
      <c r="J10601" t="s">
        <v>128</v>
      </c>
      <c r="K10601" t="s">
        <v>127</v>
      </c>
      <c r="L10601" t="s">
        <v>123</v>
      </c>
      <c r="M10601" t="s">
        <v>132</v>
      </c>
      <c r="N10601" t="s">
        <v>141</v>
      </c>
      <c r="O10601" t="s">
        <v>207</v>
      </c>
      <c r="P10601" t="s">
        <v>253</v>
      </c>
      <c r="Q10601" t="s">
        <v>207</v>
      </c>
      <c r="R10601" t="s">
        <v>207</v>
      </c>
      <c r="S10601" t="s">
        <v>136</v>
      </c>
      <c r="T10601" t="s">
        <v>685</v>
      </c>
      <c r="U10601" t="s">
        <v>207</v>
      </c>
    </row>
    <row r="10602" spans="1:22" x14ac:dyDescent="0.3">
      <c r="A10602" t="s">
        <v>49</v>
      </c>
      <c r="B10602" t="s">
        <v>260</v>
      </c>
      <c r="C10602">
        <v>1336</v>
      </c>
      <c r="D10602" t="s">
        <v>928</v>
      </c>
      <c r="E10602" t="s">
        <v>207</v>
      </c>
      <c r="F10602" t="s">
        <v>108</v>
      </c>
      <c r="G10602" t="s">
        <v>710</v>
      </c>
      <c r="H10602" t="s">
        <v>104</v>
      </c>
      <c r="I10602" t="s">
        <v>319</v>
      </c>
      <c r="J10602" t="s">
        <v>114</v>
      </c>
      <c r="K10602" t="s">
        <v>100</v>
      </c>
      <c r="L10602" t="s">
        <v>198</v>
      </c>
      <c r="M10602" t="s">
        <v>104</v>
      </c>
      <c r="N10602" t="s">
        <v>198</v>
      </c>
      <c r="O10602" t="s">
        <v>151</v>
      </c>
      <c r="P10602" t="s">
        <v>129</v>
      </c>
      <c r="Q10602" t="s">
        <v>104</v>
      </c>
      <c r="R10602" t="s">
        <v>99</v>
      </c>
      <c r="S10602" t="s">
        <v>114</v>
      </c>
      <c r="T10602" t="s">
        <v>523</v>
      </c>
      <c r="U10602" t="s">
        <v>115</v>
      </c>
    </row>
    <row r="10604" spans="1:22" x14ac:dyDescent="0.3">
      <c r="A10604" t="s">
        <v>2540</v>
      </c>
    </row>
    <row r="10605" spans="1:22" x14ac:dyDescent="0.3">
      <c r="A10605" t="s">
        <v>44</v>
      </c>
      <c r="B10605" t="s">
        <v>32</v>
      </c>
      <c r="C10605" t="s">
        <v>1323</v>
      </c>
      <c r="D10605" t="s">
        <v>2520</v>
      </c>
      <c r="E10605" t="s">
        <v>2521</v>
      </c>
      <c r="F10605" t="s">
        <v>2522</v>
      </c>
      <c r="G10605" t="s">
        <v>2541</v>
      </c>
      <c r="H10605" t="s">
        <v>2523</v>
      </c>
      <c r="I10605" t="s">
        <v>2542</v>
      </c>
      <c r="J10605" t="s">
        <v>2524</v>
      </c>
      <c r="K10605" t="s">
        <v>2525</v>
      </c>
      <c r="L10605" t="s">
        <v>2526</v>
      </c>
      <c r="M10605" t="s">
        <v>2527</v>
      </c>
      <c r="N10605" t="s">
        <v>2528</v>
      </c>
      <c r="O10605" t="s">
        <v>2529</v>
      </c>
      <c r="P10605" t="s">
        <v>2530</v>
      </c>
      <c r="Q10605" t="s">
        <v>2531</v>
      </c>
      <c r="R10605" t="s">
        <v>2532</v>
      </c>
      <c r="S10605" t="s">
        <v>2533</v>
      </c>
      <c r="T10605" t="s">
        <v>1275</v>
      </c>
      <c r="U10605" t="s">
        <v>83</v>
      </c>
      <c r="V10605" t="s">
        <v>193</v>
      </c>
    </row>
    <row r="10606" spans="1:22" x14ac:dyDescent="0.3">
      <c r="A10606" t="s">
        <v>35</v>
      </c>
      <c r="B10606">
        <v>3140</v>
      </c>
      <c r="C10606" t="s">
        <v>1111</v>
      </c>
      <c r="D10606" t="s">
        <v>99</v>
      </c>
      <c r="E10606" t="s">
        <v>268</v>
      </c>
      <c r="F10606" t="s">
        <v>98</v>
      </c>
      <c r="G10606" t="s">
        <v>198</v>
      </c>
      <c r="H10606" t="s">
        <v>319</v>
      </c>
      <c r="I10606" t="s">
        <v>207</v>
      </c>
      <c r="J10606" t="s">
        <v>108</v>
      </c>
      <c r="K10606" t="s">
        <v>126</v>
      </c>
      <c r="L10606" t="s">
        <v>136</v>
      </c>
      <c r="M10606" t="s">
        <v>111</v>
      </c>
      <c r="N10606" t="s">
        <v>99</v>
      </c>
      <c r="O10606" t="s">
        <v>99</v>
      </c>
      <c r="P10606" t="s">
        <v>198</v>
      </c>
      <c r="Q10606" t="s">
        <v>115</v>
      </c>
      <c r="R10606" t="s">
        <v>136</v>
      </c>
      <c r="S10606" t="s">
        <v>136</v>
      </c>
      <c r="T10606" t="s">
        <v>292</v>
      </c>
      <c r="U10606" t="s">
        <v>702</v>
      </c>
      <c r="V10606" t="s">
        <v>108</v>
      </c>
    </row>
    <row r="10607" spans="1:22" x14ac:dyDescent="0.3">
      <c r="A10607" t="s">
        <v>37</v>
      </c>
      <c r="B10607">
        <v>3855</v>
      </c>
      <c r="C10607" t="s">
        <v>874</v>
      </c>
      <c r="D10607" t="s">
        <v>198</v>
      </c>
      <c r="E10607" t="s">
        <v>101</v>
      </c>
      <c r="F10607" t="s">
        <v>136</v>
      </c>
      <c r="G10607" t="s">
        <v>132</v>
      </c>
      <c r="H10607" t="s">
        <v>292</v>
      </c>
      <c r="I10607" t="s">
        <v>157</v>
      </c>
      <c r="J10607" t="s">
        <v>114</v>
      </c>
      <c r="K10607" t="s">
        <v>121</v>
      </c>
      <c r="L10607" t="s">
        <v>253</v>
      </c>
      <c r="M10607" t="s">
        <v>105</v>
      </c>
      <c r="N10607" t="s">
        <v>198</v>
      </c>
      <c r="O10607" t="s">
        <v>207</v>
      </c>
      <c r="P10607" t="s">
        <v>104</v>
      </c>
      <c r="Q10607" t="s">
        <v>114</v>
      </c>
      <c r="R10607" t="s">
        <v>198</v>
      </c>
      <c r="S10607" t="s">
        <v>104</v>
      </c>
      <c r="T10607" t="s">
        <v>136</v>
      </c>
      <c r="U10607" t="s">
        <v>726</v>
      </c>
      <c r="V10607" t="s">
        <v>198</v>
      </c>
    </row>
    <row r="10608" spans="1:22" x14ac:dyDescent="0.3">
      <c r="A10608" t="s">
        <v>36</v>
      </c>
      <c r="B10608">
        <v>2303</v>
      </c>
      <c r="C10608" t="s">
        <v>2118</v>
      </c>
      <c r="D10608" t="s">
        <v>115</v>
      </c>
      <c r="E10608" t="s">
        <v>434</v>
      </c>
      <c r="F10608" t="s">
        <v>684</v>
      </c>
      <c r="G10608" t="s">
        <v>207</v>
      </c>
      <c r="H10608" t="s">
        <v>111</v>
      </c>
      <c r="I10608" t="s">
        <v>127</v>
      </c>
      <c r="J10608" t="s">
        <v>111</v>
      </c>
      <c r="K10608" t="s">
        <v>101</v>
      </c>
      <c r="L10608" t="s">
        <v>132</v>
      </c>
      <c r="M10608" t="s">
        <v>319</v>
      </c>
      <c r="N10608" t="s">
        <v>108</v>
      </c>
      <c r="O10608" t="s">
        <v>141</v>
      </c>
      <c r="P10608" t="s">
        <v>207</v>
      </c>
      <c r="Q10608" t="s">
        <v>114</v>
      </c>
      <c r="R10608" t="s">
        <v>99</v>
      </c>
      <c r="S10608" t="s">
        <v>132</v>
      </c>
      <c r="T10608" t="s">
        <v>111</v>
      </c>
      <c r="U10608" t="s">
        <v>167</v>
      </c>
      <c r="V10608" t="s">
        <v>136</v>
      </c>
    </row>
    <row r="10609" spans="1:23" x14ac:dyDescent="0.3">
      <c r="A10609" t="s">
        <v>34</v>
      </c>
      <c r="B10609">
        <v>2073</v>
      </c>
      <c r="C10609" t="s">
        <v>958</v>
      </c>
      <c r="D10609" t="s">
        <v>198</v>
      </c>
      <c r="E10609" t="s">
        <v>130</v>
      </c>
      <c r="F10609" t="s">
        <v>175</v>
      </c>
      <c r="G10609" t="s">
        <v>207</v>
      </c>
      <c r="H10609" t="s">
        <v>253</v>
      </c>
      <c r="I10609" t="s">
        <v>207</v>
      </c>
      <c r="J10609" t="s">
        <v>126</v>
      </c>
      <c r="K10609" t="s">
        <v>253</v>
      </c>
      <c r="L10609" t="s">
        <v>136</v>
      </c>
      <c r="M10609" t="s">
        <v>136</v>
      </c>
      <c r="N10609" t="s">
        <v>99</v>
      </c>
      <c r="O10609" t="s">
        <v>99</v>
      </c>
      <c r="P10609" t="s">
        <v>101</v>
      </c>
      <c r="Q10609" t="s">
        <v>110</v>
      </c>
      <c r="R10609" t="s">
        <v>198</v>
      </c>
      <c r="S10609" t="s">
        <v>99</v>
      </c>
      <c r="T10609" t="s">
        <v>100</v>
      </c>
      <c r="U10609" t="s">
        <v>501</v>
      </c>
      <c r="V10609" t="s">
        <v>136</v>
      </c>
    </row>
    <row r="10610" spans="1:23" x14ac:dyDescent="0.3">
      <c r="A10610" t="s">
        <v>33</v>
      </c>
      <c r="B10610">
        <v>1937</v>
      </c>
      <c r="C10610" t="s">
        <v>409</v>
      </c>
      <c r="D10610" t="s">
        <v>108</v>
      </c>
      <c r="E10610" t="s">
        <v>117</v>
      </c>
      <c r="F10610" t="s">
        <v>114</v>
      </c>
      <c r="G10610" t="s">
        <v>207</v>
      </c>
      <c r="H10610" t="s">
        <v>136</v>
      </c>
      <c r="I10610" t="s">
        <v>207</v>
      </c>
      <c r="J10610" t="s">
        <v>215</v>
      </c>
      <c r="K10610" t="s">
        <v>115</v>
      </c>
      <c r="L10610" t="s">
        <v>141</v>
      </c>
      <c r="M10610" t="s">
        <v>319</v>
      </c>
      <c r="N10610" t="s">
        <v>104</v>
      </c>
      <c r="O10610" t="s">
        <v>104</v>
      </c>
      <c r="P10610" t="s">
        <v>104</v>
      </c>
      <c r="Q10610" t="s">
        <v>108</v>
      </c>
      <c r="R10610" t="s">
        <v>99</v>
      </c>
      <c r="S10610" t="s">
        <v>99</v>
      </c>
      <c r="T10610" t="s">
        <v>104</v>
      </c>
      <c r="U10610" t="s">
        <v>107</v>
      </c>
      <c r="V10610" t="s">
        <v>99</v>
      </c>
    </row>
    <row r="10611" spans="1:23" x14ac:dyDescent="0.3">
      <c r="A10611" t="s">
        <v>49</v>
      </c>
      <c r="B10611">
        <v>13308</v>
      </c>
      <c r="C10611" t="s">
        <v>280</v>
      </c>
      <c r="D10611" t="s">
        <v>207</v>
      </c>
      <c r="E10611" t="s">
        <v>316</v>
      </c>
      <c r="F10611" t="s">
        <v>242</v>
      </c>
      <c r="G10611" t="s">
        <v>136</v>
      </c>
      <c r="H10611" t="s">
        <v>101</v>
      </c>
      <c r="I10611" t="s">
        <v>121</v>
      </c>
      <c r="J10611" t="s">
        <v>101</v>
      </c>
      <c r="K10611" t="s">
        <v>100</v>
      </c>
      <c r="L10611" t="s">
        <v>141</v>
      </c>
      <c r="M10611" t="s">
        <v>123</v>
      </c>
      <c r="N10611" t="s">
        <v>198</v>
      </c>
      <c r="O10611" t="s">
        <v>198</v>
      </c>
      <c r="P10611" t="s">
        <v>136</v>
      </c>
      <c r="Q10611" t="s">
        <v>319</v>
      </c>
      <c r="R10611" t="s">
        <v>198</v>
      </c>
      <c r="S10611" t="s">
        <v>198</v>
      </c>
      <c r="T10611" t="s">
        <v>121</v>
      </c>
      <c r="U10611" t="s">
        <v>406</v>
      </c>
      <c r="V10611" t="s">
        <v>136</v>
      </c>
    </row>
    <row r="10613" spans="1:23" x14ac:dyDescent="0.3">
      <c r="A10613" t="s">
        <v>2543</v>
      </c>
    </row>
    <row r="10614" spans="1:23" x14ac:dyDescent="0.3">
      <c r="A10614" t="s">
        <v>44</v>
      </c>
      <c r="B10614" t="s">
        <v>361</v>
      </c>
      <c r="C10614" t="s">
        <v>32</v>
      </c>
      <c r="D10614" t="s">
        <v>1323</v>
      </c>
      <c r="E10614" t="s">
        <v>2520</v>
      </c>
      <c r="F10614" t="s">
        <v>2521</v>
      </c>
      <c r="G10614" t="s">
        <v>2522</v>
      </c>
      <c r="H10614" t="s">
        <v>2541</v>
      </c>
      <c r="I10614" t="s">
        <v>2523</v>
      </c>
      <c r="J10614" t="s">
        <v>2542</v>
      </c>
      <c r="K10614" t="s">
        <v>2524</v>
      </c>
      <c r="L10614" t="s">
        <v>2525</v>
      </c>
      <c r="M10614" t="s">
        <v>2526</v>
      </c>
      <c r="N10614" t="s">
        <v>2527</v>
      </c>
      <c r="O10614" t="s">
        <v>2528</v>
      </c>
      <c r="P10614" t="s">
        <v>2529</v>
      </c>
      <c r="Q10614" t="s">
        <v>2530</v>
      </c>
      <c r="R10614" t="s">
        <v>2531</v>
      </c>
      <c r="S10614" t="s">
        <v>2532</v>
      </c>
      <c r="T10614" t="s">
        <v>2533</v>
      </c>
      <c r="U10614" t="s">
        <v>1275</v>
      </c>
      <c r="V10614" t="s">
        <v>83</v>
      </c>
      <c r="W10614" t="s">
        <v>193</v>
      </c>
    </row>
    <row r="10615" spans="1:23" x14ac:dyDescent="0.3">
      <c r="A10615" t="s">
        <v>35</v>
      </c>
      <c r="B10615" t="s">
        <v>339</v>
      </c>
      <c r="C10615">
        <v>890</v>
      </c>
      <c r="D10615" t="s">
        <v>589</v>
      </c>
      <c r="E10615" t="s">
        <v>99</v>
      </c>
      <c r="F10615" t="s">
        <v>105</v>
      </c>
      <c r="G10615" t="s">
        <v>98</v>
      </c>
      <c r="H10615" t="s">
        <v>198</v>
      </c>
      <c r="I10615" t="s">
        <v>382</v>
      </c>
      <c r="J10615" t="s">
        <v>104</v>
      </c>
      <c r="K10615" t="s">
        <v>132</v>
      </c>
      <c r="L10615" t="s">
        <v>115</v>
      </c>
      <c r="M10615" t="s">
        <v>115</v>
      </c>
      <c r="N10615" t="s">
        <v>100</v>
      </c>
      <c r="O10615" t="s">
        <v>99</v>
      </c>
      <c r="P10615" t="s">
        <v>104</v>
      </c>
      <c r="Q10615" t="s">
        <v>136</v>
      </c>
      <c r="R10615" t="s">
        <v>108</v>
      </c>
      <c r="S10615" t="s">
        <v>101</v>
      </c>
      <c r="T10615" t="s">
        <v>99</v>
      </c>
      <c r="U10615" t="s">
        <v>121</v>
      </c>
      <c r="V10615" t="s">
        <v>58</v>
      </c>
      <c r="W10615" t="s">
        <v>207</v>
      </c>
    </row>
    <row r="10616" spans="1:23" x14ac:dyDescent="0.3">
      <c r="A10616" t="s">
        <v>35</v>
      </c>
      <c r="B10616" t="s">
        <v>340</v>
      </c>
      <c r="C10616">
        <v>2210</v>
      </c>
      <c r="D10616" t="s">
        <v>922</v>
      </c>
      <c r="E10616" t="s">
        <v>99</v>
      </c>
      <c r="F10616" t="s">
        <v>123</v>
      </c>
      <c r="G10616" t="s">
        <v>124</v>
      </c>
      <c r="H10616" t="s">
        <v>198</v>
      </c>
      <c r="I10616" t="s">
        <v>101</v>
      </c>
      <c r="J10616" t="s">
        <v>207</v>
      </c>
      <c r="K10616" t="s">
        <v>114</v>
      </c>
      <c r="L10616" t="s">
        <v>127</v>
      </c>
      <c r="M10616" t="s">
        <v>207</v>
      </c>
      <c r="N10616" t="s">
        <v>316</v>
      </c>
      <c r="O10616" t="s">
        <v>99</v>
      </c>
      <c r="P10616" t="s">
        <v>99</v>
      </c>
      <c r="Q10616" t="s">
        <v>104</v>
      </c>
      <c r="R10616" t="s">
        <v>253</v>
      </c>
      <c r="S10616" t="s">
        <v>99</v>
      </c>
      <c r="T10616" t="s">
        <v>253</v>
      </c>
      <c r="U10616" t="s">
        <v>103</v>
      </c>
      <c r="V10616" t="s">
        <v>309</v>
      </c>
      <c r="W10616" t="s">
        <v>100</v>
      </c>
    </row>
    <row r="10617" spans="1:23" x14ac:dyDescent="0.3">
      <c r="A10617" t="s">
        <v>35</v>
      </c>
      <c r="B10617" t="s">
        <v>365</v>
      </c>
      <c r="C10617">
        <v>40</v>
      </c>
      <c r="D10617" t="s">
        <v>538</v>
      </c>
      <c r="E10617" t="s">
        <v>99</v>
      </c>
      <c r="F10617" t="s">
        <v>99</v>
      </c>
      <c r="G10617" t="s">
        <v>99</v>
      </c>
      <c r="H10617" t="s">
        <v>99</v>
      </c>
      <c r="I10617" t="s">
        <v>99</v>
      </c>
      <c r="J10617" t="s">
        <v>99</v>
      </c>
      <c r="K10617" t="s">
        <v>99</v>
      </c>
      <c r="L10617" t="s">
        <v>215</v>
      </c>
      <c r="M10617" t="s">
        <v>99</v>
      </c>
      <c r="N10617" t="s">
        <v>215</v>
      </c>
      <c r="O10617" t="s">
        <v>99</v>
      </c>
      <c r="P10617" t="s">
        <v>99</v>
      </c>
      <c r="Q10617" t="s">
        <v>99</v>
      </c>
      <c r="R10617" t="s">
        <v>99</v>
      </c>
      <c r="S10617" t="s">
        <v>99</v>
      </c>
      <c r="T10617" t="s">
        <v>99</v>
      </c>
      <c r="U10617" t="s">
        <v>99</v>
      </c>
      <c r="V10617" t="s">
        <v>1165</v>
      </c>
      <c r="W10617" t="s">
        <v>99</v>
      </c>
    </row>
    <row r="10618" spans="1:23" x14ac:dyDescent="0.3">
      <c r="A10618" t="s">
        <v>37</v>
      </c>
      <c r="B10618" t="s">
        <v>339</v>
      </c>
      <c r="C10618">
        <v>1093</v>
      </c>
      <c r="D10618" t="s">
        <v>1171</v>
      </c>
      <c r="E10618" t="s">
        <v>99</v>
      </c>
      <c r="F10618" t="s">
        <v>101</v>
      </c>
      <c r="G10618" t="s">
        <v>141</v>
      </c>
      <c r="H10618" t="s">
        <v>121</v>
      </c>
      <c r="I10618" t="s">
        <v>108</v>
      </c>
      <c r="J10618" t="s">
        <v>151</v>
      </c>
      <c r="K10618" t="s">
        <v>132</v>
      </c>
      <c r="L10618" t="s">
        <v>114</v>
      </c>
      <c r="M10618" t="s">
        <v>198</v>
      </c>
      <c r="N10618" t="s">
        <v>127</v>
      </c>
      <c r="O10618" t="s">
        <v>104</v>
      </c>
      <c r="P10618" t="s">
        <v>104</v>
      </c>
      <c r="Q10618" t="s">
        <v>99</v>
      </c>
      <c r="R10618" t="s">
        <v>253</v>
      </c>
      <c r="S10618" t="s">
        <v>207</v>
      </c>
      <c r="T10618" t="s">
        <v>198</v>
      </c>
      <c r="U10618" t="s">
        <v>141</v>
      </c>
      <c r="V10618" t="s">
        <v>357</v>
      </c>
      <c r="W10618" t="s">
        <v>99</v>
      </c>
    </row>
    <row r="10619" spans="1:23" x14ac:dyDescent="0.3">
      <c r="A10619" t="s">
        <v>37</v>
      </c>
      <c r="B10619" t="s">
        <v>340</v>
      </c>
      <c r="C10619">
        <v>2721</v>
      </c>
      <c r="D10619" t="s">
        <v>939</v>
      </c>
      <c r="E10619" t="s">
        <v>198</v>
      </c>
      <c r="F10619" t="s">
        <v>319</v>
      </c>
      <c r="G10619" t="s">
        <v>136</v>
      </c>
      <c r="H10619" t="s">
        <v>253</v>
      </c>
      <c r="I10619" t="s">
        <v>103</v>
      </c>
      <c r="J10619" t="s">
        <v>154</v>
      </c>
      <c r="K10619" t="s">
        <v>100</v>
      </c>
      <c r="L10619" t="s">
        <v>100</v>
      </c>
      <c r="M10619" t="s">
        <v>115</v>
      </c>
      <c r="N10619" t="s">
        <v>332</v>
      </c>
      <c r="O10619" t="s">
        <v>198</v>
      </c>
      <c r="P10619" t="s">
        <v>136</v>
      </c>
      <c r="Q10619" t="s">
        <v>104</v>
      </c>
      <c r="R10619" t="s">
        <v>121</v>
      </c>
      <c r="S10619" t="s">
        <v>104</v>
      </c>
      <c r="T10619" t="s">
        <v>99</v>
      </c>
      <c r="U10619" t="s">
        <v>136</v>
      </c>
      <c r="V10619" t="s">
        <v>321</v>
      </c>
      <c r="W10619" t="s">
        <v>207</v>
      </c>
    </row>
    <row r="10620" spans="1:23" x14ac:dyDescent="0.3">
      <c r="A10620" t="s">
        <v>37</v>
      </c>
      <c r="B10620" t="s">
        <v>365</v>
      </c>
      <c r="C10620">
        <v>41</v>
      </c>
      <c r="D10620" t="s">
        <v>57</v>
      </c>
      <c r="E10620" t="s">
        <v>99</v>
      </c>
      <c r="F10620" t="s">
        <v>99</v>
      </c>
      <c r="G10620" t="s">
        <v>99</v>
      </c>
      <c r="H10620" t="s">
        <v>215</v>
      </c>
      <c r="I10620" t="s">
        <v>292</v>
      </c>
      <c r="J10620" t="s">
        <v>99</v>
      </c>
      <c r="K10620" t="s">
        <v>292</v>
      </c>
      <c r="L10620" t="s">
        <v>255</v>
      </c>
      <c r="M10620" t="s">
        <v>292</v>
      </c>
      <c r="N10620" t="s">
        <v>255</v>
      </c>
      <c r="O10620" t="s">
        <v>99</v>
      </c>
      <c r="P10620" t="s">
        <v>103</v>
      </c>
      <c r="Q10620" t="s">
        <v>99</v>
      </c>
      <c r="R10620" t="s">
        <v>99</v>
      </c>
      <c r="S10620" t="s">
        <v>99</v>
      </c>
      <c r="T10620" t="s">
        <v>99</v>
      </c>
      <c r="U10620" t="s">
        <v>99</v>
      </c>
      <c r="V10620" t="s">
        <v>41</v>
      </c>
      <c r="W10620" t="s">
        <v>99</v>
      </c>
    </row>
    <row r="10621" spans="1:23" x14ac:dyDescent="0.3">
      <c r="A10621" t="s">
        <v>36</v>
      </c>
      <c r="B10621" t="s">
        <v>339</v>
      </c>
      <c r="C10621">
        <v>769</v>
      </c>
      <c r="D10621" t="s">
        <v>1469</v>
      </c>
      <c r="E10621" t="s">
        <v>198</v>
      </c>
      <c r="F10621" t="s">
        <v>712</v>
      </c>
      <c r="G10621" t="s">
        <v>124</v>
      </c>
      <c r="H10621" t="s">
        <v>207</v>
      </c>
      <c r="I10621" t="s">
        <v>104</v>
      </c>
      <c r="J10621" t="s">
        <v>114</v>
      </c>
      <c r="K10621" t="s">
        <v>207</v>
      </c>
      <c r="L10621" t="s">
        <v>382</v>
      </c>
      <c r="M10621" t="s">
        <v>382</v>
      </c>
      <c r="N10621" t="s">
        <v>198</v>
      </c>
      <c r="O10621" t="s">
        <v>207</v>
      </c>
      <c r="P10621" t="s">
        <v>99</v>
      </c>
      <c r="Q10621" t="s">
        <v>207</v>
      </c>
      <c r="R10621" t="s">
        <v>108</v>
      </c>
      <c r="S10621" t="s">
        <v>104</v>
      </c>
      <c r="T10621" t="s">
        <v>99</v>
      </c>
      <c r="U10621" t="s">
        <v>100</v>
      </c>
      <c r="V10621" t="s">
        <v>731</v>
      </c>
      <c r="W10621" t="s">
        <v>99</v>
      </c>
    </row>
    <row r="10622" spans="1:23" x14ac:dyDescent="0.3">
      <c r="A10622" t="s">
        <v>36</v>
      </c>
      <c r="B10622" t="s">
        <v>340</v>
      </c>
      <c r="C10622">
        <v>1472</v>
      </c>
      <c r="D10622" t="s">
        <v>935</v>
      </c>
      <c r="E10622" t="s">
        <v>108</v>
      </c>
      <c r="F10622" t="s">
        <v>434</v>
      </c>
      <c r="G10622" t="s">
        <v>277</v>
      </c>
      <c r="H10622" t="s">
        <v>207</v>
      </c>
      <c r="I10622" t="s">
        <v>138</v>
      </c>
      <c r="J10622" t="s">
        <v>268</v>
      </c>
      <c r="K10622" t="s">
        <v>105</v>
      </c>
      <c r="L10622" t="s">
        <v>121</v>
      </c>
      <c r="M10622" t="s">
        <v>136</v>
      </c>
      <c r="N10622" t="s">
        <v>111</v>
      </c>
      <c r="O10622" t="s">
        <v>101</v>
      </c>
      <c r="P10622" t="s">
        <v>132</v>
      </c>
      <c r="Q10622" t="s">
        <v>207</v>
      </c>
      <c r="R10622" t="s">
        <v>100</v>
      </c>
      <c r="S10622" t="s">
        <v>99</v>
      </c>
      <c r="T10622" t="s">
        <v>121</v>
      </c>
      <c r="U10622" t="s">
        <v>120</v>
      </c>
      <c r="V10622" t="s">
        <v>807</v>
      </c>
      <c r="W10622" t="s">
        <v>141</v>
      </c>
    </row>
    <row r="10623" spans="1:23" x14ac:dyDescent="0.3">
      <c r="A10623" t="s">
        <v>36</v>
      </c>
      <c r="B10623" t="s">
        <v>365</v>
      </c>
      <c r="C10623">
        <v>62</v>
      </c>
      <c r="D10623" t="s">
        <v>293</v>
      </c>
      <c r="E10623" t="s">
        <v>99</v>
      </c>
      <c r="F10623" t="s">
        <v>121</v>
      </c>
      <c r="G10623" t="s">
        <v>154</v>
      </c>
      <c r="H10623" t="s">
        <v>99</v>
      </c>
      <c r="I10623" t="s">
        <v>99</v>
      </c>
      <c r="J10623" t="s">
        <v>99</v>
      </c>
      <c r="K10623" t="s">
        <v>99</v>
      </c>
      <c r="L10623" t="s">
        <v>99</v>
      </c>
      <c r="M10623" t="s">
        <v>99</v>
      </c>
      <c r="N10623" t="s">
        <v>99</v>
      </c>
      <c r="O10623" t="s">
        <v>121</v>
      </c>
      <c r="P10623" t="s">
        <v>99</v>
      </c>
      <c r="Q10623" t="s">
        <v>99</v>
      </c>
      <c r="R10623" t="s">
        <v>99</v>
      </c>
      <c r="S10623" t="s">
        <v>99</v>
      </c>
      <c r="T10623" t="s">
        <v>99</v>
      </c>
      <c r="U10623" t="s">
        <v>105</v>
      </c>
      <c r="V10623" t="s">
        <v>101</v>
      </c>
      <c r="W10623" t="s">
        <v>99</v>
      </c>
    </row>
    <row r="10624" spans="1:23" x14ac:dyDescent="0.3">
      <c r="A10624" t="s">
        <v>34</v>
      </c>
      <c r="B10624" t="s">
        <v>339</v>
      </c>
      <c r="C10624">
        <v>553</v>
      </c>
      <c r="D10624" t="s">
        <v>1497</v>
      </c>
      <c r="E10624" t="s">
        <v>207</v>
      </c>
      <c r="F10624" t="s">
        <v>120</v>
      </c>
      <c r="G10624" t="s">
        <v>255</v>
      </c>
      <c r="H10624" t="s">
        <v>99</v>
      </c>
      <c r="I10624" t="s">
        <v>136</v>
      </c>
      <c r="J10624" t="s">
        <v>104</v>
      </c>
      <c r="K10624" t="s">
        <v>382</v>
      </c>
      <c r="L10624" t="s">
        <v>104</v>
      </c>
      <c r="M10624" t="s">
        <v>99</v>
      </c>
      <c r="N10624" t="s">
        <v>99</v>
      </c>
      <c r="O10624" t="s">
        <v>99</v>
      </c>
      <c r="P10624" t="s">
        <v>99</v>
      </c>
      <c r="Q10624" t="s">
        <v>121</v>
      </c>
      <c r="R10624" t="s">
        <v>474</v>
      </c>
      <c r="S10624" t="s">
        <v>99</v>
      </c>
      <c r="T10624" t="s">
        <v>104</v>
      </c>
      <c r="U10624" t="s">
        <v>127</v>
      </c>
      <c r="V10624" t="s">
        <v>933</v>
      </c>
      <c r="W10624" t="s">
        <v>132</v>
      </c>
    </row>
    <row r="10625" spans="1:23" x14ac:dyDescent="0.3">
      <c r="A10625" t="s">
        <v>34</v>
      </c>
      <c r="B10625" t="s">
        <v>340</v>
      </c>
      <c r="C10625">
        <v>1492</v>
      </c>
      <c r="D10625" t="s">
        <v>554</v>
      </c>
      <c r="E10625" t="s">
        <v>104</v>
      </c>
      <c r="F10625" t="s">
        <v>242</v>
      </c>
      <c r="G10625" t="s">
        <v>368</v>
      </c>
      <c r="H10625" t="s">
        <v>141</v>
      </c>
      <c r="I10625" t="s">
        <v>115</v>
      </c>
      <c r="J10625" t="s">
        <v>136</v>
      </c>
      <c r="K10625" t="s">
        <v>382</v>
      </c>
      <c r="L10625" t="s">
        <v>108</v>
      </c>
      <c r="M10625" t="s">
        <v>253</v>
      </c>
      <c r="N10625" t="s">
        <v>253</v>
      </c>
      <c r="O10625" t="s">
        <v>99</v>
      </c>
      <c r="P10625" t="s">
        <v>99</v>
      </c>
      <c r="Q10625" t="s">
        <v>319</v>
      </c>
      <c r="R10625" t="s">
        <v>134</v>
      </c>
      <c r="S10625" t="s">
        <v>207</v>
      </c>
      <c r="T10625" t="s">
        <v>99</v>
      </c>
      <c r="U10625" t="s">
        <v>132</v>
      </c>
      <c r="V10625" t="s">
        <v>705</v>
      </c>
      <c r="W10625" t="s">
        <v>198</v>
      </c>
    </row>
    <row r="10626" spans="1:23" x14ac:dyDescent="0.3">
      <c r="A10626" t="s">
        <v>34</v>
      </c>
      <c r="B10626" t="s">
        <v>365</v>
      </c>
      <c r="C10626">
        <v>28</v>
      </c>
      <c r="D10626" t="s">
        <v>609</v>
      </c>
      <c r="E10626" t="s">
        <v>319</v>
      </c>
      <c r="F10626" t="s">
        <v>114</v>
      </c>
      <c r="G10626" t="s">
        <v>729</v>
      </c>
      <c r="H10626" t="s">
        <v>99</v>
      </c>
      <c r="I10626" t="s">
        <v>99</v>
      </c>
      <c r="J10626" t="s">
        <v>99</v>
      </c>
      <c r="K10626" t="s">
        <v>99</v>
      </c>
      <c r="L10626" t="s">
        <v>99</v>
      </c>
      <c r="M10626" t="s">
        <v>99</v>
      </c>
      <c r="N10626" t="s">
        <v>99</v>
      </c>
      <c r="O10626" t="s">
        <v>99</v>
      </c>
      <c r="P10626" t="s">
        <v>99</v>
      </c>
      <c r="Q10626" t="s">
        <v>99</v>
      </c>
      <c r="R10626" t="s">
        <v>99</v>
      </c>
      <c r="S10626" t="s">
        <v>99</v>
      </c>
      <c r="T10626" t="s">
        <v>99</v>
      </c>
      <c r="U10626" t="s">
        <v>99</v>
      </c>
      <c r="V10626" t="s">
        <v>738</v>
      </c>
      <c r="W10626" t="s">
        <v>99</v>
      </c>
    </row>
    <row r="10627" spans="1:23" x14ac:dyDescent="0.3">
      <c r="A10627" t="s">
        <v>33</v>
      </c>
      <c r="B10627" t="s">
        <v>339</v>
      </c>
      <c r="C10627">
        <v>503</v>
      </c>
      <c r="D10627" t="s">
        <v>464</v>
      </c>
      <c r="E10627" t="s">
        <v>100</v>
      </c>
      <c r="F10627" t="s">
        <v>147</v>
      </c>
      <c r="G10627" t="s">
        <v>253</v>
      </c>
      <c r="H10627" t="s">
        <v>141</v>
      </c>
      <c r="I10627" t="s">
        <v>141</v>
      </c>
      <c r="J10627" t="s">
        <v>115</v>
      </c>
      <c r="K10627" t="s">
        <v>316</v>
      </c>
      <c r="L10627" t="s">
        <v>121</v>
      </c>
      <c r="M10627" t="s">
        <v>115</v>
      </c>
      <c r="N10627" t="s">
        <v>114</v>
      </c>
      <c r="O10627" t="s">
        <v>99</v>
      </c>
      <c r="P10627" t="s">
        <v>99</v>
      </c>
      <c r="Q10627" t="s">
        <v>207</v>
      </c>
      <c r="R10627" t="s">
        <v>115</v>
      </c>
      <c r="S10627" t="s">
        <v>99</v>
      </c>
      <c r="T10627" t="s">
        <v>99</v>
      </c>
      <c r="U10627" t="s">
        <v>99</v>
      </c>
      <c r="V10627" t="s">
        <v>74</v>
      </c>
      <c r="W10627" t="s">
        <v>99</v>
      </c>
    </row>
    <row r="10628" spans="1:23" x14ac:dyDescent="0.3">
      <c r="A10628" t="s">
        <v>33</v>
      </c>
      <c r="B10628" t="s">
        <v>340</v>
      </c>
      <c r="C10628">
        <v>1415</v>
      </c>
      <c r="D10628" t="s">
        <v>399</v>
      </c>
      <c r="E10628" t="s">
        <v>115</v>
      </c>
      <c r="F10628" t="s">
        <v>292</v>
      </c>
      <c r="G10628" t="s">
        <v>100</v>
      </c>
      <c r="H10628" t="s">
        <v>207</v>
      </c>
      <c r="I10628" t="s">
        <v>136</v>
      </c>
      <c r="J10628" t="s">
        <v>198</v>
      </c>
      <c r="K10628" t="s">
        <v>319</v>
      </c>
      <c r="L10628" t="s">
        <v>141</v>
      </c>
      <c r="M10628" t="s">
        <v>141</v>
      </c>
      <c r="N10628" t="s">
        <v>126</v>
      </c>
      <c r="O10628" t="s">
        <v>104</v>
      </c>
      <c r="P10628" t="s">
        <v>198</v>
      </c>
      <c r="Q10628" t="s">
        <v>104</v>
      </c>
      <c r="R10628" t="s">
        <v>114</v>
      </c>
      <c r="S10628" t="s">
        <v>99</v>
      </c>
      <c r="T10628" t="s">
        <v>99</v>
      </c>
      <c r="U10628" t="s">
        <v>198</v>
      </c>
      <c r="V10628" t="s">
        <v>127</v>
      </c>
      <c r="W10628" t="s">
        <v>99</v>
      </c>
    </row>
    <row r="10629" spans="1:23" x14ac:dyDescent="0.3">
      <c r="A10629" t="s">
        <v>33</v>
      </c>
      <c r="B10629" t="s">
        <v>365</v>
      </c>
      <c r="C10629">
        <v>19</v>
      </c>
      <c r="D10629" t="s">
        <v>178</v>
      </c>
      <c r="E10629" t="s">
        <v>328</v>
      </c>
      <c r="F10629" t="s">
        <v>680</v>
      </c>
      <c r="G10629" t="s">
        <v>99</v>
      </c>
      <c r="H10629" t="s">
        <v>99</v>
      </c>
      <c r="I10629" t="s">
        <v>99</v>
      </c>
      <c r="J10629" t="s">
        <v>99</v>
      </c>
      <c r="K10629" t="s">
        <v>99</v>
      </c>
      <c r="L10629" t="s">
        <v>99</v>
      </c>
      <c r="M10629" t="s">
        <v>99</v>
      </c>
      <c r="N10629" t="s">
        <v>99</v>
      </c>
      <c r="O10629" t="s">
        <v>99</v>
      </c>
      <c r="P10629" t="s">
        <v>99</v>
      </c>
      <c r="Q10629" t="s">
        <v>99</v>
      </c>
      <c r="R10629" t="s">
        <v>99</v>
      </c>
      <c r="S10629" t="s">
        <v>99</v>
      </c>
      <c r="T10629" t="s">
        <v>99</v>
      </c>
      <c r="U10629" t="s">
        <v>99</v>
      </c>
      <c r="V10629" t="s">
        <v>99</v>
      </c>
      <c r="W10629" t="s">
        <v>99</v>
      </c>
    </row>
    <row r="10630" spans="1:23" x14ac:dyDescent="0.3">
      <c r="A10630" t="s">
        <v>49</v>
      </c>
      <c r="B10630" t="s">
        <v>339</v>
      </c>
      <c r="C10630">
        <v>3808</v>
      </c>
      <c r="D10630" t="s">
        <v>1119</v>
      </c>
      <c r="E10630" t="s">
        <v>198</v>
      </c>
      <c r="F10630" t="s">
        <v>128</v>
      </c>
      <c r="G10630" t="s">
        <v>124</v>
      </c>
      <c r="H10630" t="s">
        <v>141</v>
      </c>
      <c r="I10630" t="s">
        <v>108</v>
      </c>
      <c r="J10630" t="s">
        <v>132</v>
      </c>
      <c r="K10630" t="s">
        <v>121</v>
      </c>
      <c r="L10630" t="s">
        <v>132</v>
      </c>
      <c r="M10630" t="s">
        <v>141</v>
      </c>
      <c r="N10630" t="s">
        <v>108</v>
      </c>
      <c r="O10630" t="s">
        <v>104</v>
      </c>
      <c r="P10630" t="s">
        <v>99</v>
      </c>
      <c r="Q10630" t="s">
        <v>136</v>
      </c>
      <c r="R10630" t="s">
        <v>126</v>
      </c>
      <c r="S10630" t="s">
        <v>141</v>
      </c>
      <c r="T10630" t="s">
        <v>104</v>
      </c>
      <c r="U10630" t="s">
        <v>114</v>
      </c>
      <c r="V10630" t="s">
        <v>1044</v>
      </c>
      <c r="W10630" t="s">
        <v>207</v>
      </c>
    </row>
    <row r="10631" spans="1:23" x14ac:dyDescent="0.3">
      <c r="A10631" t="s">
        <v>49</v>
      </c>
      <c r="B10631" t="s">
        <v>340</v>
      </c>
      <c r="C10631">
        <v>9310</v>
      </c>
      <c r="D10631" t="s">
        <v>484</v>
      </c>
      <c r="E10631" t="s">
        <v>207</v>
      </c>
      <c r="F10631" t="s">
        <v>103</v>
      </c>
      <c r="G10631" t="s">
        <v>139</v>
      </c>
      <c r="H10631" t="s">
        <v>136</v>
      </c>
      <c r="I10631" t="s">
        <v>382</v>
      </c>
      <c r="J10631" t="s">
        <v>319</v>
      </c>
      <c r="K10631" t="s">
        <v>101</v>
      </c>
      <c r="L10631" t="s">
        <v>121</v>
      </c>
      <c r="M10631" t="s">
        <v>141</v>
      </c>
      <c r="N10631" t="s">
        <v>268</v>
      </c>
      <c r="O10631" t="s">
        <v>198</v>
      </c>
      <c r="P10631" t="s">
        <v>198</v>
      </c>
      <c r="Q10631" t="s">
        <v>207</v>
      </c>
      <c r="R10631" t="s">
        <v>319</v>
      </c>
      <c r="S10631" t="s">
        <v>104</v>
      </c>
      <c r="T10631" t="s">
        <v>207</v>
      </c>
      <c r="U10631" t="s">
        <v>121</v>
      </c>
      <c r="V10631" t="s">
        <v>318</v>
      </c>
      <c r="W10631" t="s">
        <v>141</v>
      </c>
    </row>
    <row r="10632" spans="1:23" x14ac:dyDescent="0.3">
      <c r="A10632" t="s">
        <v>49</v>
      </c>
      <c r="B10632" t="s">
        <v>365</v>
      </c>
      <c r="C10632">
        <v>190</v>
      </c>
      <c r="D10632" t="s">
        <v>2120</v>
      </c>
      <c r="E10632" t="s">
        <v>114</v>
      </c>
      <c r="F10632" t="s">
        <v>127</v>
      </c>
      <c r="G10632" t="s">
        <v>299</v>
      </c>
      <c r="H10632" t="s">
        <v>136</v>
      </c>
      <c r="I10632" t="s">
        <v>141</v>
      </c>
      <c r="J10632" t="s">
        <v>99</v>
      </c>
      <c r="K10632" t="s">
        <v>141</v>
      </c>
      <c r="L10632" t="s">
        <v>110</v>
      </c>
      <c r="M10632" t="s">
        <v>141</v>
      </c>
      <c r="N10632" t="s">
        <v>110</v>
      </c>
      <c r="O10632" t="s">
        <v>198</v>
      </c>
      <c r="P10632" t="s">
        <v>253</v>
      </c>
      <c r="Q10632" t="s">
        <v>99</v>
      </c>
      <c r="R10632" t="s">
        <v>99</v>
      </c>
      <c r="S10632" t="s">
        <v>99</v>
      </c>
      <c r="T10632" t="s">
        <v>99</v>
      </c>
      <c r="U10632" t="s">
        <v>141</v>
      </c>
      <c r="V10632" t="s">
        <v>748</v>
      </c>
      <c r="W10632" t="s">
        <v>99</v>
      </c>
    </row>
    <row r="10634" spans="1:23" x14ac:dyDescent="0.3">
      <c r="A10634" t="s">
        <v>2544</v>
      </c>
    </row>
    <row r="10635" spans="1:23" x14ac:dyDescent="0.3">
      <c r="A10635" t="s">
        <v>44</v>
      </c>
      <c r="B10635" t="s">
        <v>209</v>
      </c>
      <c r="C10635" t="s">
        <v>32</v>
      </c>
      <c r="D10635" t="s">
        <v>1323</v>
      </c>
      <c r="E10635" t="s">
        <v>2520</v>
      </c>
      <c r="F10635" t="s">
        <v>2521</v>
      </c>
      <c r="G10635" t="s">
        <v>2522</v>
      </c>
      <c r="H10635" t="s">
        <v>2541</v>
      </c>
      <c r="I10635" t="s">
        <v>2523</v>
      </c>
      <c r="J10635" t="s">
        <v>2542</v>
      </c>
      <c r="K10635" t="s">
        <v>2524</v>
      </c>
      <c r="L10635" t="s">
        <v>2525</v>
      </c>
      <c r="M10635" t="s">
        <v>2526</v>
      </c>
      <c r="N10635" t="s">
        <v>2527</v>
      </c>
      <c r="O10635" t="s">
        <v>2528</v>
      </c>
      <c r="P10635" t="s">
        <v>2529</v>
      </c>
      <c r="Q10635" t="s">
        <v>2530</v>
      </c>
      <c r="R10635" t="s">
        <v>2531</v>
      </c>
      <c r="S10635" t="s">
        <v>2532</v>
      </c>
      <c r="T10635" t="s">
        <v>2533</v>
      </c>
      <c r="U10635" t="s">
        <v>1275</v>
      </c>
      <c r="V10635" t="s">
        <v>83</v>
      </c>
      <c r="W10635" t="s">
        <v>193</v>
      </c>
    </row>
    <row r="10636" spans="1:23" x14ac:dyDescent="0.3">
      <c r="A10636" t="s">
        <v>35</v>
      </c>
      <c r="B10636" t="s">
        <v>210</v>
      </c>
      <c r="C10636">
        <v>136</v>
      </c>
      <c r="D10636" t="s">
        <v>1223</v>
      </c>
      <c r="E10636" t="s">
        <v>99</v>
      </c>
      <c r="F10636" t="s">
        <v>207</v>
      </c>
      <c r="G10636" t="s">
        <v>716</v>
      </c>
      <c r="H10636" t="s">
        <v>136</v>
      </c>
      <c r="I10636" t="s">
        <v>115</v>
      </c>
      <c r="J10636" t="s">
        <v>99</v>
      </c>
      <c r="K10636" t="s">
        <v>100</v>
      </c>
      <c r="L10636" t="s">
        <v>114</v>
      </c>
      <c r="M10636" t="s">
        <v>99</v>
      </c>
      <c r="N10636" t="s">
        <v>101</v>
      </c>
      <c r="O10636" t="s">
        <v>99</v>
      </c>
      <c r="P10636" t="s">
        <v>99</v>
      </c>
      <c r="Q10636" t="s">
        <v>99</v>
      </c>
      <c r="R10636" t="s">
        <v>332</v>
      </c>
      <c r="S10636" t="s">
        <v>99</v>
      </c>
      <c r="T10636" t="s">
        <v>99</v>
      </c>
      <c r="U10636" t="s">
        <v>118</v>
      </c>
      <c r="V10636" t="s">
        <v>726</v>
      </c>
      <c r="W10636" t="s">
        <v>149</v>
      </c>
    </row>
    <row r="10637" spans="1:23" x14ac:dyDescent="0.3">
      <c r="A10637" t="s">
        <v>35</v>
      </c>
      <c r="B10637" t="s">
        <v>212</v>
      </c>
      <c r="C10637">
        <v>2439</v>
      </c>
      <c r="D10637" t="s">
        <v>617</v>
      </c>
      <c r="E10637" t="s">
        <v>99</v>
      </c>
      <c r="F10637" t="s">
        <v>126</v>
      </c>
      <c r="G10637" t="s">
        <v>98</v>
      </c>
      <c r="H10637" t="s">
        <v>198</v>
      </c>
      <c r="I10637" t="s">
        <v>101</v>
      </c>
      <c r="J10637" t="s">
        <v>104</v>
      </c>
      <c r="K10637" t="s">
        <v>136</v>
      </c>
      <c r="L10637" t="s">
        <v>132</v>
      </c>
      <c r="M10637" t="s">
        <v>253</v>
      </c>
      <c r="N10637" t="s">
        <v>215</v>
      </c>
      <c r="O10637" t="s">
        <v>99</v>
      </c>
      <c r="P10637" t="s">
        <v>99</v>
      </c>
      <c r="Q10637" t="s">
        <v>104</v>
      </c>
      <c r="R10637" t="s">
        <v>141</v>
      </c>
      <c r="S10637" t="s">
        <v>253</v>
      </c>
      <c r="T10637" t="s">
        <v>207</v>
      </c>
      <c r="U10637" t="s">
        <v>121</v>
      </c>
      <c r="V10637" t="s">
        <v>730</v>
      </c>
      <c r="W10637" t="s">
        <v>253</v>
      </c>
    </row>
    <row r="10638" spans="1:23" x14ac:dyDescent="0.3">
      <c r="A10638" t="s">
        <v>35</v>
      </c>
      <c r="B10638" t="s">
        <v>216</v>
      </c>
      <c r="C10638">
        <v>565</v>
      </c>
      <c r="D10638" t="s">
        <v>603</v>
      </c>
      <c r="E10638" t="s">
        <v>99</v>
      </c>
      <c r="F10638" t="s">
        <v>139</v>
      </c>
      <c r="G10638" t="s">
        <v>112</v>
      </c>
      <c r="H10638" t="s">
        <v>198</v>
      </c>
      <c r="I10638" t="s">
        <v>123</v>
      </c>
      <c r="J10638" t="s">
        <v>132</v>
      </c>
      <c r="K10638" t="s">
        <v>292</v>
      </c>
      <c r="L10638" t="s">
        <v>138</v>
      </c>
      <c r="M10638" t="s">
        <v>104</v>
      </c>
      <c r="N10638" t="s">
        <v>332</v>
      </c>
      <c r="O10638" t="s">
        <v>99</v>
      </c>
      <c r="P10638" t="s">
        <v>99</v>
      </c>
      <c r="Q10638" t="s">
        <v>198</v>
      </c>
      <c r="R10638" t="s">
        <v>141</v>
      </c>
      <c r="S10638" t="s">
        <v>99</v>
      </c>
      <c r="T10638" t="s">
        <v>115</v>
      </c>
      <c r="U10638" t="s">
        <v>434</v>
      </c>
      <c r="V10638" t="s">
        <v>1045</v>
      </c>
      <c r="W10638" t="s">
        <v>108</v>
      </c>
    </row>
    <row r="10639" spans="1:23" x14ac:dyDescent="0.3">
      <c r="A10639" t="s">
        <v>37</v>
      </c>
      <c r="B10639" t="s">
        <v>210</v>
      </c>
      <c r="C10639">
        <v>138</v>
      </c>
      <c r="D10639" t="s">
        <v>1143</v>
      </c>
      <c r="E10639" t="s">
        <v>141</v>
      </c>
      <c r="F10639" t="s">
        <v>292</v>
      </c>
      <c r="G10639" t="s">
        <v>99</v>
      </c>
      <c r="H10639" t="s">
        <v>141</v>
      </c>
      <c r="I10639" t="s">
        <v>814</v>
      </c>
      <c r="J10639" t="s">
        <v>416</v>
      </c>
      <c r="K10639" t="s">
        <v>292</v>
      </c>
      <c r="L10639" t="s">
        <v>144</v>
      </c>
      <c r="M10639" t="s">
        <v>382</v>
      </c>
      <c r="N10639" t="s">
        <v>299</v>
      </c>
      <c r="O10639" t="s">
        <v>99</v>
      </c>
      <c r="P10639" t="s">
        <v>120</v>
      </c>
      <c r="Q10639" t="s">
        <v>141</v>
      </c>
      <c r="R10639" t="s">
        <v>110</v>
      </c>
      <c r="S10639" t="s">
        <v>136</v>
      </c>
      <c r="T10639" t="s">
        <v>99</v>
      </c>
      <c r="U10639" t="s">
        <v>99</v>
      </c>
      <c r="V10639" t="s">
        <v>501</v>
      </c>
      <c r="W10639" t="s">
        <v>99</v>
      </c>
    </row>
    <row r="10640" spans="1:23" x14ac:dyDescent="0.3">
      <c r="A10640" t="s">
        <v>37</v>
      </c>
      <c r="B10640" t="s">
        <v>212</v>
      </c>
      <c r="C10640">
        <v>3606</v>
      </c>
      <c r="D10640" t="s">
        <v>1405</v>
      </c>
      <c r="E10640" t="s">
        <v>198</v>
      </c>
      <c r="F10640" t="s">
        <v>121</v>
      </c>
      <c r="G10640" t="s">
        <v>136</v>
      </c>
      <c r="H10640" t="s">
        <v>132</v>
      </c>
      <c r="I10640" t="s">
        <v>126</v>
      </c>
      <c r="J10640" t="s">
        <v>128</v>
      </c>
      <c r="K10640" t="s">
        <v>114</v>
      </c>
      <c r="L10640" t="s">
        <v>108</v>
      </c>
      <c r="M10640" t="s">
        <v>253</v>
      </c>
      <c r="N10640" t="s">
        <v>120</v>
      </c>
      <c r="O10640" t="s">
        <v>198</v>
      </c>
      <c r="P10640" t="s">
        <v>198</v>
      </c>
      <c r="Q10640" t="s">
        <v>104</v>
      </c>
      <c r="R10640" t="s">
        <v>108</v>
      </c>
      <c r="S10640" t="s">
        <v>104</v>
      </c>
      <c r="T10640" t="s">
        <v>104</v>
      </c>
      <c r="U10640" t="s">
        <v>136</v>
      </c>
      <c r="V10640" t="s">
        <v>798</v>
      </c>
      <c r="W10640" t="s">
        <v>207</v>
      </c>
    </row>
    <row r="10641" spans="1:23" x14ac:dyDescent="0.3">
      <c r="A10641" t="s">
        <v>37</v>
      </c>
      <c r="B10641" t="s">
        <v>216</v>
      </c>
      <c r="C10641">
        <v>111</v>
      </c>
      <c r="D10641" t="s">
        <v>1171</v>
      </c>
      <c r="E10641" t="s">
        <v>99</v>
      </c>
      <c r="F10641" t="s">
        <v>144</v>
      </c>
      <c r="G10641" t="s">
        <v>316</v>
      </c>
      <c r="H10641" t="s">
        <v>99</v>
      </c>
      <c r="I10641" t="s">
        <v>138</v>
      </c>
      <c r="J10641" t="s">
        <v>254</v>
      </c>
      <c r="K10641" t="s">
        <v>99</v>
      </c>
      <c r="L10641" t="s">
        <v>147</v>
      </c>
      <c r="M10641" t="s">
        <v>99</v>
      </c>
      <c r="N10641" t="s">
        <v>461</v>
      </c>
      <c r="O10641" t="s">
        <v>99</v>
      </c>
      <c r="P10641" t="s">
        <v>99</v>
      </c>
      <c r="Q10641" t="s">
        <v>99</v>
      </c>
      <c r="R10641" t="s">
        <v>99</v>
      </c>
      <c r="S10641" t="s">
        <v>99</v>
      </c>
      <c r="T10641" t="s">
        <v>99</v>
      </c>
      <c r="U10641" t="s">
        <v>100</v>
      </c>
      <c r="V10641" t="s">
        <v>316</v>
      </c>
      <c r="W10641" t="s">
        <v>99</v>
      </c>
    </row>
    <row r="10642" spans="1:23" x14ac:dyDescent="0.3">
      <c r="A10642" t="s">
        <v>36</v>
      </c>
      <c r="B10642" t="s">
        <v>210</v>
      </c>
      <c r="C10642">
        <v>165</v>
      </c>
      <c r="D10642" t="s">
        <v>646</v>
      </c>
      <c r="E10642" t="s">
        <v>115</v>
      </c>
      <c r="F10642" t="s">
        <v>382</v>
      </c>
      <c r="G10642" t="s">
        <v>679</v>
      </c>
      <c r="H10642" t="s">
        <v>136</v>
      </c>
      <c r="I10642" t="s">
        <v>107</v>
      </c>
      <c r="J10642" t="s">
        <v>104</v>
      </c>
      <c r="K10642" t="s">
        <v>107</v>
      </c>
      <c r="L10642" t="s">
        <v>112</v>
      </c>
      <c r="M10642" t="s">
        <v>99</v>
      </c>
      <c r="N10642" t="s">
        <v>115</v>
      </c>
      <c r="O10642" t="s">
        <v>136</v>
      </c>
      <c r="P10642" t="s">
        <v>99</v>
      </c>
      <c r="Q10642" t="s">
        <v>319</v>
      </c>
      <c r="R10642" t="s">
        <v>382</v>
      </c>
      <c r="S10642" t="s">
        <v>99</v>
      </c>
      <c r="T10642" t="s">
        <v>99</v>
      </c>
      <c r="U10642" t="s">
        <v>105</v>
      </c>
      <c r="V10642" t="s">
        <v>463</v>
      </c>
      <c r="W10642" t="s">
        <v>117</v>
      </c>
    </row>
    <row r="10643" spans="1:23" x14ac:dyDescent="0.3">
      <c r="A10643" t="s">
        <v>36</v>
      </c>
      <c r="B10643" t="s">
        <v>212</v>
      </c>
      <c r="C10643">
        <v>1873</v>
      </c>
      <c r="D10643" t="s">
        <v>997</v>
      </c>
      <c r="E10643" t="s">
        <v>132</v>
      </c>
      <c r="F10643" t="s">
        <v>412</v>
      </c>
      <c r="G10643" t="s">
        <v>157</v>
      </c>
      <c r="H10643" t="s">
        <v>207</v>
      </c>
      <c r="I10643" t="s">
        <v>292</v>
      </c>
      <c r="J10643" t="s">
        <v>382</v>
      </c>
      <c r="K10643" t="s">
        <v>117</v>
      </c>
      <c r="L10643" t="s">
        <v>114</v>
      </c>
      <c r="M10643" t="s">
        <v>114</v>
      </c>
      <c r="N10643" t="s">
        <v>319</v>
      </c>
      <c r="O10643" t="s">
        <v>100</v>
      </c>
      <c r="P10643" t="s">
        <v>115</v>
      </c>
      <c r="Q10643" t="s">
        <v>198</v>
      </c>
      <c r="R10643" t="s">
        <v>108</v>
      </c>
      <c r="S10643" t="s">
        <v>104</v>
      </c>
      <c r="T10643" t="s">
        <v>136</v>
      </c>
      <c r="U10643" t="s">
        <v>127</v>
      </c>
      <c r="V10643" t="s">
        <v>406</v>
      </c>
      <c r="W10643" t="s">
        <v>104</v>
      </c>
    </row>
    <row r="10644" spans="1:23" x14ac:dyDescent="0.3">
      <c r="A10644" t="s">
        <v>36</v>
      </c>
      <c r="B10644" t="s">
        <v>216</v>
      </c>
      <c r="C10644">
        <v>265</v>
      </c>
      <c r="D10644" t="s">
        <v>528</v>
      </c>
      <c r="E10644" t="s">
        <v>99</v>
      </c>
      <c r="F10644" t="s">
        <v>382</v>
      </c>
      <c r="G10644" t="s">
        <v>167</v>
      </c>
      <c r="H10644" t="s">
        <v>104</v>
      </c>
      <c r="I10644" t="s">
        <v>111</v>
      </c>
      <c r="J10644" t="s">
        <v>139</v>
      </c>
      <c r="K10644" t="s">
        <v>104</v>
      </c>
      <c r="L10644" t="s">
        <v>104</v>
      </c>
      <c r="M10644" t="s">
        <v>99</v>
      </c>
      <c r="N10644" t="s">
        <v>268</v>
      </c>
      <c r="O10644" t="s">
        <v>104</v>
      </c>
      <c r="P10644" t="s">
        <v>104</v>
      </c>
      <c r="Q10644" t="s">
        <v>99</v>
      </c>
      <c r="R10644" t="s">
        <v>253</v>
      </c>
      <c r="S10644" t="s">
        <v>99</v>
      </c>
      <c r="T10644" t="s">
        <v>712</v>
      </c>
      <c r="U10644" t="s">
        <v>712</v>
      </c>
      <c r="V10644" t="s">
        <v>465</v>
      </c>
      <c r="W10644" t="s">
        <v>99</v>
      </c>
    </row>
    <row r="10645" spans="1:23" x14ac:dyDescent="0.3">
      <c r="A10645" t="s">
        <v>34</v>
      </c>
      <c r="B10645" t="s">
        <v>210</v>
      </c>
      <c r="C10645">
        <v>255</v>
      </c>
      <c r="D10645" t="s">
        <v>646</v>
      </c>
      <c r="E10645" t="s">
        <v>141</v>
      </c>
      <c r="F10645" t="s">
        <v>268</v>
      </c>
      <c r="G10645" t="s">
        <v>372</v>
      </c>
      <c r="H10645" t="s">
        <v>132</v>
      </c>
      <c r="I10645" t="s">
        <v>253</v>
      </c>
      <c r="J10645" t="s">
        <v>99</v>
      </c>
      <c r="K10645" t="s">
        <v>99</v>
      </c>
      <c r="L10645" t="s">
        <v>132</v>
      </c>
      <c r="M10645" t="s">
        <v>132</v>
      </c>
      <c r="N10645" t="s">
        <v>99</v>
      </c>
      <c r="O10645" t="s">
        <v>99</v>
      </c>
      <c r="P10645" t="s">
        <v>99</v>
      </c>
      <c r="Q10645" t="s">
        <v>114</v>
      </c>
      <c r="R10645" t="s">
        <v>110</v>
      </c>
      <c r="S10645" t="s">
        <v>99</v>
      </c>
      <c r="T10645" t="s">
        <v>99</v>
      </c>
      <c r="U10645" t="s">
        <v>132</v>
      </c>
      <c r="V10645" t="s">
        <v>720</v>
      </c>
      <c r="W10645" t="s">
        <v>99</v>
      </c>
    </row>
    <row r="10646" spans="1:23" x14ac:dyDescent="0.3">
      <c r="A10646" t="s">
        <v>34</v>
      </c>
      <c r="B10646" t="s">
        <v>212</v>
      </c>
      <c r="C10646">
        <v>1578</v>
      </c>
      <c r="D10646" t="s">
        <v>1180</v>
      </c>
      <c r="E10646" t="s">
        <v>104</v>
      </c>
      <c r="F10646" t="s">
        <v>684</v>
      </c>
      <c r="G10646" t="s">
        <v>311</v>
      </c>
      <c r="H10646" t="s">
        <v>207</v>
      </c>
      <c r="I10646" t="s">
        <v>141</v>
      </c>
      <c r="J10646" t="s">
        <v>207</v>
      </c>
      <c r="K10646" t="s">
        <v>111</v>
      </c>
      <c r="L10646" t="s">
        <v>253</v>
      </c>
      <c r="M10646" t="s">
        <v>207</v>
      </c>
      <c r="N10646" t="s">
        <v>136</v>
      </c>
      <c r="O10646" t="s">
        <v>99</v>
      </c>
      <c r="P10646" t="s">
        <v>99</v>
      </c>
      <c r="Q10646" t="s">
        <v>108</v>
      </c>
      <c r="R10646" t="s">
        <v>128</v>
      </c>
      <c r="S10646" t="s">
        <v>198</v>
      </c>
      <c r="T10646" t="s">
        <v>99</v>
      </c>
      <c r="U10646" t="s">
        <v>108</v>
      </c>
      <c r="V10646" t="s">
        <v>478</v>
      </c>
      <c r="W10646" t="s">
        <v>207</v>
      </c>
    </row>
    <row r="10647" spans="1:23" x14ac:dyDescent="0.3">
      <c r="A10647" t="s">
        <v>34</v>
      </c>
      <c r="B10647" t="s">
        <v>216</v>
      </c>
      <c r="C10647">
        <v>240</v>
      </c>
      <c r="D10647" t="s">
        <v>557</v>
      </c>
      <c r="E10647" t="s">
        <v>104</v>
      </c>
      <c r="F10647" t="s">
        <v>100</v>
      </c>
      <c r="G10647" t="s">
        <v>58</v>
      </c>
      <c r="H10647" t="s">
        <v>99</v>
      </c>
      <c r="I10647" t="s">
        <v>108</v>
      </c>
      <c r="J10647" t="s">
        <v>136</v>
      </c>
      <c r="K10647" t="s">
        <v>99</v>
      </c>
      <c r="L10647" t="s">
        <v>253</v>
      </c>
      <c r="M10647" t="s">
        <v>104</v>
      </c>
      <c r="N10647" t="s">
        <v>100</v>
      </c>
      <c r="O10647" t="s">
        <v>99</v>
      </c>
      <c r="P10647" t="s">
        <v>99</v>
      </c>
      <c r="Q10647" t="s">
        <v>154</v>
      </c>
      <c r="R10647" t="s">
        <v>220</v>
      </c>
      <c r="S10647" t="s">
        <v>207</v>
      </c>
      <c r="T10647" t="s">
        <v>104</v>
      </c>
      <c r="U10647" t="s">
        <v>103</v>
      </c>
      <c r="V10647" t="s">
        <v>298</v>
      </c>
      <c r="W10647" t="s">
        <v>101</v>
      </c>
    </row>
    <row r="10648" spans="1:23" x14ac:dyDescent="0.3">
      <c r="A10648" t="s">
        <v>33</v>
      </c>
      <c r="B10648" t="s">
        <v>210</v>
      </c>
      <c r="C10648">
        <v>68</v>
      </c>
      <c r="D10648" t="s">
        <v>73</v>
      </c>
      <c r="E10648" t="s">
        <v>99</v>
      </c>
      <c r="F10648" t="s">
        <v>215</v>
      </c>
      <c r="G10648" t="s">
        <v>99</v>
      </c>
      <c r="H10648" t="s">
        <v>99</v>
      </c>
      <c r="I10648" t="s">
        <v>99</v>
      </c>
      <c r="J10648" t="s">
        <v>99</v>
      </c>
      <c r="K10648" t="s">
        <v>108</v>
      </c>
      <c r="L10648" t="s">
        <v>99</v>
      </c>
      <c r="M10648" t="s">
        <v>99</v>
      </c>
      <c r="N10648" t="s">
        <v>215</v>
      </c>
      <c r="O10648" t="s">
        <v>99</v>
      </c>
      <c r="P10648" t="s">
        <v>99</v>
      </c>
      <c r="Q10648" t="s">
        <v>99</v>
      </c>
      <c r="R10648" t="s">
        <v>101</v>
      </c>
      <c r="S10648" t="s">
        <v>99</v>
      </c>
      <c r="T10648" t="s">
        <v>99</v>
      </c>
      <c r="U10648" t="s">
        <v>99</v>
      </c>
      <c r="V10648" t="s">
        <v>139</v>
      </c>
      <c r="W10648" t="s">
        <v>99</v>
      </c>
    </row>
    <row r="10649" spans="1:23" x14ac:dyDescent="0.3">
      <c r="A10649" t="s">
        <v>33</v>
      </c>
      <c r="B10649" t="s">
        <v>212</v>
      </c>
      <c r="C10649">
        <v>1800</v>
      </c>
      <c r="D10649" t="s">
        <v>172</v>
      </c>
      <c r="E10649" t="s">
        <v>108</v>
      </c>
      <c r="F10649" t="s">
        <v>151</v>
      </c>
      <c r="G10649" t="s">
        <v>108</v>
      </c>
      <c r="H10649" t="s">
        <v>207</v>
      </c>
      <c r="I10649" t="s">
        <v>136</v>
      </c>
      <c r="J10649" t="s">
        <v>207</v>
      </c>
      <c r="K10649" t="s">
        <v>382</v>
      </c>
      <c r="L10649" t="s">
        <v>132</v>
      </c>
      <c r="M10649" t="s">
        <v>253</v>
      </c>
      <c r="N10649" t="s">
        <v>114</v>
      </c>
      <c r="O10649" t="s">
        <v>104</v>
      </c>
      <c r="P10649" t="s">
        <v>198</v>
      </c>
      <c r="Q10649" t="s">
        <v>104</v>
      </c>
      <c r="R10649" t="s">
        <v>115</v>
      </c>
      <c r="S10649" t="s">
        <v>99</v>
      </c>
      <c r="T10649" t="s">
        <v>99</v>
      </c>
      <c r="U10649" t="s">
        <v>104</v>
      </c>
      <c r="V10649" t="s">
        <v>128</v>
      </c>
      <c r="W10649" t="s">
        <v>99</v>
      </c>
    </row>
    <row r="10650" spans="1:23" x14ac:dyDescent="0.3">
      <c r="A10650" t="s">
        <v>33</v>
      </c>
      <c r="B10650" t="s">
        <v>216</v>
      </c>
      <c r="C10650">
        <v>69</v>
      </c>
      <c r="D10650" t="s">
        <v>926</v>
      </c>
      <c r="E10650" t="s">
        <v>99</v>
      </c>
      <c r="F10650" t="s">
        <v>814</v>
      </c>
      <c r="G10650" t="s">
        <v>112</v>
      </c>
      <c r="H10650" t="s">
        <v>99</v>
      </c>
      <c r="I10650" t="s">
        <v>99</v>
      </c>
      <c r="J10650" t="s">
        <v>99</v>
      </c>
      <c r="K10650" t="s">
        <v>118</v>
      </c>
      <c r="L10650" t="s">
        <v>99</v>
      </c>
      <c r="M10650" t="s">
        <v>99</v>
      </c>
      <c r="N10650" t="s">
        <v>182</v>
      </c>
      <c r="O10650" t="s">
        <v>99</v>
      </c>
      <c r="P10650" t="s">
        <v>99</v>
      </c>
      <c r="Q10650" t="s">
        <v>127</v>
      </c>
      <c r="R10650" t="s">
        <v>68</v>
      </c>
      <c r="S10650" t="s">
        <v>99</v>
      </c>
      <c r="T10650" t="s">
        <v>99</v>
      </c>
      <c r="U10650" t="s">
        <v>99</v>
      </c>
      <c r="V10650" t="s">
        <v>363</v>
      </c>
      <c r="W10650" t="s">
        <v>99</v>
      </c>
    </row>
    <row r="10651" spans="1:23" x14ac:dyDescent="0.3">
      <c r="A10651" t="s">
        <v>49</v>
      </c>
      <c r="B10651" t="s">
        <v>210</v>
      </c>
      <c r="C10651">
        <v>762</v>
      </c>
      <c r="D10651" t="s">
        <v>917</v>
      </c>
      <c r="E10651" t="s">
        <v>136</v>
      </c>
      <c r="F10651" t="s">
        <v>215</v>
      </c>
      <c r="G10651" t="s">
        <v>220</v>
      </c>
      <c r="H10651" t="s">
        <v>253</v>
      </c>
      <c r="I10651" t="s">
        <v>107</v>
      </c>
      <c r="J10651" t="s">
        <v>123</v>
      </c>
      <c r="K10651" t="s">
        <v>114</v>
      </c>
      <c r="L10651" t="s">
        <v>292</v>
      </c>
      <c r="M10651" t="s">
        <v>253</v>
      </c>
      <c r="N10651" t="s">
        <v>127</v>
      </c>
      <c r="O10651" t="s">
        <v>104</v>
      </c>
      <c r="P10651" t="s">
        <v>136</v>
      </c>
      <c r="Q10651" t="s">
        <v>115</v>
      </c>
      <c r="R10651" t="s">
        <v>138</v>
      </c>
      <c r="S10651" t="s">
        <v>104</v>
      </c>
      <c r="T10651" t="s">
        <v>99</v>
      </c>
      <c r="U10651" t="s">
        <v>382</v>
      </c>
      <c r="V10651" t="s">
        <v>373</v>
      </c>
      <c r="W10651" t="s">
        <v>101</v>
      </c>
    </row>
    <row r="10652" spans="1:23" x14ac:dyDescent="0.3">
      <c r="A10652" t="s">
        <v>49</v>
      </c>
      <c r="B10652" t="s">
        <v>212</v>
      </c>
      <c r="C10652">
        <v>11296</v>
      </c>
      <c r="D10652" t="s">
        <v>1279</v>
      </c>
      <c r="E10652" t="s">
        <v>207</v>
      </c>
      <c r="F10652" t="s">
        <v>117</v>
      </c>
      <c r="G10652" t="s">
        <v>154</v>
      </c>
      <c r="H10652" t="s">
        <v>136</v>
      </c>
      <c r="I10652" t="s">
        <v>100</v>
      </c>
      <c r="J10652" t="s">
        <v>100</v>
      </c>
      <c r="K10652" t="s">
        <v>101</v>
      </c>
      <c r="L10652" t="s">
        <v>132</v>
      </c>
      <c r="M10652" t="s">
        <v>253</v>
      </c>
      <c r="N10652" t="s">
        <v>215</v>
      </c>
      <c r="O10652" t="s">
        <v>198</v>
      </c>
      <c r="P10652" t="s">
        <v>198</v>
      </c>
      <c r="Q10652" t="s">
        <v>198</v>
      </c>
      <c r="R10652" t="s">
        <v>100</v>
      </c>
      <c r="S10652" t="s">
        <v>198</v>
      </c>
      <c r="T10652" t="s">
        <v>104</v>
      </c>
      <c r="U10652" t="s">
        <v>115</v>
      </c>
      <c r="V10652" t="s">
        <v>704</v>
      </c>
      <c r="W10652" t="s">
        <v>207</v>
      </c>
    </row>
    <row r="10653" spans="1:23" x14ac:dyDescent="0.3">
      <c r="A10653" t="s">
        <v>49</v>
      </c>
      <c r="B10653" t="s">
        <v>216</v>
      </c>
      <c r="C10653">
        <v>1250</v>
      </c>
      <c r="D10653" t="s">
        <v>1190</v>
      </c>
      <c r="E10653" t="s">
        <v>99</v>
      </c>
      <c r="F10653" t="s">
        <v>130</v>
      </c>
      <c r="G10653" t="s">
        <v>171</v>
      </c>
      <c r="H10653" t="s">
        <v>104</v>
      </c>
      <c r="I10653" t="s">
        <v>215</v>
      </c>
      <c r="J10653" t="s">
        <v>101</v>
      </c>
      <c r="K10653" t="s">
        <v>126</v>
      </c>
      <c r="L10653" t="s">
        <v>268</v>
      </c>
      <c r="M10653" t="s">
        <v>104</v>
      </c>
      <c r="N10653" t="s">
        <v>155</v>
      </c>
      <c r="O10653" t="s">
        <v>99</v>
      </c>
      <c r="P10653" t="s">
        <v>99</v>
      </c>
      <c r="Q10653" t="s">
        <v>114</v>
      </c>
      <c r="R10653" t="s">
        <v>316</v>
      </c>
      <c r="S10653" t="s">
        <v>104</v>
      </c>
      <c r="T10653" t="s">
        <v>132</v>
      </c>
      <c r="U10653" t="s">
        <v>332</v>
      </c>
      <c r="V10653" t="s">
        <v>820</v>
      </c>
      <c r="W10653" t="s">
        <v>132</v>
      </c>
    </row>
    <row r="10655" spans="1:23" x14ac:dyDescent="0.3">
      <c r="A10655" t="s">
        <v>2545</v>
      </c>
    </row>
    <row r="10656" spans="1:23" x14ac:dyDescent="0.3">
      <c r="A10656" t="s">
        <v>44</v>
      </c>
      <c r="B10656" t="s">
        <v>388</v>
      </c>
      <c r="C10656" t="s">
        <v>32</v>
      </c>
      <c r="D10656" t="s">
        <v>1323</v>
      </c>
      <c r="E10656" t="s">
        <v>2520</v>
      </c>
      <c r="F10656" t="s">
        <v>2521</v>
      </c>
      <c r="G10656" t="s">
        <v>2522</v>
      </c>
      <c r="H10656" t="s">
        <v>2541</v>
      </c>
      <c r="I10656" t="s">
        <v>2523</v>
      </c>
      <c r="J10656" t="s">
        <v>2542</v>
      </c>
      <c r="K10656" t="s">
        <v>2524</v>
      </c>
      <c r="L10656" t="s">
        <v>2525</v>
      </c>
      <c r="M10656" t="s">
        <v>2526</v>
      </c>
      <c r="N10656" t="s">
        <v>2527</v>
      </c>
      <c r="O10656" t="s">
        <v>2528</v>
      </c>
      <c r="P10656" t="s">
        <v>2529</v>
      </c>
      <c r="Q10656" t="s">
        <v>2530</v>
      </c>
      <c r="R10656" t="s">
        <v>2531</v>
      </c>
      <c r="S10656" t="s">
        <v>2532</v>
      </c>
      <c r="T10656" t="s">
        <v>2533</v>
      </c>
      <c r="U10656" t="s">
        <v>1275</v>
      </c>
      <c r="V10656" t="s">
        <v>83</v>
      </c>
      <c r="W10656" t="s">
        <v>193</v>
      </c>
    </row>
    <row r="10657" spans="1:23" x14ac:dyDescent="0.3">
      <c r="A10657" t="s">
        <v>35</v>
      </c>
      <c r="B10657" t="s">
        <v>389</v>
      </c>
      <c r="C10657">
        <v>2140</v>
      </c>
      <c r="D10657" t="s">
        <v>1111</v>
      </c>
      <c r="E10657" t="s">
        <v>99</v>
      </c>
      <c r="F10657" t="s">
        <v>103</v>
      </c>
      <c r="G10657" t="s">
        <v>98</v>
      </c>
      <c r="H10657" t="s">
        <v>198</v>
      </c>
      <c r="I10657" t="s">
        <v>101</v>
      </c>
      <c r="J10657" t="s">
        <v>207</v>
      </c>
      <c r="K10657" t="s">
        <v>132</v>
      </c>
      <c r="L10657" t="s">
        <v>215</v>
      </c>
      <c r="M10657" t="s">
        <v>253</v>
      </c>
      <c r="N10657" t="s">
        <v>127</v>
      </c>
      <c r="O10657" t="s">
        <v>99</v>
      </c>
      <c r="P10657" t="s">
        <v>104</v>
      </c>
      <c r="Q10657" t="s">
        <v>104</v>
      </c>
      <c r="R10657" t="s">
        <v>115</v>
      </c>
      <c r="S10657" t="s">
        <v>207</v>
      </c>
      <c r="T10657" t="s">
        <v>253</v>
      </c>
      <c r="U10657" t="s">
        <v>103</v>
      </c>
      <c r="V10657" t="s">
        <v>437</v>
      </c>
      <c r="W10657" t="s">
        <v>100</v>
      </c>
    </row>
    <row r="10658" spans="1:23" x14ac:dyDescent="0.3">
      <c r="A10658" t="s">
        <v>35</v>
      </c>
      <c r="B10658" t="s">
        <v>390</v>
      </c>
      <c r="C10658">
        <v>872</v>
      </c>
      <c r="D10658" t="s">
        <v>1650</v>
      </c>
      <c r="E10658" t="s">
        <v>99</v>
      </c>
      <c r="F10658" t="s">
        <v>123</v>
      </c>
      <c r="G10658" t="s">
        <v>412</v>
      </c>
      <c r="H10658" t="s">
        <v>198</v>
      </c>
      <c r="I10658" t="s">
        <v>121</v>
      </c>
      <c r="J10658" t="s">
        <v>198</v>
      </c>
      <c r="K10658" t="s">
        <v>319</v>
      </c>
      <c r="L10658" t="s">
        <v>136</v>
      </c>
      <c r="M10658" t="s">
        <v>99</v>
      </c>
      <c r="N10658" t="s">
        <v>316</v>
      </c>
      <c r="O10658" t="s">
        <v>99</v>
      </c>
      <c r="P10658" t="s">
        <v>99</v>
      </c>
      <c r="Q10658" t="s">
        <v>198</v>
      </c>
      <c r="R10658" t="s">
        <v>253</v>
      </c>
      <c r="S10658" t="s">
        <v>115</v>
      </c>
      <c r="T10658" t="s">
        <v>99</v>
      </c>
      <c r="U10658" t="s">
        <v>141</v>
      </c>
      <c r="V10658" t="s">
        <v>1105</v>
      </c>
      <c r="W10658" t="s">
        <v>207</v>
      </c>
    </row>
    <row r="10659" spans="1:23" x14ac:dyDescent="0.3">
      <c r="A10659" t="s">
        <v>35</v>
      </c>
      <c r="B10659" t="s">
        <v>365</v>
      </c>
      <c r="C10659">
        <v>128</v>
      </c>
      <c r="D10659" t="s">
        <v>1237</v>
      </c>
      <c r="E10659" t="s">
        <v>99</v>
      </c>
      <c r="F10659" t="s">
        <v>100</v>
      </c>
      <c r="G10659" t="s">
        <v>401</v>
      </c>
      <c r="H10659" t="s">
        <v>99</v>
      </c>
      <c r="I10659" t="s">
        <v>412</v>
      </c>
      <c r="J10659" t="s">
        <v>99</v>
      </c>
      <c r="K10659" t="s">
        <v>99</v>
      </c>
      <c r="L10659" t="s">
        <v>412</v>
      </c>
      <c r="M10659" t="s">
        <v>198</v>
      </c>
      <c r="N10659" t="s">
        <v>109</v>
      </c>
      <c r="O10659" t="s">
        <v>198</v>
      </c>
      <c r="P10659" t="s">
        <v>99</v>
      </c>
      <c r="Q10659" t="s">
        <v>99</v>
      </c>
      <c r="R10659" t="s">
        <v>99</v>
      </c>
      <c r="S10659" t="s">
        <v>99</v>
      </c>
      <c r="T10659" t="s">
        <v>99</v>
      </c>
      <c r="U10659" t="s">
        <v>124</v>
      </c>
      <c r="V10659" t="s">
        <v>440</v>
      </c>
      <c r="W10659" t="s">
        <v>115</v>
      </c>
    </row>
    <row r="10660" spans="1:23" x14ac:dyDescent="0.3">
      <c r="A10660" t="s">
        <v>37</v>
      </c>
      <c r="B10660" t="s">
        <v>389</v>
      </c>
      <c r="C10660">
        <v>2305</v>
      </c>
      <c r="D10660" t="s">
        <v>1064</v>
      </c>
      <c r="E10660" t="s">
        <v>198</v>
      </c>
      <c r="F10660" t="s">
        <v>100</v>
      </c>
      <c r="G10660" t="s">
        <v>207</v>
      </c>
      <c r="H10660" t="s">
        <v>132</v>
      </c>
      <c r="I10660" t="s">
        <v>268</v>
      </c>
      <c r="J10660" t="s">
        <v>316</v>
      </c>
      <c r="K10660" t="s">
        <v>136</v>
      </c>
      <c r="L10660" t="s">
        <v>121</v>
      </c>
      <c r="M10660" t="s">
        <v>115</v>
      </c>
      <c r="N10660" t="s">
        <v>120</v>
      </c>
      <c r="O10660" t="s">
        <v>198</v>
      </c>
      <c r="P10660" t="s">
        <v>136</v>
      </c>
      <c r="Q10660" t="s">
        <v>198</v>
      </c>
      <c r="R10660" t="s">
        <v>132</v>
      </c>
      <c r="S10660" t="s">
        <v>198</v>
      </c>
      <c r="T10660" t="s">
        <v>104</v>
      </c>
      <c r="U10660" t="s">
        <v>141</v>
      </c>
      <c r="V10660" t="s">
        <v>355</v>
      </c>
      <c r="W10660" t="s">
        <v>198</v>
      </c>
    </row>
    <row r="10661" spans="1:23" x14ac:dyDescent="0.3">
      <c r="A10661" t="s">
        <v>37</v>
      </c>
      <c r="B10661" t="s">
        <v>390</v>
      </c>
      <c r="C10661">
        <v>1309</v>
      </c>
      <c r="D10661" t="s">
        <v>57</v>
      </c>
      <c r="E10661" t="s">
        <v>99</v>
      </c>
      <c r="F10661" t="s">
        <v>382</v>
      </c>
      <c r="G10661" t="s">
        <v>253</v>
      </c>
      <c r="H10661" t="s">
        <v>108</v>
      </c>
      <c r="I10661" t="s">
        <v>151</v>
      </c>
      <c r="J10661" t="s">
        <v>155</v>
      </c>
      <c r="K10661" t="s">
        <v>382</v>
      </c>
      <c r="L10661" t="s">
        <v>121</v>
      </c>
      <c r="M10661" t="s">
        <v>136</v>
      </c>
      <c r="N10661" t="s">
        <v>107</v>
      </c>
      <c r="O10661" t="s">
        <v>198</v>
      </c>
      <c r="P10661" t="s">
        <v>104</v>
      </c>
      <c r="Q10661" t="s">
        <v>99</v>
      </c>
      <c r="R10661" t="s">
        <v>101</v>
      </c>
      <c r="S10661" t="s">
        <v>104</v>
      </c>
      <c r="T10661" t="s">
        <v>99</v>
      </c>
      <c r="U10661" t="s">
        <v>198</v>
      </c>
      <c r="V10661" t="s">
        <v>373</v>
      </c>
      <c r="W10661" t="s">
        <v>104</v>
      </c>
    </row>
    <row r="10662" spans="1:23" x14ac:dyDescent="0.3">
      <c r="A10662" t="s">
        <v>37</v>
      </c>
      <c r="B10662" t="s">
        <v>365</v>
      </c>
      <c r="C10662">
        <v>241</v>
      </c>
      <c r="D10662" t="s">
        <v>1047</v>
      </c>
      <c r="E10662" t="s">
        <v>253</v>
      </c>
      <c r="F10662" t="s">
        <v>123</v>
      </c>
      <c r="G10662" t="s">
        <v>207</v>
      </c>
      <c r="H10662" t="s">
        <v>198</v>
      </c>
      <c r="I10662" t="s">
        <v>99</v>
      </c>
      <c r="J10662" t="s">
        <v>135</v>
      </c>
      <c r="K10662" t="s">
        <v>120</v>
      </c>
      <c r="L10662" t="s">
        <v>382</v>
      </c>
      <c r="M10662" t="s">
        <v>141</v>
      </c>
      <c r="N10662" t="s">
        <v>679</v>
      </c>
      <c r="O10662" t="s">
        <v>108</v>
      </c>
      <c r="P10662" t="s">
        <v>198</v>
      </c>
      <c r="Q10662" t="s">
        <v>99</v>
      </c>
      <c r="R10662" t="s">
        <v>108</v>
      </c>
      <c r="S10662" t="s">
        <v>99</v>
      </c>
      <c r="T10662" t="s">
        <v>99</v>
      </c>
      <c r="U10662" t="s">
        <v>108</v>
      </c>
      <c r="V10662" t="s">
        <v>716</v>
      </c>
      <c r="W10662" t="s">
        <v>319</v>
      </c>
    </row>
    <row r="10663" spans="1:23" x14ac:dyDescent="0.3">
      <c r="A10663" t="s">
        <v>36</v>
      </c>
      <c r="B10663" t="s">
        <v>389</v>
      </c>
      <c r="C10663">
        <v>1576</v>
      </c>
      <c r="D10663" t="s">
        <v>949</v>
      </c>
      <c r="E10663" t="s">
        <v>136</v>
      </c>
      <c r="F10663" t="s">
        <v>138</v>
      </c>
      <c r="G10663" t="s">
        <v>204</v>
      </c>
      <c r="H10663" t="s">
        <v>198</v>
      </c>
      <c r="I10663" t="s">
        <v>292</v>
      </c>
      <c r="J10663" t="s">
        <v>292</v>
      </c>
      <c r="K10663" t="s">
        <v>117</v>
      </c>
      <c r="L10663" t="s">
        <v>121</v>
      </c>
      <c r="M10663" t="s">
        <v>136</v>
      </c>
      <c r="N10663" t="s">
        <v>114</v>
      </c>
      <c r="O10663" t="s">
        <v>132</v>
      </c>
      <c r="P10663" t="s">
        <v>99</v>
      </c>
      <c r="Q10663" t="s">
        <v>207</v>
      </c>
      <c r="R10663" t="s">
        <v>121</v>
      </c>
      <c r="S10663" t="s">
        <v>104</v>
      </c>
      <c r="T10663" t="s">
        <v>132</v>
      </c>
      <c r="U10663" t="s">
        <v>103</v>
      </c>
      <c r="V10663" t="s">
        <v>38</v>
      </c>
      <c r="W10663" t="s">
        <v>141</v>
      </c>
    </row>
    <row r="10664" spans="1:23" x14ac:dyDescent="0.3">
      <c r="A10664" t="s">
        <v>36</v>
      </c>
      <c r="B10664" t="s">
        <v>390</v>
      </c>
      <c r="C10664">
        <v>627</v>
      </c>
      <c r="D10664" t="s">
        <v>1146</v>
      </c>
      <c r="E10664" t="s">
        <v>319</v>
      </c>
      <c r="F10664" t="s">
        <v>160</v>
      </c>
      <c r="G10664" t="s">
        <v>130</v>
      </c>
      <c r="H10664" t="s">
        <v>136</v>
      </c>
      <c r="I10664" t="s">
        <v>151</v>
      </c>
      <c r="J10664" t="s">
        <v>101</v>
      </c>
      <c r="K10664" t="s">
        <v>111</v>
      </c>
      <c r="L10664" t="s">
        <v>108</v>
      </c>
      <c r="M10664" t="s">
        <v>123</v>
      </c>
      <c r="N10664" t="s">
        <v>147</v>
      </c>
      <c r="O10664" t="s">
        <v>382</v>
      </c>
      <c r="P10664" t="s">
        <v>123</v>
      </c>
      <c r="Q10664" t="s">
        <v>207</v>
      </c>
      <c r="R10664" t="s">
        <v>253</v>
      </c>
      <c r="S10664" t="s">
        <v>99</v>
      </c>
      <c r="T10664" t="s">
        <v>108</v>
      </c>
      <c r="U10664" t="s">
        <v>114</v>
      </c>
      <c r="V10664" t="s">
        <v>720</v>
      </c>
      <c r="W10664" t="s">
        <v>104</v>
      </c>
    </row>
    <row r="10665" spans="1:23" x14ac:dyDescent="0.3">
      <c r="A10665" t="s">
        <v>36</v>
      </c>
      <c r="B10665" t="s">
        <v>365</v>
      </c>
      <c r="C10665">
        <v>100</v>
      </c>
      <c r="D10665" t="s">
        <v>472</v>
      </c>
      <c r="E10665" t="s">
        <v>198</v>
      </c>
      <c r="F10665" t="s">
        <v>101</v>
      </c>
      <c r="G10665" t="s">
        <v>292</v>
      </c>
      <c r="H10665" t="s">
        <v>136</v>
      </c>
      <c r="I10665" t="s">
        <v>110</v>
      </c>
      <c r="J10665" t="s">
        <v>115</v>
      </c>
      <c r="K10665" t="s">
        <v>99</v>
      </c>
      <c r="L10665" t="s">
        <v>110</v>
      </c>
      <c r="M10665" t="s">
        <v>99</v>
      </c>
      <c r="N10665" t="s">
        <v>198</v>
      </c>
      <c r="O10665" t="s">
        <v>99</v>
      </c>
      <c r="P10665" t="s">
        <v>99</v>
      </c>
      <c r="Q10665" t="s">
        <v>99</v>
      </c>
      <c r="R10665" t="s">
        <v>253</v>
      </c>
      <c r="S10665" t="s">
        <v>99</v>
      </c>
      <c r="T10665" t="s">
        <v>99</v>
      </c>
      <c r="U10665" t="s">
        <v>277</v>
      </c>
      <c r="V10665" t="s">
        <v>328</v>
      </c>
      <c r="W10665" t="s">
        <v>99</v>
      </c>
    </row>
    <row r="10666" spans="1:23" x14ac:dyDescent="0.3">
      <c r="A10666" t="s">
        <v>34</v>
      </c>
      <c r="B10666" t="s">
        <v>389</v>
      </c>
      <c r="C10666">
        <v>1380</v>
      </c>
      <c r="D10666" t="s">
        <v>573</v>
      </c>
      <c r="E10666" t="s">
        <v>99</v>
      </c>
      <c r="F10666" t="s">
        <v>138</v>
      </c>
      <c r="G10666" t="s">
        <v>255</v>
      </c>
      <c r="H10666" t="s">
        <v>104</v>
      </c>
      <c r="I10666" t="s">
        <v>253</v>
      </c>
      <c r="J10666" t="s">
        <v>207</v>
      </c>
      <c r="K10666" t="s">
        <v>121</v>
      </c>
      <c r="L10666" t="s">
        <v>253</v>
      </c>
      <c r="M10666" t="s">
        <v>141</v>
      </c>
      <c r="N10666" t="s">
        <v>207</v>
      </c>
      <c r="O10666" t="s">
        <v>99</v>
      </c>
      <c r="P10666" t="s">
        <v>99</v>
      </c>
      <c r="Q10666" t="s">
        <v>215</v>
      </c>
      <c r="R10666" t="s">
        <v>129</v>
      </c>
      <c r="S10666" t="s">
        <v>104</v>
      </c>
      <c r="T10666" t="s">
        <v>99</v>
      </c>
      <c r="U10666" t="s">
        <v>114</v>
      </c>
      <c r="V10666" t="s">
        <v>738</v>
      </c>
      <c r="W10666" t="s">
        <v>141</v>
      </c>
    </row>
    <row r="10667" spans="1:23" x14ac:dyDescent="0.3">
      <c r="A10667" t="s">
        <v>34</v>
      </c>
      <c r="B10667" t="s">
        <v>390</v>
      </c>
      <c r="C10667">
        <v>613</v>
      </c>
      <c r="D10667" t="s">
        <v>1340</v>
      </c>
      <c r="E10667" t="s">
        <v>141</v>
      </c>
      <c r="F10667" t="s">
        <v>254</v>
      </c>
      <c r="G10667" t="s">
        <v>746</v>
      </c>
      <c r="H10667" t="s">
        <v>136</v>
      </c>
      <c r="I10667" t="s">
        <v>115</v>
      </c>
      <c r="J10667" t="s">
        <v>207</v>
      </c>
      <c r="K10667" t="s">
        <v>382</v>
      </c>
      <c r="L10667" t="s">
        <v>253</v>
      </c>
      <c r="M10667" t="s">
        <v>198</v>
      </c>
      <c r="N10667" t="s">
        <v>141</v>
      </c>
      <c r="O10667" t="s">
        <v>99</v>
      </c>
      <c r="P10667" t="s">
        <v>99</v>
      </c>
      <c r="Q10667" t="s">
        <v>253</v>
      </c>
      <c r="R10667" t="s">
        <v>130</v>
      </c>
      <c r="S10667" t="s">
        <v>136</v>
      </c>
      <c r="T10667" t="s">
        <v>99</v>
      </c>
      <c r="U10667" t="s">
        <v>382</v>
      </c>
      <c r="V10667" t="s">
        <v>751</v>
      </c>
      <c r="W10667" t="s">
        <v>198</v>
      </c>
    </row>
    <row r="10668" spans="1:23" x14ac:dyDescent="0.3">
      <c r="A10668" t="s">
        <v>34</v>
      </c>
      <c r="B10668" t="s">
        <v>365</v>
      </c>
      <c r="C10668">
        <v>80</v>
      </c>
      <c r="D10668" t="s">
        <v>1333</v>
      </c>
      <c r="E10668" t="s">
        <v>99</v>
      </c>
      <c r="F10668" t="s">
        <v>128</v>
      </c>
      <c r="G10668" t="s">
        <v>142</v>
      </c>
      <c r="H10668" t="s">
        <v>157</v>
      </c>
      <c r="I10668" t="s">
        <v>99</v>
      </c>
      <c r="J10668" t="s">
        <v>99</v>
      </c>
      <c r="K10668" t="s">
        <v>143</v>
      </c>
      <c r="L10668" t="s">
        <v>151</v>
      </c>
      <c r="M10668" t="s">
        <v>99</v>
      </c>
      <c r="N10668" t="s">
        <v>121</v>
      </c>
      <c r="O10668" t="s">
        <v>99</v>
      </c>
      <c r="P10668" t="s">
        <v>99</v>
      </c>
      <c r="Q10668" t="s">
        <v>141</v>
      </c>
      <c r="R10668" t="s">
        <v>141</v>
      </c>
      <c r="S10668" t="s">
        <v>99</v>
      </c>
      <c r="T10668" t="s">
        <v>99</v>
      </c>
      <c r="U10668" t="s">
        <v>207</v>
      </c>
      <c r="V10668" t="s">
        <v>107</v>
      </c>
      <c r="W10668" t="s">
        <v>99</v>
      </c>
    </row>
    <row r="10669" spans="1:23" x14ac:dyDescent="0.3">
      <c r="A10669" t="s">
        <v>33</v>
      </c>
      <c r="B10669" t="s">
        <v>389</v>
      </c>
      <c r="C10669">
        <v>1090</v>
      </c>
      <c r="D10669" t="s">
        <v>199</v>
      </c>
      <c r="E10669" t="s">
        <v>141</v>
      </c>
      <c r="F10669" t="s">
        <v>316</v>
      </c>
      <c r="G10669" t="s">
        <v>132</v>
      </c>
      <c r="H10669" t="s">
        <v>207</v>
      </c>
      <c r="I10669" t="s">
        <v>198</v>
      </c>
      <c r="J10669" t="s">
        <v>198</v>
      </c>
      <c r="K10669" t="s">
        <v>114</v>
      </c>
      <c r="L10669" t="s">
        <v>132</v>
      </c>
      <c r="M10669" t="s">
        <v>253</v>
      </c>
      <c r="N10669" t="s">
        <v>126</v>
      </c>
      <c r="O10669" t="s">
        <v>99</v>
      </c>
      <c r="P10669" t="s">
        <v>207</v>
      </c>
      <c r="Q10669" t="s">
        <v>198</v>
      </c>
      <c r="R10669" t="s">
        <v>114</v>
      </c>
      <c r="S10669" t="s">
        <v>99</v>
      </c>
      <c r="T10669" t="s">
        <v>99</v>
      </c>
      <c r="U10669" t="s">
        <v>104</v>
      </c>
      <c r="V10669" t="s">
        <v>332</v>
      </c>
      <c r="W10669" t="s">
        <v>99</v>
      </c>
    </row>
    <row r="10670" spans="1:23" x14ac:dyDescent="0.3">
      <c r="A10670" t="s">
        <v>33</v>
      </c>
      <c r="B10670" t="s">
        <v>390</v>
      </c>
      <c r="C10670">
        <v>708</v>
      </c>
      <c r="D10670" t="s">
        <v>366</v>
      </c>
      <c r="E10670" t="s">
        <v>126</v>
      </c>
      <c r="F10670" t="s">
        <v>292</v>
      </c>
      <c r="G10670" t="s">
        <v>100</v>
      </c>
      <c r="H10670" t="s">
        <v>136</v>
      </c>
      <c r="I10670" t="s">
        <v>115</v>
      </c>
      <c r="J10670" t="s">
        <v>141</v>
      </c>
      <c r="K10670" t="s">
        <v>101</v>
      </c>
      <c r="L10670" t="s">
        <v>253</v>
      </c>
      <c r="M10670" t="s">
        <v>253</v>
      </c>
      <c r="N10670" t="s">
        <v>132</v>
      </c>
      <c r="O10670" t="s">
        <v>198</v>
      </c>
      <c r="P10670" t="s">
        <v>99</v>
      </c>
      <c r="Q10670" t="s">
        <v>99</v>
      </c>
      <c r="R10670" t="s">
        <v>114</v>
      </c>
      <c r="S10670" t="s">
        <v>99</v>
      </c>
      <c r="T10670" t="s">
        <v>99</v>
      </c>
      <c r="U10670" t="s">
        <v>198</v>
      </c>
      <c r="V10670" t="s">
        <v>268</v>
      </c>
      <c r="W10670" t="s">
        <v>99</v>
      </c>
    </row>
    <row r="10671" spans="1:23" x14ac:dyDescent="0.3">
      <c r="A10671" t="s">
        <v>33</v>
      </c>
      <c r="B10671" t="s">
        <v>365</v>
      </c>
      <c r="C10671">
        <v>139</v>
      </c>
      <c r="D10671" t="s">
        <v>477</v>
      </c>
      <c r="E10671" t="s">
        <v>99</v>
      </c>
      <c r="F10671" t="s">
        <v>128</v>
      </c>
      <c r="G10671" t="s">
        <v>127</v>
      </c>
      <c r="H10671" t="s">
        <v>99</v>
      </c>
      <c r="I10671" t="s">
        <v>99</v>
      </c>
      <c r="J10671" t="s">
        <v>99</v>
      </c>
      <c r="K10671" t="s">
        <v>722</v>
      </c>
      <c r="L10671" t="s">
        <v>99</v>
      </c>
      <c r="M10671" t="s">
        <v>99</v>
      </c>
      <c r="N10671" t="s">
        <v>332</v>
      </c>
      <c r="O10671" t="s">
        <v>99</v>
      </c>
      <c r="P10671" t="s">
        <v>99</v>
      </c>
      <c r="Q10671" t="s">
        <v>99</v>
      </c>
      <c r="R10671" t="s">
        <v>99</v>
      </c>
      <c r="S10671" t="s">
        <v>99</v>
      </c>
      <c r="T10671" t="s">
        <v>99</v>
      </c>
      <c r="U10671" t="s">
        <v>99</v>
      </c>
      <c r="V10671" t="s">
        <v>215</v>
      </c>
      <c r="W10671" t="s">
        <v>99</v>
      </c>
    </row>
    <row r="10672" spans="1:23" x14ac:dyDescent="0.3">
      <c r="A10672" t="s">
        <v>49</v>
      </c>
      <c r="B10672" t="s">
        <v>389</v>
      </c>
      <c r="C10672">
        <v>8491</v>
      </c>
      <c r="D10672" t="s">
        <v>275</v>
      </c>
      <c r="E10672" t="s">
        <v>198</v>
      </c>
      <c r="F10672" t="s">
        <v>117</v>
      </c>
      <c r="G10672" t="s">
        <v>98</v>
      </c>
      <c r="H10672" t="s">
        <v>207</v>
      </c>
      <c r="I10672" t="s">
        <v>101</v>
      </c>
      <c r="J10672" t="s">
        <v>114</v>
      </c>
      <c r="K10672" t="s">
        <v>114</v>
      </c>
      <c r="L10672" t="s">
        <v>121</v>
      </c>
      <c r="M10672" t="s">
        <v>253</v>
      </c>
      <c r="N10672" t="s">
        <v>382</v>
      </c>
      <c r="O10672" t="s">
        <v>104</v>
      </c>
      <c r="P10672" t="s">
        <v>198</v>
      </c>
      <c r="Q10672" t="s">
        <v>141</v>
      </c>
      <c r="R10672" t="s">
        <v>126</v>
      </c>
      <c r="S10672" t="s">
        <v>198</v>
      </c>
      <c r="T10672" t="s">
        <v>207</v>
      </c>
      <c r="U10672" t="s">
        <v>319</v>
      </c>
      <c r="V10672" t="s">
        <v>186</v>
      </c>
      <c r="W10672" t="s">
        <v>253</v>
      </c>
    </row>
    <row r="10673" spans="1:23" x14ac:dyDescent="0.3">
      <c r="A10673" t="s">
        <v>49</v>
      </c>
      <c r="B10673" t="s">
        <v>390</v>
      </c>
      <c r="C10673">
        <v>4129</v>
      </c>
      <c r="D10673" t="s">
        <v>275</v>
      </c>
      <c r="E10673" t="s">
        <v>141</v>
      </c>
      <c r="F10673" t="s">
        <v>107</v>
      </c>
      <c r="G10673" t="s">
        <v>434</v>
      </c>
      <c r="H10673" t="s">
        <v>141</v>
      </c>
      <c r="I10673" t="s">
        <v>101</v>
      </c>
      <c r="J10673" t="s">
        <v>319</v>
      </c>
      <c r="K10673" t="s">
        <v>126</v>
      </c>
      <c r="L10673" t="s">
        <v>132</v>
      </c>
      <c r="M10673" t="s">
        <v>136</v>
      </c>
      <c r="N10673" t="s">
        <v>151</v>
      </c>
      <c r="O10673" t="s">
        <v>198</v>
      </c>
      <c r="P10673" t="s">
        <v>198</v>
      </c>
      <c r="Q10673" t="s">
        <v>198</v>
      </c>
      <c r="R10673" t="s">
        <v>126</v>
      </c>
      <c r="S10673" t="s">
        <v>207</v>
      </c>
      <c r="T10673" t="s">
        <v>104</v>
      </c>
      <c r="U10673" t="s">
        <v>253</v>
      </c>
      <c r="V10673" t="s">
        <v>689</v>
      </c>
      <c r="W10673" t="s">
        <v>104</v>
      </c>
    </row>
    <row r="10674" spans="1:23" x14ac:dyDescent="0.3">
      <c r="A10674" t="s">
        <v>49</v>
      </c>
      <c r="B10674" t="s">
        <v>365</v>
      </c>
      <c r="C10674">
        <v>688</v>
      </c>
      <c r="D10674" t="s">
        <v>773</v>
      </c>
      <c r="E10674" t="s">
        <v>198</v>
      </c>
      <c r="F10674" t="s">
        <v>123</v>
      </c>
      <c r="G10674" t="s">
        <v>134</v>
      </c>
      <c r="H10674" t="s">
        <v>253</v>
      </c>
      <c r="I10674" t="s">
        <v>319</v>
      </c>
      <c r="J10674" t="s">
        <v>117</v>
      </c>
      <c r="K10674" t="s">
        <v>134</v>
      </c>
      <c r="L10674" t="s">
        <v>268</v>
      </c>
      <c r="M10674" t="s">
        <v>198</v>
      </c>
      <c r="N10674" t="s">
        <v>242</v>
      </c>
      <c r="O10674" t="s">
        <v>136</v>
      </c>
      <c r="P10674" t="s">
        <v>104</v>
      </c>
      <c r="Q10674" t="s">
        <v>104</v>
      </c>
      <c r="R10674" t="s">
        <v>141</v>
      </c>
      <c r="S10674" t="s">
        <v>99</v>
      </c>
      <c r="T10674" t="s">
        <v>99</v>
      </c>
      <c r="U10674" t="s">
        <v>151</v>
      </c>
      <c r="V10674" t="s">
        <v>420</v>
      </c>
      <c r="W10674" t="s">
        <v>253</v>
      </c>
    </row>
    <row r="10676" spans="1:23" x14ac:dyDescent="0.3">
      <c r="A10676" t="s">
        <v>2546</v>
      </c>
    </row>
    <row r="10677" spans="1:23" x14ac:dyDescent="0.3">
      <c r="A10677" t="s">
        <v>44</v>
      </c>
      <c r="B10677" t="s">
        <v>235</v>
      </c>
      <c r="C10677" t="s">
        <v>32</v>
      </c>
      <c r="D10677" t="s">
        <v>1323</v>
      </c>
      <c r="E10677" t="s">
        <v>2520</v>
      </c>
      <c r="F10677" t="s">
        <v>2521</v>
      </c>
      <c r="G10677" t="s">
        <v>2522</v>
      </c>
      <c r="H10677" t="s">
        <v>2541</v>
      </c>
      <c r="I10677" t="s">
        <v>2523</v>
      </c>
      <c r="J10677" t="s">
        <v>2542</v>
      </c>
      <c r="K10677" t="s">
        <v>2524</v>
      </c>
      <c r="L10677" t="s">
        <v>2525</v>
      </c>
      <c r="M10677" t="s">
        <v>2526</v>
      </c>
      <c r="N10677" t="s">
        <v>2527</v>
      </c>
      <c r="O10677" t="s">
        <v>2528</v>
      </c>
      <c r="P10677" t="s">
        <v>2529</v>
      </c>
      <c r="Q10677" t="s">
        <v>2530</v>
      </c>
      <c r="R10677" t="s">
        <v>2531</v>
      </c>
      <c r="S10677" t="s">
        <v>2532</v>
      </c>
      <c r="T10677" t="s">
        <v>2533</v>
      </c>
      <c r="U10677" t="s">
        <v>1275</v>
      </c>
      <c r="V10677" t="s">
        <v>83</v>
      </c>
      <c r="W10677" t="s">
        <v>193</v>
      </c>
    </row>
    <row r="10678" spans="1:23" x14ac:dyDescent="0.3">
      <c r="A10678" t="s">
        <v>35</v>
      </c>
      <c r="B10678" t="s">
        <v>236</v>
      </c>
      <c r="C10678">
        <v>1609</v>
      </c>
      <c r="D10678" t="s">
        <v>535</v>
      </c>
      <c r="E10678" t="s">
        <v>99</v>
      </c>
      <c r="F10678" t="s">
        <v>136</v>
      </c>
      <c r="G10678" t="s">
        <v>134</v>
      </c>
      <c r="H10678" t="s">
        <v>198</v>
      </c>
      <c r="I10678" t="s">
        <v>121</v>
      </c>
      <c r="J10678" t="s">
        <v>104</v>
      </c>
      <c r="K10678" t="s">
        <v>207</v>
      </c>
      <c r="L10678" t="s">
        <v>207</v>
      </c>
      <c r="M10678" t="s">
        <v>104</v>
      </c>
      <c r="N10678" t="s">
        <v>115</v>
      </c>
      <c r="O10678" t="s">
        <v>99</v>
      </c>
      <c r="P10678" t="s">
        <v>99</v>
      </c>
      <c r="Q10678" t="s">
        <v>104</v>
      </c>
      <c r="R10678" t="s">
        <v>198</v>
      </c>
      <c r="S10678" t="s">
        <v>99</v>
      </c>
      <c r="T10678" t="s">
        <v>99</v>
      </c>
      <c r="U10678" t="s">
        <v>108</v>
      </c>
      <c r="V10678" t="s">
        <v>177</v>
      </c>
      <c r="W10678" t="s">
        <v>198</v>
      </c>
    </row>
    <row r="10679" spans="1:23" x14ac:dyDescent="0.3">
      <c r="A10679" t="s">
        <v>35</v>
      </c>
      <c r="B10679" t="s">
        <v>238</v>
      </c>
      <c r="C10679">
        <v>1531</v>
      </c>
      <c r="D10679" t="s">
        <v>1095</v>
      </c>
      <c r="E10679" t="s">
        <v>99</v>
      </c>
      <c r="F10679" t="s">
        <v>107</v>
      </c>
      <c r="G10679" t="s">
        <v>143</v>
      </c>
      <c r="H10679" t="s">
        <v>198</v>
      </c>
      <c r="I10679" t="s">
        <v>126</v>
      </c>
      <c r="J10679" t="s">
        <v>207</v>
      </c>
      <c r="K10679" t="s">
        <v>121</v>
      </c>
      <c r="L10679" t="s">
        <v>151</v>
      </c>
      <c r="M10679" t="s">
        <v>253</v>
      </c>
      <c r="N10679" t="s">
        <v>120</v>
      </c>
      <c r="O10679" t="s">
        <v>99</v>
      </c>
      <c r="P10679" t="s">
        <v>99</v>
      </c>
      <c r="Q10679" t="s">
        <v>198</v>
      </c>
      <c r="R10679" t="s">
        <v>108</v>
      </c>
      <c r="S10679" t="s">
        <v>141</v>
      </c>
      <c r="T10679" t="s">
        <v>253</v>
      </c>
      <c r="U10679" t="s">
        <v>316</v>
      </c>
      <c r="V10679" t="s">
        <v>959</v>
      </c>
      <c r="W10679" t="s">
        <v>121</v>
      </c>
    </row>
    <row r="10680" spans="1:23" x14ac:dyDescent="0.3">
      <c r="A10680" t="s">
        <v>37</v>
      </c>
      <c r="B10680" t="s">
        <v>236</v>
      </c>
      <c r="C10680">
        <v>2211</v>
      </c>
      <c r="D10680" t="s">
        <v>426</v>
      </c>
      <c r="E10680" t="s">
        <v>104</v>
      </c>
      <c r="F10680" t="s">
        <v>253</v>
      </c>
      <c r="G10680" t="s">
        <v>136</v>
      </c>
      <c r="H10680" t="s">
        <v>132</v>
      </c>
      <c r="I10680" t="s">
        <v>115</v>
      </c>
      <c r="J10680" t="s">
        <v>151</v>
      </c>
      <c r="K10680" t="s">
        <v>253</v>
      </c>
      <c r="L10680" t="s">
        <v>132</v>
      </c>
      <c r="M10680" t="s">
        <v>207</v>
      </c>
      <c r="N10680" t="s">
        <v>292</v>
      </c>
      <c r="O10680" t="s">
        <v>104</v>
      </c>
      <c r="P10680" t="s">
        <v>104</v>
      </c>
      <c r="Q10680" t="s">
        <v>99</v>
      </c>
      <c r="R10680" t="s">
        <v>253</v>
      </c>
      <c r="S10680" t="s">
        <v>198</v>
      </c>
      <c r="T10680" t="s">
        <v>99</v>
      </c>
      <c r="U10680" t="s">
        <v>136</v>
      </c>
      <c r="V10680" t="s">
        <v>244</v>
      </c>
      <c r="W10680" t="s">
        <v>198</v>
      </c>
    </row>
    <row r="10681" spans="1:23" x14ac:dyDescent="0.3">
      <c r="A10681" t="s">
        <v>37</v>
      </c>
      <c r="B10681" t="s">
        <v>238</v>
      </c>
      <c r="C10681">
        <v>1644</v>
      </c>
      <c r="D10681" t="s">
        <v>63</v>
      </c>
      <c r="E10681" t="s">
        <v>207</v>
      </c>
      <c r="F10681" t="s">
        <v>268</v>
      </c>
      <c r="G10681" t="s">
        <v>141</v>
      </c>
      <c r="H10681" t="s">
        <v>115</v>
      </c>
      <c r="I10681" t="s">
        <v>110</v>
      </c>
      <c r="J10681" t="s">
        <v>139</v>
      </c>
      <c r="K10681" t="s">
        <v>126</v>
      </c>
      <c r="L10681" t="s">
        <v>215</v>
      </c>
      <c r="M10681" t="s">
        <v>108</v>
      </c>
      <c r="N10681" t="s">
        <v>139</v>
      </c>
      <c r="O10681" t="s">
        <v>136</v>
      </c>
      <c r="P10681" t="s">
        <v>253</v>
      </c>
      <c r="Q10681" t="s">
        <v>198</v>
      </c>
      <c r="R10681" t="s">
        <v>126</v>
      </c>
      <c r="S10681" t="s">
        <v>104</v>
      </c>
      <c r="T10681" t="s">
        <v>104</v>
      </c>
      <c r="U10681" t="s">
        <v>141</v>
      </c>
      <c r="V10681" t="s">
        <v>393</v>
      </c>
      <c r="W10681" t="s">
        <v>207</v>
      </c>
    </row>
    <row r="10682" spans="1:23" x14ac:dyDescent="0.3">
      <c r="A10682" t="s">
        <v>36</v>
      </c>
      <c r="B10682" t="s">
        <v>236</v>
      </c>
      <c r="C10682">
        <v>1564</v>
      </c>
      <c r="D10682" t="s">
        <v>773</v>
      </c>
      <c r="E10682" t="s">
        <v>253</v>
      </c>
      <c r="F10682" t="s">
        <v>332</v>
      </c>
      <c r="G10682" t="s">
        <v>242</v>
      </c>
      <c r="H10682" t="s">
        <v>207</v>
      </c>
      <c r="I10682" t="s">
        <v>108</v>
      </c>
      <c r="J10682" t="s">
        <v>207</v>
      </c>
      <c r="K10682" t="s">
        <v>114</v>
      </c>
      <c r="L10682" t="s">
        <v>115</v>
      </c>
      <c r="M10682" t="s">
        <v>104</v>
      </c>
      <c r="N10682" t="s">
        <v>104</v>
      </c>
      <c r="O10682" t="s">
        <v>126</v>
      </c>
      <c r="P10682" t="s">
        <v>99</v>
      </c>
      <c r="Q10682" t="s">
        <v>99</v>
      </c>
      <c r="R10682" t="s">
        <v>114</v>
      </c>
      <c r="S10682" t="s">
        <v>99</v>
      </c>
      <c r="T10682" t="s">
        <v>99</v>
      </c>
      <c r="U10682" t="s">
        <v>127</v>
      </c>
      <c r="V10682" t="s">
        <v>321</v>
      </c>
      <c r="W10682" t="s">
        <v>198</v>
      </c>
    </row>
    <row r="10683" spans="1:23" x14ac:dyDescent="0.3">
      <c r="A10683" t="s">
        <v>36</v>
      </c>
      <c r="B10683" t="s">
        <v>238</v>
      </c>
      <c r="C10683">
        <v>739</v>
      </c>
      <c r="D10683" t="s">
        <v>1474</v>
      </c>
      <c r="E10683" t="s">
        <v>115</v>
      </c>
      <c r="F10683" t="s">
        <v>149</v>
      </c>
      <c r="G10683" t="s">
        <v>98</v>
      </c>
      <c r="H10683" t="s">
        <v>198</v>
      </c>
      <c r="I10683" t="s">
        <v>105</v>
      </c>
      <c r="J10683" t="s">
        <v>147</v>
      </c>
      <c r="K10683" t="s">
        <v>157</v>
      </c>
      <c r="L10683" t="s">
        <v>127</v>
      </c>
      <c r="M10683" t="s">
        <v>101</v>
      </c>
      <c r="N10683" t="s">
        <v>117</v>
      </c>
      <c r="O10683" t="s">
        <v>253</v>
      </c>
      <c r="P10683" t="s">
        <v>108</v>
      </c>
      <c r="Q10683" t="s">
        <v>141</v>
      </c>
      <c r="R10683" t="s">
        <v>114</v>
      </c>
      <c r="S10683" t="s">
        <v>104</v>
      </c>
      <c r="T10683" t="s">
        <v>101</v>
      </c>
      <c r="U10683" t="s">
        <v>316</v>
      </c>
      <c r="V10683" t="s">
        <v>188</v>
      </c>
      <c r="W10683" t="s">
        <v>141</v>
      </c>
    </row>
    <row r="10684" spans="1:23" x14ac:dyDescent="0.3">
      <c r="A10684" t="s">
        <v>34</v>
      </c>
      <c r="B10684" t="s">
        <v>236</v>
      </c>
      <c r="C10684">
        <v>716</v>
      </c>
      <c r="D10684" t="s">
        <v>1146</v>
      </c>
      <c r="E10684" t="s">
        <v>99</v>
      </c>
      <c r="F10684" t="s">
        <v>121</v>
      </c>
      <c r="G10684" t="s">
        <v>536</v>
      </c>
      <c r="H10684" t="s">
        <v>136</v>
      </c>
      <c r="I10684" t="s">
        <v>99</v>
      </c>
      <c r="J10684" t="s">
        <v>207</v>
      </c>
      <c r="K10684" t="s">
        <v>99</v>
      </c>
      <c r="L10684" t="s">
        <v>132</v>
      </c>
      <c r="M10684" t="s">
        <v>136</v>
      </c>
      <c r="N10684" t="s">
        <v>99</v>
      </c>
      <c r="O10684" t="s">
        <v>99</v>
      </c>
      <c r="P10684" t="s">
        <v>99</v>
      </c>
      <c r="Q10684" t="s">
        <v>114</v>
      </c>
      <c r="R10684" t="s">
        <v>474</v>
      </c>
      <c r="S10684" t="s">
        <v>99</v>
      </c>
      <c r="T10684" t="s">
        <v>99</v>
      </c>
      <c r="U10684" t="s">
        <v>132</v>
      </c>
      <c r="V10684" t="s">
        <v>264</v>
      </c>
      <c r="W10684" t="s">
        <v>108</v>
      </c>
    </row>
    <row r="10685" spans="1:23" x14ac:dyDescent="0.3">
      <c r="A10685" t="s">
        <v>34</v>
      </c>
      <c r="B10685" t="s">
        <v>238</v>
      </c>
      <c r="C10685">
        <v>1357</v>
      </c>
      <c r="D10685" t="s">
        <v>1165</v>
      </c>
      <c r="E10685" t="s">
        <v>198</v>
      </c>
      <c r="F10685" t="s">
        <v>98</v>
      </c>
      <c r="G10685" t="s">
        <v>267</v>
      </c>
      <c r="H10685" t="s">
        <v>207</v>
      </c>
      <c r="I10685" t="s">
        <v>132</v>
      </c>
      <c r="J10685" t="s">
        <v>207</v>
      </c>
      <c r="K10685" t="s">
        <v>111</v>
      </c>
      <c r="L10685" t="s">
        <v>253</v>
      </c>
      <c r="M10685" t="s">
        <v>136</v>
      </c>
      <c r="N10685" t="s">
        <v>253</v>
      </c>
      <c r="O10685" t="s">
        <v>99</v>
      </c>
      <c r="P10685" t="s">
        <v>99</v>
      </c>
      <c r="Q10685" t="s">
        <v>126</v>
      </c>
      <c r="R10685" t="s">
        <v>134</v>
      </c>
      <c r="S10685" t="s">
        <v>198</v>
      </c>
      <c r="T10685" t="s">
        <v>99</v>
      </c>
      <c r="U10685" t="s">
        <v>101</v>
      </c>
      <c r="V10685" t="s">
        <v>499</v>
      </c>
      <c r="W10685" t="s">
        <v>198</v>
      </c>
    </row>
    <row r="10686" spans="1:23" x14ac:dyDescent="0.3">
      <c r="A10686" t="s">
        <v>33</v>
      </c>
      <c r="B10686" t="s">
        <v>236</v>
      </c>
      <c r="C10686">
        <v>1116</v>
      </c>
      <c r="D10686" t="s">
        <v>71</v>
      </c>
      <c r="E10686" t="s">
        <v>136</v>
      </c>
      <c r="F10686" t="s">
        <v>151</v>
      </c>
      <c r="G10686" t="s">
        <v>115</v>
      </c>
      <c r="H10686" t="s">
        <v>99</v>
      </c>
      <c r="I10686" t="s">
        <v>99</v>
      </c>
      <c r="J10686" t="s">
        <v>104</v>
      </c>
      <c r="K10686" t="s">
        <v>253</v>
      </c>
      <c r="L10686" t="s">
        <v>198</v>
      </c>
      <c r="M10686" t="s">
        <v>104</v>
      </c>
      <c r="N10686" t="s">
        <v>136</v>
      </c>
      <c r="O10686" t="s">
        <v>99</v>
      </c>
      <c r="P10686" t="s">
        <v>99</v>
      </c>
      <c r="Q10686" t="s">
        <v>104</v>
      </c>
      <c r="R10686" t="s">
        <v>108</v>
      </c>
      <c r="S10686" t="s">
        <v>99</v>
      </c>
      <c r="T10686" t="s">
        <v>99</v>
      </c>
      <c r="U10686" t="s">
        <v>104</v>
      </c>
      <c r="V10686" t="s">
        <v>268</v>
      </c>
      <c r="W10686" t="s">
        <v>99</v>
      </c>
    </row>
    <row r="10687" spans="1:23" x14ac:dyDescent="0.3">
      <c r="A10687" t="s">
        <v>33</v>
      </c>
      <c r="B10687" t="s">
        <v>238</v>
      </c>
      <c r="C10687">
        <v>821</v>
      </c>
      <c r="D10687" t="s">
        <v>243</v>
      </c>
      <c r="E10687" t="s">
        <v>101</v>
      </c>
      <c r="F10687" t="s">
        <v>147</v>
      </c>
      <c r="G10687" t="s">
        <v>121</v>
      </c>
      <c r="H10687" t="s">
        <v>253</v>
      </c>
      <c r="I10687" t="s">
        <v>132</v>
      </c>
      <c r="J10687" t="s">
        <v>141</v>
      </c>
      <c r="K10687" t="s">
        <v>120</v>
      </c>
      <c r="L10687" t="s">
        <v>121</v>
      </c>
      <c r="M10687" t="s">
        <v>114</v>
      </c>
      <c r="N10687" t="s">
        <v>268</v>
      </c>
      <c r="O10687" t="s">
        <v>104</v>
      </c>
      <c r="P10687" t="s">
        <v>207</v>
      </c>
      <c r="Q10687" t="s">
        <v>104</v>
      </c>
      <c r="R10687" t="s">
        <v>132</v>
      </c>
      <c r="S10687" t="s">
        <v>99</v>
      </c>
      <c r="T10687" t="s">
        <v>99</v>
      </c>
      <c r="U10687" t="s">
        <v>104</v>
      </c>
      <c r="V10687" t="s">
        <v>154</v>
      </c>
      <c r="W10687" t="s">
        <v>99</v>
      </c>
    </row>
    <row r="10688" spans="1:23" x14ac:dyDescent="0.3">
      <c r="A10688" t="s">
        <v>49</v>
      </c>
      <c r="B10688" t="s">
        <v>236</v>
      </c>
      <c r="C10688">
        <v>7216</v>
      </c>
      <c r="D10688" t="s">
        <v>500</v>
      </c>
      <c r="E10688" t="s">
        <v>198</v>
      </c>
      <c r="F10688" t="s">
        <v>121</v>
      </c>
      <c r="G10688" t="s">
        <v>154</v>
      </c>
      <c r="H10688" t="s">
        <v>136</v>
      </c>
      <c r="I10688" t="s">
        <v>253</v>
      </c>
      <c r="J10688" t="s">
        <v>108</v>
      </c>
      <c r="K10688" t="s">
        <v>141</v>
      </c>
      <c r="L10688" t="s">
        <v>253</v>
      </c>
      <c r="M10688" t="s">
        <v>198</v>
      </c>
      <c r="N10688" t="s">
        <v>114</v>
      </c>
      <c r="O10688" t="s">
        <v>198</v>
      </c>
      <c r="P10688" t="s">
        <v>104</v>
      </c>
      <c r="Q10688" t="s">
        <v>198</v>
      </c>
      <c r="R10688" t="s">
        <v>121</v>
      </c>
      <c r="S10688" t="s">
        <v>104</v>
      </c>
      <c r="T10688" t="s">
        <v>99</v>
      </c>
      <c r="U10688" t="s">
        <v>253</v>
      </c>
      <c r="V10688" t="s">
        <v>294</v>
      </c>
      <c r="W10688" t="s">
        <v>198</v>
      </c>
    </row>
    <row r="10689" spans="1:23" x14ac:dyDescent="0.3">
      <c r="A10689" t="s">
        <v>49</v>
      </c>
      <c r="B10689" t="s">
        <v>238</v>
      </c>
      <c r="C10689">
        <v>6092</v>
      </c>
      <c r="D10689" t="s">
        <v>1066</v>
      </c>
      <c r="E10689" t="s">
        <v>136</v>
      </c>
      <c r="F10689" t="s">
        <v>332</v>
      </c>
      <c r="G10689" t="s">
        <v>204</v>
      </c>
      <c r="H10689" t="s">
        <v>136</v>
      </c>
      <c r="I10689" t="s">
        <v>123</v>
      </c>
      <c r="J10689" t="s">
        <v>126</v>
      </c>
      <c r="K10689" t="s">
        <v>127</v>
      </c>
      <c r="L10689" t="s">
        <v>126</v>
      </c>
      <c r="M10689" t="s">
        <v>115</v>
      </c>
      <c r="N10689" t="s">
        <v>316</v>
      </c>
      <c r="O10689" t="s">
        <v>104</v>
      </c>
      <c r="P10689" t="s">
        <v>207</v>
      </c>
      <c r="Q10689" t="s">
        <v>141</v>
      </c>
      <c r="R10689" t="s">
        <v>382</v>
      </c>
      <c r="S10689" t="s">
        <v>207</v>
      </c>
      <c r="T10689" t="s">
        <v>207</v>
      </c>
      <c r="U10689" t="s">
        <v>126</v>
      </c>
      <c r="V10689" t="s">
        <v>501</v>
      </c>
      <c r="W10689" t="s">
        <v>253</v>
      </c>
    </row>
    <row r="10691" spans="1:23" x14ac:dyDescent="0.3">
      <c r="A10691" t="s">
        <v>2547</v>
      </c>
    </row>
    <row r="10692" spans="1:23" x14ac:dyDescent="0.3">
      <c r="A10692" t="s">
        <v>44</v>
      </c>
      <c r="B10692" t="s">
        <v>1720</v>
      </c>
      <c r="C10692" t="s">
        <v>32</v>
      </c>
      <c r="D10692" t="s">
        <v>1323</v>
      </c>
      <c r="E10692" t="s">
        <v>2520</v>
      </c>
      <c r="F10692" t="s">
        <v>2521</v>
      </c>
      <c r="G10692" t="s">
        <v>2522</v>
      </c>
      <c r="H10692" t="s">
        <v>2541</v>
      </c>
      <c r="I10692" t="s">
        <v>2523</v>
      </c>
      <c r="J10692" t="s">
        <v>2542</v>
      </c>
      <c r="K10692" t="s">
        <v>2524</v>
      </c>
      <c r="L10692" t="s">
        <v>2525</v>
      </c>
      <c r="M10692" t="s">
        <v>2526</v>
      </c>
      <c r="N10692" t="s">
        <v>2527</v>
      </c>
      <c r="O10692" t="s">
        <v>2528</v>
      </c>
      <c r="P10692" t="s">
        <v>2529</v>
      </c>
      <c r="Q10692" t="s">
        <v>2530</v>
      </c>
      <c r="R10692" t="s">
        <v>2531</v>
      </c>
      <c r="S10692" t="s">
        <v>2532</v>
      </c>
      <c r="T10692" t="s">
        <v>2533</v>
      </c>
      <c r="U10692" t="s">
        <v>1275</v>
      </c>
      <c r="V10692" t="s">
        <v>83</v>
      </c>
      <c r="W10692" t="s">
        <v>193</v>
      </c>
    </row>
    <row r="10693" spans="1:23" x14ac:dyDescent="0.3">
      <c r="A10693" t="s">
        <v>35</v>
      </c>
      <c r="B10693" t="s">
        <v>1721</v>
      </c>
      <c r="C10693">
        <v>994</v>
      </c>
      <c r="D10693" t="s">
        <v>213</v>
      </c>
      <c r="E10693" t="s">
        <v>104</v>
      </c>
      <c r="F10693" t="s">
        <v>107</v>
      </c>
      <c r="G10693" t="s">
        <v>144</v>
      </c>
      <c r="H10693" t="s">
        <v>104</v>
      </c>
      <c r="I10693" t="s">
        <v>319</v>
      </c>
      <c r="J10693" t="s">
        <v>253</v>
      </c>
      <c r="K10693" t="s">
        <v>114</v>
      </c>
      <c r="L10693" t="s">
        <v>120</v>
      </c>
      <c r="M10693" t="s">
        <v>104</v>
      </c>
      <c r="N10693" t="s">
        <v>474</v>
      </c>
      <c r="O10693" t="s">
        <v>99</v>
      </c>
      <c r="P10693" t="s">
        <v>104</v>
      </c>
      <c r="Q10693" t="s">
        <v>198</v>
      </c>
      <c r="R10693" t="s">
        <v>141</v>
      </c>
      <c r="S10693" t="s">
        <v>99</v>
      </c>
      <c r="T10693" t="s">
        <v>253</v>
      </c>
      <c r="U10693" t="s">
        <v>68</v>
      </c>
      <c r="V10693" t="s">
        <v>244</v>
      </c>
      <c r="W10693" t="s">
        <v>215</v>
      </c>
    </row>
    <row r="10694" spans="1:23" x14ac:dyDescent="0.3">
      <c r="A10694" t="s">
        <v>35</v>
      </c>
      <c r="B10694" t="s">
        <v>1722</v>
      </c>
      <c r="C10694">
        <v>2146</v>
      </c>
      <c r="D10694" t="s">
        <v>562</v>
      </c>
      <c r="E10694" t="s">
        <v>99</v>
      </c>
      <c r="F10694" t="s">
        <v>123</v>
      </c>
      <c r="G10694" t="s">
        <v>277</v>
      </c>
      <c r="H10694" t="s">
        <v>198</v>
      </c>
      <c r="I10694" t="s">
        <v>319</v>
      </c>
      <c r="J10694" t="s">
        <v>104</v>
      </c>
      <c r="K10694" t="s">
        <v>108</v>
      </c>
      <c r="L10694" t="s">
        <v>132</v>
      </c>
      <c r="M10694" t="s">
        <v>253</v>
      </c>
      <c r="N10694" t="s">
        <v>100</v>
      </c>
      <c r="O10694" t="s">
        <v>99</v>
      </c>
      <c r="P10694" t="s">
        <v>99</v>
      </c>
      <c r="Q10694" t="s">
        <v>104</v>
      </c>
      <c r="R10694" t="s">
        <v>132</v>
      </c>
      <c r="S10694" t="s">
        <v>253</v>
      </c>
      <c r="T10694" t="s">
        <v>207</v>
      </c>
      <c r="U10694" t="s">
        <v>132</v>
      </c>
      <c r="V10694" t="s">
        <v>1414</v>
      </c>
      <c r="W10694" t="s">
        <v>141</v>
      </c>
    </row>
    <row r="10695" spans="1:23" x14ac:dyDescent="0.3">
      <c r="A10695" t="s">
        <v>37</v>
      </c>
      <c r="B10695" t="s">
        <v>1721</v>
      </c>
      <c r="C10695">
        <v>1252</v>
      </c>
      <c r="D10695" t="s">
        <v>1407</v>
      </c>
      <c r="E10695" t="s">
        <v>198</v>
      </c>
      <c r="F10695" t="s">
        <v>151</v>
      </c>
      <c r="G10695" t="s">
        <v>104</v>
      </c>
      <c r="H10695" t="s">
        <v>253</v>
      </c>
      <c r="I10695" t="s">
        <v>215</v>
      </c>
      <c r="J10695" t="s">
        <v>107</v>
      </c>
      <c r="K10695" t="s">
        <v>115</v>
      </c>
      <c r="L10695" t="s">
        <v>382</v>
      </c>
      <c r="M10695" t="s">
        <v>132</v>
      </c>
      <c r="N10695" t="s">
        <v>110</v>
      </c>
      <c r="O10695" t="s">
        <v>104</v>
      </c>
      <c r="P10695" t="s">
        <v>253</v>
      </c>
      <c r="Q10695" t="s">
        <v>207</v>
      </c>
      <c r="R10695" t="s">
        <v>121</v>
      </c>
      <c r="S10695" t="s">
        <v>99</v>
      </c>
      <c r="T10695" t="s">
        <v>99</v>
      </c>
      <c r="U10695" t="s">
        <v>115</v>
      </c>
      <c r="V10695" t="s">
        <v>379</v>
      </c>
      <c r="W10695" t="s">
        <v>136</v>
      </c>
    </row>
    <row r="10696" spans="1:23" x14ac:dyDescent="0.3">
      <c r="A10696" t="s">
        <v>37</v>
      </c>
      <c r="B10696" t="s">
        <v>1722</v>
      </c>
      <c r="C10696">
        <v>2603</v>
      </c>
      <c r="D10696" t="s">
        <v>608</v>
      </c>
      <c r="E10696" t="s">
        <v>104</v>
      </c>
      <c r="F10696" t="s">
        <v>114</v>
      </c>
      <c r="G10696" t="s">
        <v>141</v>
      </c>
      <c r="H10696" t="s">
        <v>132</v>
      </c>
      <c r="I10696" t="s">
        <v>111</v>
      </c>
      <c r="J10696" t="s">
        <v>105</v>
      </c>
      <c r="K10696" t="s">
        <v>100</v>
      </c>
      <c r="L10696" t="s">
        <v>114</v>
      </c>
      <c r="M10696" t="s">
        <v>141</v>
      </c>
      <c r="N10696" t="s">
        <v>120</v>
      </c>
      <c r="O10696" t="s">
        <v>207</v>
      </c>
      <c r="P10696" t="s">
        <v>198</v>
      </c>
      <c r="Q10696" t="s">
        <v>99</v>
      </c>
      <c r="R10696" t="s">
        <v>108</v>
      </c>
      <c r="S10696" t="s">
        <v>198</v>
      </c>
      <c r="T10696" t="s">
        <v>104</v>
      </c>
      <c r="U10696" t="s">
        <v>198</v>
      </c>
      <c r="V10696" t="s">
        <v>700</v>
      </c>
      <c r="W10696" t="s">
        <v>104</v>
      </c>
    </row>
    <row r="10697" spans="1:23" x14ac:dyDescent="0.3">
      <c r="A10697" t="s">
        <v>36</v>
      </c>
      <c r="B10697" t="s">
        <v>1721</v>
      </c>
      <c r="C10697">
        <v>812</v>
      </c>
      <c r="D10697" t="s">
        <v>57</v>
      </c>
      <c r="E10697" t="s">
        <v>121</v>
      </c>
      <c r="F10697" t="s">
        <v>332</v>
      </c>
      <c r="G10697" t="s">
        <v>664</v>
      </c>
      <c r="H10697" t="s">
        <v>207</v>
      </c>
      <c r="I10697" t="s">
        <v>157</v>
      </c>
      <c r="J10697" t="s">
        <v>105</v>
      </c>
      <c r="K10697" t="s">
        <v>155</v>
      </c>
      <c r="L10697" t="s">
        <v>126</v>
      </c>
      <c r="M10697" t="s">
        <v>115</v>
      </c>
      <c r="N10697" t="s">
        <v>127</v>
      </c>
      <c r="O10697" t="s">
        <v>319</v>
      </c>
      <c r="P10697" t="s">
        <v>115</v>
      </c>
      <c r="Q10697" t="s">
        <v>104</v>
      </c>
      <c r="R10697" t="s">
        <v>136</v>
      </c>
      <c r="S10697" t="s">
        <v>99</v>
      </c>
      <c r="T10697" t="s">
        <v>319</v>
      </c>
      <c r="U10697" t="s">
        <v>127</v>
      </c>
      <c r="V10697" t="s">
        <v>299</v>
      </c>
      <c r="W10697" t="s">
        <v>104</v>
      </c>
    </row>
    <row r="10698" spans="1:23" x14ac:dyDescent="0.3">
      <c r="A10698" t="s">
        <v>36</v>
      </c>
      <c r="B10698" t="s">
        <v>1722</v>
      </c>
      <c r="C10698">
        <v>1491</v>
      </c>
      <c r="D10698" t="s">
        <v>922</v>
      </c>
      <c r="E10698" t="s">
        <v>136</v>
      </c>
      <c r="F10698" t="s">
        <v>139</v>
      </c>
      <c r="G10698" t="s">
        <v>130</v>
      </c>
      <c r="H10698" t="s">
        <v>207</v>
      </c>
      <c r="I10698" t="s">
        <v>382</v>
      </c>
      <c r="J10698" t="s">
        <v>114</v>
      </c>
      <c r="K10698" t="s">
        <v>126</v>
      </c>
      <c r="L10698" t="s">
        <v>121</v>
      </c>
      <c r="M10698" t="s">
        <v>132</v>
      </c>
      <c r="N10698" t="s">
        <v>101</v>
      </c>
      <c r="O10698" t="s">
        <v>115</v>
      </c>
      <c r="P10698" t="s">
        <v>136</v>
      </c>
      <c r="Q10698" t="s">
        <v>136</v>
      </c>
      <c r="R10698" t="s">
        <v>101</v>
      </c>
      <c r="S10698" t="s">
        <v>104</v>
      </c>
      <c r="T10698" t="s">
        <v>136</v>
      </c>
      <c r="U10698" t="s">
        <v>103</v>
      </c>
      <c r="V10698" t="s">
        <v>706</v>
      </c>
      <c r="W10698" t="s">
        <v>141</v>
      </c>
    </row>
    <row r="10699" spans="1:23" x14ac:dyDescent="0.3">
      <c r="A10699" t="s">
        <v>34</v>
      </c>
      <c r="B10699" t="s">
        <v>1721</v>
      </c>
      <c r="C10699">
        <v>618</v>
      </c>
      <c r="D10699" t="s">
        <v>637</v>
      </c>
      <c r="E10699" t="s">
        <v>207</v>
      </c>
      <c r="F10699" t="s">
        <v>157</v>
      </c>
      <c r="G10699" t="s">
        <v>395</v>
      </c>
      <c r="H10699" t="s">
        <v>136</v>
      </c>
      <c r="I10699" t="s">
        <v>121</v>
      </c>
      <c r="J10699" t="s">
        <v>207</v>
      </c>
      <c r="K10699" t="s">
        <v>382</v>
      </c>
      <c r="L10699" t="s">
        <v>121</v>
      </c>
      <c r="M10699" t="s">
        <v>121</v>
      </c>
      <c r="N10699" t="s">
        <v>115</v>
      </c>
      <c r="O10699" t="s">
        <v>99</v>
      </c>
      <c r="P10699" t="s">
        <v>99</v>
      </c>
      <c r="Q10699" t="s">
        <v>292</v>
      </c>
      <c r="R10699" t="s">
        <v>139</v>
      </c>
      <c r="S10699" t="s">
        <v>198</v>
      </c>
      <c r="T10699" t="s">
        <v>104</v>
      </c>
      <c r="U10699" t="s">
        <v>101</v>
      </c>
      <c r="V10699" t="s">
        <v>672</v>
      </c>
      <c r="W10699" t="s">
        <v>136</v>
      </c>
    </row>
    <row r="10700" spans="1:23" x14ac:dyDescent="0.3">
      <c r="A10700" t="s">
        <v>34</v>
      </c>
      <c r="B10700" t="s">
        <v>1722</v>
      </c>
      <c r="C10700">
        <v>1455</v>
      </c>
      <c r="D10700" t="s">
        <v>644</v>
      </c>
      <c r="E10700" t="s">
        <v>104</v>
      </c>
      <c r="F10700" t="s">
        <v>139</v>
      </c>
      <c r="G10700" t="s">
        <v>218</v>
      </c>
      <c r="H10700" t="s">
        <v>207</v>
      </c>
      <c r="I10700" t="s">
        <v>207</v>
      </c>
      <c r="J10700" t="s">
        <v>198</v>
      </c>
      <c r="K10700" t="s">
        <v>126</v>
      </c>
      <c r="L10700" t="s">
        <v>207</v>
      </c>
      <c r="M10700" t="s">
        <v>99</v>
      </c>
      <c r="N10700" t="s">
        <v>207</v>
      </c>
      <c r="O10700" t="s">
        <v>99</v>
      </c>
      <c r="P10700" t="s">
        <v>99</v>
      </c>
      <c r="Q10700" t="s">
        <v>108</v>
      </c>
      <c r="R10700" t="s">
        <v>154</v>
      </c>
      <c r="S10700" t="s">
        <v>198</v>
      </c>
      <c r="T10700" t="s">
        <v>99</v>
      </c>
      <c r="U10700" t="s">
        <v>114</v>
      </c>
      <c r="V10700" t="s">
        <v>911</v>
      </c>
      <c r="W10700" t="s">
        <v>136</v>
      </c>
    </row>
    <row r="10701" spans="1:23" x14ac:dyDescent="0.3">
      <c r="A10701" t="s">
        <v>33</v>
      </c>
      <c r="B10701" t="s">
        <v>1721</v>
      </c>
      <c r="C10701">
        <v>557</v>
      </c>
      <c r="D10701" t="s">
        <v>1010</v>
      </c>
      <c r="E10701" t="s">
        <v>253</v>
      </c>
      <c r="F10701" t="s">
        <v>105</v>
      </c>
      <c r="G10701" t="s">
        <v>127</v>
      </c>
      <c r="H10701" t="s">
        <v>253</v>
      </c>
      <c r="I10701" t="s">
        <v>198</v>
      </c>
      <c r="J10701" t="s">
        <v>136</v>
      </c>
      <c r="K10701" t="s">
        <v>111</v>
      </c>
      <c r="L10701" t="s">
        <v>114</v>
      </c>
      <c r="M10701" t="s">
        <v>136</v>
      </c>
      <c r="N10701" t="s">
        <v>382</v>
      </c>
      <c r="O10701" t="s">
        <v>99</v>
      </c>
      <c r="P10701" t="s">
        <v>198</v>
      </c>
      <c r="Q10701" t="s">
        <v>136</v>
      </c>
      <c r="R10701" t="s">
        <v>101</v>
      </c>
      <c r="S10701" t="s">
        <v>99</v>
      </c>
      <c r="T10701" t="s">
        <v>99</v>
      </c>
      <c r="U10701" t="s">
        <v>198</v>
      </c>
      <c r="V10701" t="s">
        <v>151</v>
      </c>
      <c r="W10701" t="s">
        <v>99</v>
      </c>
    </row>
    <row r="10702" spans="1:23" x14ac:dyDescent="0.3">
      <c r="A10702" t="s">
        <v>33</v>
      </c>
      <c r="B10702" t="s">
        <v>1722</v>
      </c>
      <c r="C10702">
        <v>1380</v>
      </c>
      <c r="D10702" t="s">
        <v>232</v>
      </c>
      <c r="E10702" t="s">
        <v>114</v>
      </c>
      <c r="F10702" t="s">
        <v>292</v>
      </c>
      <c r="G10702" t="s">
        <v>115</v>
      </c>
      <c r="H10702" t="s">
        <v>198</v>
      </c>
      <c r="I10702" t="s">
        <v>141</v>
      </c>
      <c r="J10702" t="s">
        <v>207</v>
      </c>
      <c r="K10702" t="s">
        <v>319</v>
      </c>
      <c r="L10702" t="s">
        <v>253</v>
      </c>
      <c r="M10702" t="s">
        <v>253</v>
      </c>
      <c r="N10702" t="s">
        <v>101</v>
      </c>
      <c r="O10702" t="s">
        <v>104</v>
      </c>
      <c r="P10702" t="s">
        <v>104</v>
      </c>
      <c r="Q10702" t="s">
        <v>99</v>
      </c>
      <c r="R10702" t="s">
        <v>115</v>
      </c>
      <c r="S10702" t="s">
        <v>99</v>
      </c>
      <c r="T10702" t="s">
        <v>99</v>
      </c>
      <c r="U10702" t="s">
        <v>104</v>
      </c>
      <c r="V10702" t="s">
        <v>155</v>
      </c>
      <c r="W10702" t="s">
        <v>99</v>
      </c>
    </row>
    <row r="10703" spans="1:23" x14ac:dyDescent="0.3">
      <c r="A10703" t="s">
        <v>49</v>
      </c>
      <c r="B10703" t="s">
        <v>1721</v>
      </c>
      <c r="C10703">
        <v>4233</v>
      </c>
      <c r="D10703" t="s">
        <v>569</v>
      </c>
      <c r="E10703" t="s">
        <v>207</v>
      </c>
      <c r="F10703" t="s">
        <v>120</v>
      </c>
      <c r="G10703" t="s">
        <v>144</v>
      </c>
      <c r="H10703" t="s">
        <v>136</v>
      </c>
      <c r="I10703" t="s">
        <v>319</v>
      </c>
      <c r="J10703" t="s">
        <v>126</v>
      </c>
      <c r="K10703" t="s">
        <v>319</v>
      </c>
      <c r="L10703" t="s">
        <v>127</v>
      </c>
      <c r="M10703" t="s">
        <v>253</v>
      </c>
      <c r="N10703" t="s">
        <v>147</v>
      </c>
      <c r="O10703" t="s">
        <v>198</v>
      </c>
      <c r="P10703" t="s">
        <v>207</v>
      </c>
      <c r="Q10703" t="s">
        <v>253</v>
      </c>
      <c r="R10703" t="s">
        <v>382</v>
      </c>
      <c r="S10703" t="s">
        <v>99</v>
      </c>
      <c r="T10703" t="s">
        <v>207</v>
      </c>
      <c r="U10703" t="s">
        <v>292</v>
      </c>
      <c r="V10703" t="s">
        <v>233</v>
      </c>
      <c r="W10703" t="s">
        <v>115</v>
      </c>
    </row>
    <row r="10704" spans="1:23" x14ac:dyDescent="0.3">
      <c r="A10704" t="s">
        <v>49</v>
      </c>
      <c r="B10704" t="s">
        <v>1722</v>
      </c>
      <c r="C10704">
        <v>9075</v>
      </c>
      <c r="D10704" t="s">
        <v>575</v>
      </c>
      <c r="E10704" t="s">
        <v>207</v>
      </c>
      <c r="F10704" t="s">
        <v>117</v>
      </c>
      <c r="G10704" t="s">
        <v>474</v>
      </c>
      <c r="H10704" t="s">
        <v>136</v>
      </c>
      <c r="I10704" t="s">
        <v>101</v>
      </c>
      <c r="J10704" t="s">
        <v>100</v>
      </c>
      <c r="K10704" t="s">
        <v>121</v>
      </c>
      <c r="L10704" t="s">
        <v>132</v>
      </c>
      <c r="M10704" t="s">
        <v>141</v>
      </c>
      <c r="N10704" t="s">
        <v>126</v>
      </c>
      <c r="O10704" t="s">
        <v>104</v>
      </c>
      <c r="P10704" t="s">
        <v>104</v>
      </c>
      <c r="Q10704" t="s">
        <v>198</v>
      </c>
      <c r="R10704" t="s">
        <v>319</v>
      </c>
      <c r="S10704" t="s">
        <v>207</v>
      </c>
      <c r="T10704" t="s">
        <v>104</v>
      </c>
      <c r="U10704" t="s">
        <v>115</v>
      </c>
      <c r="V10704" t="s">
        <v>501</v>
      </c>
      <c r="W10704" t="s">
        <v>207</v>
      </c>
    </row>
    <row r="10706" spans="1:23" x14ac:dyDescent="0.3">
      <c r="A10706" t="s">
        <v>2548</v>
      </c>
    </row>
    <row r="10707" spans="1:23" x14ac:dyDescent="0.3">
      <c r="A10707" t="s">
        <v>44</v>
      </c>
      <c r="B10707" t="s">
        <v>257</v>
      </c>
      <c r="C10707" t="s">
        <v>32</v>
      </c>
      <c r="D10707" t="s">
        <v>1323</v>
      </c>
      <c r="E10707" t="s">
        <v>2520</v>
      </c>
      <c r="F10707" t="s">
        <v>2521</v>
      </c>
      <c r="G10707" t="s">
        <v>2522</v>
      </c>
      <c r="H10707" t="s">
        <v>2541</v>
      </c>
      <c r="I10707" t="s">
        <v>2523</v>
      </c>
      <c r="J10707" t="s">
        <v>2542</v>
      </c>
      <c r="K10707" t="s">
        <v>2524</v>
      </c>
      <c r="L10707" t="s">
        <v>2525</v>
      </c>
      <c r="M10707" t="s">
        <v>2526</v>
      </c>
      <c r="N10707" t="s">
        <v>2527</v>
      </c>
      <c r="O10707" t="s">
        <v>2528</v>
      </c>
      <c r="P10707" t="s">
        <v>2529</v>
      </c>
      <c r="Q10707" t="s">
        <v>2530</v>
      </c>
      <c r="R10707" t="s">
        <v>2531</v>
      </c>
      <c r="S10707" t="s">
        <v>2532</v>
      </c>
      <c r="T10707" t="s">
        <v>2533</v>
      </c>
      <c r="U10707" t="s">
        <v>1275</v>
      </c>
      <c r="V10707" t="s">
        <v>83</v>
      </c>
      <c r="W10707" t="s">
        <v>193</v>
      </c>
    </row>
    <row r="10708" spans="1:23" x14ac:dyDescent="0.3">
      <c r="A10708" t="s">
        <v>35</v>
      </c>
      <c r="B10708" t="s">
        <v>258</v>
      </c>
      <c r="C10708">
        <v>2868</v>
      </c>
      <c r="D10708" t="s">
        <v>458</v>
      </c>
      <c r="E10708" t="s">
        <v>99</v>
      </c>
      <c r="F10708" t="s">
        <v>117</v>
      </c>
      <c r="G10708" t="s">
        <v>434</v>
      </c>
      <c r="H10708" t="s">
        <v>198</v>
      </c>
      <c r="I10708" t="s">
        <v>126</v>
      </c>
      <c r="J10708" t="s">
        <v>207</v>
      </c>
      <c r="K10708" t="s">
        <v>114</v>
      </c>
      <c r="L10708" t="s">
        <v>382</v>
      </c>
      <c r="M10708" t="s">
        <v>141</v>
      </c>
      <c r="N10708" t="s">
        <v>117</v>
      </c>
      <c r="O10708" t="s">
        <v>99</v>
      </c>
      <c r="P10708" t="s">
        <v>99</v>
      </c>
      <c r="Q10708" t="s">
        <v>99</v>
      </c>
      <c r="R10708" t="s">
        <v>136</v>
      </c>
      <c r="S10708" t="s">
        <v>136</v>
      </c>
      <c r="T10708" t="s">
        <v>136</v>
      </c>
      <c r="U10708" t="s">
        <v>268</v>
      </c>
      <c r="V10708" t="s">
        <v>702</v>
      </c>
      <c r="W10708" t="s">
        <v>108</v>
      </c>
    </row>
    <row r="10709" spans="1:23" x14ac:dyDescent="0.3">
      <c r="A10709" t="s">
        <v>35</v>
      </c>
      <c r="B10709" t="s">
        <v>260</v>
      </c>
      <c r="C10709">
        <v>272</v>
      </c>
      <c r="D10709" t="s">
        <v>634</v>
      </c>
      <c r="E10709" t="s">
        <v>99</v>
      </c>
      <c r="F10709" t="s">
        <v>132</v>
      </c>
      <c r="G10709" t="s">
        <v>167</v>
      </c>
      <c r="H10709" t="s">
        <v>136</v>
      </c>
      <c r="I10709" t="s">
        <v>136</v>
      </c>
      <c r="J10709" t="s">
        <v>207</v>
      </c>
      <c r="K10709" t="s">
        <v>136</v>
      </c>
      <c r="L10709" t="s">
        <v>99</v>
      </c>
      <c r="M10709" t="s">
        <v>99</v>
      </c>
      <c r="N10709" t="s">
        <v>99</v>
      </c>
      <c r="O10709" t="s">
        <v>99</v>
      </c>
      <c r="P10709" t="s">
        <v>99</v>
      </c>
      <c r="Q10709" t="s">
        <v>121</v>
      </c>
      <c r="R10709" t="s">
        <v>105</v>
      </c>
      <c r="S10709" t="s">
        <v>99</v>
      </c>
      <c r="T10709" t="s">
        <v>99</v>
      </c>
      <c r="U10709" t="s">
        <v>136</v>
      </c>
      <c r="V10709" t="s">
        <v>457</v>
      </c>
      <c r="W10709" t="s">
        <v>115</v>
      </c>
    </row>
    <row r="10710" spans="1:23" x14ac:dyDescent="0.3">
      <c r="A10710" t="s">
        <v>37</v>
      </c>
      <c r="B10710" t="s">
        <v>258</v>
      </c>
      <c r="C10710">
        <v>3855</v>
      </c>
      <c r="D10710" t="s">
        <v>874</v>
      </c>
      <c r="E10710" t="s">
        <v>198</v>
      </c>
      <c r="F10710" t="s">
        <v>101</v>
      </c>
      <c r="G10710" t="s">
        <v>136</v>
      </c>
      <c r="H10710" t="s">
        <v>132</v>
      </c>
      <c r="I10710" t="s">
        <v>292</v>
      </c>
      <c r="J10710" t="s">
        <v>157</v>
      </c>
      <c r="K10710" t="s">
        <v>114</v>
      </c>
      <c r="L10710" t="s">
        <v>121</v>
      </c>
      <c r="M10710" t="s">
        <v>253</v>
      </c>
      <c r="N10710" t="s">
        <v>105</v>
      </c>
      <c r="O10710" t="s">
        <v>198</v>
      </c>
      <c r="P10710" t="s">
        <v>207</v>
      </c>
      <c r="Q10710" t="s">
        <v>104</v>
      </c>
      <c r="R10710" t="s">
        <v>114</v>
      </c>
      <c r="S10710" t="s">
        <v>198</v>
      </c>
      <c r="T10710" t="s">
        <v>104</v>
      </c>
      <c r="U10710" t="s">
        <v>136</v>
      </c>
      <c r="V10710" t="s">
        <v>726</v>
      </c>
      <c r="W10710" t="s">
        <v>198</v>
      </c>
    </row>
    <row r="10711" spans="1:23" x14ac:dyDescent="0.3">
      <c r="A10711" t="s">
        <v>36</v>
      </c>
      <c r="B10711" t="s">
        <v>258</v>
      </c>
      <c r="C10711">
        <v>2098</v>
      </c>
      <c r="D10711" t="s">
        <v>1001</v>
      </c>
      <c r="E10711" t="s">
        <v>115</v>
      </c>
      <c r="F10711" t="s">
        <v>434</v>
      </c>
      <c r="G10711" t="s">
        <v>242</v>
      </c>
      <c r="H10711" t="s">
        <v>207</v>
      </c>
      <c r="I10711" t="s">
        <v>111</v>
      </c>
      <c r="J10711" t="s">
        <v>127</v>
      </c>
      <c r="K10711" t="s">
        <v>111</v>
      </c>
      <c r="L10711" t="s">
        <v>101</v>
      </c>
      <c r="M10711" t="s">
        <v>132</v>
      </c>
      <c r="N10711" t="s">
        <v>126</v>
      </c>
      <c r="O10711" t="s">
        <v>108</v>
      </c>
      <c r="P10711" t="s">
        <v>141</v>
      </c>
      <c r="Q10711" t="s">
        <v>207</v>
      </c>
      <c r="R10711" t="s">
        <v>108</v>
      </c>
      <c r="S10711" t="s">
        <v>99</v>
      </c>
      <c r="T10711" t="s">
        <v>132</v>
      </c>
      <c r="U10711" t="s">
        <v>268</v>
      </c>
      <c r="V10711" t="s">
        <v>167</v>
      </c>
      <c r="W10711" t="s">
        <v>136</v>
      </c>
    </row>
    <row r="10712" spans="1:23" x14ac:dyDescent="0.3">
      <c r="A10712" t="s">
        <v>36</v>
      </c>
      <c r="B10712" t="s">
        <v>260</v>
      </c>
      <c r="C10712">
        <v>205</v>
      </c>
      <c r="D10712" t="s">
        <v>629</v>
      </c>
      <c r="E10712" t="s">
        <v>99</v>
      </c>
      <c r="F10712" t="s">
        <v>141</v>
      </c>
      <c r="G10712" t="s">
        <v>914</v>
      </c>
      <c r="H10712" t="s">
        <v>99</v>
      </c>
      <c r="I10712" t="s">
        <v>141</v>
      </c>
      <c r="J10712" t="s">
        <v>99</v>
      </c>
      <c r="K10712" t="s">
        <v>99</v>
      </c>
      <c r="L10712" t="s">
        <v>99</v>
      </c>
      <c r="M10712" t="s">
        <v>99</v>
      </c>
      <c r="N10712" t="s">
        <v>99</v>
      </c>
      <c r="O10712" t="s">
        <v>141</v>
      </c>
      <c r="P10712" t="s">
        <v>99</v>
      </c>
      <c r="Q10712" t="s">
        <v>99</v>
      </c>
      <c r="R10712" t="s">
        <v>474</v>
      </c>
      <c r="S10712" t="s">
        <v>99</v>
      </c>
      <c r="T10712" t="s">
        <v>99</v>
      </c>
      <c r="U10712" t="s">
        <v>141</v>
      </c>
      <c r="V10712" t="s">
        <v>76</v>
      </c>
      <c r="W10712" t="s">
        <v>141</v>
      </c>
    </row>
    <row r="10713" spans="1:23" x14ac:dyDescent="0.3">
      <c r="A10713" t="s">
        <v>34</v>
      </c>
      <c r="B10713" t="s">
        <v>258</v>
      </c>
      <c r="C10713">
        <v>1221</v>
      </c>
      <c r="D10713" t="s">
        <v>1162</v>
      </c>
      <c r="E10713" t="s">
        <v>198</v>
      </c>
      <c r="F10713" t="s">
        <v>72</v>
      </c>
      <c r="G10713" t="s">
        <v>126</v>
      </c>
      <c r="H10713" t="s">
        <v>141</v>
      </c>
      <c r="I10713" t="s">
        <v>253</v>
      </c>
      <c r="J10713" t="s">
        <v>207</v>
      </c>
      <c r="K10713" t="s">
        <v>118</v>
      </c>
      <c r="L10713" t="s">
        <v>141</v>
      </c>
      <c r="M10713" t="s">
        <v>99</v>
      </c>
      <c r="N10713" t="s">
        <v>132</v>
      </c>
      <c r="O10713" t="s">
        <v>99</v>
      </c>
      <c r="P10713" t="s">
        <v>99</v>
      </c>
      <c r="Q10713" t="s">
        <v>207</v>
      </c>
      <c r="R10713" t="s">
        <v>207</v>
      </c>
      <c r="S10713" t="s">
        <v>207</v>
      </c>
      <c r="T10713" t="s">
        <v>99</v>
      </c>
      <c r="U10713" t="s">
        <v>136</v>
      </c>
      <c r="V10713" t="s">
        <v>255</v>
      </c>
      <c r="W10713" t="s">
        <v>99</v>
      </c>
    </row>
    <row r="10714" spans="1:23" x14ac:dyDescent="0.3">
      <c r="A10714" t="s">
        <v>34</v>
      </c>
      <c r="B10714" t="s">
        <v>260</v>
      </c>
      <c r="C10714">
        <v>852</v>
      </c>
      <c r="D10714" t="s">
        <v>1116</v>
      </c>
      <c r="E10714" t="s">
        <v>198</v>
      </c>
      <c r="F10714" t="s">
        <v>319</v>
      </c>
      <c r="G10714" t="s">
        <v>1008</v>
      </c>
      <c r="H10714" t="s">
        <v>198</v>
      </c>
      <c r="I10714" t="s">
        <v>141</v>
      </c>
      <c r="J10714" t="s">
        <v>198</v>
      </c>
      <c r="K10714" t="s">
        <v>198</v>
      </c>
      <c r="L10714" t="s">
        <v>115</v>
      </c>
      <c r="M10714" t="s">
        <v>253</v>
      </c>
      <c r="N10714" t="s">
        <v>198</v>
      </c>
      <c r="O10714" t="s">
        <v>99</v>
      </c>
      <c r="P10714" t="s">
        <v>99</v>
      </c>
      <c r="Q10714" t="s">
        <v>151</v>
      </c>
      <c r="R10714" t="s">
        <v>143</v>
      </c>
      <c r="S10714" t="s">
        <v>104</v>
      </c>
      <c r="T10714" t="s">
        <v>99</v>
      </c>
      <c r="U10714" t="s">
        <v>382</v>
      </c>
      <c r="V10714" t="s">
        <v>911</v>
      </c>
      <c r="W10714" t="s">
        <v>115</v>
      </c>
    </row>
    <row r="10715" spans="1:23" x14ac:dyDescent="0.3">
      <c r="A10715" t="s">
        <v>33</v>
      </c>
      <c r="B10715" t="s">
        <v>258</v>
      </c>
      <c r="C10715">
        <v>1937</v>
      </c>
      <c r="D10715" t="s">
        <v>409</v>
      </c>
      <c r="E10715" t="s">
        <v>108</v>
      </c>
      <c r="F10715" t="s">
        <v>117</v>
      </c>
      <c r="G10715" t="s">
        <v>114</v>
      </c>
      <c r="H10715" t="s">
        <v>207</v>
      </c>
      <c r="I10715" t="s">
        <v>136</v>
      </c>
      <c r="J10715" t="s">
        <v>207</v>
      </c>
      <c r="K10715" t="s">
        <v>215</v>
      </c>
      <c r="L10715" t="s">
        <v>115</v>
      </c>
      <c r="M10715" t="s">
        <v>141</v>
      </c>
      <c r="N10715" t="s">
        <v>319</v>
      </c>
      <c r="O10715" t="s">
        <v>104</v>
      </c>
      <c r="P10715" t="s">
        <v>104</v>
      </c>
      <c r="Q10715" t="s">
        <v>104</v>
      </c>
      <c r="R10715" t="s">
        <v>108</v>
      </c>
      <c r="S10715" t="s">
        <v>99</v>
      </c>
      <c r="T10715" t="s">
        <v>99</v>
      </c>
      <c r="U10715" t="s">
        <v>104</v>
      </c>
      <c r="V10715" t="s">
        <v>107</v>
      </c>
      <c r="W10715" t="s">
        <v>99</v>
      </c>
    </row>
    <row r="10716" spans="1:23" x14ac:dyDescent="0.3">
      <c r="A10716" t="s">
        <v>49</v>
      </c>
      <c r="B10716" t="s">
        <v>258</v>
      </c>
      <c r="C10716">
        <v>11979</v>
      </c>
      <c r="D10716" t="s">
        <v>1047</v>
      </c>
      <c r="E10716" t="s">
        <v>207</v>
      </c>
      <c r="F10716" t="s">
        <v>120</v>
      </c>
      <c r="G10716" t="s">
        <v>111</v>
      </c>
      <c r="H10716" t="s">
        <v>136</v>
      </c>
      <c r="I10716" t="s">
        <v>126</v>
      </c>
      <c r="J10716" t="s">
        <v>319</v>
      </c>
      <c r="K10716" t="s">
        <v>126</v>
      </c>
      <c r="L10716" t="s">
        <v>121</v>
      </c>
      <c r="M10716" t="s">
        <v>141</v>
      </c>
      <c r="N10716" t="s">
        <v>111</v>
      </c>
      <c r="O10716" t="s">
        <v>198</v>
      </c>
      <c r="P10716" t="s">
        <v>198</v>
      </c>
      <c r="Q10716" t="s">
        <v>104</v>
      </c>
      <c r="R10716" t="s">
        <v>115</v>
      </c>
      <c r="S10716" t="s">
        <v>198</v>
      </c>
      <c r="T10716" t="s">
        <v>198</v>
      </c>
      <c r="U10716" t="s">
        <v>100</v>
      </c>
      <c r="V10716" t="s">
        <v>704</v>
      </c>
      <c r="W10716" t="s">
        <v>136</v>
      </c>
    </row>
    <row r="10717" spans="1:23" x14ac:dyDescent="0.3">
      <c r="A10717" t="s">
        <v>49</v>
      </c>
      <c r="B10717" t="s">
        <v>260</v>
      </c>
      <c r="C10717">
        <v>1329</v>
      </c>
      <c r="D10717" t="s">
        <v>941</v>
      </c>
      <c r="E10717" t="s">
        <v>104</v>
      </c>
      <c r="F10717" t="s">
        <v>101</v>
      </c>
      <c r="G10717" t="s">
        <v>508</v>
      </c>
      <c r="H10717" t="s">
        <v>207</v>
      </c>
      <c r="I10717" t="s">
        <v>141</v>
      </c>
      <c r="J10717" t="s">
        <v>207</v>
      </c>
      <c r="K10717" t="s">
        <v>198</v>
      </c>
      <c r="L10717" t="s">
        <v>141</v>
      </c>
      <c r="M10717" t="s">
        <v>141</v>
      </c>
      <c r="N10717" t="s">
        <v>198</v>
      </c>
      <c r="O10717" t="s">
        <v>99</v>
      </c>
      <c r="P10717" t="s">
        <v>99</v>
      </c>
      <c r="Q10717" t="s">
        <v>127</v>
      </c>
      <c r="R10717" t="s">
        <v>124</v>
      </c>
      <c r="S10717" t="s">
        <v>104</v>
      </c>
      <c r="T10717" t="s">
        <v>99</v>
      </c>
      <c r="U10717" t="s">
        <v>101</v>
      </c>
      <c r="V10717" t="s">
        <v>734</v>
      </c>
      <c r="W10717" t="s">
        <v>115</v>
      </c>
    </row>
    <row r="10719" spans="1:23" x14ac:dyDescent="0.3">
      <c r="A10719" t="s">
        <v>2549</v>
      </c>
    </row>
    <row r="10720" spans="1:23" x14ac:dyDescent="0.3">
      <c r="A10720" t="s">
        <v>44</v>
      </c>
      <c r="B10720" t="s">
        <v>32</v>
      </c>
      <c r="C10720" t="s">
        <v>352</v>
      </c>
      <c r="D10720" t="s">
        <v>66</v>
      </c>
      <c r="E10720" t="s">
        <v>67</v>
      </c>
      <c r="F10720" t="s">
        <v>193</v>
      </c>
    </row>
    <row r="10721" spans="1:7" x14ac:dyDescent="0.3">
      <c r="A10721" t="s">
        <v>35</v>
      </c>
      <c r="B10721">
        <v>3139</v>
      </c>
      <c r="C10721" t="s">
        <v>141</v>
      </c>
      <c r="D10721" t="s">
        <v>266</v>
      </c>
      <c r="E10721" t="s">
        <v>321</v>
      </c>
      <c r="F10721" t="s">
        <v>104</v>
      </c>
    </row>
    <row r="10722" spans="1:7" x14ac:dyDescent="0.3">
      <c r="A10722" t="s">
        <v>37</v>
      </c>
      <c r="B10722">
        <v>3851</v>
      </c>
      <c r="C10722" t="s">
        <v>132</v>
      </c>
      <c r="D10722" t="s">
        <v>286</v>
      </c>
      <c r="E10722" t="s">
        <v>680</v>
      </c>
      <c r="F10722" t="s">
        <v>99</v>
      </c>
    </row>
    <row r="10723" spans="1:7" x14ac:dyDescent="0.3">
      <c r="A10723" t="s">
        <v>36</v>
      </c>
      <c r="B10723">
        <v>2302</v>
      </c>
      <c r="C10723" t="s">
        <v>207</v>
      </c>
      <c r="D10723" t="s">
        <v>380</v>
      </c>
      <c r="E10723" t="s">
        <v>289</v>
      </c>
      <c r="F10723" t="s">
        <v>99</v>
      </c>
    </row>
    <row r="10724" spans="1:7" x14ac:dyDescent="0.3">
      <c r="A10724" t="s">
        <v>34</v>
      </c>
      <c r="B10724">
        <v>2073</v>
      </c>
      <c r="C10724" t="s">
        <v>253</v>
      </c>
      <c r="D10724" t="s">
        <v>403</v>
      </c>
      <c r="E10724" t="s">
        <v>353</v>
      </c>
      <c r="F10724" t="s">
        <v>104</v>
      </c>
    </row>
    <row r="10725" spans="1:7" x14ac:dyDescent="0.3">
      <c r="A10725" t="s">
        <v>33</v>
      </c>
      <c r="B10725">
        <v>1933</v>
      </c>
      <c r="C10725" t="s">
        <v>104</v>
      </c>
      <c r="D10725" t="s">
        <v>329</v>
      </c>
      <c r="E10725" t="s">
        <v>664</v>
      </c>
      <c r="F10725" t="s">
        <v>99</v>
      </c>
    </row>
    <row r="10726" spans="1:7" x14ac:dyDescent="0.3">
      <c r="A10726" t="s">
        <v>49</v>
      </c>
      <c r="B10726">
        <v>13298</v>
      </c>
      <c r="C10726" t="s">
        <v>141</v>
      </c>
      <c r="D10726" t="s">
        <v>219</v>
      </c>
      <c r="E10726" t="s">
        <v>165</v>
      </c>
      <c r="F10726" t="s">
        <v>104</v>
      </c>
    </row>
    <row r="10728" spans="1:7" x14ac:dyDescent="0.3">
      <c r="A10728" t="s">
        <v>2550</v>
      </c>
    </row>
    <row r="10729" spans="1:7" x14ac:dyDescent="0.3">
      <c r="A10729" t="s">
        <v>44</v>
      </c>
      <c r="B10729" t="s">
        <v>361</v>
      </c>
      <c r="C10729" t="s">
        <v>32</v>
      </c>
      <c r="D10729" t="s">
        <v>66</v>
      </c>
      <c r="E10729" t="s">
        <v>67</v>
      </c>
      <c r="F10729" t="s">
        <v>352</v>
      </c>
      <c r="G10729" t="s">
        <v>193</v>
      </c>
    </row>
    <row r="10730" spans="1:7" x14ac:dyDescent="0.3">
      <c r="A10730" t="s">
        <v>35</v>
      </c>
      <c r="B10730" t="s">
        <v>339</v>
      </c>
      <c r="C10730">
        <v>886</v>
      </c>
      <c r="D10730" t="s">
        <v>535</v>
      </c>
      <c r="E10730" t="s">
        <v>534</v>
      </c>
      <c r="F10730" t="s">
        <v>141</v>
      </c>
      <c r="G10730" t="s">
        <v>198</v>
      </c>
    </row>
    <row r="10731" spans="1:7" x14ac:dyDescent="0.3">
      <c r="A10731" t="s">
        <v>35</v>
      </c>
      <c r="B10731" t="s">
        <v>340</v>
      </c>
      <c r="C10731">
        <v>2213</v>
      </c>
      <c r="D10731" t="s">
        <v>172</v>
      </c>
      <c r="E10731" t="s">
        <v>470</v>
      </c>
      <c r="F10731" t="s">
        <v>141</v>
      </c>
      <c r="G10731" t="s">
        <v>99</v>
      </c>
    </row>
    <row r="10732" spans="1:7" x14ac:dyDescent="0.3">
      <c r="A10732" t="s">
        <v>35</v>
      </c>
      <c r="B10732" t="s">
        <v>365</v>
      </c>
      <c r="C10732">
        <v>40</v>
      </c>
      <c r="D10732" t="s">
        <v>211</v>
      </c>
      <c r="E10732" t="s">
        <v>99</v>
      </c>
      <c r="F10732" t="s">
        <v>99</v>
      </c>
      <c r="G10732" t="s">
        <v>99</v>
      </c>
    </row>
    <row r="10733" spans="1:7" x14ac:dyDescent="0.3">
      <c r="A10733" t="s">
        <v>37</v>
      </c>
      <c r="B10733" t="s">
        <v>339</v>
      </c>
      <c r="C10733">
        <v>1093</v>
      </c>
      <c r="D10733" t="s">
        <v>502</v>
      </c>
      <c r="E10733" t="s">
        <v>678</v>
      </c>
      <c r="F10733" t="s">
        <v>126</v>
      </c>
      <c r="G10733" t="s">
        <v>99</v>
      </c>
    </row>
    <row r="10734" spans="1:7" x14ac:dyDescent="0.3">
      <c r="A10734" t="s">
        <v>37</v>
      </c>
      <c r="B10734" t="s">
        <v>340</v>
      </c>
      <c r="C10734">
        <v>2717</v>
      </c>
      <c r="D10734" t="s">
        <v>172</v>
      </c>
      <c r="E10734" t="s">
        <v>405</v>
      </c>
      <c r="F10734" t="s">
        <v>253</v>
      </c>
      <c r="G10734" t="s">
        <v>99</v>
      </c>
    </row>
    <row r="10735" spans="1:7" x14ac:dyDescent="0.3">
      <c r="A10735" t="s">
        <v>37</v>
      </c>
      <c r="B10735" t="s">
        <v>365</v>
      </c>
      <c r="C10735">
        <v>41</v>
      </c>
      <c r="D10735" t="s">
        <v>286</v>
      </c>
      <c r="E10735" t="s">
        <v>688</v>
      </c>
      <c r="F10735" t="s">
        <v>99</v>
      </c>
      <c r="G10735" t="s">
        <v>99</v>
      </c>
    </row>
    <row r="10736" spans="1:7" x14ac:dyDescent="0.3">
      <c r="A10736" t="s">
        <v>36</v>
      </c>
      <c r="B10736" t="s">
        <v>339</v>
      </c>
      <c r="C10736">
        <v>768</v>
      </c>
      <c r="D10736" t="s">
        <v>1640</v>
      </c>
      <c r="E10736" t="s">
        <v>705</v>
      </c>
      <c r="F10736" t="s">
        <v>136</v>
      </c>
      <c r="G10736" t="s">
        <v>99</v>
      </c>
    </row>
    <row r="10737" spans="1:7" x14ac:dyDescent="0.3">
      <c r="A10737" t="s">
        <v>36</v>
      </c>
      <c r="B10737" t="s">
        <v>340</v>
      </c>
      <c r="C10737">
        <v>1471</v>
      </c>
      <c r="D10737" t="s">
        <v>169</v>
      </c>
      <c r="E10737" t="s">
        <v>182</v>
      </c>
      <c r="F10737" t="s">
        <v>198</v>
      </c>
      <c r="G10737" t="s">
        <v>99</v>
      </c>
    </row>
    <row r="10738" spans="1:7" x14ac:dyDescent="0.3">
      <c r="A10738" t="s">
        <v>36</v>
      </c>
      <c r="B10738" t="s">
        <v>365</v>
      </c>
      <c r="C10738">
        <v>63</v>
      </c>
      <c r="D10738" t="s">
        <v>782</v>
      </c>
      <c r="E10738" t="s">
        <v>129</v>
      </c>
      <c r="F10738" t="s">
        <v>99</v>
      </c>
      <c r="G10738" t="s">
        <v>99</v>
      </c>
    </row>
    <row r="10739" spans="1:7" x14ac:dyDescent="0.3">
      <c r="A10739" t="s">
        <v>34</v>
      </c>
      <c r="B10739" t="s">
        <v>339</v>
      </c>
      <c r="C10739">
        <v>554</v>
      </c>
      <c r="D10739" t="s">
        <v>417</v>
      </c>
      <c r="E10739" t="s">
        <v>171</v>
      </c>
      <c r="F10739" t="s">
        <v>100</v>
      </c>
      <c r="G10739" t="s">
        <v>104</v>
      </c>
    </row>
    <row r="10740" spans="1:7" x14ac:dyDescent="0.3">
      <c r="A10740" t="s">
        <v>34</v>
      </c>
      <c r="B10740" t="s">
        <v>340</v>
      </c>
      <c r="C10740">
        <v>1491</v>
      </c>
      <c r="D10740" t="s">
        <v>226</v>
      </c>
      <c r="E10740" t="s">
        <v>675</v>
      </c>
      <c r="F10740" t="s">
        <v>136</v>
      </c>
      <c r="G10740" t="s">
        <v>104</v>
      </c>
    </row>
    <row r="10741" spans="1:7" x14ac:dyDescent="0.3">
      <c r="A10741" t="s">
        <v>34</v>
      </c>
      <c r="B10741" t="s">
        <v>365</v>
      </c>
      <c r="C10741">
        <v>28</v>
      </c>
      <c r="D10741" t="s">
        <v>764</v>
      </c>
      <c r="E10741" t="s">
        <v>710</v>
      </c>
      <c r="F10741" t="s">
        <v>99</v>
      </c>
      <c r="G10741" t="s">
        <v>99</v>
      </c>
    </row>
    <row r="10742" spans="1:7" x14ac:dyDescent="0.3">
      <c r="A10742" t="s">
        <v>33</v>
      </c>
      <c r="B10742" t="s">
        <v>339</v>
      </c>
      <c r="C10742">
        <v>502</v>
      </c>
      <c r="D10742" t="s">
        <v>77</v>
      </c>
      <c r="E10742" t="s">
        <v>76</v>
      </c>
      <c r="F10742" t="s">
        <v>99</v>
      </c>
      <c r="G10742" t="s">
        <v>99</v>
      </c>
    </row>
    <row r="10743" spans="1:7" x14ac:dyDescent="0.3">
      <c r="A10743" t="s">
        <v>33</v>
      </c>
      <c r="B10743" t="s">
        <v>340</v>
      </c>
      <c r="C10743">
        <v>1412</v>
      </c>
      <c r="D10743" t="s">
        <v>69</v>
      </c>
      <c r="E10743" t="s">
        <v>149</v>
      </c>
      <c r="F10743" t="s">
        <v>104</v>
      </c>
      <c r="G10743" t="s">
        <v>99</v>
      </c>
    </row>
    <row r="10744" spans="1:7" x14ac:dyDescent="0.3">
      <c r="A10744" t="s">
        <v>33</v>
      </c>
      <c r="B10744" t="s">
        <v>365</v>
      </c>
      <c r="C10744">
        <v>19</v>
      </c>
      <c r="D10744" t="s">
        <v>380</v>
      </c>
      <c r="E10744" t="s">
        <v>328</v>
      </c>
      <c r="F10744" t="s">
        <v>74</v>
      </c>
      <c r="G10744" t="s">
        <v>99</v>
      </c>
    </row>
    <row r="10745" spans="1:7" x14ac:dyDescent="0.3">
      <c r="A10745" t="s">
        <v>49</v>
      </c>
      <c r="B10745" t="s">
        <v>339</v>
      </c>
      <c r="C10745">
        <v>3803</v>
      </c>
      <c r="D10745" t="s">
        <v>189</v>
      </c>
      <c r="E10745" t="s">
        <v>395</v>
      </c>
      <c r="F10745" t="s">
        <v>132</v>
      </c>
      <c r="G10745" t="s">
        <v>104</v>
      </c>
    </row>
    <row r="10746" spans="1:7" x14ac:dyDescent="0.3">
      <c r="A10746" t="s">
        <v>49</v>
      </c>
      <c r="B10746" t="s">
        <v>340</v>
      </c>
      <c r="C10746">
        <v>9304</v>
      </c>
      <c r="D10746" t="s">
        <v>1308</v>
      </c>
      <c r="E10746" t="s">
        <v>305</v>
      </c>
      <c r="F10746" t="s">
        <v>136</v>
      </c>
      <c r="G10746" t="s">
        <v>99</v>
      </c>
    </row>
    <row r="10747" spans="1:7" x14ac:dyDescent="0.3">
      <c r="A10747" t="s">
        <v>49</v>
      </c>
      <c r="B10747" t="s">
        <v>365</v>
      </c>
      <c r="C10747">
        <v>191</v>
      </c>
      <c r="D10747" t="s">
        <v>79</v>
      </c>
      <c r="E10747" t="s">
        <v>152</v>
      </c>
      <c r="F10747" t="s">
        <v>115</v>
      </c>
      <c r="G10747" t="s">
        <v>99</v>
      </c>
    </row>
    <row r="10749" spans="1:7" x14ac:dyDescent="0.3">
      <c r="A10749" t="s">
        <v>2551</v>
      </c>
    </row>
    <row r="10750" spans="1:7" x14ac:dyDescent="0.3">
      <c r="A10750" t="s">
        <v>44</v>
      </c>
      <c r="B10750" t="s">
        <v>209</v>
      </c>
      <c r="C10750" t="s">
        <v>32</v>
      </c>
      <c r="D10750" t="s">
        <v>66</v>
      </c>
      <c r="E10750" t="s">
        <v>67</v>
      </c>
      <c r="F10750" t="s">
        <v>352</v>
      </c>
      <c r="G10750" t="s">
        <v>193</v>
      </c>
    </row>
    <row r="10751" spans="1:7" x14ac:dyDescent="0.3">
      <c r="A10751" t="s">
        <v>35</v>
      </c>
      <c r="B10751" t="s">
        <v>210</v>
      </c>
      <c r="C10751">
        <v>136</v>
      </c>
      <c r="D10751" t="s">
        <v>1325</v>
      </c>
      <c r="E10751" t="s">
        <v>451</v>
      </c>
      <c r="F10751" t="s">
        <v>141</v>
      </c>
      <c r="G10751" t="s">
        <v>99</v>
      </c>
    </row>
    <row r="10752" spans="1:7" x14ac:dyDescent="0.3">
      <c r="A10752" t="s">
        <v>35</v>
      </c>
      <c r="B10752" t="s">
        <v>212</v>
      </c>
      <c r="C10752">
        <v>2437</v>
      </c>
      <c r="D10752" t="s">
        <v>430</v>
      </c>
      <c r="E10752" t="s">
        <v>746</v>
      </c>
      <c r="F10752" t="s">
        <v>253</v>
      </c>
      <c r="G10752" t="s">
        <v>104</v>
      </c>
    </row>
    <row r="10753" spans="1:7" x14ac:dyDescent="0.3">
      <c r="A10753" t="s">
        <v>35</v>
      </c>
      <c r="B10753" t="s">
        <v>216</v>
      </c>
      <c r="C10753">
        <v>566</v>
      </c>
      <c r="D10753" t="s">
        <v>205</v>
      </c>
      <c r="E10753" t="s">
        <v>368</v>
      </c>
      <c r="F10753" t="s">
        <v>198</v>
      </c>
      <c r="G10753" t="s">
        <v>99</v>
      </c>
    </row>
    <row r="10754" spans="1:7" x14ac:dyDescent="0.3">
      <c r="A10754" t="s">
        <v>37</v>
      </c>
      <c r="B10754" t="s">
        <v>210</v>
      </c>
      <c r="C10754">
        <v>138</v>
      </c>
      <c r="D10754" t="s">
        <v>475</v>
      </c>
      <c r="E10754" t="s">
        <v>738</v>
      </c>
      <c r="F10754" t="s">
        <v>99</v>
      </c>
      <c r="G10754" t="s">
        <v>99</v>
      </c>
    </row>
    <row r="10755" spans="1:7" x14ac:dyDescent="0.3">
      <c r="A10755" t="s">
        <v>37</v>
      </c>
      <c r="B10755" t="s">
        <v>212</v>
      </c>
      <c r="C10755">
        <v>3602</v>
      </c>
      <c r="D10755" t="s">
        <v>1007</v>
      </c>
      <c r="E10755" t="s">
        <v>289</v>
      </c>
      <c r="F10755" t="s">
        <v>108</v>
      </c>
      <c r="G10755" t="s">
        <v>99</v>
      </c>
    </row>
    <row r="10756" spans="1:7" x14ac:dyDescent="0.3">
      <c r="A10756" t="s">
        <v>37</v>
      </c>
      <c r="B10756" t="s">
        <v>216</v>
      </c>
      <c r="C10756">
        <v>111</v>
      </c>
      <c r="D10756" t="s">
        <v>1282</v>
      </c>
      <c r="E10756" t="s">
        <v>313</v>
      </c>
      <c r="F10756" t="s">
        <v>99</v>
      </c>
      <c r="G10756" t="s">
        <v>99</v>
      </c>
    </row>
    <row r="10757" spans="1:7" x14ac:dyDescent="0.3">
      <c r="A10757" t="s">
        <v>36</v>
      </c>
      <c r="B10757" t="s">
        <v>210</v>
      </c>
      <c r="C10757">
        <v>165</v>
      </c>
      <c r="D10757" t="s">
        <v>441</v>
      </c>
      <c r="E10757" t="s">
        <v>727</v>
      </c>
      <c r="F10757" t="s">
        <v>99</v>
      </c>
      <c r="G10757" t="s">
        <v>99</v>
      </c>
    </row>
    <row r="10758" spans="1:7" x14ac:dyDescent="0.3">
      <c r="A10758" t="s">
        <v>36</v>
      </c>
      <c r="B10758" t="s">
        <v>212</v>
      </c>
      <c r="C10758">
        <v>1873</v>
      </c>
      <c r="D10758" t="s">
        <v>166</v>
      </c>
      <c r="E10758" t="s">
        <v>716</v>
      </c>
      <c r="F10758" t="s">
        <v>207</v>
      </c>
      <c r="G10758" t="s">
        <v>99</v>
      </c>
    </row>
    <row r="10759" spans="1:7" x14ac:dyDescent="0.3">
      <c r="A10759" t="s">
        <v>36</v>
      </c>
      <c r="B10759" t="s">
        <v>216</v>
      </c>
      <c r="C10759">
        <v>264</v>
      </c>
      <c r="D10759" t="s">
        <v>399</v>
      </c>
      <c r="E10759" t="s">
        <v>220</v>
      </c>
      <c r="F10759" t="s">
        <v>104</v>
      </c>
      <c r="G10759" t="s">
        <v>99</v>
      </c>
    </row>
    <row r="10760" spans="1:7" x14ac:dyDescent="0.3">
      <c r="A10760" t="s">
        <v>34</v>
      </c>
      <c r="B10760" t="s">
        <v>210</v>
      </c>
      <c r="C10760">
        <v>256</v>
      </c>
      <c r="D10760" t="s">
        <v>250</v>
      </c>
      <c r="E10760" t="s">
        <v>299</v>
      </c>
      <c r="F10760" t="s">
        <v>319</v>
      </c>
      <c r="G10760" t="s">
        <v>141</v>
      </c>
    </row>
    <row r="10761" spans="1:7" x14ac:dyDescent="0.3">
      <c r="A10761" t="s">
        <v>34</v>
      </c>
      <c r="B10761" t="s">
        <v>212</v>
      </c>
      <c r="C10761">
        <v>1579</v>
      </c>
      <c r="D10761" t="s">
        <v>226</v>
      </c>
      <c r="E10761" t="s">
        <v>675</v>
      </c>
      <c r="F10761" t="s">
        <v>141</v>
      </c>
      <c r="G10761" t="s">
        <v>99</v>
      </c>
    </row>
    <row r="10762" spans="1:7" x14ac:dyDescent="0.3">
      <c r="A10762" t="s">
        <v>34</v>
      </c>
      <c r="B10762" t="s">
        <v>216</v>
      </c>
      <c r="C10762">
        <v>238</v>
      </c>
      <c r="D10762" t="s">
        <v>243</v>
      </c>
      <c r="E10762" t="s">
        <v>201</v>
      </c>
      <c r="F10762" t="s">
        <v>207</v>
      </c>
      <c r="G10762" t="s">
        <v>207</v>
      </c>
    </row>
    <row r="10763" spans="1:7" x14ac:dyDescent="0.3">
      <c r="A10763" t="s">
        <v>33</v>
      </c>
      <c r="B10763" t="s">
        <v>210</v>
      </c>
      <c r="C10763">
        <v>68</v>
      </c>
      <c r="D10763" t="s">
        <v>180</v>
      </c>
      <c r="E10763" t="s">
        <v>179</v>
      </c>
      <c r="F10763" t="s">
        <v>99</v>
      </c>
      <c r="G10763" t="s">
        <v>99</v>
      </c>
    </row>
    <row r="10764" spans="1:7" x14ac:dyDescent="0.3">
      <c r="A10764" t="s">
        <v>33</v>
      </c>
      <c r="B10764" t="s">
        <v>212</v>
      </c>
      <c r="C10764">
        <v>1796</v>
      </c>
      <c r="D10764" t="s">
        <v>329</v>
      </c>
      <c r="E10764" t="s">
        <v>664</v>
      </c>
      <c r="F10764" t="s">
        <v>104</v>
      </c>
      <c r="G10764" t="s">
        <v>99</v>
      </c>
    </row>
    <row r="10765" spans="1:7" x14ac:dyDescent="0.3">
      <c r="A10765" t="s">
        <v>33</v>
      </c>
      <c r="B10765" t="s">
        <v>216</v>
      </c>
      <c r="C10765">
        <v>69</v>
      </c>
      <c r="D10765" t="s">
        <v>433</v>
      </c>
      <c r="E10765" t="s">
        <v>434</v>
      </c>
      <c r="F10765" t="s">
        <v>99</v>
      </c>
      <c r="G10765" t="s">
        <v>99</v>
      </c>
    </row>
    <row r="10766" spans="1:7" x14ac:dyDescent="0.3">
      <c r="A10766" t="s">
        <v>49</v>
      </c>
      <c r="B10766" t="s">
        <v>210</v>
      </c>
      <c r="C10766">
        <v>763</v>
      </c>
      <c r="D10766" t="s">
        <v>908</v>
      </c>
      <c r="E10766" t="s">
        <v>482</v>
      </c>
      <c r="F10766" t="s">
        <v>115</v>
      </c>
      <c r="G10766" t="s">
        <v>198</v>
      </c>
    </row>
    <row r="10767" spans="1:7" x14ac:dyDescent="0.3">
      <c r="A10767" t="s">
        <v>49</v>
      </c>
      <c r="B10767" t="s">
        <v>212</v>
      </c>
      <c r="C10767">
        <v>11287</v>
      </c>
      <c r="D10767" t="s">
        <v>166</v>
      </c>
      <c r="E10767" t="s">
        <v>379</v>
      </c>
      <c r="F10767" t="s">
        <v>253</v>
      </c>
      <c r="G10767" t="s">
        <v>99</v>
      </c>
    </row>
    <row r="10768" spans="1:7" x14ac:dyDescent="0.3">
      <c r="A10768" t="s">
        <v>49</v>
      </c>
      <c r="B10768" t="s">
        <v>216</v>
      </c>
      <c r="C10768">
        <v>1248</v>
      </c>
      <c r="D10768" t="s">
        <v>845</v>
      </c>
      <c r="E10768" t="s">
        <v>688</v>
      </c>
      <c r="F10768" t="s">
        <v>198</v>
      </c>
      <c r="G10768" t="s">
        <v>104</v>
      </c>
    </row>
    <row r="10770" spans="1:7" x14ac:dyDescent="0.3">
      <c r="A10770" t="s">
        <v>2552</v>
      </c>
    </row>
    <row r="10771" spans="1:7" x14ac:dyDescent="0.3">
      <c r="A10771" t="s">
        <v>44</v>
      </c>
      <c r="B10771" t="s">
        <v>388</v>
      </c>
      <c r="C10771" t="s">
        <v>32</v>
      </c>
      <c r="D10771" t="s">
        <v>66</v>
      </c>
      <c r="E10771" t="s">
        <v>67</v>
      </c>
      <c r="F10771" t="s">
        <v>352</v>
      </c>
      <c r="G10771" t="s">
        <v>193</v>
      </c>
    </row>
    <row r="10772" spans="1:7" x14ac:dyDescent="0.3">
      <c r="A10772" t="s">
        <v>35</v>
      </c>
      <c r="B10772" t="s">
        <v>389</v>
      </c>
      <c r="C10772">
        <v>2139</v>
      </c>
      <c r="D10772" t="s">
        <v>769</v>
      </c>
      <c r="E10772" t="s">
        <v>201</v>
      </c>
      <c r="F10772" t="s">
        <v>198</v>
      </c>
      <c r="G10772" t="s">
        <v>104</v>
      </c>
    </row>
    <row r="10773" spans="1:7" x14ac:dyDescent="0.3">
      <c r="A10773" t="s">
        <v>35</v>
      </c>
      <c r="B10773" t="s">
        <v>390</v>
      </c>
      <c r="C10773">
        <v>873</v>
      </c>
      <c r="D10773" t="s">
        <v>176</v>
      </c>
      <c r="E10773" t="s">
        <v>677</v>
      </c>
      <c r="F10773" t="s">
        <v>121</v>
      </c>
      <c r="G10773" t="s">
        <v>104</v>
      </c>
    </row>
    <row r="10774" spans="1:7" x14ac:dyDescent="0.3">
      <c r="A10774" t="s">
        <v>35</v>
      </c>
      <c r="B10774" t="s">
        <v>365</v>
      </c>
      <c r="C10774">
        <v>127</v>
      </c>
      <c r="D10774" t="s">
        <v>978</v>
      </c>
      <c r="E10774" t="s">
        <v>152</v>
      </c>
      <c r="F10774" t="s">
        <v>99</v>
      </c>
      <c r="G10774" t="s">
        <v>99</v>
      </c>
    </row>
    <row r="10775" spans="1:7" x14ac:dyDescent="0.3">
      <c r="A10775" t="s">
        <v>37</v>
      </c>
      <c r="B10775" t="s">
        <v>389</v>
      </c>
      <c r="C10775">
        <v>2303</v>
      </c>
      <c r="D10775" t="s">
        <v>221</v>
      </c>
      <c r="E10775" t="s">
        <v>449</v>
      </c>
      <c r="F10775" t="s">
        <v>108</v>
      </c>
      <c r="G10775" t="s">
        <v>99</v>
      </c>
    </row>
    <row r="10776" spans="1:7" x14ac:dyDescent="0.3">
      <c r="A10776" t="s">
        <v>37</v>
      </c>
      <c r="B10776" t="s">
        <v>390</v>
      </c>
      <c r="C10776">
        <v>1308</v>
      </c>
      <c r="D10776" t="s">
        <v>205</v>
      </c>
      <c r="E10776" t="s">
        <v>677</v>
      </c>
      <c r="F10776" t="s">
        <v>115</v>
      </c>
      <c r="G10776" t="s">
        <v>104</v>
      </c>
    </row>
    <row r="10777" spans="1:7" x14ac:dyDescent="0.3">
      <c r="A10777" t="s">
        <v>37</v>
      </c>
      <c r="B10777" t="s">
        <v>365</v>
      </c>
      <c r="C10777">
        <v>240</v>
      </c>
      <c r="D10777" t="s">
        <v>169</v>
      </c>
      <c r="E10777" t="s">
        <v>353</v>
      </c>
      <c r="F10777" t="s">
        <v>101</v>
      </c>
      <c r="G10777" t="s">
        <v>99</v>
      </c>
    </row>
    <row r="10778" spans="1:7" x14ac:dyDescent="0.3">
      <c r="A10778" t="s">
        <v>36</v>
      </c>
      <c r="B10778" t="s">
        <v>389</v>
      </c>
      <c r="C10778">
        <v>1576</v>
      </c>
      <c r="D10778" t="s">
        <v>312</v>
      </c>
      <c r="E10778" t="s">
        <v>206</v>
      </c>
      <c r="F10778" t="s">
        <v>198</v>
      </c>
      <c r="G10778" t="s">
        <v>99</v>
      </c>
    </row>
    <row r="10779" spans="1:7" x14ac:dyDescent="0.3">
      <c r="A10779" t="s">
        <v>36</v>
      </c>
      <c r="B10779" t="s">
        <v>390</v>
      </c>
      <c r="C10779">
        <v>626</v>
      </c>
      <c r="D10779" t="s">
        <v>1282</v>
      </c>
      <c r="E10779" t="s">
        <v>262</v>
      </c>
      <c r="F10779" t="s">
        <v>141</v>
      </c>
      <c r="G10779" t="s">
        <v>104</v>
      </c>
    </row>
    <row r="10780" spans="1:7" x14ac:dyDescent="0.3">
      <c r="A10780" t="s">
        <v>36</v>
      </c>
      <c r="B10780" t="s">
        <v>365</v>
      </c>
      <c r="C10780">
        <v>100</v>
      </c>
      <c r="D10780" t="s">
        <v>380</v>
      </c>
      <c r="E10780" t="s">
        <v>179</v>
      </c>
      <c r="F10780" t="s">
        <v>104</v>
      </c>
      <c r="G10780" t="s">
        <v>99</v>
      </c>
    </row>
    <row r="10781" spans="1:7" x14ac:dyDescent="0.3">
      <c r="A10781" t="s">
        <v>34</v>
      </c>
      <c r="B10781" t="s">
        <v>389</v>
      </c>
      <c r="C10781">
        <v>1381</v>
      </c>
      <c r="D10781" t="s">
        <v>323</v>
      </c>
      <c r="E10781" t="s">
        <v>184</v>
      </c>
      <c r="F10781" t="s">
        <v>132</v>
      </c>
      <c r="G10781" t="s">
        <v>104</v>
      </c>
    </row>
    <row r="10782" spans="1:7" x14ac:dyDescent="0.3">
      <c r="A10782" t="s">
        <v>34</v>
      </c>
      <c r="B10782" t="s">
        <v>390</v>
      </c>
      <c r="C10782">
        <v>612</v>
      </c>
      <c r="D10782" t="s">
        <v>293</v>
      </c>
      <c r="E10782" t="s">
        <v>142</v>
      </c>
      <c r="F10782" t="s">
        <v>198</v>
      </c>
      <c r="G10782" t="s">
        <v>198</v>
      </c>
    </row>
    <row r="10783" spans="1:7" x14ac:dyDescent="0.3">
      <c r="A10783" t="s">
        <v>34</v>
      </c>
      <c r="B10783" t="s">
        <v>365</v>
      </c>
      <c r="C10783">
        <v>80</v>
      </c>
      <c r="D10783" t="s">
        <v>334</v>
      </c>
      <c r="E10783" t="s">
        <v>145</v>
      </c>
      <c r="F10783" t="s">
        <v>99</v>
      </c>
      <c r="G10783" t="s">
        <v>99</v>
      </c>
    </row>
    <row r="10784" spans="1:7" x14ac:dyDescent="0.3">
      <c r="A10784" t="s">
        <v>33</v>
      </c>
      <c r="B10784" t="s">
        <v>389</v>
      </c>
      <c r="C10784">
        <v>1088</v>
      </c>
      <c r="D10784" t="s">
        <v>421</v>
      </c>
      <c r="E10784" t="s">
        <v>41</v>
      </c>
      <c r="F10784" t="s">
        <v>99</v>
      </c>
      <c r="G10784" t="s">
        <v>99</v>
      </c>
    </row>
    <row r="10785" spans="1:7" x14ac:dyDescent="0.3">
      <c r="A10785" t="s">
        <v>33</v>
      </c>
      <c r="B10785" t="s">
        <v>390</v>
      </c>
      <c r="C10785">
        <v>708</v>
      </c>
      <c r="D10785" t="s">
        <v>505</v>
      </c>
      <c r="E10785" t="s">
        <v>277</v>
      </c>
      <c r="F10785" t="s">
        <v>136</v>
      </c>
      <c r="G10785" t="s">
        <v>99</v>
      </c>
    </row>
    <row r="10786" spans="1:7" x14ac:dyDescent="0.3">
      <c r="A10786" t="s">
        <v>33</v>
      </c>
      <c r="B10786" t="s">
        <v>365</v>
      </c>
      <c r="C10786">
        <v>137</v>
      </c>
      <c r="D10786" t="s">
        <v>413</v>
      </c>
      <c r="E10786" t="s">
        <v>412</v>
      </c>
      <c r="F10786" t="s">
        <v>99</v>
      </c>
      <c r="G10786" t="s">
        <v>99</v>
      </c>
    </row>
    <row r="10787" spans="1:7" x14ac:dyDescent="0.3">
      <c r="A10787" t="s">
        <v>49</v>
      </c>
      <c r="B10787" t="s">
        <v>389</v>
      </c>
      <c r="C10787">
        <v>8487</v>
      </c>
      <c r="D10787" t="s">
        <v>380</v>
      </c>
      <c r="E10787" t="s">
        <v>408</v>
      </c>
      <c r="F10787" t="s">
        <v>141</v>
      </c>
      <c r="G10787" t="s">
        <v>104</v>
      </c>
    </row>
    <row r="10788" spans="1:7" x14ac:dyDescent="0.3">
      <c r="A10788" t="s">
        <v>49</v>
      </c>
      <c r="B10788" t="s">
        <v>390</v>
      </c>
      <c r="C10788">
        <v>4127</v>
      </c>
      <c r="D10788" t="s">
        <v>966</v>
      </c>
      <c r="E10788" t="s">
        <v>716</v>
      </c>
      <c r="F10788" t="s">
        <v>115</v>
      </c>
      <c r="G10788" t="s">
        <v>104</v>
      </c>
    </row>
    <row r="10789" spans="1:7" x14ac:dyDescent="0.3">
      <c r="A10789" t="s">
        <v>49</v>
      </c>
      <c r="B10789" t="s">
        <v>365</v>
      </c>
      <c r="C10789">
        <v>684</v>
      </c>
      <c r="D10789" t="s">
        <v>247</v>
      </c>
      <c r="E10789" t="s">
        <v>122</v>
      </c>
      <c r="F10789" t="s">
        <v>141</v>
      </c>
      <c r="G10789" t="s">
        <v>99</v>
      </c>
    </row>
    <row r="10791" spans="1:7" x14ac:dyDescent="0.3">
      <c r="A10791" t="s">
        <v>2553</v>
      </c>
    </row>
    <row r="10792" spans="1:7" x14ac:dyDescent="0.3">
      <c r="A10792" t="s">
        <v>44</v>
      </c>
      <c r="B10792" t="s">
        <v>257</v>
      </c>
      <c r="C10792" t="s">
        <v>32</v>
      </c>
      <c r="D10792" t="s">
        <v>352</v>
      </c>
      <c r="E10792" t="s">
        <v>66</v>
      </c>
      <c r="F10792" t="s">
        <v>67</v>
      </c>
      <c r="G10792" t="s">
        <v>193</v>
      </c>
    </row>
    <row r="10793" spans="1:7" x14ac:dyDescent="0.3">
      <c r="A10793" t="s">
        <v>35</v>
      </c>
      <c r="B10793" t="s">
        <v>258</v>
      </c>
      <c r="C10793">
        <v>2868</v>
      </c>
      <c r="D10793" t="s">
        <v>141</v>
      </c>
      <c r="E10793" t="s">
        <v>885</v>
      </c>
      <c r="F10793" t="s">
        <v>76</v>
      </c>
      <c r="G10793" t="s">
        <v>104</v>
      </c>
    </row>
    <row r="10794" spans="1:7" x14ac:dyDescent="0.3">
      <c r="A10794" t="s">
        <v>35</v>
      </c>
      <c r="B10794" t="s">
        <v>260</v>
      </c>
      <c r="C10794">
        <v>271</v>
      </c>
      <c r="D10794" t="s">
        <v>115</v>
      </c>
      <c r="E10794" t="s">
        <v>1007</v>
      </c>
      <c r="F10794" t="s">
        <v>179</v>
      </c>
      <c r="G10794" t="s">
        <v>99</v>
      </c>
    </row>
    <row r="10795" spans="1:7" x14ac:dyDescent="0.3">
      <c r="A10795" t="s">
        <v>37</v>
      </c>
      <c r="B10795" t="s">
        <v>258</v>
      </c>
      <c r="C10795">
        <v>3851</v>
      </c>
      <c r="D10795" t="s">
        <v>132</v>
      </c>
      <c r="E10795" t="s">
        <v>286</v>
      </c>
      <c r="F10795" t="s">
        <v>680</v>
      </c>
      <c r="G10795" t="s">
        <v>99</v>
      </c>
    </row>
    <row r="10796" spans="1:7" x14ac:dyDescent="0.3">
      <c r="A10796" t="s">
        <v>36</v>
      </c>
      <c r="B10796" t="s">
        <v>258</v>
      </c>
      <c r="C10796">
        <v>2097</v>
      </c>
      <c r="D10796" t="s">
        <v>207</v>
      </c>
      <c r="E10796" t="s">
        <v>180</v>
      </c>
      <c r="F10796" t="s">
        <v>416</v>
      </c>
      <c r="G10796" t="s">
        <v>99</v>
      </c>
    </row>
    <row r="10797" spans="1:7" x14ac:dyDescent="0.3">
      <c r="A10797" t="s">
        <v>36</v>
      </c>
      <c r="B10797" t="s">
        <v>260</v>
      </c>
      <c r="C10797">
        <v>205</v>
      </c>
      <c r="D10797" t="s">
        <v>151</v>
      </c>
      <c r="E10797" t="s">
        <v>411</v>
      </c>
      <c r="F10797" t="s">
        <v>705</v>
      </c>
      <c r="G10797" t="s">
        <v>141</v>
      </c>
    </row>
    <row r="10798" spans="1:7" x14ac:dyDescent="0.3">
      <c r="A10798" t="s">
        <v>34</v>
      </c>
      <c r="B10798" t="s">
        <v>258</v>
      </c>
      <c r="C10798">
        <v>1220</v>
      </c>
      <c r="D10798" t="s">
        <v>104</v>
      </c>
      <c r="E10798" t="s">
        <v>404</v>
      </c>
      <c r="F10798" t="s">
        <v>107</v>
      </c>
      <c r="G10798" t="s">
        <v>99</v>
      </c>
    </row>
    <row r="10799" spans="1:7" x14ac:dyDescent="0.3">
      <c r="A10799" t="s">
        <v>34</v>
      </c>
      <c r="B10799" t="s">
        <v>260</v>
      </c>
      <c r="C10799">
        <v>853</v>
      </c>
      <c r="D10799" t="s">
        <v>114</v>
      </c>
      <c r="E10799" t="s">
        <v>447</v>
      </c>
      <c r="F10799" t="s">
        <v>165</v>
      </c>
      <c r="G10799" t="s">
        <v>198</v>
      </c>
    </row>
    <row r="10800" spans="1:7" x14ac:dyDescent="0.3">
      <c r="A10800" t="s">
        <v>33</v>
      </c>
      <c r="B10800" t="s">
        <v>258</v>
      </c>
      <c r="C10800">
        <v>1933</v>
      </c>
      <c r="D10800" t="s">
        <v>104</v>
      </c>
      <c r="E10800" t="s">
        <v>329</v>
      </c>
      <c r="F10800" t="s">
        <v>664</v>
      </c>
      <c r="G10800" t="s">
        <v>99</v>
      </c>
    </row>
    <row r="10801" spans="1:7" x14ac:dyDescent="0.3">
      <c r="A10801" t="s">
        <v>49</v>
      </c>
      <c r="B10801" t="s">
        <v>258</v>
      </c>
      <c r="C10801">
        <v>11969</v>
      </c>
      <c r="D10801" t="s">
        <v>141</v>
      </c>
      <c r="E10801" t="s">
        <v>409</v>
      </c>
      <c r="F10801" t="s">
        <v>165</v>
      </c>
      <c r="G10801" t="s">
        <v>99</v>
      </c>
    </row>
    <row r="10802" spans="1:7" x14ac:dyDescent="0.3">
      <c r="A10802" t="s">
        <v>49</v>
      </c>
      <c r="B10802" t="s">
        <v>260</v>
      </c>
      <c r="C10802">
        <v>1329</v>
      </c>
      <c r="D10802" t="s">
        <v>108</v>
      </c>
      <c r="E10802" t="s">
        <v>854</v>
      </c>
      <c r="F10802" t="s">
        <v>163</v>
      </c>
      <c r="G10802" t="s">
        <v>198</v>
      </c>
    </row>
    <row r="10804" spans="1:7" x14ac:dyDescent="0.3">
      <c r="A10804" t="s">
        <v>2554</v>
      </c>
    </row>
    <row r="10805" spans="1:7" x14ac:dyDescent="0.3">
      <c r="A10805" t="s">
        <v>44</v>
      </c>
      <c r="B10805" t="s">
        <v>235</v>
      </c>
      <c r="C10805" t="s">
        <v>32</v>
      </c>
      <c r="D10805" t="s">
        <v>66</v>
      </c>
      <c r="E10805" t="s">
        <v>67</v>
      </c>
      <c r="F10805" t="s">
        <v>352</v>
      </c>
      <c r="G10805" t="s">
        <v>193</v>
      </c>
    </row>
    <row r="10806" spans="1:7" x14ac:dyDescent="0.3">
      <c r="A10806" t="s">
        <v>35</v>
      </c>
      <c r="B10806" t="s">
        <v>236</v>
      </c>
      <c r="C10806">
        <v>1606</v>
      </c>
      <c r="D10806" t="s">
        <v>392</v>
      </c>
      <c r="E10806" t="s">
        <v>722</v>
      </c>
      <c r="F10806" t="s">
        <v>141</v>
      </c>
      <c r="G10806" t="s">
        <v>198</v>
      </c>
    </row>
    <row r="10807" spans="1:7" x14ac:dyDescent="0.3">
      <c r="A10807" t="s">
        <v>35</v>
      </c>
      <c r="B10807" t="s">
        <v>238</v>
      </c>
      <c r="C10807">
        <v>1533</v>
      </c>
      <c r="D10807" t="s">
        <v>443</v>
      </c>
      <c r="E10807" t="s">
        <v>38</v>
      </c>
      <c r="F10807" t="s">
        <v>141</v>
      </c>
      <c r="G10807" t="s">
        <v>99</v>
      </c>
    </row>
    <row r="10808" spans="1:7" x14ac:dyDescent="0.3">
      <c r="A10808" t="s">
        <v>37</v>
      </c>
      <c r="B10808" t="s">
        <v>236</v>
      </c>
      <c r="C10808">
        <v>2209</v>
      </c>
      <c r="D10808" t="s">
        <v>1010</v>
      </c>
      <c r="E10808" t="s">
        <v>737</v>
      </c>
      <c r="F10808" t="s">
        <v>100</v>
      </c>
      <c r="G10808" t="s">
        <v>99</v>
      </c>
    </row>
    <row r="10809" spans="1:7" x14ac:dyDescent="0.3">
      <c r="A10809" t="s">
        <v>37</v>
      </c>
      <c r="B10809" t="s">
        <v>238</v>
      </c>
      <c r="C10809">
        <v>1642</v>
      </c>
      <c r="D10809" t="s">
        <v>448</v>
      </c>
      <c r="E10809" t="s">
        <v>315</v>
      </c>
      <c r="F10809" t="s">
        <v>136</v>
      </c>
      <c r="G10809" t="s">
        <v>99</v>
      </c>
    </row>
    <row r="10810" spans="1:7" x14ac:dyDescent="0.3">
      <c r="A10810" t="s">
        <v>36</v>
      </c>
      <c r="B10810" t="s">
        <v>236</v>
      </c>
      <c r="C10810">
        <v>1563</v>
      </c>
      <c r="D10810" t="s">
        <v>845</v>
      </c>
      <c r="E10810" t="s">
        <v>688</v>
      </c>
      <c r="F10810" t="s">
        <v>198</v>
      </c>
      <c r="G10810" t="s">
        <v>99</v>
      </c>
    </row>
    <row r="10811" spans="1:7" x14ac:dyDescent="0.3">
      <c r="A10811" t="s">
        <v>36</v>
      </c>
      <c r="B10811" t="s">
        <v>238</v>
      </c>
      <c r="C10811">
        <v>739</v>
      </c>
      <c r="D10811" t="s">
        <v>164</v>
      </c>
      <c r="E10811" t="s">
        <v>313</v>
      </c>
      <c r="F10811" t="s">
        <v>207</v>
      </c>
      <c r="G10811" t="s">
        <v>99</v>
      </c>
    </row>
    <row r="10812" spans="1:7" x14ac:dyDescent="0.3">
      <c r="A10812" t="s">
        <v>34</v>
      </c>
      <c r="B10812" t="s">
        <v>236</v>
      </c>
      <c r="C10812">
        <v>715</v>
      </c>
      <c r="D10812" t="s">
        <v>873</v>
      </c>
      <c r="E10812" t="s">
        <v>804</v>
      </c>
      <c r="F10812" t="s">
        <v>108</v>
      </c>
      <c r="G10812" t="s">
        <v>99</v>
      </c>
    </row>
    <row r="10813" spans="1:7" x14ac:dyDescent="0.3">
      <c r="A10813" t="s">
        <v>34</v>
      </c>
      <c r="B10813" t="s">
        <v>238</v>
      </c>
      <c r="C10813">
        <v>1358</v>
      </c>
      <c r="D10813" t="s">
        <v>419</v>
      </c>
      <c r="E10813" t="s">
        <v>664</v>
      </c>
      <c r="F10813" t="s">
        <v>141</v>
      </c>
      <c r="G10813" t="s">
        <v>198</v>
      </c>
    </row>
    <row r="10814" spans="1:7" x14ac:dyDescent="0.3">
      <c r="A10814" t="s">
        <v>33</v>
      </c>
      <c r="B10814" t="s">
        <v>236</v>
      </c>
      <c r="C10814">
        <v>1113</v>
      </c>
      <c r="D10814" t="s">
        <v>329</v>
      </c>
      <c r="E10814" t="s">
        <v>122</v>
      </c>
      <c r="F10814" t="s">
        <v>99</v>
      </c>
      <c r="G10814" t="s">
        <v>99</v>
      </c>
    </row>
    <row r="10815" spans="1:7" x14ac:dyDescent="0.3">
      <c r="A10815" t="s">
        <v>33</v>
      </c>
      <c r="B10815" t="s">
        <v>238</v>
      </c>
      <c r="C10815">
        <v>820</v>
      </c>
      <c r="D10815" t="s">
        <v>185</v>
      </c>
      <c r="E10815" t="s">
        <v>664</v>
      </c>
      <c r="F10815" t="s">
        <v>207</v>
      </c>
      <c r="G10815" t="s">
        <v>99</v>
      </c>
    </row>
    <row r="10816" spans="1:7" x14ac:dyDescent="0.3">
      <c r="A10816" t="s">
        <v>49</v>
      </c>
      <c r="B10816" t="s">
        <v>236</v>
      </c>
      <c r="C10816">
        <v>7206</v>
      </c>
      <c r="D10816" t="s">
        <v>877</v>
      </c>
      <c r="E10816" t="s">
        <v>233</v>
      </c>
      <c r="F10816" t="s">
        <v>115</v>
      </c>
      <c r="G10816" t="s">
        <v>99</v>
      </c>
    </row>
    <row r="10817" spans="1:14" x14ac:dyDescent="0.3">
      <c r="A10817" t="s">
        <v>49</v>
      </c>
      <c r="B10817" t="s">
        <v>238</v>
      </c>
      <c r="C10817">
        <v>6092</v>
      </c>
      <c r="D10817" t="s">
        <v>180</v>
      </c>
      <c r="E10817" t="s">
        <v>315</v>
      </c>
      <c r="F10817" t="s">
        <v>136</v>
      </c>
      <c r="G10817" t="s">
        <v>104</v>
      </c>
    </row>
    <row r="10819" spans="1:14" x14ac:dyDescent="0.3">
      <c r="A10819" t="s">
        <v>2555</v>
      </c>
    </row>
    <row r="10820" spans="1:14" x14ac:dyDescent="0.3">
      <c r="A10820" t="s">
        <v>44</v>
      </c>
      <c r="B10820" t="s">
        <v>32</v>
      </c>
      <c r="C10820" t="s">
        <v>2556</v>
      </c>
      <c r="D10820" t="s">
        <v>2557</v>
      </c>
      <c r="E10820" t="s">
        <v>2558</v>
      </c>
      <c r="F10820" t="s">
        <v>2559</v>
      </c>
      <c r="G10820" t="s">
        <v>2560</v>
      </c>
      <c r="H10820" t="s">
        <v>2561</v>
      </c>
      <c r="I10820" t="s">
        <v>2562</v>
      </c>
      <c r="J10820" t="s">
        <v>2563</v>
      </c>
      <c r="K10820" t="s">
        <v>2564</v>
      </c>
      <c r="L10820" t="s">
        <v>2565</v>
      </c>
      <c r="M10820" t="s">
        <v>1637</v>
      </c>
    </row>
    <row r="10821" spans="1:14" x14ac:dyDescent="0.3">
      <c r="A10821" t="s">
        <v>35</v>
      </c>
      <c r="B10821">
        <v>3132</v>
      </c>
      <c r="C10821" t="s">
        <v>1277</v>
      </c>
      <c r="D10821" t="s">
        <v>382</v>
      </c>
      <c r="E10821" t="s">
        <v>253</v>
      </c>
      <c r="F10821" t="s">
        <v>151</v>
      </c>
      <c r="G10821" t="s">
        <v>117</v>
      </c>
      <c r="H10821" t="s">
        <v>123</v>
      </c>
      <c r="I10821" t="s">
        <v>112</v>
      </c>
      <c r="J10821" t="s">
        <v>299</v>
      </c>
      <c r="K10821" t="s">
        <v>128</v>
      </c>
      <c r="L10821" t="s">
        <v>115</v>
      </c>
      <c r="M10821" t="s">
        <v>198</v>
      </c>
    </row>
    <row r="10822" spans="1:14" x14ac:dyDescent="0.3">
      <c r="A10822" t="s">
        <v>37</v>
      </c>
      <c r="B10822">
        <v>3844</v>
      </c>
      <c r="C10822" t="s">
        <v>288</v>
      </c>
      <c r="D10822" t="s">
        <v>101</v>
      </c>
      <c r="E10822" t="s">
        <v>132</v>
      </c>
      <c r="F10822" t="s">
        <v>100</v>
      </c>
      <c r="G10822" t="s">
        <v>134</v>
      </c>
      <c r="H10822" t="s">
        <v>207</v>
      </c>
      <c r="I10822" t="s">
        <v>100</v>
      </c>
      <c r="J10822" t="s">
        <v>138</v>
      </c>
      <c r="K10822" t="s">
        <v>134</v>
      </c>
      <c r="L10822" t="s">
        <v>136</v>
      </c>
      <c r="M10822" t="s">
        <v>198</v>
      </c>
    </row>
    <row r="10823" spans="1:14" x14ac:dyDescent="0.3">
      <c r="A10823" t="s">
        <v>36</v>
      </c>
      <c r="B10823">
        <v>2297</v>
      </c>
      <c r="C10823" t="s">
        <v>784</v>
      </c>
      <c r="D10823" t="s">
        <v>111</v>
      </c>
      <c r="E10823" t="s">
        <v>136</v>
      </c>
      <c r="F10823" t="s">
        <v>121</v>
      </c>
      <c r="G10823" t="s">
        <v>144</v>
      </c>
      <c r="H10823" t="s">
        <v>128</v>
      </c>
      <c r="I10823" t="s">
        <v>151</v>
      </c>
      <c r="J10823" t="s">
        <v>130</v>
      </c>
      <c r="K10823" t="s">
        <v>292</v>
      </c>
      <c r="L10823" t="s">
        <v>141</v>
      </c>
      <c r="M10823" t="s">
        <v>104</v>
      </c>
    </row>
    <row r="10824" spans="1:14" x14ac:dyDescent="0.3">
      <c r="A10824" t="s">
        <v>34</v>
      </c>
      <c r="B10824">
        <v>2073</v>
      </c>
      <c r="C10824" t="s">
        <v>430</v>
      </c>
      <c r="D10824" t="s">
        <v>115</v>
      </c>
      <c r="E10824" t="s">
        <v>100</v>
      </c>
      <c r="F10824" t="s">
        <v>114</v>
      </c>
      <c r="G10824" t="s">
        <v>118</v>
      </c>
      <c r="H10824" t="s">
        <v>118</v>
      </c>
      <c r="I10824" t="s">
        <v>151</v>
      </c>
      <c r="J10824" t="s">
        <v>128</v>
      </c>
      <c r="K10824" t="s">
        <v>101</v>
      </c>
      <c r="L10824" t="s">
        <v>121</v>
      </c>
      <c r="M10824" t="s">
        <v>207</v>
      </c>
    </row>
    <row r="10825" spans="1:14" x14ac:dyDescent="0.3">
      <c r="A10825" t="s">
        <v>33</v>
      </c>
      <c r="B10825">
        <v>1930</v>
      </c>
      <c r="C10825" t="s">
        <v>409</v>
      </c>
      <c r="D10825" t="s">
        <v>253</v>
      </c>
      <c r="E10825" t="s">
        <v>253</v>
      </c>
      <c r="F10825" t="s">
        <v>121</v>
      </c>
      <c r="G10825" t="s">
        <v>154</v>
      </c>
      <c r="H10825" t="s">
        <v>136</v>
      </c>
      <c r="I10825" t="s">
        <v>108</v>
      </c>
      <c r="J10825" t="s">
        <v>382</v>
      </c>
      <c r="K10825" t="s">
        <v>105</v>
      </c>
      <c r="L10825" t="s">
        <v>136</v>
      </c>
      <c r="M10825" t="s">
        <v>104</v>
      </c>
    </row>
    <row r="10826" spans="1:14" x14ac:dyDescent="0.3">
      <c r="A10826" t="s">
        <v>49</v>
      </c>
      <c r="B10826">
        <v>13276</v>
      </c>
      <c r="C10826" t="s">
        <v>883</v>
      </c>
      <c r="D10826" t="s">
        <v>101</v>
      </c>
      <c r="E10826" t="s">
        <v>132</v>
      </c>
      <c r="F10826" t="s">
        <v>101</v>
      </c>
      <c r="G10826" t="s">
        <v>332</v>
      </c>
      <c r="H10826" t="s">
        <v>382</v>
      </c>
      <c r="I10826" t="s">
        <v>268</v>
      </c>
      <c r="J10826" t="s">
        <v>474</v>
      </c>
      <c r="K10826" t="s">
        <v>128</v>
      </c>
      <c r="L10826" t="s">
        <v>253</v>
      </c>
      <c r="M10826" t="s">
        <v>198</v>
      </c>
    </row>
    <row r="10828" spans="1:14" x14ac:dyDescent="0.3">
      <c r="A10828" t="s">
        <v>2566</v>
      </c>
    </row>
    <row r="10829" spans="1:14" x14ac:dyDescent="0.3">
      <c r="A10829" t="s">
        <v>44</v>
      </c>
      <c r="B10829" t="s">
        <v>361</v>
      </c>
      <c r="C10829" t="s">
        <v>32</v>
      </c>
      <c r="D10829" t="s">
        <v>2556</v>
      </c>
      <c r="E10829" t="s">
        <v>2557</v>
      </c>
      <c r="F10829" t="s">
        <v>2558</v>
      </c>
      <c r="G10829" t="s">
        <v>2559</v>
      </c>
      <c r="H10829" t="s">
        <v>2560</v>
      </c>
      <c r="I10829" t="s">
        <v>2561</v>
      </c>
      <c r="J10829" t="s">
        <v>2562</v>
      </c>
      <c r="K10829" t="s">
        <v>2563</v>
      </c>
      <c r="L10829" t="s">
        <v>2564</v>
      </c>
      <c r="M10829" t="s">
        <v>2565</v>
      </c>
      <c r="N10829" t="s">
        <v>1637</v>
      </c>
    </row>
    <row r="10830" spans="1:14" x14ac:dyDescent="0.3">
      <c r="A10830" t="s">
        <v>35</v>
      </c>
      <c r="B10830" t="s">
        <v>339</v>
      </c>
      <c r="C10830">
        <v>885</v>
      </c>
      <c r="D10830" t="s">
        <v>308</v>
      </c>
      <c r="E10830" t="s">
        <v>100</v>
      </c>
      <c r="F10830" t="s">
        <v>108</v>
      </c>
      <c r="G10830" t="s">
        <v>319</v>
      </c>
      <c r="H10830" t="s">
        <v>332</v>
      </c>
      <c r="I10830" t="s">
        <v>111</v>
      </c>
      <c r="J10830" t="s">
        <v>722</v>
      </c>
      <c r="K10830" t="s">
        <v>173</v>
      </c>
      <c r="L10830" t="s">
        <v>663</v>
      </c>
      <c r="M10830" t="s">
        <v>207</v>
      </c>
      <c r="N10830" t="s">
        <v>198</v>
      </c>
    </row>
    <row r="10831" spans="1:14" x14ac:dyDescent="0.3">
      <c r="A10831" t="s">
        <v>35</v>
      </c>
      <c r="B10831" t="s">
        <v>340</v>
      </c>
      <c r="C10831">
        <v>2207</v>
      </c>
      <c r="D10831" t="s">
        <v>769</v>
      </c>
      <c r="E10831" t="s">
        <v>127</v>
      </c>
      <c r="F10831" t="s">
        <v>141</v>
      </c>
      <c r="G10831" t="s">
        <v>268</v>
      </c>
      <c r="H10831" t="s">
        <v>151</v>
      </c>
      <c r="I10831" t="s">
        <v>215</v>
      </c>
      <c r="J10831" t="s">
        <v>103</v>
      </c>
      <c r="K10831" t="s">
        <v>158</v>
      </c>
      <c r="L10831" t="s">
        <v>121</v>
      </c>
      <c r="M10831" t="s">
        <v>132</v>
      </c>
      <c r="N10831" t="s">
        <v>207</v>
      </c>
    </row>
    <row r="10832" spans="1:14" x14ac:dyDescent="0.3">
      <c r="A10832" t="s">
        <v>35</v>
      </c>
      <c r="B10832" t="s">
        <v>365</v>
      </c>
      <c r="C10832">
        <v>40</v>
      </c>
      <c r="D10832" t="s">
        <v>778</v>
      </c>
      <c r="E10832" t="s">
        <v>99</v>
      </c>
      <c r="F10832" t="s">
        <v>99</v>
      </c>
      <c r="G10832" t="s">
        <v>99</v>
      </c>
      <c r="H10832" t="s">
        <v>99</v>
      </c>
      <c r="I10832" t="s">
        <v>117</v>
      </c>
      <c r="J10832" t="s">
        <v>99</v>
      </c>
      <c r="K10832" t="s">
        <v>151</v>
      </c>
      <c r="L10832" t="s">
        <v>99</v>
      </c>
      <c r="M10832" t="s">
        <v>115</v>
      </c>
      <c r="N10832" t="s">
        <v>99</v>
      </c>
    </row>
    <row r="10833" spans="1:14" x14ac:dyDescent="0.3">
      <c r="A10833" t="s">
        <v>37</v>
      </c>
      <c r="B10833" t="s">
        <v>339</v>
      </c>
      <c r="C10833">
        <v>1089</v>
      </c>
      <c r="D10833" t="s">
        <v>477</v>
      </c>
      <c r="E10833" t="s">
        <v>268</v>
      </c>
      <c r="F10833" t="s">
        <v>141</v>
      </c>
      <c r="G10833" t="s">
        <v>100</v>
      </c>
      <c r="H10833" t="s">
        <v>242</v>
      </c>
      <c r="I10833" t="s">
        <v>136</v>
      </c>
      <c r="J10833" t="s">
        <v>117</v>
      </c>
      <c r="K10833" t="s">
        <v>277</v>
      </c>
      <c r="L10833" t="s">
        <v>149</v>
      </c>
      <c r="M10833" t="s">
        <v>100</v>
      </c>
      <c r="N10833" t="s">
        <v>207</v>
      </c>
    </row>
    <row r="10834" spans="1:14" x14ac:dyDescent="0.3">
      <c r="A10834" t="s">
        <v>37</v>
      </c>
      <c r="B10834" t="s">
        <v>340</v>
      </c>
      <c r="C10834">
        <v>2714</v>
      </c>
      <c r="D10834" t="s">
        <v>219</v>
      </c>
      <c r="E10834" t="s">
        <v>114</v>
      </c>
      <c r="F10834" t="s">
        <v>108</v>
      </c>
      <c r="G10834" t="s">
        <v>100</v>
      </c>
      <c r="H10834" t="s">
        <v>138</v>
      </c>
      <c r="I10834" t="s">
        <v>207</v>
      </c>
      <c r="J10834" t="s">
        <v>253</v>
      </c>
      <c r="K10834" t="s">
        <v>103</v>
      </c>
      <c r="L10834" t="s">
        <v>138</v>
      </c>
      <c r="M10834" t="s">
        <v>198</v>
      </c>
      <c r="N10834" t="s">
        <v>198</v>
      </c>
    </row>
    <row r="10835" spans="1:14" x14ac:dyDescent="0.3">
      <c r="A10835" t="s">
        <v>37</v>
      </c>
      <c r="B10835" t="s">
        <v>365</v>
      </c>
      <c r="C10835">
        <v>41</v>
      </c>
      <c r="D10835" t="s">
        <v>323</v>
      </c>
      <c r="E10835" t="s">
        <v>99</v>
      </c>
      <c r="F10835" t="s">
        <v>99</v>
      </c>
      <c r="G10835" t="s">
        <v>99</v>
      </c>
      <c r="H10835" t="s">
        <v>99</v>
      </c>
      <c r="I10835" t="s">
        <v>99</v>
      </c>
      <c r="J10835" t="s">
        <v>99</v>
      </c>
      <c r="K10835" t="s">
        <v>163</v>
      </c>
      <c r="L10835" t="s">
        <v>99</v>
      </c>
      <c r="M10835" t="s">
        <v>99</v>
      </c>
      <c r="N10835" t="s">
        <v>99</v>
      </c>
    </row>
    <row r="10836" spans="1:14" x14ac:dyDescent="0.3">
      <c r="A10836" t="s">
        <v>36</v>
      </c>
      <c r="B10836" t="s">
        <v>339</v>
      </c>
      <c r="C10836">
        <v>767</v>
      </c>
      <c r="D10836" t="s">
        <v>1226</v>
      </c>
      <c r="E10836" t="s">
        <v>101</v>
      </c>
      <c r="F10836" t="s">
        <v>198</v>
      </c>
      <c r="G10836" t="s">
        <v>127</v>
      </c>
      <c r="H10836" t="s">
        <v>204</v>
      </c>
      <c r="I10836" t="s">
        <v>120</v>
      </c>
      <c r="J10836" t="s">
        <v>107</v>
      </c>
      <c r="K10836" t="s">
        <v>98</v>
      </c>
      <c r="L10836" t="s">
        <v>138</v>
      </c>
      <c r="M10836" t="s">
        <v>141</v>
      </c>
      <c r="N10836" t="s">
        <v>99</v>
      </c>
    </row>
    <row r="10837" spans="1:14" x14ac:dyDescent="0.3">
      <c r="A10837" t="s">
        <v>36</v>
      </c>
      <c r="B10837" t="s">
        <v>340</v>
      </c>
      <c r="C10837">
        <v>1467</v>
      </c>
      <c r="D10837" t="s">
        <v>469</v>
      </c>
      <c r="E10837" t="s">
        <v>128</v>
      </c>
      <c r="F10837" t="s">
        <v>253</v>
      </c>
      <c r="G10837" t="s">
        <v>108</v>
      </c>
      <c r="H10837" t="s">
        <v>143</v>
      </c>
      <c r="I10837" t="s">
        <v>103</v>
      </c>
      <c r="J10837" t="s">
        <v>382</v>
      </c>
      <c r="K10837" t="s">
        <v>332</v>
      </c>
      <c r="L10837" t="s">
        <v>126</v>
      </c>
      <c r="M10837" t="s">
        <v>136</v>
      </c>
      <c r="N10837" t="s">
        <v>104</v>
      </c>
    </row>
    <row r="10838" spans="1:14" x14ac:dyDescent="0.3">
      <c r="A10838" t="s">
        <v>36</v>
      </c>
      <c r="B10838" t="s">
        <v>365</v>
      </c>
      <c r="C10838">
        <v>63</v>
      </c>
      <c r="D10838" t="s">
        <v>1308</v>
      </c>
      <c r="E10838" t="s">
        <v>126</v>
      </c>
      <c r="F10838" t="s">
        <v>198</v>
      </c>
      <c r="G10838" t="s">
        <v>99</v>
      </c>
      <c r="H10838" t="s">
        <v>118</v>
      </c>
      <c r="I10838" t="s">
        <v>134</v>
      </c>
      <c r="J10838" t="s">
        <v>99</v>
      </c>
      <c r="K10838" t="s">
        <v>268</v>
      </c>
      <c r="L10838" t="s">
        <v>115</v>
      </c>
      <c r="M10838" t="s">
        <v>100</v>
      </c>
      <c r="N10838" t="s">
        <v>99</v>
      </c>
    </row>
    <row r="10839" spans="1:14" x14ac:dyDescent="0.3">
      <c r="A10839" t="s">
        <v>34</v>
      </c>
      <c r="B10839" t="s">
        <v>339</v>
      </c>
      <c r="C10839">
        <v>552</v>
      </c>
      <c r="D10839" t="s">
        <v>426</v>
      </c>
      <c r="E10839" t="s">
        <v>253</v>
      </c>
      <c r="F10839" t="s">
        <v>115</v>
      </c>
      <c r="G10839" t="s">
        <v>114</v>
      </c>
      <c r="H10839" t="s">
        <v>204</v>
      </c>
      <c r="I10839" t="s">
        <v>434</v>
      </c>
      <c r="J10839" t="s">
        <v>120</v>
      </c>
      <c r="K10839" t="s">
        <v>332</v>
      </c>
      <c r="L10839" t="s">
        <v>215</v>
      </c>
      <c r="M10839" t="s">
        <v>117</v>
      </c>
      <c r="N10839" t="s">
        <v>115</v>
      </c>
    </row>
    <row r="10840" spans="1:14" x14ac:dyDescent="0.3">
      <c r="A10840" t="s">
        <v>34</v>
      </c>
      <c r="B10840" t="s">
        <v>340</v>
      </c>
      <c r="C10840">
        <v>1493</v>
      </c>
      <c r="D10840" t="s">
        <v>172</v>
      </c>
      <c r="E10840" t="s">
        <v>115</v>
      </c>
      <c r="F10840" t="s">
        <v>121</v>
      </c>
      <c r="G10840" t="s">
        <v>114</v>
      </c>
      <c r="H10840" t="s">
        <v>316</v>
      </c>
      <c r="I10840" t="s">
        <v>155</v>
      </c>
      <c r="J10840" t="s">
        <v>382</v>
      </c>
      <c r="K10840" t="s">
        <v>117</v>
      </c>
      <c r="L10840" t="s">
        <v>100</v>
      </c>
      <c r="M10840" t="s">
        <v>253</v>
      </c>
      <c r="N10840" t="s">
        <v>99</v>
      </c>
    </row>
    <row r="10841" spans="1:14" x14ac:dyDescent="0.3">
      <c r="A10841" t="s">
        <v>34</v>
      </c>
      <c r="B10841" t="s">
        <v>365</v>
      </c>
      <c r="C10841">
        <v>28</v>
      </c>
      <c r="D10841" t="s">
        <v>1407</v>
      </c>
      <c r="E10841" t="s">
        <v>319</v>
      </c>
      <c r="F10841" t="s">
        <v>468</v>
      </c>
      <c r="G10841" t="s">
        <v>99</v>
      </c>
      <c r="H10841" t="s">
        <v>468</v>
      </c>
      <c r="I10841" t="s">
        <v>175</v>
      </c>
      <c r="J10841" t="s">
        <v>99</v>
      </c>
      <c r="K10841" t="s">
        <v>207</v>
      </c>
      <c r="L10841" t="s">
        <v>99</v>
      </c>
      <c r="M10841" t="s">
        <v>99</v>
      </c>
      <c r="N10841" t="s">
        <v>99</v>
      </c>
    </row>
    <row r="10842" spans="1:14" x14ac:dyDescent="0.3">
      <c r="A10842" t="s">
        <v>33</v>
      </c>
      <c r="B10842" t="s">
        <v>339</v>
      </c>
      <c r="C10842">
        <v>501</v>
      </c>
      <c r="D10842" t="s">
        <v>174</v>
      </c>
      <c r="E10842" t="s">
        <v>141</v>
      </c>
      <c r="F10842" t="s">
        <v>115</v>
      </c>
      <c r="G10842" t="s">
        <v>319</v>
      </c>
      <c r="H10842" t="s">
        <v>110</v>
      </c>
      <c r="I10842" t="s">
        <v>132</v>
      </c>
      <c r="J10842" t="s">
        <v>127</v>
      </c>
      <c r="K10842" t="s">
        <v>103</v>
      </c>
      <c r="L10842" t="s">
        <v>110</v>
      </c>
      <c r="M10842" t="s">
        <v>121</v>
      </c>
      <c r="N10842" t="s">
        <v>99</v>
      </c>
    </row>
    <row r="10843" spans="1:14" x14ac:dyDescent="0.3">
      <c r="A10843" t="s">
        <v>33</v>
      </c>
      <c r="B10843" t="s">
        <v>340</v>
      </c>
      <c r="C10843">
        <v>1411</v>
      </c>
      <c r="D10843" t="s">
        <v>293</v>
      </c>
      <c r="E10843" t="s">
        <v>141</v>
      </c>
      <c r="F10843" t="s">
        <v>253</v>
      </c>
      <c r="G10843" t="s">
        <v>114</v>
      </c>
      <c r="H10843" t="s">
        <v>332</v>
      </c>
      <c r="I10843" t="s">
        <v>198</v>
      </c>
      <c r="J10843" t="s">
        <v>253</v>
      </c>
      <c r="K10843" t="s">
        <v>121</v>
      </c>
      <c r="L10843" t="s">
        <v>147</v>
      </c>
      <c r="M10843" t="s">
        <v>104</v>
      </c>
      <c r="N10843" t="s">
        <v>198</v>
      </c>
    </row>
    <row r="10844" spans="1:14" x14ac:dyDescent="0.3">
      <c r="A10844" t="s">
        <v>33</v>
      </c>
      <c r="B10844" t="s">
        <v>365</v>
      </c>
      <c r="C10844">
        <v>18</v>
      </c>
      <c r="D10844" t="s">
        <v>883</v>
      </c>
      <c r="E10844" t="s">
        <v>663</v>
      </c>
      <c r="F10844" t="s">
        <v>99</v>
      </c>
      <c r="G10844" t="s">
        <v>134</v>
      </c>
      <c r="H10844" t="s">
        <v>99</v>
      </c>
      <c r="I10844" t="s">
        <v>99</v>
      </c>
      <c r="J10844" t="s">
        <v>99</v>
      </c>
      <c r="K10844" t="s">
        <v>68</v>
      </c>
      <c r="L10844" t="s">
        <v>99</v>
      </c>
      <c r="M10844" t="s">
        <v>99</v>
      </c>
      <c r="N10844" t="s">
        <v>99</v>
      </c>
    </row>
    <row r="10845" spans="1:14" x14ac:dyDescent="0.3">
      <c r="A10845" t="s">
        <v>49</v>
      </c>
      <c r="B10845" t="s">
        <v>339</v>
      </c>
      <c r="C10845">
        <v>3794</v>
      </c>
      <c r="D10845" t="s">
        <v>1407</v>
      </c>
      <c r="E10845" t="s">
        <v>101</v>
      </c>
      <c r="F10845" t="s">
        <v>115</v>
      </c>
      <c r="G10845" t="s">
        <v>101</v>
      </c>
      <c r="H10845" t="s">
        <v>149</v>
      </c>
      <c r="I10845" t="s">
        <v>151</v>
      </c>
      <c r="J10845" t="s">
        <v>474</v>
      </c>
      <c r="K10845" t="s">
        <v>122</v>
      </c>
      <c r="L10845" t="s">
        <v>712</v>
      </c>
      <c r="M10845" t="s">
        <v>100</v>
      </c>
      <c r="N10845" t="s">
        <v>207</v>
      </c>
    </row>
    <row r="10846" spans="1:14" x14ac:dyDescent="0.3">
      <c r="A10846" t="s">
        <v>49</v>
      </c>
      <c r="B10846" t="s">
        <v>340</v>
      </c>
      <c r="C10846">
        <v>9292</v>
      </c>
      <c r="D10846" t="s">
        <v>762</v>
      </c>
      <c r="E10846" t="s">
        <v>121</v>
      </c>
      <c r="F10846" t="s">
        <v>132</v>
      </c>
      <c r="G10846" t="s">
        <v>319</v>
      </c>
      <c r="H10846" t="s">
        <v>157</v>
      </c>
      <c r="I10846" t="s">
        <v>319</v>
      </c>
      <c r="J10846" t="s">
        <v>319</v>
      </c>
      <c r="K10846" t="s">
        <v>105</v>
      </c>
      <c r="L10846" t="s">
        <v>292</v>
      </c>
      <c r="M10846" t="s">
        <v>141</v>
      </c>
      <c r="N10846" t="s">
        <v>198</v>
      </c>
    </row>
    <row r="10847" spans="1:14" x14ac:dyDescent="0.3">
      <c r="A10847" t="s">
        <v>49</v>
      </c>
      <c r="B10847" t="s">
        <v>365</v>
      </c>
      <c r="C10847">
        <v>190</v>
      </c>
      <c r="D10847" t="s">
        <v>966</v>
      </c>
      <c r="E10847" t="s">
        <v>101</v>
      </c>
      <c r="F10847" t="s">
        <v>101</v>
      </c>
      <c r="G10847" t="s">
        <v>136</v>
      </c>
      <c r="H10847" t="s">
        <v>123</v>
      </c>
      <c r="I10847" t="s">
        <v>474</v>
      </c>
      <c r="J10847" t="s">
        <v>99</v>
      </c>
      <c r="K10847" t="s">
        <v>130</v>
      </c>
      <c r="L10847" t="s">
        <v>104</v>
      </c>
      <c r="M10847" t="s">
        <v>136</v>
      </c>
      <c r="N10847" t="s">
        <v>99</v>
      </c>
    </row>
    <row r="10849" spans="1:14" x14ac:dyDescent="0.3">
      <c r="A10849" t="s">
        <v>2567</v>
      </c>
    </row>
    <row r="10850" spans="1:14" x14ac:dyDescent="0.3">
      <c r="A10850" t="s">
        <v>44</v>
      </c>
      <c r="B10850" t="s">
        <v>209</v>
      </c>
      <c r="C10850" t="s">
        <v>32</v>
      </c>
      <c r="D10850" t="s">
        <v>2556</v>
      </c>
      <c r="E10850" t="s">
        <v>2557</v>
      </c>
      <c r="F10850" t="s">
        <v>2558</v>
      </c>
      <c r="G10850" t="s">
        <v>2559</v>
      </c>
      <c r="H10850" t="s">
        <v>2560</v>
      </c>
      <c r="I10850" t="s">
        <v>2561</v>
      </c>
      <c r="J10850" t="s">
        <v>2562</v>
      </c>
      <c r="K10850" t="s">
        <v>2563</v>
      </c>
      <c r="L10850" t="s">
        <v>2564</v>
      </c>
      <c r="M10850" t="s">
        <v>2565</v>
      </c>
      <c r="N10850" t="s">
        <v>1637</v>
      </c>
    </row>
    <row r="10851" spans="1:14" x14ac:dyDescent="0.3">
      <c r="A10851" t="s">
        <v>35</v>
      </c>
      <c r="B10851" t="s">
        <v>210</v>
      </c>
      <c r="C10851">
        <v>136</v>
      </c>
      <c r="D10851" t="s">
        <v>1257</v>
      </c>
      <c r="E10851" t="s">
        <v>141</v>
      </c>
      <c r="F10851" t="s">
        <v>253</v>
      </c>
      <c r="G10851" t="s">
        <v>319</v>
      </c>
      <c r="H10851" t="s">
        <v>319</v>
      </c>
      <c r="I10851" t="s">
        <v>233</v>
      </c>
      <c r="J10851" t="s">
        <v>449</v>
      </c>
      <c r="K10851" t="s">
        <v>309</v>
      </c>
      <c r="L10851" t="s">
        <v>108</v>
      </c>
      <c r="M10851" t="s">
        <v>99</v>
      </c>
      <c r="N10851" t="s">
        <v>99</v>
      </c>
    </row>
    <row r="10852" spans="1:14" x14ac:dyDescent="0.3">
      <c r="A10852" t="s">
        <v>35</v>
      </c>
      <c r="B10852" t="s">
        <v>212</v>
      </c>
      <c r="C10852">
        <v>2432</v>
      </c>
      <c r="D10852" t="s">
        <v>991</v>
      </c>
      <c r="E10852" t="s">
        <v>127</v>
      </c>
      <c r="F10852" t="s">
        <v>115</v>
      </c>
      <c r="G10852" t="s">
        <v>316</v>
      </c>
      <c r="H10852" t="s">
        <v>316</v>
      </c>
      <c r="I10852" t="s">
        <v>132</v>
      </c>
      <c r="J10852" t="s">
        <v>129</v>
      </c>
      <c r="K10852" t="s">
        <v>135</v>
      </c>
      <c r="L10852" t="s">
        <v>120</v>
      </c>
      <c r="M10852" t="s">
        <v>132</v>
      </c>
      <c r="N10852" t="s">
        <v>207</v>
      </c>
    </row>
    <row r="10853" spans="1:14" x14ac:dyDescent="0.3">
      <c r="A10853" t="s">
        <v>35</v>
      </c>
      <c r="B10853" t="s">
        <v>216</v>
      </c>
      <c r="C10853">
        <v>564</v>
      </c>
      <c r="D10853" t="s">
        <v>1253</v>
      </c>
      <c r="E10853" t="s">
        <v>319</v>
      </c>
      <c r="F10853" t="s">
        <v>136</v>
      </c>
      <c r="G10853" t="s">
        <v>253</v>
      </c>
      <c r="H10853" t="s">
        <v>292</v>
      </c>
      <c r="I10853" t="s">
        <v>120</v>
      </c>
      <c r="J10853" t="s">
        <v>130</v>
      </c>
      <c r="K10853" t="s">
        <v>133</v>
      </c>
      <c r="L10853" t="s">
        <v>147</v>
      </c>
      <c r="M10853" t="s">
        <v>141</v>
      </c>
      <c r="N10853" t="s">
        <v>104</v>
      </c>
    </row>
    <row r="10854" spans="1:14" x14ac:dyDescent="0.3">
      <c r="A10854" t="s">
        <v>37</v>
      </c>
      <c r="B10854" t="s">
        <v>210</v>
      </c>
      <c r="C10854">
        <v>136</v>
      </c>
      <c r="D10854" t="s">
        <v>424</v>
      </c>
      <c r="E10854" t="s">
        <v>100</v>
      </c>
      <c r="F10854" t="s">
        <v>118</v>
      </c>
      <c r="G10854" t="s">
        <v>115</v>
      </c>
      <c r="H10854" t="s">
        <v>154</v>
      </c>
      <c r="I10854" t="s">
        <v>158</v>
      </c>
      <c r="J10854" t="s">
        <v>126</v>
      </c>
      <c r="K10854" t="s">
        <v>291</v>
      </c>
      <c r="L10854" t="s">
        <v>136</v>
      </c>
      <c r="M10854" t="s">
        <v>99</v>
      </c>
      <c r="N10854" t="s">
        <v>99</v>
      </c>
    </row>
    <row r="10855" spans="1:14" x14ac:dyDescent="0.3">
      <c r="A10855" t="s">
        <v>37</v>
      </c>
      <c r="B10855" t="s">
        <v>212</v>
      </c>
      <c r="C10855">
        <v>3597</v>
      </c>
      <c r="D10855" t="s">
        <v>845</v>
      </c>
      <c r="E10855" t="s">
        <v>319</v>
      </c>
      <c r="F10855" t="s">
        <v>115</v>
      </c>
      <c r="G10855" t="s">
        <v>100</v>
      </c>
      <c r="H10855" t="s">
        <v>134</v>
      </c>
      <c r="I10855" t="s">
        <v>104</v>
      </c>
      <c r="J10855" t="s">
        <v>100</v>
      </c>
      <c r="K10855" t="s">
        <v>107</v>
      </c>
      <c r="L10855" t="s">
        <v>110</v>
      </c>
      <c r="M10855" t="s">
        <v>141</v>
      </c>
      <c r="N10855" t="s">
        <v>207</v>
      </c>
    </row>
    <row r="10856" spans="1:14" x14ac:dyDescent="0.3">
      <c r="A10856" t="s">
        <v>37</v>
      </c>
      <c r="B10856" t="s">
        <v>216</v>
      </c>
      <c r="C10856">
        <v>111</v>
      </c>
      <c r="D10856" t="s">
        <v>199</v>
      </c>
      <c r="E10856" t="s">
        <v>99</v>
      </c>
      <c r="F10856" t="s">
        <v>115</v>
      </c>
      <c r="G10856" t="s">
        <v>215</v>
      </c>
      <c r="H10856" t="s">
        <v>138</v>
      </c>
      <c r="I10856" t="s">
        <v>111</v>
      </c>
      <c r="J10856" t="s">
        <v>99</v>
      </c>
      <c r="K10856" t="s">
        <v>107</v>
      </c>
      <c r="L10856" t="s">
        <v>316</v>
      </c>
      <c r="M10856" t="s">
        <v>99</v>
      </c>
      <c r="N10856" t="s">
        <v>99</v>
      </c>
    </row>
    <row r="10857" spans="1:14" x14ac:dyDescent="0.3">
      <c r="A10857" t="s">
        <v>36</v>
      </c>
      <c r="B10857" t="s">
        <v>210</v>
      </c>
      <c r="C10857">
        <v>165</v>
      </c>
      <c r="D10857" t="s">
        <v>861</v>
      </c>
      <c r="E10857" t="s">
        <v>115</v>
      </c>
      <c r="F10857" t="s">
        <v>100</v>
      </c>
      <c r="G10857" t="s">
        <v>109</v>
      </c>
      <c r="H10857" t="s">
        <v>74</v>
      </c>
      <c r="I10857" t="s">
        <v>171</v>
      </c>
      <c r="J10857" t="s">
        <v>99</v>
      </c>
      <c r="K10857" t="s">
        <v>405</v>
      </c>
      <c r="L10857" t="s">
        <v>103</v>
      </c>
      <c r="M10857" t="s">
        <v>123</v>
      </c>
      <c r="N10857" t="s">
        <v>99</v>
      </c>
    </row>
    <row r="10858" spans="1:14" x14ac:dyDescent="0.3">
      <c r="A10858" t="s">
        <v>36</v>
      </c>
      <c r="B10858" t="s">
        <v>212</v>
      </c>
      <c r="C10858">
        <v>1869</v>
      </c>
      <c r="D10858" t="s">
        <v>855</v>
      </c>
      <c r="E10858" t="s">
        <v>382</v>
      </c>
      <c r="F10858" t="s">
        <v>136</v>
      </c>
      <c r="G10858" t="s">
        <v>104</v>
      </c>
      <c r="H10858" t="s">
        <v>124</v>
      </c>
      <c r="I10858" t="s">
        <v>100</v>
      </c>
      <c r="J10858" t="s">
        <v>316</v>
      </c>
      <c r="K10858" t="s">
        <v>332</v>
      </c>
      <c r="L10858" t="s">
        <v>111</v>
      </c>
      <c r="M10858" t="s">
        <v>198</v>
      </c>
      <c r="N10858" t="s">
        <v>104</v>
      </c>
    </row>
    <row r="10859" spans="1:14" x14ac:dyDescent="0.3">
      <c r="A10859" t="s">
        <v>36</v>
      </c>
      <c r="B10859" t="s">
        <v>216</v>
      </c>
      <c r="C10859">
        <v>263</v>
      </c>
      <c r="D10859" t="s">
        <v>1054</v>
      </c>
      <c r="E10859" t="s">
        <v>70</v>
      </c>
      <c r="F10859" t="s">
        <v>99</v>
      </c>
      <c r="G10859" t="s">
        <v>117</v>
      </c>
      <c r="H10859" t="s">
        <v>296</v>
      </c>
      <c r="I10859" t="s">
        <v>328</v>
      </c>
      <c r="J10859" t="s">
        <v>104</v>
      </c>
      <c r="K10859" t="s">
        <v>151</v>
      </c>
      <c r="L10859" t="s">
        <v>108</v>
      </c>
      <c r="M10859" t="s">
        <v>108</v>
      </c>
      <c r="N10859" t="s">
        <v>99</v>
      </c>
    </row>
    <row r="10860" spans="1:14" x14ac:dyDescent="0.3">
      <c r="A10860" t="s">
        <v>34</v>
      </c>
      <c r="B10860" t="s">
        <v>210</v>
      </c>
      <c r="C10860">
        <v>255</v>
      </c>
      <c r="D10860" t="s">
        <v>178</v>
      </c>
      <c r="E10860" t="s">
        <v>108</v>
      </c>
      <c r="F10860" t="s">
        <v>382</v>
      </c>
      <c r="G10860" t="s">
        <v>151</v>
      </c>
      <c r="H10860" t="s">
        <v>268</v>
      </c>
      <c r="I10860" t="s">
        <v>470</v>
      </c>
      <c r="J10860" t="s">
        <v>207</v>
      </c>
      <c r="K10860" t="s">
        <v>151</v>
      </c>
      <c r="L10860" t="s">
        <v>207</v>
      </c>
      <c r="M10860" t="s">
        <v>111</v>
      </c>
      <c r="N10860" t="s">
        <v>99</v>
      </c>
    </row>
    <row r="10861" spans="1:14" x14ac:dyDescent="0.3">
      <c r="A10861" t="s">
        <v>34</v>
      </c>
      <c r="B10861" t="s">
        <v>212</v>
      </c>
      <c r="C10861">
        <v>1578</v>
      </c>
      <c r="D10861" t="s">
        <v>1282</v>
      </c>
      <c r="E10861" t="s">
        <v>141</v>
      </c>
      <c r="F10861" t="s">
        <v>121</v>
      </c>
      <c r="G10861" t="s">
        <v>132</v>
      </c>
      <c r="H10861" t="s">
        <v>154</v>
      </c>
      <c r="I10861" t="s">
        <v>121</v>
      </c>
      <c r="J10861" t="s">
        <v>111</v>
      </c>
      <c r="K10861" t="s">
        <v>151</v>
      </c>
      <c r="L10861" t="s">
        <v>382</v>
      </c>
      <c r="M10861" t="s">
        <v>108</v>
      </c>
      <c r="N10861" t="s">
        <v>207</v>
      </c>
    </row>
    <row r="10862" spans="1:14" x14ac:dyDescent="0.3">
      <c r="A10862" t="s">
        <v>34</v>
      </c>
      <c r="B10862" t="s">
        <v>216</v>
      </c>
      <c r="C10862">
        <v>240</v>
      </c>
      <c r="D10862" t="s">
        <v>1405</v>
      </c>
      <c r="E10862" t="s">
        <v>215</v>
      </c>
      <c r="F10862" t="s">
        <v>104</v>
      </c>
      <c r="G10862" t="s">
        <v>115</v>
      </c>
      <c r="H10862" t="s">
        <v>325</v>
      </c>
      <c r="I10862" t="s">
        <v>142</v>
      </c>
      <c r="J10862" t="s">
        <v>128</v>
      </c>
      <c r="K10862" t="s">
        <v>152</v>
      </c>
      <c r="L10862" t="s">
        <v>114</v>
      </c>
      <c r="M10862" t="s">
        <v>126</v>
      </c>
      <c r="N10862" t="s">
        <v>207</v>
      </c>
    </row>
    <row r="10863" spans="1:14" x14ac:dyDescent="0.3">
      <c r="A10863" t="s">
        <v>33</v>
      </c>
      <c r="B10863" t="s">
        <v>210</v>
      </c>
      <c r="C10863">
        <v>68</v>
      </c>
      <c r="D10863" t="s">
        <v>200</v>
      </c>
      <c r="E10863" t="s">
        <v>99</v>
      </c>
      <c r="F10863" t="s">
        <v>99</v>
      </c>
      <c r="G10863" t="s">
        <v>147</v>
      </c>
      <c r="H10863" t="s">
        <v>147</v>
      </c>
      <c r="I10863" t="s">
        <v>124</v>
      </c>
      <c r="J10863" t="s">
        <v>99</v>
      </c>
      <c r="K10863" t="s">
        <v>474</v>
      </c>
      <c r="L10863" t="s">
        <v>103</v>
      </c>
      <c r="M10863" t="s">
        <v>99</v>
      </c>
      <c r="N10863" t="s">
        <v>99</v>
      </c>
    </row>
    <row r="10864" spans="1:14" x14ac:dyDescent="0.3">
      <c r="A10864" t="s">
        <v>33</v>
      </c>
      <c r="B10864" t="s">
        <v>212</v>
      </c>
      <c r="C10864">
        <v>1794</v>
      </c>
      <c r="D10864" t="s">
        <v>199</v>
      </c>
      <c r="E10864" t="s">
        <v>253</v>
      </c>
      <c r="F10864" t="s">
        <v>136</v>
      </c>
      <c r="G10864" t="s">
        <v>114</v>
      </c>
      <c r="H10864" t="s">
        <v>154</v>
      </c>
      <c r="I10864" t="s">
        <v>104</v>
      </c>
      <c r="J10864" t="s">
        <v>132</v>
      </c>
      <c r="K10864" t="s">
        <v>126</v>
      </c>
      <c r="L10864" t="s">
        <v>138</v>
      </c>
      <c r="M10864" t="s">
        <v>136</v>
      </c>
      <c r="N10864" t="s">
        <v>104</v>
      </c>
    </row>
    <row r="10865" spans="1:14" x14ac:dyDescent="0.3">
      <c r="A10865" t="s">
        <v>33</v>
      </c>
      <c r="B10865" t="s">
        <v>216</v>
      </c>
      <c r="C10865">
        <v>68</v>
      </c>
      <c r="D10865" t="s">
        <v>178</v>
      </c>
      <c r="E10865" t="s">
        <v>99</v>
      </c>
      <c r="F10865" t="s">
        <v>74</v>
      </c>
      <c r="G10865" t="s">
        <v>128</v>
      </c>
      <c r="H10865" t="s">
        <v>712</v>
      </c>
      <c r="I10865" t="s">
        <v>100</v>
      </c>
      <c r="J10865" t="s">
        <v>134</v>
      </c>
      <c r="K10865" t="s">
        <v>100</v>
      </c>
      <c r="L10865" t="s">
        <v>99</v>
      </c>
      <c r="M10865" t="s">
        <v>99</v>
      </c>
      <c r="N10865" t="s">
        <v>99</v>
      </c>
    </row>
    <row r="10866" spans="1:14" x14ac:dyDescent="0.3">
      <c r="A10866" t="s">
        <v>49</v>
      </c>
      <c r="B10866" t="s">
        <v>210</v>
      </c>
      <c r="C10866">
        <v>760</v>
      </c>
      <c r="D10866" t="s">
        <v>1515</v>
      </c>
      <c r="E10866" t="s">
        <v>115</v>
      </c>
      <c r="F10866" t="s">
        <v>126</v>
      </c>
      <c r="G10866" t="s">
        <v>117</v>
      </c>
      <c r="H10866" t="s">
        <v>147</v>
      </c>
      <c r="I10866" t="s">
        <v>125</v>
      </c>
      <c r="J10866" t="s">
        <v>147</v>
      </c>
      <c r="K10866" t="s">
        <v>72</v>
      </c>
      <c r="L10866" t="s">
        <v>108</v>
      </c>
      <c r="M10866" t="s">
        <v>121</v>
      </c>
      <c r="N10866" t="s">
        <v>99</v>
      </c>
    </row>
    <row r="10867" spans="1:14" x14ac:dyDescent="0.3">
      <c r="A10867" t="s">
        <v>49</v>
      </c>
      <c r="B10867" t="s">
        <v>212</v>
      </c>
      <c r="C10867">
        <v>11270</v>
      </c>
      <c r="D10867" t="s">
        <v>205</v>
      </c>
      <c r="E10867" t="s">
        <v>121</v>
      </c>
      <c r="F10867" t="s">
        <v>115</v>
      </c>
      <c r="G10867" t="s">
        <v>101</v>
      </c>
      <c r="H10867" t="s">
        <v>154</v>
      </c>
      <c r="I10867" t="s">
        <v>141</v>
      </c>
      <c r="J10867" t="s">
        <v>292</v>
      </c>
      <c r="K10867" t="s">
        <v>332</v>
      </c>
      <c r="L10867" t="s">
        <v>107</v>
      </c>
      <c r="M10867" t="s">
        <v>253</v>
      </c>
      <c r="N10867" t="s">
        <v>198</v>
      </c>
    </row>
    <row r="10868" spans="1:14" x14ac:dyDescent="0.3">
      <c r="A10868" t="s">
        <v>49</v>
      </c>
      <c r="B10868" t="s">
        <v>216</v>
      </c>
      <c r="C10868">
        <v>1246</v>
      </c>
      <c r="D10868" t="s">
        <v>1362</v>
      </c>
      <c r="E10868" t="s">
        <v>127</v>
      </c>
      <c r="F10868" t="s">
        <v>253</v>
      </c>
      <c r="G10868" t="s">
        <v>114</v>
      </c>
      <c r="H10868" t="s">
        <v>154</v>
      </c>
      <c r="I10868" t="s">
        <v>712</v>
      </c>
      <c r="J10868" t="s">
        <v>105</v>
      </c>
      <c r="K10868" t="s">
        <v>184</v>
      </c>
      <c r="L10868" t="s">
        <v>111</v>
      </c>
      <c r="M10868" t="s">
        <v>115</v>
      </c>
      <c r="N10868" t="s">
        <v>104</v>
      </c>
    </row>
    <row r="10870" spans="1:14" x14ac:dyDescent="0.3">
      <c r="A10870" t="s">
        <v>2568</v>
      </c>
    </row>
    <row r="10871" spans="1:14" x14ac:dyDescent="0.3">
      <c r="A10871" t="s">
        <v>44</v>
      </c>
      <c r="B10871" t="s">
        <v>388</v>
      </c>
      <c r="C10871" t="s">
        <v>32</v>
      </c>
      <c r="D10871" t="s">
        <v>2556</v>
      </c>
      <c r="E10871" t="s">
        <v>2557</v>
      </c>
      <c r="F10871" t="s">
        <v>2558</v>
      </c>
      <c r="G10871" t="s">
        <v>2559</v>
      </c>
      <c r="H10871" t="s">
        <v>2560</v>
      </c>
      <c r="I10871" t="s">
        <v>2561</v>
      </c>
      <c r="J10871" t="s">
        <v>2562</v>
      </c>
      <c r="K10871" t="s">
        <v>2563</v>
      </c>
      <c r="L10871" t="s">
        <v>2564</v>
      </c>
      <c r="M10871" t="s">
        <v>2565</v>
      </c>
      <c r="N10871" t="s">
        <v>1637</v>
      </c>
    </row>
    <row r="10872" spans="1:14" x14ac:dyDescent="0.3">
      <c r="A10872" t="s">
        <v>35</v>
      </c>
      <c r="B10872" t="s">
        <v>389</v>
      </c>
      <c r="C10872">
        <v>2133</v>
      </c>
      <c r="D10872" t="s">
        <v>1362</v>
      </c>
      <c r="E10872" t="s">
        <v>123</v>
      </c>
      <c r="F10872" t="s">
        <v>198</v>
      </c>
      <c r="G10872" t="s">
        <v>128</v>
      </c>
      <c r="H10872" t="s">
        <v>103</v>
      </c>
      <c r="I10872" t="s">
        <v>126</v>
      </c>
      <c r="J10872" t="s">
        <v>68</v>
      </c>
      <c r="K10872" t="s">
        <v>353</v>
      </c>
      <c r="L10872" t="s">
        <v>155</v>
      </c>
      <c r="M10872" t="s">
        <v>108</v>
      </c>
      <c r="N10872" t="s">
        <v>104</v>
      </c>
    </row>
    <row r="10873" spans="1:14" x14ac:dyDescent="0.3">
      <c r="A10873" t="s">
        <v>35</v>
      </c>
      <c r="B10873" t="s">
        <v>390</v>
      </c>
      <c r="C10873">
        <v>870</v>
      </c>
      <c r="D10873" t="s">
        <v>189</v>
      </c>
      <c r="E10873" t="s">
        <v>132</v>
      </c>
      <c r="F10873" t="s">
        <v>127</v>
      </c>
      <c r="G10873" t="s">
        <v>141</v>
      </c>
      <c r="H10873" t="s">
        <v>151</v>
      </c>
      <c r="I10873" t="s">
        <v>107</v>
      </c>
      <c r="J10873" t="s">
        <v>434</v>
      </c>
      <c r="K10873" t="s">
        <v>405</v>
      </c>
      <c r="L10873" t="s">
        <v>121</v>
      </c>
      <c r="M10873" t="s">
        <v>207</v>
      </c>
      <c r="N10873" t="s">
        <v>253</v>
      </c>
    </row>
    <row r="10874" spans="1:14" x14ac:dyDescent="0.3">
      <c r="A10874" t="s">
        <v>35</v>
      </c>
      <c r="B10874" t="s">
        <v>365</v>
      </c>
      <c r="C10874">
        <v>129</v>
      </c>
      <c r="D10874" t="s">
        <v>329</v>
      </c>
      <c r="E10874" t="s">
        <v>253</v>
      </c>
      <c r="F10874" t="s">
        <v>100</v>
      </c>
      <c r="G10874" t="s">
        <v>198</v>
      </c>
      <c r="H10874" t="s">
        <v>120</v>
      </c>
      <c r="I10874" t="s">
        <v>319</v>
      </c>
      <c r="J10874" t="s">
        <v>141</v>
      </c>
      <c r="K10874" t="s">
        <v>215</v>
      </c>
      <c r="L10874" t="s">
        <v>141</v>
      </c>
      <c r="M10874" t="s">
        <v>99</v>
      </c>
      <c r="N10874" t="s">
        <v>99</v>
      </c>
    </row>
    <row r="10875" spans="1:14" x14ac:dyDescent="0.3">
      <c r="A10875" t="s">
        <v>37</v>
      </c>
      <c r="B10875" t="s">
        <v>389</v>
      </c>
      <c r="C10875">
        <v>2299</v>
      </c>
      <c r="D10875" t="s">
        <v>221</v>
      </c>
      <c r="E10875" t="s">
        <v>121</v>
      </c>
      <c r="F10875" t="s">
        <v>253</v>
      </c>
      <c r="G10875" t="s">
        <v>319</v>
      </c>
      <c r="H10875" t="s">
        <v>105</v>
      </c>
      <c r="I10875" t="s">
        <v>207</v>
      </c>
      <c r="J10875" t="s">
        <v>100</v>
      </c>
      <c r="K10875" t="s">
        <v>107</v>
      </c>
      <c r="L10875" t="s">
        <v>154</v>
      </c>
      <c r="M10875" t="s">
        <v>141</v>
      </c>
      <c r="N10875" t="s">
        <v>198</v>
      </c>
    </row>
    <row r="10876" spans="1:14" x14ac:dyDescent="0.3">
      <c r="A10876" t="s">
        <v>37</v>
      </c>
      <c r="B10876" t="s">
        <v>390</v>
      </c>
      <c r="C10876">
        <v>1305</v>
      </c>
      <c r="D10876" t="s">
        <v>77</v>
      </c>
      <c r="E10876" t="s">
        <v>121</v>
      </c>
      <c r="F10876" t="s">
        <v>108</v>
      </c>
      <c r="G10876" t="s">
        <v>115</v>
      </c>
      <c r="H10876" t="s">
        <v>118</v>
      </c>
      <c r="I10876" t="s">
        <v>207</v>
      </c>
      <c r="J10876" t="s">
        <v>100</v>
      </c>
      <c r="K10876" t="s">
        <v>130</v>
      </c>
      <c r="L10876" t="s">
        <v>129</v>
      </c>
      <c r="M10876" t="s">
        <v>136</v>
      </c>
      <c r="N10876" t="s">
        <v>104</v>
      </c>
    </row>
    <row r="10877" spans="1:14" x14ac:dyDescent="0.3">
      <c r="A10877" t="s">
        <v>37</v>
      </c>
      <c r="B10877" t="s">
        <v>365</v>
      </c>
      <c r="C10877">
        <v>240</v>
      </c>
      <c r="D10877" t="s">
        <v>469</v>
      </c>
      <c r="E10877" t="s">
        <v>128</v>
      </c>
      <c r="F10877" t="s">
        <v>123</v>
      </c>
      <c r="G10877" t="s">
        <v>253</v>
      </c>
      <c r="H10877" t="s">
        <v>184</v>
      </c>
      <c r="I10877" t="s">
        <v>136</v>
      </c>
      <c r="J10877" t="s">
        <v>115</v>
      </c>
      <c r="K10877" t="s">
        <v>120</v>
      </c>
      <c r="L10877" t="s">
        <v>268</v>
      </c>
      <c r="M10877" t="s">
        <v>99</v>
      </c>
      <c r="N10877" t="s">
        <v>132</v>
      </c>
    </row>
    <row r="10878" spans="1:14" x14ac:dyDescent="0.3">
      <c r="A10878" t="s">
        <v>36</v>
      </c>
      <c r="B10878" t="s">
        <v>389</v>
      </c>
      <c r="C10878">
        <v>1572</v>
      </c>
      <c r="D10878" t="s">
        <v>168</v>
      </c>
      <c r="E10878" t="s">
        <v>127</v>
      </c>
      <c r="F10878" t="s">
        <v>136</v>
      </c>
      <c r="G10878" t="s">
        <v>121</v>
      </c>
      <c r="H10878" t="s">
        <v>325</v>
      </c>
      <c r="I10878" t="s">
        <v>316</v>
      </c>
      <c r="J10878" t="s">
        <v>215</v>
      </c>
      <c r="K10878" t="s">
        <v>434</v>
      </c>
      <c r="L10878" t="s">
        <v>215</v>
      </c>
      <c r="M10878" t="s">
        <v>141</v>
      </c>
      <c r="N10878" t="s">
        <v>99</v>
      </c>
    </row>
    <row r="10879" spans="1:14" x14ac:dyDescent="0.3">
      <c r="A10879" t="s">
        <v>36</v>
      </c>
      <c r="B10879" t="s">
        <v>390</v>
      </c>
      <c r="C10879">
        <v>625</v>
      </c>
      <c r="D10879" t="s">
        <v>543</v>
      </c>
      <c r="E10879" t="s">
        <v>155</v>
      </c>
      <c r="F10879" t="s">
        <v>253</v>
      </c>
      <c r="G10879" t="s">
        <v>198</v>
      </c>
      <c r="H10879" t="s">
        <v>149</v>
      </c>
      <c r="I10879" t="s">
        <v>105</v>
      </c>
      <c r="J10879" t="s">
        <v>138</v>
      </c>
      <c r="K10879" t="s">
        <v>154</v>
      </c>
      <c r="L10879" t="s">
        <v>103</v>
      </c>
      <c r="M10879" t="s">
        <v>136</v>
      </c>
      <c r="N10879" t="s">
        <v>198</v>
      </c>
    </row>
    <row r="10880" spans="1:14" x14ac:dyDescent="0.3">
      <c r="A10880" t="s">
        <v>36</v>
      </c>
      <c r="B10880" t="s">
        <v>365</v>
      </c>
      <c r="C10880">
        <v>100</v>
      </c>
      <c r="D10880" t="s">
        <v>1023</v>
      </c>
      <c r="E10880" t="s">
        <v>382</v>
      </c>
      <c r="F10880" t="s">
        <v>198</v>
      </c>
      <c r="G10880" t="s">
        <v>434</v>
      </c>
      <c r="H10880" t="s">
        <v>731</v>
      </c>
      <c r="I10880" t="s">
        <v>121</v>
      </c>
      <c r="J10880" t="s">
        <v>198</v>
      </c>
      <c r="K10880" t="s">
        <v>712</v>
      </c>
      <c r="L10880" t="s">
        <v>712</v>
      </c>
      <c r="M10880" t="s">
        <v>198</v>
      </c>
      <c r="N10880" t="s">
        <v>104</v>
      </c>
    </row>
    <row r="10881" spans="1:14" x14ac:dyDescent="0.3">
      <c r="A10881" t="s">
        <v>34</v>
      </c>
      <c r="B10881" t="s">
        <v>389</v>
      </c>
      <c r="C10881">
        <v>1379</v>
      </c>
      <c r="D10881" t="s">
        <v>288</v>
      </c>
      <c r="E10881" t="s">
        <v>136</v>
      </c>
      <c r="F10881" t="s">
        <v>100</v>
      </c>
      <c r="G10881" t="s">
        <v>115</v>
      </c>
      <c r="H10881" t="s">
        <v>332</v>
      </c>
      <c r="I10881" t="s">
        <v>129</v>
      </c>
      <c r="J10881" t="s">
        <v>151</v>
      </c>
      <c r="K10881" t="s">
        <v>103</v>
      </c>
      <c r="L10881" t="s">
        <v>101</v>
      </c>
      <c r="M10881" t="s">
        <v>100</v>
      </c>
      <c r="N10881" t="s">
        <v>207</v>
      </c>
    </row>
    <row r="10882" spans="1:14" x14ac:dyDescent="0.3">
      <c r="A10882" t="s">
        <v>34</v>
      </c>
      <c r="B10882" t="s">
        <v>390</v>
      </c>
      <c r="C10882">
        <v>614</v>
      </c>
      <c r="D10882" t="s">
        <v>430</v>
      </c>
      <c r="E10882" t="s">
        <v>319</v>
      </c>
      <c r="F10882" t="s">
        <v>101</v>
      </c>
      <c r="G10882" t="s">
        <v>215</v>
      </c>
      <c r="H10882" t="s">
        <v>154</v>
      </c>
      <c r="I10882" t="s">
        <v>134</v>
      </c>
      <c r="J10882" t="s">
        <v>111</v>
      </c>
      <c r="K10882" t="s">
        <v>157</v>
      </c>
      <c r="L10882" t="s">
        <v>319</v>
      </c>
      <c r="M10882" t="s">
        <v>108</v>
      </c>
      <c r="N10882" t="s">
        <v>198</v>
      </c>
    </row>
    <row r="10883" spans="1:14" x14ac:dyDescent="0.3">
      <c r="A10883" t="s">
        <v>34</v>
      </c>
      <c r="B10883" t="s">
        <v>365</v>
      </c>
      <c r="C10883">
        <v>80</v>
      </c>
      <c r="D10883" t="s">
        <v>397</v>
      </c>
      <c r="E10883" t="s">
        <v>121</v>
      </c>
      <c r="F10883" t="s">
        <v>99</v>
      </c>
      <c r="G10883" t="s">
        <v>99</v>
      </c>
      <c r="H10883" t="s">
        <v>299</v>
      </c>
      <c r="I10883" t="s">
        <v>151</v>
      </c>
      <c r="J10883" t="s">
        <v>99</v>
      </c>
      <c r="K10883" t="s">
        <v>157</v>
      </c>
      <c r="L10883" t="s">
        <v>99</v>
      </c>
      <c r="M10883" t="s">
        <v>684</v>
      </c>
      <c r="N10883" t="s">
        <v>99</v>
      </c>
    </row>
    <row r="10884" spans="1:14" x14ac:dyDescent="0.3">
      <c r="A10884" t="s">
        <v>33</v>
      </c>
      <c r="B10884" t="s">
        <v>389</v>
      </c>
      <c r="C10884">
        <v>1085</v>
      </c>
      <c r="D10884" t="s">
        <v>858</v>
      </c>
      <c r="E10884" t="s">
        <v>136</v>
      </c>
      <c r="F10884" t="s">
        <v>136</v>
      </c>
      <c r="G10884" t="s">
        <v>382</v>
      </c>
      <c r="H10884" t="s">
        <v>130</v>
      </c>
      <c r="I10884" t="s">
        <v>141</v>
      </c>
      <c r="J10884" t="s">
        <v>108</v>
      </c>
      <c r="K10884" t="s">
        <v>127</v>
      </c>
      <c r="L10884" t="s">
        <v>474</v>
      </c>
      <c r="M10884" t="s">
        <v>207</v>
      </c>
      <c r="N10884" t="s">
        <v>198</v>
      </c>
    </row>
    <row r="10885" spans="1:14" x14ac:dyDescent="0.3">
      <c r="A10885" t="s">
        <v>33</v>
      </c>
      <c r="B10885" t="s">
        <v>390</v>
      </c>
      <c r="C10885">
        <v>707</v>
      </c>
      <c r="D10885" t="s">
        <v>378</v>
      </c>
      <c r="E10885" t="s">
        <v>115</v>
      </c>
      <c r="F10885" t="s">
        <v>114</v>
      </c>
      <c r="G10885" t="s">
        <v>136</v>
      </c>
      <c r="H10885" t="s">
        <v>120</v>
      </c>
      <c r="I10885" t="s">
        <v>207</v>
      </c>
      <c r="J10885" t="s">
        <v>100</v>
      </c>
      <c r="K10885" t="s">
        <v>100</v>
      </c>
      <c r="L10885" t="s">
        <v>382</v>
      </c>
      <c r="M10885" t="s">
        <v>253</v>
      </c>
      <c r="N10885" t="s">
        <v>99</v>
      </c>
    </row>
    <row r="10886" spans="1:14" x14ac:dyDescent="0.3">
      <c r="A10886" t="s">
        <v>33</v>
      </c>
      <c r="B10886" t="s">
        <v>365</v>
      </c>
      <c r="C10886">
        <v>138</v>
      </c>
      <c r="D10886" t="s">
        <v>392</v>
      </c>
      <c r="E10886" t="s">
        <v>123</v>
      </c>
      <c r="F10886" t="s">
        <v>108</v>
      </c>
      <c r="G10886" t="s">
        <v>114</v>
      </c>
      <c r="H10886" t="s">
        <v>118</v>
      </c>
      <c r="I10886" t="s">
        <v>99</v>
      </c>
      <c r="J10886" t="s">
        <v>99</v>
      </c>
      <c r="K10886" t="s">
        <v>292</v>
      </c>
      <c r="L10886" t="s">
        <v>319</v>
      </c>
      <c r="M10886" t="s">
        <v>99</v>
      </c>
      <c r="N10886" t="s">
        <v>99</v>
      </c>
    </row>
    <row r="10887" spans="1:14" x14ac:dyDescent="0.3">
      <c r="A10887" t="s">
        <v>49</v>
      </c>
      <c r="B10887" t="s">
        <v>389</v>
      </c>
      <c r="C10887">
        <v>8468</v>
      </c>
      <c r="D10887" t="s">
        <v>464</v>
      </c>
      <c r="E10887" t="s">
        <v>121</v>
      </c>
      <c r="F10887" t="s">
        <v>141</v>
      </c>
      <c r="G10887" t="s">
        <v>215</v>
      </c>
      <c r="H10887" t="s">
        <v>155</v>
      </c>
      <c r="I10887" t="s">
        <v>382</v>
      </c>
      <c r="J10887" t="s">
        <v>103</v>
      </c>
      <c r="K10887" t="s">
        <v>474</v>
      </c>
      <c r="L10887" t="s">
        <v>107</v>
      </c>
      <c r="M10887" t="s">
        <v>115</v>
      </c>
      <c r="N10887" t="s">
        <v>198</v>
      </c>
    </row>
    <row r="10888" spans="1:14" x14ac:dyDescent="0.3">
      <c r="A10888" t="s">
        <v>49</v>
      </c>
      <c r="B10888" t="s">
        <v>390</v>
      </c>
      <c r="C10888">
        <v>4121</v>
      </c>
      <c r="D10888" t="s">
        <v>176</v>
      </c>
      <c r="E10888" t="s">
        <v>121</v>
      </c>
      <c r="F10888" t="s">
        <v>121</v>
      </c>
      <c r="G10888" t="s">
        <v>115</v>
      </c>
      <c r="H10888" t="s">
        <v>105</v>
      </c>
      <c r="I10888" t="s">
        <v>127</v>
      </c>
      <c r="J10888" t="s">
        <v>111</v>
      </c>
      <c r="K10888" t="s">
        <v>149</v>
      </c>
      <c r="L10888" t="s">
        <v>268</v>
      </c>
      <c r="M10888" t="s">
        <v>141</v>
      </c>
      <c r="N10888" t="s">
        <v>198</v>
      </c>
    </row>
    <row r="10889" spans="1:14" x14ac:dyDescent="0.3">
      <c r="A10889" t="s">
        <v>49</v>
      </c>
      <c r="B10889" t="s">
        <v>365</v>
      </c>
      <c r="C10889">
        <v>687</v>
      </c>
      <c r="D10889" t="s">
        <v>77</v>
      </c>
      <c r="E10889" t="s">
        <v>127</v>
      </c>
      <c r="F10889" t="s">
        <v>100</v>
      </c>
      <c r="G10889" t="s">
        <v>108</v>
      </c>
      <c r="H10889" t="s">
        <v>675</v>
      </c>
      <c r="I10889" t="s">
        <v>108</v>
      </c>
      <c r="J10889" t="s">
        <v>136</v>
      </c>
      <c r="K10889" t="s">
        <v>128</v>
      </c>
      <c r="L10889" t="s">
        <v>382</v>
      </c>
      <c r="M10889" t="s">
        <v>132</v>
      </c>
      <c r="N10889" t="s">
        <v>207</v>
      </c>
    </row>
    <row r="10891" spans="1:14" x14ac:dyDescent="0.3">
      <c r="A10891" t="s">
        <v>2569</v>
      </c>
    </row>
    <row r="10892" spans="1:14" x14ac:dyDescent="0.3">
      <c r="A10892" t="s">
        <v>44</v>
      </c>
      <c r="B10892" t="s">
        <v>235</v>
      </c>
      <c r="C10892" t="s">
        <v>32</v>
      </c>
      <c r="D10892" t="s">
        <v>2556</v>
      </c>
      <c r="E10892" t="s">
        <v>2557</v>
      </c>
      <c r="F10892" t="s">
        <v>2558</v>
      </c>
      <c r="G10892" t="s">
        <v>2559</v>
      </c>
      <c r="H10892" t="s">
        <v>2560</v>
      </c>
      <c r="I10892" t="s">
        <v>2561</v>
      </c>
      <c r="J10892" t="s">
        <v>2562</v>
      </c>
      <c r="K10892" t="s">
        <v>2563</v>
      </c>
      <c r="L10892" t="s">
        <v>2564</v>
      </c>
      <c r="M10892" t="s">
        <v>2565</v>
      </c>
      <c r="N10892" t="s">
        <v>1637</v>
      </c>
    </row>
    <row r="10893" spans="1:14" x14ac:dyDescent="0.3">
      <c r="A10893" t="s">
        <v>35</v>
      </c>
      <c r="B10893" t="s">
        <v>236</v>
      </c>
      <c r="C10893">
        <v>1600</v>
      </c>
      <c r="D10893" t="s">
        <v>199</v>
      </c>
      <c r="E10893" t="s">
        <v>108</v>
      </c>
      <c r="F10893" t="s">
        <v>207</v>
      </c>
      <c r="G10893" t="s">
        <v>115</v>
      </c>
      <c r="H10893" t="s">
        <v>155</v>
      </c>
      <c r="I10893" t="s">
        <v>151</v>
      </c>
      <c r="J10893" t="s">
        <v>101</v>
      </c>
      <c r="K10893" t="s">
        <v>147</v>
      </c>
      <c r="L10893" t="s">
        <v>215</v>
      </c>
      <c r="M10893" t="s">
        <v>141</v>
      </c>
      <c r="N10893" t="s">
        <v>99</v>
      </c>
    </row>
    <row r="10894" spans="1:14" x14ac:dyDescent="0.3">
      <c r="A10894" t="s">
        <v>35</v>
      </c>
      <c r="B10894" t="s">
        <v>238</v>
      </c>
      <c r="C10894">
        <v>1532</v>
      </c>
      <c r="D10894" t="s">
        <v>1515</v>
      </c>
      <c r="E10894" t="s">
        <v>123</v>
      </c>
      <c r="F10894" t="s">
        <v>132</v>
      </c>
      <c r="G10894" t="s">
        <v>316</v>
      </c>
      <c r="H10894" t="s">
        <v>123</v>
      </c>
      <c r="I10894" t="s">
        <v>127</v>
      </c>
      <c r="J10894" t="s">
        <v>325</v>
      </c>
      <c r="K10894" t="s">
        <v>262</v>
      </c>
      <c r="L10894" t="s">
        <v>105</v>
      </c>
      <c r="M10894" t="s">
        <v>132</v>
      </c>
      <c r="N10894" t="s">
        <v>207</v>
      </c>
    </row>
    <row r="10895" spans="1:14" x14ac:dyDescent="0.3">
      <c r="A10895" t="s">
        <v>37</v>
      </c>
      <c r="B10895" t="s">
        <v>236</v>
      </c>
      <c r="C10895">
        <v>2206</v>
      </c>
      <c r="D10895" t="s">
        <v>356</v>
      </c>
      <c r="E10895" t="s">
        <v>151</v>
      </c>
      <c r="F10895" t="s">
        <v>114</v>
      </c>
      <c r="G10895" t="s">
        <v>101</v>
      </c>
      <c r="H10895" t="s">
        <v>155</v>
      </c>
      <c r="I10895" t="s">
        <v>198</v>
      </c>
      <c r="J10895" t="s">
        <v>319</v>
      </c>
      <c r="K10895" t="s">
        <v>157</v>
      </c>
      <c r="L10895" t="s">
        <v>154</v>
      </c>
      <c r="M10895" t="s">
        <v>136</v>
      </c>
      <c r="N10895" t="s">
        <v>198</v>
      </c>
    </row>
    <row r="10896" spans="1:14" x14ac:dyDescent="0.3">
      <c r="A10896" t="s">
        <v>37</v>
      </c>
      <c r="B10896" t="s">
        <v>238</v>
      </c>
      <c r="C10896">
        <v>1638</v>
      </c>
      <c r="D10896" t="s">
        <v>217</v>
      </c>
      <c r="E10896" t="s">
        <v>141</v>
      </c>
      <c r="F10896" t="s">
        <v>115</v>
      </c>
      <c r="G10896" t="s">
        <v>115</v>
      </c>
      <c r="H10896" t="s">
        <v>130</v>
      </c>
      <c r="I10896" t="s">
        <v>141</v>
      </c>
      <c r="J10896" t="s">
        <v>115</v>
      </c>
      <c r="K10896" t="s">
        <v>134</v>
      </c>
      <c r="L10896" t="s">
        <v>118</v>
      </c>
      <c r="M10896" t="s">
        <v>141</v>
      </c>
      <c r="N10896" t="s">
        <v>207</v>
      </c>
    </row>
    <row r="10897" spans="1:14" x14ac:dyDescent="0.3">
      <c r="A10897" t="s">
        <v>36</v>
      </c>
      <c r="B10897" t="s">
        <v>236</v>
      </c>
      <c r="C10897">
        <v>1561</v>
      </c>
      <c r="D10897" t="s">
        <v>537</v>
      </c>
      <c r="E10897" t="s">
        <v>253</v>
      </c>
      <c r="F10897" t="s">
        <v>141</v>
      </c>
      <c r="G10897" t="s">
        <v>108</v>
      </c>
      <c r="H10897" t="s">
        <v>204</v>
      </c>
      <c r="I10897" t="s">
        <v>117</v>
      </c>
      <c r="J10897" t="s">
        <v>316</v>
      </c>
      <c r="K10897" t="s">
        <v>684</v>
      </c>
      <c r="L10897" t="s">
        <v>120</v>
      </c>
      <c r="M10897" t="s">
        <v>136</v>
      </c>
      <c r="N10897" t="s">
        <v>104</v>
      </c>
    </row>
    <row r="10898" spans="1:14" x14ac:dyDescent="0.3">
      <c r="A10898" t="s">
        <v>36</v>
      </c>
      <c r="B10898" t="s">
        <v>238</v>
      </c>
      <c r="C10898">
        <v>736</v>
      </c>
      <c r="D10898" t="s">
        <v>1137</v>
      </c>
      <c r="E10898" t="s">
        <v>155</v>
      </c>
      <c r="F10898" t="s">
        <v>136</v>
      </c>
      <c r="G10898" t="s">
        <v>319</v>
      </c>
      <c r="H10898" t="s">
        <v>143</v>
      </c>
      <c r="I10898" t="s">
        <v>147</v>
      </c>
      <c r="J10898" t="s">
        <v>382</v>
      </c>
      <c r="K10898" t="s">
        <v>105</v>
      </c>
      <c r="L10898" t="s">
        <v>382</v>
      </c>
      <c r="M10898" t="s">
        <v>141</v>
      </c>
      <c r="N10898" t="s">
        <v>99</v>
      </c>
    </row>
    <row r="10899" spans="1:14" x14ac:dyDescent="0.3">
      <c r="A10899" t="s">
        <v>34</v>
      </c>
      <c r="B10899" t="s">
        <v>236</v>
      </c>
      <c r="C10899">
        <v>716</v>
      </c>
      <c r="D10899" t="s">
        <v>761</v>
      </c>
      <c r="E10899" t="s">
        <v>114</v>
      </c>
      <c r="F10899" t="s">
        <v>382</v>
      </c>
      <c r="G10899" t="s">
        <v>117</v>
      </c>
      <c r="H10899" t="s">
        <v>149</v>
      </c>
      <c r="I10899" t="s">
        <v>684</v>
      </c>
      <c r="J10899" t="s">
        <v>154</v>
      </c>
      <c r="K10899" t="s">
        <v>155</v>
      </c>
      <c r="L10899" t="s">
        <v>126</v>
      </c>
      <c r="M10899" t="s">
        <v>316</v>
      </c>
      <c r="N10899" t="s">
        <v>104</v>
      </c>
    </row>
    <row r="10900" spans="1:14" x14ac:dyDescent="0.3">
      <c r="A10900" t="s">
        <v>34</v>
      </c>
      <c r="B10900" t="s">
        <v>238</v>
      </c>
      <c r="C10900">
        <v>1357</v>
      </c>
      <c r="D10900" t="s">
        <v>180</v>
      </c>
      <c r="E10900" t="s">
        <v>253</v>
      </c>
      <c r="F10900" t="s">
        <v>108</v>
      </c>
      <c r="G10900" t="s">
        <v>136</v>
      </c>
      <c r="H10900" t="s">
        <v>138</v>
      </c>
      <c r="I10900" t="s">
        <v>138</v>
      </c>
      <c r="J10900" t="s">
        <v>101</v>
      </c>
      <c r="K10900" t="s">
        <v>117</v>
      </c>
      <c r="L10900" t="s">
        <v>121</v>
      </c>
      <c r="M10900" t="s">
        <v>253</v>
      </c>
      <c r="N10900" t="s">
        <v>207</v>
      </c>
    </row>
    <row r="10901" spans="1:14" x14ac:dyDescent="0.3">
      <c r="A10901" t="s">
        <v>33</v>
      </c>
      <c r="B10901" t="s">
        <v>236</v>
      </c>
      <c r="C10901">
        <v>1111</v>
      </c>
      <c r="D10901" t="s">
        <v>966</v>
      </c>
      <c r="E10901" t="s">
        <v>136</v>
      </c>
      <c r="F10901" t="s">
        <v>198</v>
      </c>
      <c r="G10901" t="s">
        <v>121</v>
      </c>
      <c r="H10901" t="s">
        <v>130</v>
      </c>
      <c r="I10901" t="s">
        <v>136</v>
      </c>
      <c r="J10901" t="s">
        <v>132</v>
      </c>
      <c r="K10901" t="s">
        <v>123</v>
      </c>
      <c r="L10901" t="s">
        <v>105</v>
      </c>
      <c r="M10901" t="s">
        <v>141</v>
      </c>
      <c r="N10901" t="s">
        <v>104</v>
      </c>
    </row>
    <row r="10902" spans="1:14" x14ac:dyDescent="0.3">
      <c r="A10902" t="s">
        <v>33</v>
      </c>
      <c r="B10902" t="s">
        <v>238</v>
      </c>
      <c r="C10902">
        <v>819</v>
      </c>
      <c r="D10902" t="s">
        <v>219</v>
      </c>
      <c r="E10902" t="s">
        <v>115</v>
      </c>
      <c r="F10902" t="s">
        <v>100</v>
      </c>
      <c r="G10902" t="s">
        <v>100</v>
      </c>
      <c r="H10902" t="s">
        <v>105</v>
      </c>
      <c r="I10902" t="s">
        <v>136</v>
      </c>
      <c r="J10902" t="s">
        <v>100</v>
      </c>
      <c r="K10902" t="s">
        <v>121</v>
      </c>
      <c r="L10902" t="s">
        <v>157</v>
      </c>
      <c r="M10902" t="s">
        <v>207</v>
      </c>
      <c r="N10902" t="s">
        <v>104</v>
      </c>
    </row>
    <row r="10903" spans="1:14" x14ac:dyDescent="0.3">
      <c r="A10903" t="s">
        <v>49</v>
      </c>
      <c r="B10903" t="s">
        <v>236</v>
      </c>
      <c r="C10903">
        <v>7194</v>
      </c>
      <c r="D10903" t="s">
        <v>1010</v>
      </c>
      <c r="E10903" t="s">
        <v>121</v>
      </c>
      <c r="F10903" t="s">
        <v>115</v>
      </c>
      <c r="G10903" t="s">
        <v>101</v>
      </c>
      <c r="H10903" t="s">
        <v>110</v>
      </c>
      <c r="I10903" t="s">
        <v>126</v>
      </c>
      <c r="J10903" t="s">
        <v>215</v>
      </c>
      <c r="K10903" t="s">
        <v>157</v>
      </c>
      <c r="L10903" t="s">
        <v>120</v>
      </c>
      <c r="M10903" t="s">
        <v>115</v>
      </c>
      <c r="N10903" t="s">
        <v>104</v>
      </c>
    </row>
    <row r="10904" spans="1:14" x14ac:dyDescent="0.3">
      <c r="A10904" t="s">
        <v>49</v>
      </c>
      <c r="B10904" t="s">
        <v>238</v>
      </c>
      <c r="C10904">
        <v>6082</v>
      </c>
      <c r="D10904" t="s">
        <v>443</v>
      </c>
      <c r="E10904" t="s">
        <v>101</v>
      </c>
      <c r="F10904" t="s">
        <v>132</v>
      </c>
      <c r="G10904" t="s">
        <v>319</v>
      </c>
      <c r="H10904" t="s">
        <v>105</v>
      </c>
      <c r="I10904" t="s">
        <v>127</v>
      </c>
      <c r="J10904" t="s">
        <v>128</v>
      </c>
      <c r="K10904" t="s">
        <v>158</v>
      </c>
      <c r="L10904" t="s">
        <v>128</v>
      </c>
      <c r="M10904" t="s">
        <v>253</v>
      </c>
      <c r="N10904" t="s">
        <v>207</v>
      </c>
    </row>
    <row r="10906" spans="1:14" x14ac:dyDescent="0.3">
      <c r="A10906" t="s">
        <v>2570</v>
      </c>
    </row>
    <row r="10907" spans="1:14" x14ac:dyDescent="0.3">
      <c r="A10907" t="s">
        <v>44</v>
      </c>
      <c r="B10907" t="s">
        <v>257</v>
      </c>
      <c r="C10907" t="s">
        <v>32</v>
      </c>
      <c r="D10907" t="s">
        <v>2556</v>
      </c>
      <c r="E10907" t="s">
        <v>2557</v>
      </c>
      <c r="F10907" t="s">
        <v>2558</v>
      </c>
      <c r="G10907" t="s">
        <v>2559</v>
      </c>
      <c r="H10907" t="s">
        <v>2560</v>
      </c>
      <c r="I10907" t="s">
        <v>2561</v>
      </c>
      <c r="J10907" t="s">
        <v>2562</v>
      </c>
      <c r="K10907" t="s">
        <v>2563</v>
      </c>
      <c r="L10907" t="s">
        <v>2564</v>
      </c>
      <c r="M10907" t="s">
        <v>2565</v>
      </c>
      <c r="N10907" t="s">
        <v>1637</v>
      </c>
    </row>
    <row r="10908" spans="1:14" x14ac:dyDescent="0.3">
      <c r="A10908" t="s">
        <v>35</v>
      </c>
      <c r="B10908" t="s">
        <v>258</v>
      </c>
      <c r="C10908">
        <v>2860</v>
      </c>
      <c r="D10908" t="s">
        <v>397</v>
      </c>
      <c r="E10908" t="s">
        <v>215</v>
      </c>
      <c r="F10908" t="s">
        <v>115</v>
      </c>
      <c r="G10908" t="s">
        <v>151</v>
      </c>
      <c r="H10908" t="s">
        <v>127</v>
      </c>
      <c r="I10908" t="s">
        <v>151</v>
      </c>
      <c r="J10908" t="s">
        <v>242</v>
      </c>
      <c r="K10908" t="s">
        <v>41</v>
      </c>
      <c r="L10908" t="s">
        <v>120</v>
      </c>
      <c r="M10908" t="s">
        <v>115</v>
      </c>
      <c r="N10908" t="s">
        <v>104</v>
      </c>
    </row>
    <row r="10909" spans="1:14" x14ac:dyDescent="0.3">
      <c r="A10909" t="s">
        <v>35</v>
      </c>
      <c r="B10909" t="s">
        <v>260</v>
      </c>
      <c r="C10909">
        <v>272</v>
      </c>
      <c r="D10909" t="s">
        <v>883</v>
      </c>
      <c r="E10909" t="s">
        <v>132</v>
      </c>
      <c r="F10909" t="s">
        <v>99</v>
      </c>
      <c r="G10909" t="s">
        <v>151</v>
      </c>
      <c r="H10909" t="s">
        <v>70</v>
      </c>
      <c r="I10909" t="s">
        <v>136</v>
      </c>
      <c r="J10909" t="s">
        <v>253</v>
      </c>
      <c r="K10909" t="s">
        <v>126</v>
      </c>
      <c r="L10909" t="s">
        <v>103</v>
      </c>
      <c r="M10909" t="s">
        <v>136</v>
      </c>
      <c r="N10909" t="s">
        <v>121</v>
      </c>
    </row>
    <row r="10910" spans="1:14" x14ac:dyDescent="0.3">
      <c r="A10910" t="s">
        <v>37</v>
      </c>
      <c r="B10910" t="s">
        <v>258</v>
      </c>
      <c r="C10910">
        <v>3844</v>
      </c>
      <c r="D10910" t="s">
        <v>288</v>
      </c>
      <c r="E10910" t="s">
        <v>101</v>
      </c>
      <c r="F10910" t="s">
        <v>132</v>
      </c>
      <c r="G10910" t="s">
        <v>100</v>
      </c>
      <c r="H10910" t="s">
        <v>134</v>
      </c>
      <c r="I10910" t="s">
        <v>207</v>
      </c>
      <c r="J10910" t="s">
        <v>100</v>
      </c>
      <c r="K10910" t="s">
        <v>138</v>
      </c>
      <c r="L10910" t="s">
        <v>134</v>
      </c>
      <c r="M10910" t="s">
        <v>136</v>
      </c>
      <c r="N10910" t="s">
        <v>198</v>
      </c>
    </row>
    <row r="10911" spans="1:14" x14ac:dyDescent="0.3">
      <c r="A10911" t="s">
        <v>36</v>
      </c>
      <c r="B10911" t="s">
        <v>258</v>
      </c>
      <c r="C10911">
        <v>2092</v>
      </c>
      <c r="D10911" t="s">
        <v>908</v>
      </c>
      <c r="E10911" t="s">
        <v>111</v>
      </c>
      <c r="F10911" t="s">
        <v>136</v>
      </c>
      <c r="G10911" t="s">
        <v>121</v>
      </c>
      <c r="H10911" t="s">
        <v>204</v>
      </c>
      <c r="I10911" t="s">
        <v>103</v>
      </c>
      <c r="J10911" t="s">
        <v>151</v>
      </c>
      <c r="K10911" t="s">
        <v>129</v>
      </c>
      <c r="L10911" t="s">
        <v>292</v>
      </c>
      <c r="M10911" t="s">
        <v>141</v>
      </c>
      <c r="N10911" t="s">
        <v>104</v>
      </c>
    </row>
    <row r="10912" spans="1:14" x14ac:dyDescent="0.3">
      <c r="A10912" t="s">
        <v>36</v>
      </c>
      <c r="B10912" t="s">
        <v>260</v>
      </c>
      <c r="C10912">
        <v>205</v>
      </c>
      <c r="D10912" t="s">
        <v>1075</v>
      </c>
      <c r="E10912" t="s">
        <v>141</v>
      </c>
      <c r="F10912" t="s">
        <v>126</v>
      </c>
      <c r="G10912" t="s">
        <v>114</v>
      </c>
      <c r="H10912" t="s">
        <v>449</v>
      </c>
      <c r="I10912" t="s">
        <v>482</v>
      </c>
      <c r="J10912" t="s">
        <v>99</v>
      </c>
      <c r="K10912" t="s">
        <v>474</v>
      </c>
      <c r="L10912" t="s">
        <v>147</v>
      </c>
      <c r="M10912" t="s">
        <v>141</v>
      </c>
      <c r="N10912" t="s">
        <v>141</v>
      </c>
    </row>
    <row r="10913" spans="1:14" x14ac:dyDescent="0.3">
      <c r="A10913" t="s">
        <v>34</v>
      </c>
      <c r="B10913" t="s">
        <v>258</v>
      </c>
      <c r="C10913">
        <v>1219</v>
      </c>
      <c r="D10913" t="s">
        <v>202</v>
      </c>
      <c r="E10913" t="s">
        <v>104</v>
      </c>
      <c r="F10913" t="s">
        <v>207</v>
      </c>
      <c r="G10913" t="s">
        <v>136</v>
      </c>
      <c r="H10913" t="s">
        <v>253</v>
      </c>
      <c r="I10913" t="s">
        <v>141</v>
      </c>
      <c r="J10913" t="s">
        <v>104</v>
      </c>
      <c r="K10913" t="s">
        <v>198</v>
      </c>
      <c r="L10913" t="s">
        <v>198</v>
      </c>
      <c r="M10913" t="s">
        <v>104</v>
      </c>
      <c r="N10913" t="s">
        <v>104</v>
      </c>
    </row>
    <row r="10914" spans="1:14" x14ac:dyDescent="0.3">
      <c r="A10914" t="s">
        <v>34</v>
      </c>
      <c r="B10914" t="s">
        <v>260</v>
      </c>
      <c r="C10914">
        <v>854</v>
      </c>
      <c r="D10914" t="s">
        <v>1475</v>
      </c>
      <c r="E10914" t="s">
        <v>114</v>
      </c>
      <c r="F10914" t="s">
        <v>382</v>
      </c>
      <c r="G10914" t="s">
        <v>319</v>
      </c>
      <c r="H10914" t="s">
        <v>328</v>
      </c>
      <c r="I10914" t="s">
        <v>325</v>
      </c>
      <c r="J10914" t="s">
        <v>157</v>
      </c>
      <c r="K10914" t="s">
        <v>434</v>
      </c>
      <c r="L10914" t="s">
        <v>123</v>
      </c>
      <c r="M10914" t="s">
        <v>123</v>
      </c>
      <c r="N10914" t="s">
        <v>136</v>
      </c>
    </row>
    <row r="10915" spans="1:14" x14ac:dyDescent="0.3">
      <c r="A10915" t="s">
        <v>33</v>
      </c>
      <c r="B10915" t="s">
        <v>258</v>
      </c>
      <c r="C10915">
        <v>1930</v>
      </c>
      <c r="D10915" t="s">
        <v>409</v>
      </c>
      <c r="E10915" t="s">
        <v>253</v>
      </c>
      <c r="F10915" t="s">
        <v>253</v>
      </c>
      <c r="G10915" t="s">
        <v>121</v>
      </c>
      <c r="H10915" t="s">
        <v>154</v>
      </c>
      <c r="I10915" t="s">
        <v>136</v>
      </c>
      <c r="J10915" t="s">
        <v>108</v>
      </c>
      <c r="K10915" t="s">
        <v>382</v>
      </c>
      <c r="L10915" t="s">
        <v>105</v>
      </c>
      <c r="M10915" t="s">
        <v>136</v>
      </c>
      <c r="N10915" t="s">
        <v>104</v>
      </c>
    </row>
    <row r="10916" spans="1:14" x14ac:dyDescent="0.3">
      <c r="A10916" t="s">
        <v>49</v>
      </c>
      <c r="B10916" t="s">
        <v>258</v>
      </c>
      <c r="C10916">
        <v>11945</v>
      </c>
      <c r="D10916" t="s">
        <v>263</v>
      </c>
      <c r="E10916" t="s">
        <v>101</v>
      </c>
      <c r="F10916" t="s">
        <v>115</v>
      </c>
      <c r="G10916" t="s">
        <v>101</v>
      </c>
      <c r="H10916" t="s">
        <v>157</v>
      </c>
      <c r="I10916" t="s">
        <v>100</v>
      </c>
      <c r="J10916" t="s">
        <v>111</v>
      </c>
      <c r="K10916" t="s">
        <v>112</v>
      </c>
      <c r="L10916" t="s">
        <v>120</v>
      </c>
      <c r="M10916" t="s">
        <v>141</v>
      </c>
      <c r="N10916" t="s">
        <v>198</v>
      </c>
    </row>
    <row r="10917" spans="1:14" x14ac:dyDescent="0.3">
      <c r="A10917" t="s">
        <v>49</v>
      </c>
      <c r="B10917" t="s">
        <v>260</v>
      </c>
      <c r="C10917">
        <v>1331</v>
      </c>
      <c r="D10917" t="s">
        <v>1023</v>
      </c>
      <c r="E10917" t="s">
        <v>114</v>
      </c>
      <c r="F10917" t="s">
        <v>101</v>
      </c>
      <c r="G10917" t="s">
        <v>126</v>
      </c>
      <c r="H10917" t="s">
        <v>143</v>
      </c>
      <c r="I10917" t="s">
        <v>68</v>
      </c>
      <c r="J10917" t="s">
        <v>316</v>
      </c>
      <c r="K10917" t="s">
        <v>134</v>
      </c>
      <c r="L10917" t="s">
        <v>151</v>
      </c>
      <c r="M10917" t="s">
        <v>382</v>
      </c>
      <c r="N10917" t="s">
        <v>141</v>
      </c>
    </row>
    <row r="10919" spans="1:14" x14ac:dyDescent="0.3">
      <c r="A10919" t="s">
        <v>2571</v>
      </c>
    </row>
    <row r="10920" spans="1:14" x14ac:dyDescent="0.3">
      <c r="A10920" t="s">
        <v>44</v>
      </c>
      <c r="B10920" t="s">
        <v>1625</v>
      </c>
      <c r="C10920" t="s">
        <v>32</v>
      </c>
      <c r="D10920" t="s">
        <v>2556</v>
      </c>
      <c r="E10920" t="s">
        <v>2557</v>
      </c>
      <c r="F10920" t="s">
        <v>2558</v>
      </c>
      <c r="G10920" t="s">
        <v>2559</v>
      </c>
      <c r="H10920" t="s">
        <v>2560</v>
      </c>
      <c r="I10920" t="s">
        <v>2561</v>
      </c>
      <c r="J10920" t="s">
        <v>2562</v>
      </c>
      <c r="K10920" t="s">
        <v>2563</v>
      </c>
      <c r="L10920" t="s">
        <v>2564</v>
      </c>
      <c r="M10920" t="s">
        <v>2565</v>
      </c>
      <c r="N10920" t="s">
        <v>1637</v>
      </c>
    </row>
    <row r="10921" spans="1:14" x14ac:dyDescent="0.3">
      <c r="A10921" t="s">
        <v>35</v>
      </c>
      <c r="B10921" t="s">
        <v>1626</v>
      </c>
      <c r="C10921">
        <v>2216</v>
      </c>
      <c r="D10921" t="s">
        <v>1023</v>
      </c>
      <c r="E10921" t="s">
        <v>151</v>
      </c>
      <c r="F10921" t="s">
        <v>132</v>
      </c>
      <c r="G10921" t="s">
        <v>117</v>
      </c>
      <c r="H10921" t="s">
        <v>103</v>
      </c>
      <c r="I10921" t="s">
        <v>215</v>
      </c>
      <c r="J10921" t="s">
        <v>332</v>
      </c>
      <c r="K10921" t="s">
        <v>363</v>
      </c>
      <c r="L10921" t="s">
        <v>111</v>
      </c>
      <c r="M10921" t="s">
        <v>108</v>
      </c>
      <c r="N10921" t="s">
        <v>198</v>
      </c>
    </row>
    <row r="10922" spans="1:14" x14ac:dyDescent="0.3">
      <c r="A10922" t="s">
        <v>35</v>
      </c>
      <c r="B10922" t="s">
        <v>1627</v>
      </c>
      <c r="C10922">
        <v>910</v>
      </c>
      <c r="D10922" t="s">
        <v>230</v>
      </c>
      <c r="E10922" t="s">
        <v>207</v>
      </c>
      <c r="F10922" t="s">
        <v>104</v>
      </c>
      <c r="G10922" t="s">
        <v>132</v>
      </c>
      <c r="H10922" t="s">
        <v>215</v>
      </c>
      <c r="I10922" t="s">
        <v>268</v>
      </c>
      <c r="J10922" t="s">
        <v>353</v>
      </c>
      <c r="K10922" t="s">
        <v>353</v>
      </c>
      <c r="L10922" t="s">
        <v>139</v>
      </c>
      <c r="M10922" t="s">
        <v>99</v>
      </c>
      <c r="N10922" t="s">
        <v>207</v>
      </c>
    </row>
    <row r="10923" spans="1:14" x14ac:dyDescent="0.3">
      <c r="A10923" t="s">
        <v>35</v>
      </c>
      <c r="B10923" t="s">
        <v>365</v>
      </c>
      <c r="C10923">
        <v>6</v>
      </c>
      <c r="D10923" t="s">
        <v>1405</v>
      </c>
      <c r="E10923" t="s">
        <v>99</v>
      </c>
      <c r="F10923" t="s">
        <v>99</v>
      </c>
      <c r="G10923" t="s">
        <v>99</v>
      </c>
      <c r="H10923" t="s">
        <v>833</v>
      </c>
      <c r="I10923" t="s">
        <v>99</v>
      </c>
      <c r="J10923" t="s">
        <v>99</v>
      </c>
      <c r="K10923" t="s">
        <v>99</v>
      </c>
      <c r="L10923" t="s">
        <v>99</v>
      </c>
      <c r="M10923" t="s">
        <v>99</v>
      </c>
      <c r="N10923" t="s">
        <v>99</v>
      </c>
    </row>
    <row r="10924" spans="1:14" x14ac:dyDescent="0.3">
      <c r="A10924" t="s">
        <v>37</v>
      </c>
      <c r="B10924" t="s">
        <v>1626</v>
      </c>
      <c r="C10924">
        <v>2741</v>
      </c>
      <c r="D10924" t="s">
        <v>1010</v>
      </c>
      <c r="E10924" t="s">
        <v>101</v>
      </c>
      <c r="F10924" t="s">
        <v>121</v>
      </c>
      <c r="G10924" t="s">
        <v>100</v>
      </c>
      <c r="H10924" t="s">
        <v>110</v>
      </c>
      <c r="I10924" t="s">
        <v>136</v>
      </c>
      <c r="J10924" t="s">
        <v>108</v>
      </c>
      <c r="K10924" t="s">
        <v>155</v>
      </c>
      <c r="L10924" t="s">
        <v>107</v>
      </c>
      <c r="M10924" t="s">
        <v>253</v>
      </c>
      <c r="N10924" t="s">
        <v>198</v>
      </c>
    </row>
    <row r="10925" spans="1:14" x14ac:dyDescent="0.3">
      <c r="A10925" t="s">
        <v>37</v>
      </c>
      <c r="B10925" t="s">
        <v>1627</v>
      </c>
      <c r="C10925">
        <v>1102</v>
      </c>
      <c r="D10925" t="s">
        <v>845</v>
      </c>
      <c r="E10925" t="s">
        <v>101</v>
      </c>
      <c r="F10925" t="s">
        <v>99</v>
      </c>
      <c r="G10925" t="s">
        <v>108</v>
      </c>
      <c r="H10925" t="s">
        <v>105</v>
      </c>
      <c r="I10925" t="s">
        <v>198</v>
      </c>
      <c r="J10925" t="s">
        <v>382</v>
      </c>
      <c r="K10925" t="s">
        <v>138</v>
      </c>
      <c r="L10925" t="s">
        <v>158</v>
      </c>
      <c r="M10925" t="s">
        <v>104</v>
      </c>
      <c r="N10925" t="s">
        <v>141</v>
      </c>
    </row>
    <row r="10926" spans="1:14" x14ac:dyDescent="0.3">
      <c r="A10926" t="s">
        <v>37</v>
      </c>
      <c r="B10926" t="s">
        <v>365</v>
      </c>
      <c r="C10926">
        <v>1</v>
      </c>
      <c r="D10926" t="s">
        <v>211</v>
      </c>
      <c r="E10926" t="s">
        <v>99</v>
      </c>
      <c r="F10926" t="s">
        <v>99</v>
      </c>
      <c r="G10926" t="s">
        <v>99</v>
      </c>
      <c r="H10926" t="s">
        <v>99</v>
      </c>
      <c r="I10926" t="s">
        <v>99</v>
      </c>
      <c r="J10926" t="s">
        <v>99</v>
      </c>
      <c r="K10926" t="s">
        <v>99</v>
      </c>
      <c r="L10926" t="s">
        <v>99</v>
      </c>
      <c r="M10926" t="s">
        <v>99</v>
      </c>
      <c r="N10926" t="s">
        <v>99</v>
      </c>
    </row>
    <row r="10927" spans="1:14" x14ac:dyDescent="0.3">
      <c r="A10927" t="s">
        <v>36</v>
      </c>
      <c r="B10927" t="s">
        <v>1626</v>
      </c>
      <c r="C10927">
        <v>1710</v>
      </c>
      <c r="D10927" t="s">
        <v>870</v>
      </c>
      <c r="E10927" t="s">
        <v>117</v>
      </c>
      <c r="F10927" t="s">
        <v>141</v>
      </c>
      <c r="G10927" t="s">
        <v>319</v>
      </c>
      <c r="H10927" t="s">
        <v>152</v>
      </c>
      <c r="I10927" t="s">
        <v>157</v>
      </c>
      <c r="J10927" t="s">
        <v>382</v>
      </c>
      <c r="K10927" t="s">
        <v>129</v>
      </c>
      <c r="L10927" t="s">
        <v>127</v>
      </c>
      <c r="M10927" t="s">
        <v>253</v>
      </c>
      <c r="N10927" t="s">
        <v>99</v>
      </c>
    </row>
    <row r="10928" spans="1:14" x14ac:dyDescent="0.3">
      <c r="A10928" t="s">
        <v>36</v>
      </c>
      <c r="B10928" t="s">
        <v>1627</v>
      </c>
      <c r="C10928">
        <v>583</v>
      </c>
      <c r="D10928" t="s">
        <v>866</v>
      </c>
      <c r="E10928" t="s">
        <v>126</v>
      </c>
      <c r="F10928" t="s">
        <v>198</v>
      </c>
      <c r="G10928" t="s">
        <v>104</v>
      </c>
      <c r="H10928" t="s">
        <v>120</v>
      </c>
      <c r="I10928" t="s">
        <v>100</v>
      </c>
      <c r="J10928" t="s">
        <v>155</v>
      </c>
      <c r="K10928" t="s">
        <v>474</v>
      </c>
      <c r="L10928" t="s">
        <v>105</v>
      </c>
      <c r="M10928" t="s">
        <v>104</v>
      </c>
      <c r="N10928" t="s">
        <v>198</v>
      </c>
    </row>
    <row r="10929" spans="1:14" x14ac:dyDescent="0.3">
      <c r="A10929" t="s">
        <v>36</v>
      </c>
      <c r="B10929" t="s">
        <v>365</v>
      </c>
      <c r="C10929">
        <v>4</v>
      </c>
      <c r="D10929" t="s">
        <v>211</v>
      </c>
      <c r="E10929" t="s">
        <v>99</v>
      </c>
      <c r="F10929" t="s">
        <v>99</v>
      </c>
      <c r="G10929" t="s">
        <v>99</v>
      </c>
      <c r="H10929" t="s">
        <v>99</v>
      </c>
      <c r="I10929" t="s">
        <v>99</v>
      </c>
      <c r="J10929" t="s">
        <v>99</v>
      </c>
      <c r="K10929" t="s">
        <v>99</v>
      </c>
      <c r="L10929" t="s">
        <v>99</v>
      </c>
      <c r="M10929" t="s">
        <v>99</v>
      </c>
      <c r="N10929" t="s">
        <v>99</v>
      </c>
    </row>
    <row r="10930" spans="1:14" x14ac:dyDescent="0.3">
      <c r="A10930" t="s">
        <v>34</v>
      </c>
      <c r="B10930" t="s">
        <v>1626</v>
      </c>
      <c r="C10930">
        <v>1452</v>
      </c>
      <c r="D10930" t="s">
        <v>77</v>
      </c>
      <c r="E10930" t="s">
        <v>115</v>
      </c>
      <c r="F10930" t="s">
        <v>101</v>
      </c>
      <c r="G10930" t="s">
        <v>101</v>
      </c>
      <c r="H10930" t="s">
        <v>332</v>
      </c>
      <c r="I10930" t="s">
        <v>712</v>
      </c>
      <c r="J10930" t="s">
        <v>215</v>
      </c>
      <c r="K10930" t="s">
        <v>105</v>
      </c>
      <c r="L10930" t="s">
        <v>108</v>
      </c>
      <c r="M10930" t="s">
        <v>382</v>
      </c>
      <c r="N10930" t="s">
        <v>99</v>
      </c>
    </row>
    <row r="10931" spans="1:14" x14ac:dyDescent="0.3">
      <c r="A10931" t="s">
        <v>34</v>
      </c>
      <c r="B10931" t="s">
        <v>1627</v>
      </c>
      <c r="C10931">
        <v>619</v>
      </c>
      <c r="D10931" t="s">
        <v>875</v>
      </c>
      <c r="E10931" t="s">
        <v>115</v>
      </c>
      <c r="F10931" t="s">
        <v>253</v>
      </c>
      <c r="G10931" t="s">
        <v>99</v>
      </c>
      <c r="H10931" t="s">
        <v>139</v>
      </c>
      <c r="I10931" t="s">
        <v>268</v>
      </c>
      <c r="J10931" t="s">
        <v>128</v>
      </c>
      <c r="K10931" t="s">
        <v>100</v>
      </c>
      <c r="L10931" t="s">
        <v>316</v>
      </c>
      <c r="M10931" t="s">
        <v>99</v>
      </c>
      <c r="N10931" t="s">
        <v>100</v>
      </c>
    </row>
    <row r="10932" spans="1:14" x14ac:dyDescent="0.3">
      <c r="A10932" t="s">
        <v>34</v>
      </c>
      <c r="B10932" t="s">
        <v>365</v>
      </c>
      <c r="C10932">
        <v>2</v>
      </c>
      <c r="D10932" t="s">
        <v>211</v>
      </c>
      <c r="E10932" t="s">
        <v>99</v>
      </c>
      <c r="F10932" t="s">
        <v>99</v>
      </c>
      <c r="G10932" t="s">
        <v>99</v>
      </c>
      <c r="H10932" t="s">
        <v>99</v>
      </c>
      <c r="I10932" t="s">
        <v>99</v>
      </c>
      <c r="J10932" t="s">
        <v>99</v>
      </c>
      <c r="K10932" t="s">
        <v>99</v>
      </c>
      <c r="L10932" t="s">
        <v>99</v>
      </c>
      <c r="M10932" t="s">
        <v>99</v>
      </c>
      <c r="N10932" t="s">
        <v>99</v>
      </c>
    </row>
    <row r="10933" spans="1:14" x14ac:dyDescent="0.3">
      <c r="A10933" t="s">
        <v>33</v>
      </c>
      <c r="B10933" t="s">
        <v>1626</v>
      </c>
      <c r="C10933">
        <v>1329</v>
      </c>
      <c r="D10933" t="s">
        <v>1282</v>
      </c>
      <c r="E10933" t="s">
        <v>253</v>
      </c>
      <c r="F10933" t="s">
        <v>253</v>
      </c>
      <c r="G10933" t="s">
        <v>121</v>
      </c>
      <c r="H10933" t="s">
        <v>118</v>
      </c>
      <c r="I10933" t="s">
        <v>136</v>
      </c>
      <c r="J10933" t="s">
        <v>108</v>
      </c>
      <c r="K10933" t="s">
        <v>127</v>
      </c>
      <c r="L10933" t="s">
        <v>292</v>
      </c>
      <c r="M10933" t="s">
        <v>136</v>
      </c>
      <c r="N10933" t="s">
        <v>104</v>
      </c>
    </row>
    <row r="10934" spans="1:14" x14ac:dyDescent="0.3">
      <c r="A10934" t="s">
        <v>33</v>
      </c>
      <c r="B10934" t="s">
        <v>1627</v>
      </c>
      <c r="C10934">
        <v>600</v>
      </c>
      <c r="D10934" t="s">
        <v>875</v>
      </c>
      <c r="E10934" t="s">
        <v>253</v>
      </c>
      <c r="F10934" t="s">
        <v>253</v>
      </c>
      <c r="G10934" t="s">
        <v>114</v>
      </c>
      <c r="H10934" t="s">
        <v>105</v>
      </c>
      <c r="I10934" t="s">
        <v>136</v>
      </c>
      <c r="J10934" t="s">
        <v>108</v>
      </c>
      <c r="K10934" t="s">
        <v>108</v>
      </c>
      <c r="L10934" t="s">
        <v>468</v>
      </c>
      <c r="M10934" t="s">
        <v>207</v>
      </c>
      <c r="N10934" t="s">
        <v>198</v>
      </c>
    </row>
    <row r="10935" spans="1:14" x14ac:dyDescent="0.3">
      <c r="A10935" t="s">
        <v>33</v>
      </c>
      <c r="B10935" t="s">
        <v>365</v>
      </c>
      <c r="C10935">
        <v>1</v>
      </c>
      <c r="D10935" t="s">
        <v>211</v>
      </c>
      <c r="E10935" t="s">
        <v>99</v>
      </c>
      <c r="F10935" t="s">
        <v>99</v>
      </c>
      <c r="G10935" t="s">
        <v>99</v>
      </c>
      <c r="H10935" t="s">
        <v>99</v>
      </c>
      <c r="I10935" t="s">
        <v>99</v>
      </c>
      <c r="J10935" t="s">
        <v>99</v>
      </c>
      <c r="K10935" t="s">
        <v>99</v>
      </c>
      <c r="L10935" t="s">
        <v>99</v>
      </c>
      <c r="M10935" t="s">
        <v>99</v>
      </c>
      <c r="N10935" t="s">
        <v>99</v>
      </c>
    </row>
    <row r="10936" spans="1:14" x14ac:dyDescent="0.3">
      <c r="A10936" t="s">
        <v>49</v>
      </c>
      <c r="B10936" t="s">
        <v>1626</v>
      </c>
      <c r="C10936">
        <v>9448</v>
      </c>
      <c r="D10936" t="s">
        <v>174</v>
      </c>
      <c r="E10936" t="s">
        <v>319</v>
      </c>
      <c r="F10936" t="s">
        <v>108</v>
      </c>
      <c r="G10936" t="s">
        <v>382</v>
      </c>
      <c r="H10936" t="s">
        <v>134</v>
      </c>
      <c r="I10936" t="s">
        <v>127</v>
      </c>
      <c r="J10936" t="s">
        <v>123</v>
      </c>
      <c r="K10936" t="s">
        <v>139</v>
      </c>
      <c r="L10936" t="s">
        <v>292</v>
      </c>
      <c r="M10936" t="s">
        <v>132</v>
      </c>
      <c r="N10936" t="s">
        <v>104</v>
      </c>
    </row>
    <row r="10937" spans="1:14" x14ac:dyDescent="0.3">
      <c r="A10937" t="s">
        <v>49</v>
      </c>
      <c r="B10937" t="s">
        <v>1627</v>
      </c>
      <c r="C10937">
        <v>3814</v>
      </c>
      <c r="D10937" t="s">
        <v>855</v>
      </c>
      <c r="E10937" t="s">
        <v>132</v>
      </c>
      <c r="F10937" t="s">
        <v>207</v>
      </c>
      <c r="G10937" t="s">
        <v>115</v>
      </c>
      <c r="H10937" t="s">
        <v>107</v>
      </c>
      <c r="I10937" t="s">
        <v>121</v>
      </c>
      <c r="J10937" t="s">
        <v>155</v>
      </c>
      <c r="K10937" t="s">
        <v>134</v>
      </c>
      <c r="L10937" t="s">
        <v>112</v>
      </c>
      <c r="M10937" t="s">
        <v>104</v>
      </c>
      <c r="N10937" t="s">
        <v>141</v>
      </c>
    </row>
    <row r="10938" spans="1:14" x14ac:dyDescent="0.3">
      <c r="A10938" t="s">
        <v>49</v>
      </c>
      <c r="B10938" t="s">
        <v>365</v>
      </c>
      <c r="C10938">
        <v>14</v>
      </c>
      <c r="D10938" t="s">
        <v>200</v>
      </c>
      <c r="E10938" t="s">
        <v>99</v>
      </c>
      <c r="F10938" t="s">
        <v>99</v>
      </c>
      <c r="G10938" t="s">
        <v>99</v>
      </c>
      <c r="H10938" t="s">
        <v>201</v>
      </c>
      <c r="I10938" t="s">
        <v>99</v>
      </c>
      <c r="J10938" t="s">
        <v>99</v>
      </c>
      <c r="K10938" t="s">
        <v>99</v>
      </c>
      <c r="L10938" t="s">
        <v>99</v>
      </c>
      <c r="M10938" t="s">
        <v>99</v>
      </c>
      <c r="N10938" t="s">
        <v>99</v>
      </c>
    </row>
    <row r="10940" spans="1:14" x14ac:dyDescent="0.3">
      <c r="A10940" t="s">
        <v>2572</v>
      </c>
    </row>
    <row r="10941" spans="1:14" x14ac:dyDescent="0.3">
      <c r="A10941" t="s">
        <v>44</v>
      </c>
      <c r="B10941" t="s">
        <v>32</v>
      </c>
      <c r="C10941" t="s">
        <v>2573</v>
      </c>
      <c r="D10941" t="s">
        <v>2574</v>
      </c>
      <c r="E10941" t="s">
        <v>2575</v>
      </c>
      <c r="F10941" t="s">
        <v>2576</v>
      </c>
      <c r="G10941" t="s">
        <v>2577</v>
      </c>
      <c r="H10941" t="s">
        <v>2578</v>
      </c>
      <c r="I10941" t="s">
        <v>2579</v>
      </c>
      <c r="J10941" t="s">
        <v>2580</v>
      </c>
      <c r="K10941" t="s">
        <v>2581</v>
      </c>
      <c r="L10941" t="s">
        <v>83</v>
      </c>
    </row>
    <row r="10942" spans="1:14" x14ac:dyDescent="0.3">
      <c r="A10942" t="s">
        <v>35</v>
      </c>
      <c r="B10942">
        <v>3145</v>
      </c>
      <c r="C10942" t="s">
        <v>289</v>
      </c>
      <c r="D10942" t="s">
        <v>299</v>
      </c>
      <c r="E10942" t="s">
        <v>171</v>
      </c>
      <c r="F10942" t="s">
        <v>158</v>
      </c>
      <c r="G10942" t="s">
        <v>111</v>
      </c>
      <c r="H10942" t="s">
        <v>305</v>
      </c>
      <c r="I10942" t="s">
        <v>147</v>
      </c>
      <c r="J10942" t="s">
        <v>222</v>
      </c>
      <c r="K10942" t="s">
        <v>373</v>
      </c>
      <c r="L10942" t="s">
        <v>815</v>
      </c>
    </row>
    <row r="10943" spans="1:14" x14ac:dyDescent="0.3">
      <c r="A10943" t="s">
        <v>37</v>
      </c>
      <c r="B10943">
        <v>3855</v>
      </c>
      <c r="C10943" t="s">
        <v>206</v>
      </c>
      <c r="D10943" t="s">
        <v>722</v>
      </c>
      <c r="E10943" t="s">
        <v>262</v>
      </c>
      <c r="F10943" t="s">
        <v>663</v>
      </c>
      <c r="G10943" t="s">
        <v>68</v>
      </c>
      <c r="H10943" t="s">
        <v>401</v>
      </c>
      <c r="I10943" t="s">
        <v>68</v>
      </c>
      <c r="J10943" t="s">
        <v>233</v>
      </c>
      <c r="K10943" t="s">
        <v>739</v>
      </c>
      <c r="L10943" t="s">
        <v>800</v>
      </c>
    </row>
    <row r="10944" spans="1:14" x14ac:dyDescent="0.3">
      <c r="A10944" t="s">
        <v>36</v>
      </c>
      <c r="B10944">
        <v>2305</v>
      </c>
      <c r="C10944" t="s">
        <v>731</v>
      </c>
      <c r="D10944" t="s">
        <v>296</v>
      </c>
      <c r="E10944" t="s">
        <v>321</v>
      </c>
      <c r="F10944" t="s">
        <v>135</v>
      </c>
      <c r="G10944" t="s">
        <v>319</v>
      </c>
      <c r="H10944" t="s">
        <v>684</v>
      </c>
      <c r="I10944" t="s">
        <v>110</v>
      </c>
      <c r="J10944" t="s">
        <v>72</v>
      </c>
      <c r="K10944" t="s">
        <v>444</v>
      </c>
      <c r="L10944" t="s">
        <v>896</v>
      </c>
    </row>
    <row r="10945" spans="1:13" x14ac:dyDescent="0.3">
      <c r="A10945" t="s">
        <v>34</v>
      </c>
      <c r="B10945">
        <v>2080</v>
      </c>
      <c r="C10945" t="s">
        <v>706</v>
      </c>
      <c r="D10945" t="s">
        <v>710</v>
      </c>
      <c r="E10945" t="s">
        <v>38</v>
      </c>
      <c r="F10945" t="s">
        <v>70</v>
      </c>
      <c r="G10945" t="s">
        <v>112</v>
      </c>
      <c r="H10945" t="s">
        <v>160</v>
      </c>
      <c r="I10945" t="s">
        <v>254</v>
      </c>
      <c r="J10945" t="s">
        <v>369</v>
      </c>
      <c r="K10945" t="s">
        <v>731</v>
      </c>
      <c r="L10945" t="s">
        <v>507</v>
      </c>
    </row>
    <row r="10946" spans="1:13" x14ac:dyDescent="0.3">
      <c r="A10946" t="s">
        <v>33</v>
      </c>
      <c r="B10946">
        <v>1937</v>
      </c>
      <c r="C10946" t="s">
        <v>301</v>
      </c>
      <c r="D10946" t="s">
        <v>313</v>
      </c>
      <c r="E10946" t="s">
        <v>463</v>
      </c>
      <c r="F10946" t="s">
        <v>133</v>
      </c>
      <c r="G10946" t="s">
        <v>401</v>
      </c>
      <c r="H10946" t="s">
        <v>444</v>
      </c>
      <c r="I10946" t="s">
        <v>291</v>
      </c>
      <c r="J10946" t="s">
        <v>911</v>
      </c>
      <c r="K10946" t="s">
        <v>545</v>
      </c>
      <c r="L10946" t="s">
        <v>934</v>
      </c>
    </row>
    <row r="10947" spans="1:13" x14ac:dyDescent="0.3">
      <c r="A10947" t="s">
        <v>49</v>
      </c>
      <c r="B10947">
        <v>13322</v>
      </c>
      <c r="C10947" t="s">
        <v>231</v>
      </c>
      <c r="D10947" t="s">
        <v>804</v>
      </c>
      <c r="E10947" t="s">
        <v>721</v>
      </c>
      <c r="F10947" t="s">
        <v>109</v>
      </c>
      <c r="G10947" t="s">
        <v>434</v>
      </c>
      <c r="H10947" t="s">
        <v>125</v>
      </c>
      <c r="I10947" t="s">
        <v>124</v>
      </c>
      <c r="J10947" t="s">
        <v>708</v>
      </c>
      <c r="K10947" t="s">
        <v>523</v>
      </c>
      <c r="L10947" t="s">
        <v>583</v>
      </c>
    </row>
    <row r="10949" spans="1:13" x14ac:dyDescent="0.3">
      <c r="A10949" t="s">
        <v>2582</v>
      </c>
    </row>
    <row r="10950" spans="1:13" x14ac:dyDescent="0.3">
      <c r="A10950" t="s">
        <v>44</v>
      </c>
      <c r="B10950" t="s">
        <v>361</v>
      </c>
      <c r="C10950" t="s">
        <v>32</v>
      </c>
      <c r="D10950" t="s">
        <v>2573</v>
      </c>
      <c r="E10950" t="s">
        <v>2574</v>
      </c>
      <c r="F10950" t="s">
        <v>2575</v>
      </c>
      <c r="G10950" t="s">
        <v>2576</v>
      </c>
      <c r="H10950" t="s">
        <v>2577</v>
      </c>
      <c r="I10950" t="s">
        <v>2578</v>
      </c>
      <c r="J10950" t="s">
        <v>2579</v>
      </c>
      <c r="K10950" t="s">
        <v>2580</v>
      </c>
      <c r="L10950" t="s">
        <v>2581</v>
      </c>
      <c r="M10950" t="s">
        <v>83</v>
      </c>
    </row>
    <row r="10951" spans="1:13" x14ac:dyDescent="0.3">
      <c r="A10951" t="s">
        <v>35</v>
      </c>
      <c r="B10951" t="s">
        <v>339</v>
      </c>
      <c r="C10951">
        <v>890</v>
      </c>
      <c r="D10951" t="s">
        <v>160</v>
      </c>
      <c r="E10951" t="s">
        <v>434</v>
      </c>
      <c r="F10951" t="s">
        <v>124</v>
      </c>
      <c r="G10951" t="s">
        <v>474</v>
      </c>
      <c r="H10951" t="s">
        <v>127</v>
      </c>
      <c r="I10951" t="s">
        <v>129</v>
      </c>
      <c r="J10951" t="s">
        <v>100</v>
      </c>
      <c r="K10951" t="s">
        <v>145</v>
      </c>
      <c r="L10951" t="s">
        <v>689</v>
      </c>
      <c r="M10951" t="s">
        <v>997</v>
      </c>
    </row>
    <row r="10952" spans="1:13" x14ac:dyDescent="0.3">
      <c r="A10952" t="s">
        <v>35</v>
      </c>
      <c r="B10952" t="s">
        <v>340</v>
      </c>
      <c r="C10952">
        <v>2215</v>
      </c>
      <c r="D10952" t="s">
        <v>244</v>
      </c>
      <c r="E10952" t="s">
        <v>804</v>
      </c>
      <c r="F10952" t="s">
        <v>714</v>
      </c>
      <c r="G10952" t="s">
        <v>325</v>
      </c>
      <c r="H10952" t="s">
        <v>117</v>
      </c>
      <c r="I10952" t="s">
        <v>262</v>
      </c>
      <c r="J10952" t="s">
        <v>154</v>
      </c>
      <c r="K10952" t="s">
        <v>701</v>
      </c>
      <c r="L10952" t="s">
        <v>373</v>
      </c>
      <c r="M10952" t="s">
        <v>1223</v>
      </c>
    </row>
    <row r="10953" spans="1:13" x14ac:dyDescent="0.3">
      <c r="A10953" t="s">
        <v>35</v>
      </c>
      <c r="B10953" t="s">
        <v>365</v>
      </c>
      <c r="C10953">
        <v>40</v>
      </c>
      <c r="D10953" t="s">
        <v>117</v>
      </c>
      <c r="E10953" t="s">
        <v>434</v>
      </c>
      <c r="F10953" t="s">
        <v>463</v>
      </c>
      <c r="G10953" t="s">
        <v>215</v>
      </c>
      <c r="H10953" t="s">
        <v>117</v>
      </c>
      <c r="I10953" t="s">
        <v>434</v>
      </c>
      <c r="J10953" t="s">
        <v>215</v>
      </c>
      <c r="K10953" t="s">
        <v>412</v>
      </c>
      <c r="L10953" t="s">
        <v>111</v>
      </c>
      <c r="M10953" t="s">
        <v>518</v>
      </c>
    </row>
    <row r="10954" spans="1:13" x14ac:dyDescent="0.3">
      <c r="A10954" t="s">
        <v>37</v>
      </c>
      <c r="B10954" t="s">
        <v>339</v>
      </c>
      <c r="C10954">
        <v>1093</v>
      </c>
      <c r="D10954" t="s">
        <v>144</v>
      </c>
      <c r="E10954" t="s">
        <v>712</v>
      </c>
      <c r="F10954" t="s">
        <v>112</v>
      </c>
      <c r="G10954" t="s">
        <v>157</v>
      </c>
      <c r="H10954" t="s">
        <v>123</v>
      </c>
      <c r="I10954" t="s">
        <v>204</v>
      </c>
      <c r="J10954" t="s">
        <v>117</v>
      </c>
      <c r="K10954" t="s">
        <v>204</v>
      </c>
      <c r="L10954" t="s">
        <v>432</v>
      </c>
      <c r="M10954" t="s">
        <v>1341</v>
      </c>
    </row>
    <row r="10955" spans="1:13" x14ac:dyDescent="0.3">
      <c r="A10955" t="s">
        <v>37</v>
      </c>
      <c r="B10955" t="s">
        <v>340</v>
      </c>
      <c r="C10955">
        <v>2721</v>
      </c>
      <c r="D10955" t="s">
        <v>264</v>
      </c>
      <c r="E10955" t="s">
        <v>408</v>
      </c>
      <c r="F10955" t="s">
        <v>708</v>
      </c>
      <c r="G10955" t="s">
        <v>353</v>
      </c>
      <c r="H10955" t="s">
        <v>204</v>
      </c>
      <c r="I10955" t="s">
        <v>296</v>
      </c>
      <c r="J10955" t="s">
        <v>328</v>
      </c>
      <c r="K10955" t="s">
        <v>708</v>
      </c>
      <c r="L10955" t="s">
        <v>444</v>
      </c>
      <c r="M10955" t="s">
        <v>583</v>
      </c>
    </row>
    <row r="10956" spans="1:13" x14ac:dyDescent="0.3">
      <c r="A10956" t="s">
        <v>37</v>
      </c>
      <c r="B10956" t="s">
        <v>365</v>
      </c>
      <c r="C10956">
        <v>41</v>
      </c>
      <c r="D10956" t="s">
        <v>727</v>
      </c>
      <c r="E10956" t="s">
        <v>393</v>
      </c>
      <c r="F10956" t="s">
        <v>672</v>
      </c>
      <c r="G10956" t="s">
        <v>710</v>
      </c>
      <c r="H10956" t="s">
        <v>248</v>
      </c>
      <c r="I10956" t="s">
        <v>814</v>
      </c>
      <c r="J10956" t="s">
        <v>680</v>
      </c>
      <c r="K10956" t="s">
        <v>292</v>
      </c>
      <c r="L10956" t="s">
        <v>68</v>
      </c>
      <c r="M10956" t="s">
        <v>1403</v>
      </c>
    </row>
    <row r="10957" spans="1:13" x14ac:dyDescent="0.3">
      <c r="A10957" t="s">
        <v>36</v>
      </c>
      <c r="B10957" t="s">
        <v>339</v>
      </c>
      <c r="C10957">
        <v>770</v>
      </c>
      <c r="D10957" t="s">
        <v>814</v>
      </c>
      <c r="E10957" t="s">
        <v>262</v>
      </c>
      <c r="F10957" t="s">
        <v>688</v>
      </c>
      <c r="G10957" t="s">
        <v>158</v>
      </c>
      <c r="H10957" t="s">
        <v>101</v>
      </c>
      <c r="I10957" t="s">
        <v>151</v>
      </c>
      <c r="J10957" t="s">
        <v>123</v>
      </c>
      <c r="K10957" t="s">
        <v>74</v>
      </c>
      <c r="L10957" t="s">
        <v>683</v>
      </c>
      <c r="M10957" t="s">
        <v>1176</v>
      </c>
    </row>
    <row r="10958" spans="1:13" x14ac:dyDescent="0.3">
      <c r="A10958" t="s">
        <v>36</v>
      </c>
      <c r="B10958" t="s">
        <v>340</v>
      </c>
      <c r="C10958">
        <v>1472</v>
      </c>
      <c r="D10958" t="s">
        <v>355</v>
      </c>
      <c r="E10958" t="s">
        <v>113</v>
      </c>
      <c r="F10958" t="s">
        <v>798</v>
      </c>
      <c r="G10958" t="s">
        <v>70</v>
      </c>
      <c r="H10958" t="s">
        <v>382</v>
      </c>
      <c r="I10958" t="s">
        <v>150</v>
      </c>
      <c r="J10958" t="s">
        <v>412</v>
      </c>
      <c r="K10958" t="s">
        <v>369</v>
      </c>
      <c r="L10958" t="s">
        <v>267</v>
      </c>
      <c r="M10958" t="s">
        <v>819</v>
      </c>
    </row>
    <row r="10959" spans="1:13" x14ac:dyDescent="0.3">
      <c r="A10959" t="s">
        <v>36</v>
      </c>
      <c r="B10959" t="s">
        <v>365</v>
      </c>
      <c r="C10959">
        <v>63</v>
      </c>
      <c r="D10959" t="s">
        <v>138</v>
      </c>
      <c r="E10959" t="s">
        <v>292</v>
      </c>
      <c r="F10959" t="s">
        <v>215</v>
      </c>
      <c r="G10959" t="s">
        <v>99</v>
      </c>
      <c r="H10959" t="s">
        <v>99</v>
      </c>
      <c r="I10959" t="s">
        <v>99</v>
      </c>
      <c r="J10959" t="s">
        <v>99</v>
      </c>
      <c r="K10959" t="s">
        <v>99</v>
      </c>
      <c r="L10959" t="s">
        <v>1157</v>
      </c>
      <c r="M10959" t="s">
        <v>284</v>
      </c>
    </row>
    <row r="10960" spans="1:13" x14ac:dyDescent="0.3">
      <c r="A10960" t="s">
        <v>34</v>
      </c>
      <c r="B10960" t="s">
        <v>339</v>
      </c>
      <c r="C10960">
        <v>555</v>
      </c>
      <c r="D10960" t="s">
        <v>676</v>
      </c>
      <c r="E10960" t="s">
        <v>710</v>
      </c>
      <c r="F10960" t="s">
        <v>688</v>
      </c>
      <c r="G10960" t="s">
        <v>299</v>
      </c>
      <c r="H10960" t="s">
        <v>68</v>
      </c>
      <c r="I10960" t="s">
        <v>145</v>
      </c>
      <c r="J10960" t="s">
        <v>675</v>
      </c>
      <c r="K10960" t="s">
        <v>125</v>
      </c>
      <c r="L10960" t="s">
        <v>255</v>
      </c>
      <c r="M10960" t="s">
        <v>1066</v>
      </c>
    </row>
    <row r="10961" spans="1:13" x14ac:dyDescent="0.3">
      <c r="A10961" t="s">
        <v>34</v>
      </c>
      <c r="B10961" t="s">
        <v>340</v>
      </c>
      <c r="C10961">
        <v>1497</v>
      </c>
      <c r="D10961" t="s">
        <v>702</v>
      </c>
      <c r="E10961" t="s">
        <v>710</v>
      </c>
      <c r="F10961" t="s">
        <v>373</v>
      </c>
      <c r="G10961" t="s">
        <v>184</v>
      </c>
      <c r="H10961" t="s">
        <v>474</v>
      </c>
      <c r="I10961" t="s">
        <v>78</v>
      </c>
      <c r="J10961" t="s">
        <v>675</v>
      </c>
      <c r="K10961" t="s">
        <v>716</v>
      </c>
      <c r="L10961" t="s">
        <v>737</v>
      </c>
      <c r="M10961" t="s">
        <v>550</v>
      </c>
    </row>
    <row r="10962" spans="1:13" x14ac:dyDescent="0.3">
      <c r="A10962" t="s">
        <v>34</v>
      </c>
      <c r="B10962" t="s">
        <v>365</v>
      </c>
      <c r="C10962">
        <v>28</v>
      </c>
      <c r="D10962" t="s">
        <v>206</v>
      </c>
      <c r="E10962" t="s">
        <v>206</v>
      </c>
      <c r="F10962" t="s">
        <v>206</v>
      </c>
      <c r="G10962" t="s">
        <v>138</v>
      </c>
      <c r="H10962" t="s">
        <v>99</v>
      </c>
      <c r="I10962" t="s">
        <v>99</v>
      </c>
      <c r="J10962" t="s">
        <v>99</v>
      </c>
      <c r="K10962" t="s">
        <v>41</v>
      </c>
      <c r="L10962" t="s">
        <v>291</v>
      </c>
      <c r="M10962" t="s">
        <v>608</v>
      </c>
    </row>
    <row r="10963" spans="1:13" x14ac:dyDescent="0.3">
      <c r="A10963" t="s">
        <v>33</v>
      </c>
      <c r="B10963" t="s">
        <v>339</v>
      </c>
      <c r="C10963">
        <v>503</v>
      </c>
      <c r="D10963" t="s">
        <v>267</v>
      </c>
      <c r="E10963" t="s">
        <v>70</v>
      </c>
      <c r="F10963" t="s">
        <v>218</v>
      </c>
      <c r="G10963" t="s">
        <v>112</v>
      </c>
      <c r="H10963" t="s">
        <v>155</v>
      </c>
      <c r="I10963" t="s">
        <v>405</v>
      </c>
      <c r="J10963" t="s">
        <v>152</v>
      </c>
      <c r="K10963" t="s">
        <v>244</v>
      </c>
      <c r="L10963" t="s">
        <v>283</v>
      </c>
      <c r="M10963" t="s">
        <v>963</v>
      </c>
    </row>
    <row r="10964" spans="1:13" x14ac:dyDescent="0.3">
      <c r="A10964" t="s">
        <v>33</v>
      </c>
      <c r="B10964" t="s">
        <v>340</v>
      </c>
      <c r="C10964">
        <v>1415</v>
      </c>
      <c r="D10964" t="s">
        <v>864</v>
      </c>
      <c r="E10964" t="s">
        <v>206</v>
      </c>
      <c r="F10964" t="s">
        <v>734</v>
      </c>
      <c r="G10964" t="s">
        <v>163</v>
      </c>
      <c r="H10964" t="s">
        <v>405</v>
      </c>
      <c r="I10964" t="s">
        <v>303</v>
      </c>
      <c r="J10964" t="s">
        <v>218</v>
      </c>
      <c r="K10964" t="s">
        <v>833</v>
      </c>
      <c r="L10964" t="s">
        <v>838</v>
      </c>
      <c r="M10964" t="s">
        <v>960</v>
      </c>
    </row>
    <row r="10965" spans="1:13" x14ac:dyDescent="0.3">
      <c r="A10965" t="s">
        <v>33</v>
      </c>
      <c r="B10965" t="s">
        <v>365</v>
      </c>
      <c r="C10965">
        <v>19</v>
      </c>
      <c r="D10965" t="s">
        <v>222</v>
      </c>
      <c r="E10965" t="s">
        <v>139</v>
      </c>
      <c r="F10965" t="s">
        <v>182</v>
      </c>
      <c r="G10965" t="s">
        <v>139</v>
      </c>
      <c r="H10965" t="s">
        <v>139</v>
      </c>
      <c r="I10965" t="s">
        <v>395</v>
      </c>
      <c r="J10965" t="s">
        <v>222</v>
      </c>
      <c r="K10965" t="s">
        <v>40</v>
      </c>
      <c r="L10965" t="s">
        <v>902</v>
      </c>
      <c r="M10965" t="s">
        <v>797</v>
      </c>
    </row>
    <row r="10966" spans="1:13" x14ac:dyDescent="0.3">
      <c r="A10966" t="s">
        <v>49</v>
      </c>
      <c r="B10966" t="s">
        <v>339</v>
      </c>
      <c r="C10966">
        <v>3811</v>
      </c>
      <c r="D10966" t="s">
        <v>716</v>
      </c>
      <c r="E10966" t="s">
        <v>150</v>
      </c>
      <c r="F10966" t="s">
        <v>72</v>
      </c>
      <c r="G10966" t="s">
        <v>412</v>
      </c>
      <c r="H10966" t="s">
        <v>128</v>
      </c>
      <c r="I10966" t="s">
        <v>468</v>
      </c>
      <c r="J10966" t="s">
        <v>332</v>
      </c>
      <c r="K10966" t="s">
        <v>248</v>
      </c>
      <c r="L10966" t="s">
        <v>298</v>
      </c>
      <c r="M10966" t="s">
        <v>635</v>
      </c>
    </row>
    <row r="10967" spans="1:13" x14ac:dyDescent="0.3">
      <c r="A10967" t="s">
        <v>49</v>
      </c>
      <c r="B10967" t="s">
        <v>340</v>
      </c>
      <c r="C10967">
        <v>9320</v>
      </c>
      <c r="D10967" t="s">
        <v>718</v>
      </c>
      <c r="E10967" t="s">
        <v>165</v>
      </c>
      <c r="F10967" t="s">
        <v>231</v>
      </c>
      <c r="G10967" t="s">
        <v>78</v>
      </c>
      <c r="H10967" t="s">
        <v>242</v>
      </c>
      <c r="I10967" t="s">
        <v>233</v>
      </c>
      <c r="J10967" t="s">
        <v>145</v>
      </c>
      <c r="K10967" t="s">
        <v>726</v>
      </c>
      <c r="L10967" t="s">
        <v>188</v>
      </c>
      <c r="M10967" t="s">
        <v>1340</v>
      </c>
    </row>
    <row r="10968" spans="1:13" x14ac:dyDescent="0.3">
      <c r="A10968" t="s">
        <v>49</v>
      </c>
      <c r="B10968" t="s">
        <v>365</v>
      </c>
      <c r="C10968">
        <v>191</v>
      </c>
      <c r="D10968" t="s">
        <v>379</v>
      </c>
      <c r="E10968" t="s">
        <v>305</v>
      </c>
      <c r="F10968" t="s">
        <v>714</v>
      </c>
      <c r="G10968" t="s">
        <v>112</v>
      </c>
      <c r="H10968" t="s">
        <v>107</v>
      </c>
      <c r="I10968" t="s">
        <v>145</v>
      </c>
      <c r="J10968" t="s">
        <v>149</v>
      </c>
      <c r="K10968" t="s">
        <v>664</v>
      </c>
      <c r="L10968" t="s">
        <v>368</v>
      </c>
      <c r="M10968" t="s">
        <v>1065</v>
      </c>
    </row>
    <row r="10970" spans="1:13" x14ac:dyDescent="0.3">
      <c r="A10970" t="s">
        <v>2583</v>
      </c>
    </row>
    <row r="10971" spans="1:13" x14ac:dyDescent="0.3">
      <c r="A10971" t="s">
        <v>44</v>
      </c>
      <c r="B10971" t="s">
        <v>209</v>
      </c>
      <c r="C10971" t="s">
        <v>32</v>
      </c>
      <c r="D10971" t="s">
        <v>2573</v>
      </c>
      <c r="E10971" t="s">
        <v>2574</v>
      </c>
      <c r="F10971" t="s">
        <v>2575</v>
      </c>
      <c r="G10971" t="s">
        <v>2576</v>
      </c>
      <c r="H10971" t="s">
        <v>2577</v>
      </c>
      <c r="I10971" t="s">
        <v>2578</v>
      </c>
      <c r="J10971" t="s">
        <v>2579</v>
      </c>
      <c r="K10971" t="s">
        <v>2580</v>
      </c>
      <c r="L10971" t="s">
        <v>2581</v>
      </c>
      <c r="M10971" t="s">
        <v>83</v>
      </c>
    </row>
    <row r="10972" spans="1:13" x14ac:dyDescent="0.3">
      <c r="A10972" t="s">
        <v>35</v>
      </c>
      <c r="B10972" t="s">
        <v>210</v>
      </c>
      <c r="C10972">
        <v>136</v>
      </c>
      <c r="D10972" t="s">
        <v>689</v>
      </c>
      <c r="E10972" t="s">
        <v>206</v>
      </c>
      <c r="F10972" t="s">
        <v>738</v>
      </c>
      <c r="G10972" t="s">
        <v>679</v>
      </c>
      <c r="H10972" t="s">
        <v>72</v>
      </c>
      <c r="I10972" t="s">
        <v>444</v>
      </c>
      <c r="J10972" t="s">
        <v>151</v>
      </c>
      <c r="K10972" t="s">
        <v>246</v>
      </c>
      <c r="L10972" t="s">
        <v>416</v>
      </c>
      <c r="M10972" t="s">
        <v>559</v>
      </c>
    </row>
    <row r="10973" spans="1:13" x14ac:dyDescent="0.3">
      <c r="A10973" t="s">
        <v>35</v>
      </c>
      <c r="B10973" t="s">
        <v>212</v>
      </c>
      <c r="C10973">
        <v>2442</v>
      </c>
      <c r="D10973" t="s">
        <v>182</v>
      </c>
      <c r="E10973" t="s">
        <v>143</v>
      </c>
      <c r="F10973" t="s">
        <v>664</v>
      </c>
      <c r="G10973" t="s">
        <v>105</v>
      </c>
      <c r="H10973" t="s">
        <v>121</v>
      </c>
      <c r="I10973" t="s">
        <v>150</v>
      </c>
      <c r="J10973" t="s">
        <v>382</v>
      </c>
      <c r="K10973" t="s">
        <v>470</v>
      </c>
      <c r="L10973" t="s">
        <v>301</v>
      </c>
      <c r="M10973" t="s">
        <v>1350</v>
      </c>
    </row>
    <row r="10974" spans="1:13" x14ac:dyDescent="0.3">
      <c r="A10974" t="s">
        <v>35</v>
      </c>
      <c r="B10974" t="s">
        <v>216</v>
      </c>
      <c r="C10974">
        <v>567</v>
      </c>
      <c r="D10974" t="s">
        <v>718</v>
      </c>
      <c r="E10974" t="s">
        <v>294</v>
      </c>
      <c r="F10974" t="s">
        <v>739</v>
      </c>
      <c r="G10974" t="s">
        <v>379</v>
      </c>
      <c r="H10974" t="s">
        <v>138</v>
      </c>
      <c r="I10974" t="s">
        <v>716</v>
      </c>
      <c r="J10974" t="s">
        <v>74</v>
      </c>
      <c r="K10974" t="s">
        <v>705</v>
      </c>
      <c r="L10974" t="s">
        <v>721</v>
      </c>
      <c r="M10974" t="s">
        <v>1015</v>
      </c>
    </row>
    <row r="10975" spans="1:13" x14ac:dyDescent="0.3">
      <c r="A10975" t="s">
        <v>37</v>
      </c>
      <c r="B10975" t="s">
        <v>210</v>
      </c>
      <c r="C10975">
        <v>138</v>
      </c>
      <c r="D10975" t="s">
        <v>64</v>
      </c>
      <c r="E10975" t="s">
        <v>735</v>
      </c>
      <c r="F10975" t="s">
        <v>805</v>
      </c>
      <c r="G10975" t="s">
        <v>313</v>
      </c>
      <c r="H10975" t="s">
        <v>449</v>
      </c>
      <c r="I10975" t="s">
        <v>355</v>
      </c>
      <c r="J10975" t="s">
        <v>142</v>
      </c>
      <c r="K10975" t="s">
        <v>705</v>
      </c>
      <c r="L10975" t="s">
        <v>204</v>
      </c>
      <c r="M10975" t="s">
        <v>599</v>
      </c>
    </row>
    <row r="10976" spans="1:13" x14ac:dyDescent="0.3">
      <c r="A10976" t="s">
        <v>37</v>
      </c>
      <c r="B10976" t="s">
        <v>212</v>
      </c>
      <c r="C10976">
        <v>3606</v>
      </c>
      <c r="D10976" t="s">
        <v>311</v>
      </c>
      <c r="E10976" t="s">
        <v>461</v>
      </c>
      <c r="F10976" t="s">
        <v>142</v>
      </c>
      <c r="G10976" t="s">
        <v>145</v>
      </c>
      <c r="H10976" t="s">
        <v>112</v>
      </c>
      <c r="I10976" t="s">
        <v>78</v>
      </c>
      <c r="J10976" t="s">
        <v>139</v>
      </c>
      <c r="K10976" t="s">
        <v>379</v>
      </c>
      <c r="L10976" t="s">
        <v>395</v>
      </c>
      <c r="M10976" t="s">
        <v>1223</v>
      </c>
    </row>
    <row r="10977" spans="1:13" x14ac:dyDescent="0.3">
      <c r="A10977" t="s">
        <v>37</v>
      </c>
      <c r="B10977" t="s">
        <v>216</v>
      </c>
      <c r="C10977">
        <v>111</v>
      </c>
      <c r="D10977" t="s">
        <v>727</v>
      </c>
      <c r="E10977" t="s">
        <v>321</v>
      </c>
      <c r="F10977" t="s">
        <v>738</v>
      </c>
      <c r="G10977" t="s">
        <v>72</v>
      </c>
      <c r="H10977" t="s">
        <v>325</v>
      </c>
      <c r="I10977" t="s">
        <v>449</v>
      </c>
      <c r="J10977" t="s">
        <v>325</v>
      </c>
      <c r="K10977" t="s">
        <v>218</v>
      </c>
      <c r="L10977" t="s">
        <v>461</v>
      </c>
      <c r="M10977" t="s">
        <v>1002</v>
      </c>
    </row>
    <row r="10978" spans="1:13" x14ac:dyDescent="0.3">
      <c r="A10978" t="s">
        <v>36</v>
      </c>
      <c r="B10978" t="s">
        <v>210</v>
      </c>
      <c r="C10978">
        <v>165</v>
      </c>
      <c r="D10978" t="s">
        <v>738</v>
      </c>
      <c r="E10978" t="s">
        <v>701</v>
      </c>
      <c r="F10978" t="s">
        <v>508</v>
      </c>
      <c r="G10978" t="s">
        <v>700</v>
      </c>
      <c r="H10978" t="s">
        <v>111</v>
      </c>
      <c r="I10978" t="s">
        <v>134</v>
      </c>
      <c r="J10978" t="s">
        <v>111</v>
      </c>
      <c r="K10978" t="s">
        <v>328</v>
      </c>
      <c r="L10978" t="s">
        <v>152</v>
      </c>
      <c r="M10978" t="s">
        <v>562</v>
      </c>
    </row>
    <row r="10979" spans="1:13" x14ac:dyDescent="0.3">
      <c r="A10979" t="s">
        <v>36</v>
      </c>
      <c r="B10979" t="s">
        <v>212</v>
      </c>
      <c r="C10979">
        <v>1875</v>
      </c>
      <c r="D10979" t="s">
        <v>714</v>
      </c>
      <c r="E10979" t="s">
        <v>248</v>
      </c>
      <c r="F10979" t="s">
        <v>708</v>
      </c>
      <c r="G10979" t="s">
        <v>412</v>
      </c>
      <c r="H10979" t="s">
        <v>121</v>
      </c>
      <c r="I10979" t="s">
        <v>242</v>
      </c>
      <c r="J10979" t="s">
        <v>134</v>
      </c>
      <c r="K10979" t="s">
        <v>113</v>
      </c>
      <c r="L10979" t="s">
        <v>523</v>
      </c>
      <c r="M10979" t="s">
        <v>1052</v>
      </c>
    </row>
    <row r="10980" spans="1:13" x14ac:dyDescent="0.3">
      <c r="A10980" t="s">
        <v>36</v>
      </c>
      <c r="B10980" t="s">
        <v>216</v>
      </c>
      <c r="C10980">
        <v>265</v>
      </c>
      <c r="D10980" t="s">
        <v>201</v>
      </c>
      <c r="E10980" t="s">
        <v>142</v>
      </c>
      <c r="F10980" t="s">
        <v>704</v>
      </c>
      <c r="G10980" t="s">
        <v>70</v>
      </c>
      <c r="H10980" t="s">
        <v>117</v>
      </c>
      <c r="I10980" t="s">
        <v>296</v>
      </c>
      <c r="J10980" t="s">
        <v>675</v>
      </c>
      <c r="K10980" t="s">
        <v>721</v>
      </c>
      <c r="L10980" t="s">
        <v>220</v>
      </c>
      <c r="M10980" t="s">
        <v>533</v>
      </c>
    </row>
    <row r="10981" spans="1:13" x14ac:dyDescent="0.3">
      <c r="A10981" t="s">
        <v>34</v>
      </c>
      <c r="B10981" t="s">
        <v>210</v>
      </c>
      <c r="C10981">
        <v>256</v>
      </c>
      <c r="D10981" t="s">
        <v>423</v>
      </c>
      <c r="E10981" t="s">
        <v>188</v>
      </c>
      <c r="F10981" t="s">
        <v>437</v>
      </c>
      <c r="G10981" t="s">
        <v>220</v>
      </c>
      <c r="H10981" t="s">
        <v>328</v>
      </c>
      <c r="I10981" t="s">
        <v>122</v>
      </c>
      <c r="J10981" t="s">
        <v>804</v>
      </c>
      <c r="K10981" t="s">
        <v>313</v>
      </c>
      <c r="L10981" t="s">
        <v>184</v>
      </c>
      <c r="M10981" t="s">
        <v>2120</v>
      </c>
    </row>
    <row r="10982" spans="1:13" x14ac:dyDescent="0.3">
      <c r="A10982" t="s">
        <v>34</v>
      </c>
      <c r="B10982" t="s">
        <v>212</v>
      </c>
      <c r="C10982">
        <v>1582</v>
      </c>
      <c r="D10982" t="s">
        <v>442</v>
      </c>
      <c r="E10982" t="s">
        <v>405</v>
      </c>
      <c r="F10982" t="s">
        <v>355</v>
      </c>
      <c r="G10982" t="s">
        <v>675</v>
      </c>
      <c r="H10982" t="s">
        <v>154</v>
      </c>
      <c r="I10982" t="s">
        <v>675</v>
      </c>
      <c r="J10982" t="s">
        <v>149</v>
      </c>
      <c r="K10982" t="s">
        <v>125</v>
      </c>
      <c r="L10982" t="s">
        <v>798</v>
      </c>
      <c r="M10982" t="s">
        <v>282</v>
      </c>
    </row>
    <row r="10983" spans="1:13" x14ac:dyDescent="0.3">
      <c r="A10983" t="s">
        <v>34</v>
      </c>
      <c r="B10983" t="s">
        <v>216</v>
      </c>
      <c r="C10983">
        <v>242</v>
      </c>
      <c r="D10983" t="s">
        <v>911</v>
      </c>
      <c r="E10983" t="s">
        <v>186</v>
      </c>
      <c r="F10983" t="s">
        <v>442</v>
      </c>
      <c r="G10983" t="s">
        <v>716</v>
      </c>
      <c r="H10983" t="s">
        <v>122</v>
      </c>
      <c r="I10983" t="s">
        <v>722</v>
      </c>
      <c r="J10983" t="s">
        <v>233</v>
      </c>
      <c r="K10983" t="s">
        <v>175</v>
      </c>
      <c r="L10983" t="s">
        <v>714</v>
      </c>
      <c r="M10983" t="s">
        <v>498</v>
      </c>
    </row>
    <row r="10984" spans="1:13" x14ac:dyDescent="0.3">
      <c r="A10984" t="s">
        <v>33</v>
      </c>
      <c r="B10984" t="s">
        <v>210</v>
      </c>
      <c r="C10984">
        <v>68</v>
      </c>
      <c r="D10984" t="s">
        <v>523</v>
      </c>
      <c r="E10984" t="s">
        <v>41</v>
      </c>
      <c r="F10984" t="s">
        <v>542</v>
      </c>
      <c r="G10984" t="s">
        <v>133</v>
      </c>
      <c r="H10984" t="s">
        <v>372</v>
      </c>
      <c r="I10984" t="s">
        <v>478</v>
      </c>
      <c r="J10984" t="s">
        <v>379</v>
      </c>
      <c r="K10984" t="s">
        <v>696</v>
      </c>
      <c r="L10984" t="s">
        <v>665</v>
      </c>
      <c r="M10984" t="s">
        <v>549</v>
      </c>
    </row>
    <row r="10985" spans="1:13" x14ac:dyDescent="0.3">
      <c r="A10985" t="s">
        <v>33</v>
      </c>
      <c r="B10985" t="s">
        <v>212</v>
      </c>
      <c r="C10985">
        <v>1800</v>
      </c>
      <c r="D10985" t="s">
        <v>425</v>
      </c>
      <c r="E10985" t="s">
        <v>163</v>
      </c>
      <c r="F10985" t="s">
        <v>738</v>
      </c>
      <c r="G10985" t="s">
        <v>142</v>
      </c>
      <c r="H10985" t="s">
        <v>353</v>
      </c>
      <c r="I10985" t="s">
        <v>406</v>
      </c>
      <c r="J10985" t="s">
        <v>315</v>
      </c>
      <c r="K10985" t="s">
        <v>911</v>
      </c>
      <c r="L10985" t="s">
        <v>666</v>
      </c>
      <c r="M10985" t="s">
        <v>729</v>
      </c>
    </row>
    <row r="10986" spans="1:13" x14ac:dyDescent="0.3">
      <c r="A10986" t="s">
        <v>33</v>
      </c>
      <c r="B10986" t="s">
        <v>216</v>
      </c>
      <c r="C10986">
        <v>69</v>
      </c>
      <c r="D10986" t="s">
        <v>738</v>
      </c>
      <c r="E10986" t="s">
        <v>328</v>
      </c>
      <c r="F10986" t="s">
        <v>246</v>
      </c>
      <c r="G10986" t="s">
        <v>248</v>
      </c>
      <c r="H10986" t="s">
        <v>155</v>
      </c>
      <c r="I10986" t="s">
        <v>694</v>
      </c>
      <c r="J10986" t="s">
        <v>804</v>
      </c>
      <c r="K10986" t="s">
        <v>718</v>
      </c>
      <c r="L10986" t="s">
        <v>39</v>
      </c>
      <c r="M10986" t="s">
        <v>725</v>
      </c>
    </row>
    <row r="10987" spans="1:13" x14ac:dyDescent="0.3">
      <c r="A10987" t="s">
        <v>49</v>
      </c>
      <c r="B10987" t="s">
        <v>210</v>
      </c>
      <c r="C10987">
        <v>763</v>
      </c>
      <c r="D10987" t="s">
        <v>741</v>
      </c>
      <c r="E10987" t="s">
        <v>542</v>
      </c>
      <c r="F10987" t="s">
        <v>499</v>
      </c>
      <c r="G10987" t="s">
        <v>262</v>
      </c>
      <c r="H10987" t="s">
        <v>70</v>
      </c>
      <c r="I10987" t="s">
        <v>716</v>
      </c>
      <c r="J10987" t="s">
        <v>150</v>
      </c>
      <c r="K10987" t="s">
        <v>704</v>
      </c>
      <c r="L10987" t="s">
        <v>133</v>
      </c>
      <c r="M10987" t="s">
        <v>589</v>
      </c>
    </row>
    <row r="10988" spans="1:13" x14ac:dyDescent="0.3">
      <c r="A10988" t="s">
        <v>49</v>
      </c>
      <c r="B10988" t="s">
        <v>212</v>
      </c>
      <c r="C10988">
        <v>11305</v>
      </c>
      <c r="D10988" t="s">
        <v>814</v>
      </c>
      <c r="E10988" t="s">
        <v>72</v>
      </c>
      <c r="F10988" t="s">
        <v>416</v>
      </c>
      <c r="G10988" t="s">
        <v>144</v>
      </c>
      <c r="H10988" t="s">
        <v>110</v>
      </c>
      <c r="I10988" t="s">
        <v>72</v>
      </c>
      <c r="J10988" t="s">
        <v>412</v>
      </c>
      <c r="K10988" t="s">
        <v>179</v>
      </c>
      <c r="L10988" t="s">
        <v>748</v>
      </c>
      <c r="M10988" t="s">
        <v>910</v>
      </c>
    </row>
    <row r="10989" spans="1:13" x14ac:dyDescent="0.3">
      <c r="A10989" t="s">
        <v>49</v>
      </c>
      <c r="B10989" t="s">
        <v>216</v>
      </c>
      <c r="C10989">
        <v>1254</v>
      </c>
      <c r="D10989" t="s">
        <v>689</v>
      </c>
      <c r="E10989" t="s">
        <v>222</v>
      </c>
      <c r="F10989" t="s">
        <v>432</v>
      </c>
      <c r="G10989" t="s">
        <v>470</v>
      </c>
      <c r="H10989" t="s">
        <v>434</v>
      </c>
      <c r="I10989" t="s">
        <v>233</v>
      </c>
      <c r="J10989" t="s">
        <v>122</v>
      </c>
      <c r="K10989" t="s">
        <v>186</v>
      </c>
      <c r="L10989" t="s">
        <v>222</v>
      </c>
      <c r="M10989" t="s">
        <v>651</v>
      </c>
    </row>
    <row r="10991" spans="1:13" x14ac:dyDescent="0.3">
      <c r="A10991" t="s">
        <v>2584</v>
      </c>
    </row>
    <row r="10992" spans="1:13" x14ac:dyDescent="0.3">
      <c r="A10992" t="s">
        <v>44</v>
      </c>
      <c r="B10992" t="s">
        <v>388</v>
      </c>
      <c r="C10992" t="s">
        <v>32</v>
      </c>
      <c r="D10992" t="s">
        <v>2573</v>
      </c>
      <c r="E10992" t="s">
        <v>2574</v>
      </c>
      <c r="F10992" t="s">
        <v>2575</v>
      </c>
      <c r="G10992" t="s">
        <v>2576</v>
      </c>
      <c r="H10992" t="s">
        <v>2577</v>
      </c>
      <c r="I10992" t="s">
        <v>2578</v>
      </c>
      <c r="J10992" t="s">
        <v>2579</v>
      </c>
      <c r="K10992" t="s">
        <v>2580</v>
      </c>
      <c r="L10992" t="s">
        <v>2581</v>
      </c>
      <c r="M10992" t="s">
        <v>83</v>
      </c>
    </row>
    <row r="10993" spans="1:13" x14ac:dyDescent="0.3">
      <c r="A10993" t="s">
        <v>35</v>
      </c>
      <c r="B10993" t="s">
        <v>389</v>
      </c>
      <c r="C10993">
        <v>2141</v>
      </c>
      <c r="D10993" t="s">
        <v>321</v>
      </c>
      <c r="E10993" t="s">
        <v>133</v>
      </c>
      <c r="F10993" t="s">
        <v>289</v>
      </c>
      <c r="G10993" t="s">
        <v>144</v>
      </c>
      <c r="H10993" t="s">
        <v>120</v>
      </c>
      <c r="I10993" t="s">
        <v>379</v>
      </c>
      <c r="J10993" t="s">
        <v>332</v>
      </c>
      <c r="K10993" t="s">
        <v>726</v>
      </c>
      <c r="L10993" t="s">
        <v>478</v>
      </c>
      <c r="M10993" t="s">
        <v>646</v>
      </c>
    </row>
    <row r="10994" spans="1:13" x14ac:dyDescent="0.3">
      <c r="A10994" t="s">
        <v>35</v>
      </c>
      <c r="B10994" t="s">
        <v>390</v>
      </c>
      <c r="C10994">
        <v>875</v>
      </c>
      <c r="D10994" t="s">
        <v>325</v>
      </c>
      <c r="E10994" t="s">
        <v>129</v>
      </c>
      <c r="F10994" t="s">
        <v>145</v>
      </c>
      <c r="G10994" t="s">
        <v>110</v>
      </c>
      <c r="H10994" t="s">
        <v>115</v>
      </c>
      <c r="I10994" t="s">
        <v>103</v>
      </c>
      <c r="J10994" t="s">
        <v>126</v>
      </c>
      <c r="K10994" t="s">
        <v>325</v>
      </c>
      <c r="L10994" t="s">
        <v>687</v>
      </c>
      <c r="M10994" t="s">
        <v>1403</v>
      </c>
    </row>
    <row r="10995" spans="1:13" x14ac:dyDescent="0.3">
      <c r="A10995" t="s">
        <v>35</v>
      </c>
      <c r="B10995" t="s">
        <v>365</v>
      </c>
      <c r="C10995">
        <v>129</v>
      </c>
      <c r="D10995" t="s">
        <v>313</v>
      </c>
      <c r="E10995" t="s">
        <v>218</v>
      </c>
      <c r="F10995" t="s">
        <v>175</v>
      </c>
      <c r="G10995" t="s">
        <v>151</v>
      </c>
      <c r="H10995" t="s">
        <v>132</v>
      </c>
      <c r="I10995" t="s">
        <v>536</v>
      </c>
      <c r="J10995" t="s">
        <v>132</v>
      </c>
      <c r="K10995" t="s">
        <v>749</v>
      </c>
      <c r="L10995" t="s">
        <v>74</v>
      </c>
      <c r="M10995" t="s">
        <v>1122</v>
      </c>
    </row>
    <row r="10996" spans="1:13" x14ac:dyDescent="0.3">
      <c r="A10996" t="s">
        <v>37</v>
      </c>
      <c r="B10996" t="s">
        <v>389</v>
      </c>
      <c r="C10996">
        <v>2305</v>
      </c>
      <c r="D10996" t="s">
        <v>355</v>
      </c>
      <c r="E10996" t="s">
        <v>369</v>
      </c>
      <c r="F10996" t="s">
        <v>311</v>
      </c>
      <c r="G10996" t="s">
        <v>124</v>
      </c>
      <c r="H10996" t="s">
        <v>712</v>
      </c>
      <c r="I10996" t="s">
        <v>353</v>
      </c>
      <c r="J10996" t="s">
        <v>149</v>
      </c>
      <c r="K10996" t="s">
        <v>262</v>
      </c>
      <c r="L10996" t="s">
        <v>440</v>
      </c>
      <c r="M10996" t="s">
        <v>634</v>
      </c>
    </row>
    <row r="10997" spans="1:13" x14ac:dyDescent="0.3">
      <c r="A10997" t="s">
        <v>37</v>
      </c>
      <c r="B10997" t="s">
        <v>390</v>
      </c>
      <c r="C10997">
        <v>1309</v>
      </c>
      <c r="D10997" t="s">
        <v>41</v>
      </c>
      <c r="E10997" t="s">
        <v>248</v>
      </c>
      <c r="F10997" t="s">
        <v>70</v>
      </c>
      <c r="G10997" t="s">
        <v>254</v>
      </c>
      <c r="H10997" t="s">
        <v>277</v>
      </c>
      <c r="I10997" t="s">
        <v>184</v>
      </c>
      <c r="J10997" t="s">
        <v>434</v>
      </c>
      <c r="K10997" t="s">
        <v>716</v>
      </c>
      <c r="L10997" t="s">
        <v>255</v>
      </c>
      <c r="M10997" t="s">
        <v>994</v>
      </c>
    </row>
    <row r="10998" spans="1:13" x14ac:dyDescent="0.3">
      <c r="A10998" t="s">
        <v>37</v>
      </c>
      <c r="B10998" t="s">
        <v>365</v>
      </c>
      <c r="C10998">
        <v>241</v>
      </c>
      <c r="D10998" t="s">
        <v>373</v>
      </c>
      <c r="E10998" t="s">
        <v>708</v>
      </c>
      <c r="F10998" t="s">
        <v>689</v>
      </c>
      <c r="G10998" t="s">
        <v>700</v>
      </c>
      <c r="H10998" t="s">
        <v>299</v>
      </c>
      <c r="I10998" t="s">
        <v>222</v>
      </c>
      <c r="J10998" t="s">
        <v>804</v>
      </c>
      <c r="K10998" t="s">
        <v>206</v>
      </c>
      <c r="L10998" t="s">
        <v>683</v>
      </c>
      <c r="M10998" t="s">
        <v>555</v>
      </c>
    </row>
    <row r="10999" spans="1:13" x14ac:dyDescent="0.3">
      <c r="A10999" t="s">
        <v>36</v>
      </c>
      <c r="B10999" t="s">
        <v>389</v>
      </c>
      <c r="C10999">
        <v>1578</v>
      </c>
      <c r="D10999" t="s">
        <v>206</v>
      </c>
      <c r="E10999" t="s">
        <v>401</v>
      </c>
      <c r="F10999" t="s">
        <v>76</v>
      </c>
      <c r="G10999" t="s">
        <v>109</v>
      </c>
      <c r="H10999" t="s">
        <v>101</v>
      </c>
      <c r="I10999" t="s">
        <v>124</v>
      </c>
      <c r="J10999" t="s">
        <v>147</v>
      </c>
      <c r="K10999" t="s">
        <v>113</v>
      </c>
      <c r="L10999" t="s">
        <v>357</v>
      </c>
      <c r="M10999" t="s">
        <v>1104</v>
      </c>
    </row>
    <row r="11000" spans="1:13" x14ac:dyDescent="0.3">
      <c r="A11000" t="s">
        <v>36</v>
      </c>
      <c r="B11000" t="s">
        <v>390</v>
      </c>
      <c r="C11000">
        <v>627</v>
      </c>
      <c r="D11000" t="s">
        <v>408</v>
      </c>
      <c r="E11000" t="s">
        <v>663</v>
      </c>
      <c r="F11000" t="s">
        <v>814</v>
      </c>
      <c r="G11000" t="s">
        <v>139</v>
      </c>
      <c r="H11000" t="s">
        <v>111</v>
      </c>
      <c r="I11000" t="s">
        <v>242</v>
      </c>
      <c r="J11000" t="s">
        <v>412</v>
      </c>
      <c r="K11000" t="s">
        <v>671</v>
      </c>
      <c r="L11000" t="s">
        <v>672</v>
      </c>
      <c r="M11000" t="s">
        <v>1125</v>
      </c>
    </row>
    <row r="11001" spans="1:13" x14ac:dyDescent="0.3">
      <c r="A11001" t="s">
        <v>36</v>
      </c>
      <c r="B11001" t="s">
        <v>365</v>
      </c>
      <c r="C11001">
        <v>100</v>
      </c>
      <c r="D11001" t="s">
        <v>1062</v>
      </c>
      <c r="E11001" t="s">
        <v>724</v>
      </c>
      <c r="F11001" t="s">
        <v>311</v>
      </c>
      <c r="G11001" t="s">
        <v>368</v>
      </c>
      <c r="H11001" t="s">
        <v>99</v>
      </c>
      <c r="I11001" t="s">
        <v>110</v>
      </c>
      <c r="J11001" t="s">
        <v>133</v>
      </c>
      <c r="K11001" t="s">
        <v>296</v>
      </c>
      <c r="L11001" t="s">
        <v>542</v>
      </c>
      <c r="M11001" t="s">
        <v>565</v>
      </c>
    </row>
    <row r="11002" spans="1:13" x14ac:dyDescent="0.3">
      <c r="A11002" t="s">
        <v>34</v>
      </c>
      <c r="B11002" t="s">
        <v>389</v>
      </c>
      <c r="C11002">
        <v>1385</v>
      </c>
      <c r="D11002" t="s">
        <v>802</v>
      </c>
      <c r="E11002" t="s">
        <v>294</v>
      </c>
      <c r="F11002" t="s">
        <v>536</v>
      </c>
      <c r="G11002" t="s">
        <v>122</v>
      </c>
      <c r="H11002" t="s">
        <v>118</v>
      </c>
      <c r="I11002" t="s">
        <v>664</v>
      </c>
      <c r="J11002" t="s">
        <v>144</v>
      </c>
      <c r="K11002" t="s">
        <v>722</v>
      </c>
      <c r="L11002" t="s">
        <v>231</v>
      </c>
      <c r="M11002" t="s">
        <v>1006</v>
      </c>
    </row>
    <row r="11003" spans="1:13" x14ac:dyDescent="0.3">
      <c r="A11003" t="s">
        <v>34</v>
      </c>
      <c r="B11003" t="s">
        <v>390</v>
      </c>
      <c r="C11003">
        <v>615</v>
      </c>
      <c r="D11003" t="s">
        <v>1044</v>
      </c>
      <c r="E11003" t="s">
        <v>289</v>
      </c>
      <c r="F11003" t="s">
        <v>173</v>
      </c>
      <c r="G11003" t="s">
        <v>113</v>
      </c>
      <c r="H11003" t="s">
        <v>74</v>
      </c>
      <c r="I11003" t="s">
        <v>160</v>
      </c>
      <c r="J11003" t="s">
        <v>135</v>
      </c>
      <c r="K11003" t="s">
        <v>311</v>
      </c>
      <c r="L11003" t="s">
        <v>671</v>
      </c>
      <c r="M11003" t="s">
        <v>1103</v>
      </c>
    </row>
    <row r="11004" spans="1:13" x14ac:dyDescent="0.3">
      <c r="A11004" t="s">
        <v>34</v>
      </c>
      <c r="B11004" t="s">
        <v>365</v>
      </c>
      <c r="C11004">
        <v>80</v>
      </c>
      <c r="D11004" t="s">
        <v>715</v>
      </c>
      <c r="E11004" t="s">
        <v>291</v>
      </c>
      <c r="F11004" t="s">
        <v>700</v>
      </c>
      <c r="G11004" t="s">
        <v>74</v>
      </c>
      <c r="H11004" t="s">
        <v>105</v>
      </c>
      <c r="I11004" t="s">
        <v>149</v>
      </c>
      <c r="J11004" t="s">
        <v>470</v>
      </c>
      <c r="K11004" t="s">
        <v>708</v>
      </c>
      <c r="L11004" t="s">
        <v>264</v>
      </c>
      <c r="M11004" t="s">
        <v>2132</v>
      </c>
    </row>
    <row r="11005" spans="1:13" x14ac:dyDescent="0.3">
      <c r="A11005" t="s">
        <v>33</v>
      </c>
      <c r="B11005" t="s">
        <v>389</v>
      </c>
      <c r="C11005">
        <v>1090</v>
      </c>
      <c r="D11005" t="s">
        <v>1008</v>
      </c>
      <c r="E11005" t="s">
        <v>737</v>
      </c>
      <c r="F11005" t="s">
        <v>39</v>
      </c>
      <c r="G11005" t="s">
        <v>315</v>
      </c>
      <c r="H11005" t="s">
        <v>220</v>
      </c>
      <c r="I11005" t="s">
        <v>231</v>
      </c>
      <c r="J11005" t="s">
        <v>313</v>
      </c>
      <c r="K11005" t="s">
        <v>425</v>
      </c>
      <c r="L11005" t="s">
        <v>666</v>
      </c>
      <c r="M11005" t="s">
        <v>810</v>
      </c>
    </row>
    <row r="11006" spans="1:13" x14ac:dyDescent="0.3">
      <c r="A11006" t="s">
        <v>33</v>
      </c>
      <c r="B11006" t="s">
        <v>390</v>
      </c>
      <c r="C11006">
        <v>708</v>
      </c>
      <c r="D11006" t="s">
        <v>406</v>
      </c>
      <c r="E11006" t="s">
        <v>296</v>
      </c>
      <c r="F11006" t="s">
        <v>357</v>
      </c>
      <c r="G11006" t="s">
        <v>150</v>
      </c>
      <c r="H11006" t="s">
        <v>144</v>
      </c>
      <c r="I11006" t="s">
        <v>694</v>
      </c>
      <c r="J11006" t="s">
        <v>405</v>
      </c>
      <c r="K11006" t="s">
        <v>442</v>
      </c>
      <c r="L11006" t="s">
        <v>836</v>
      </c>
      <c r="M11006" t="s">
        <v>1415</v>
      </c>
    </row>
    <row r="11007" spans="1:13" x14ac:dyDescent="0.3">
      <c r="A11007" t="s">
        <v>33</v>
      </c>
      <c r="B11007" t="s">
        <v>365</v>
      </c>
      <c r="C11007">
        <v>139</v>
      </c>
      <c r="D11007" t="s">
        <v>197</v>
      </c>
      <c r="E11007" t="s">
        <v>299</v>
      </c>
      <c r="F11007" t="s">
        <v>903</v>
      </c>
      <c r="G11007" t="s">
        <v>68</v>
      </c>
      <c r="H11007" t="s">
        <v>98</v>
      </c>
      <c r="I11007" t="s">
        <v>674</v>
      </c>
      <c r="J11007" t="s">
        <v>686</v>
      </c>
      <c r="K11007" t="s">
        <v>1068</v>
      </c>
      <c r="L11007" t="s">
        <v>137</v>
      </c>
      <c r="M11007" t="s">
        <v>1105</v>
      </c>
    </row>
    <row r="11008" spans="1:13" x14ac:dyDescent="0.3">
      <c r="A11008" t="s">
        <v>49</v>
      </c>
      <c r="B11008" t="s">
        <v>389</v>
      </c>
      <c r="C11008">
        <v>8499</v>
      </c>
      <c r="D11008" t="s">
        <v>444</v>
      </c>
      <c r="E11008" t="s">
        <v>171</v>
      </c>
      <c r="F11008" t="s">
        <v>267</v>
      </c>
      <c r="G11008" t="s">
        <v>150</v>
      </c>
      <c r="H11008" t="s">
        <v>434</v>
      </c>
      <c r="I11008" t="s">
        <v>671</v>
      </c>
      <c r="J11008" t="s">
        <v>684</v>
      </c>
      <c r="K11008" t="s">
        <v>222</v>
      </c>
      <c r="L11008" t="s">
        <v>491</v>
      </c>
      <c r="M11008" t="s">
        <v>564</v>
      </c>
    </row>
    <row r="11009" spans="1:13" x14ac:dyDescent="0.3">
      <c r="A11009" t="s">
        <v>49</v>
      </c>
      <c r="B11009" t="s">
        <v>390</v>
      </c>
      <c r="C11009">
        <v>4134</v>
      </c>
      <c r="D11009" t="s">
        <v>416</v>
      </c>
      <c r="E11009" t="s">
        <v>70</v>
      </c>
      <c r="F11009" t="s">
        <v>165</v>
      </c>
      <c r="G11009" t="s">
        <v>143</v>
      </c>
      <c r="H11009" t="s">
        <v>434</v>
      </c>
      <c r="I11009" t="s">
        <v>184</v>
      </c>
      <c r="J11009" t="s">
        <v>277</v>
      </c>
      <c r="K11009" t="s">
        <v>315</v>
      </c>
      <c r="L11009" t="s">
        <v>373</v>
      </c>
      <c r="M11009" t="s">
        <v>819</v>
      </c>
    </row>
    <row r="11010" spans="1:13" x14ac:dyDescent="0.3">
      <c r="A11010" t="s">
        <v>49</v>
      </c>
      <c r="B11010" t="s">
        <v>365</v>
      </c>
      <c r="C11010">
        <v>689</v>
      </c>
      <c r="D11010" t="s">
        <v>1044</v>
      </c>
      <c r="E11010" t="s">
        <v>721</v>
      </c>
      <c r="F11010" t="s">
        <v>491</v>
      </c>
      <c r="G11010" t="s">
        <v>722</v>
      </c>
      <c r="H11010" t="s">
        <v>112</v>
      </c>
      <c r="I11010" t="s">
        <v>694</v>
      </c>
      <c r="J11010" t="s">
        <v>262</v>
      </c>
      <c r="K11010" t="s">
        <v>39</v>
      </c>
      <c r="L11010" t="s">
        <v>373</v>
      </c>
      <c r="M11010" t="s">
        <v>1077</v>
      </c>
    </row>
    <row r="11012" spans="1:13" x14ac:dyDescent="0.3">
      <c r="A11012" t="s">
        <v>2585</v>
      </c>
    </row>
    <row r="11013" spans="1:13" x14ac:dyDescent="0.3">
      <c r="A11013" t="s">
        <v>44</v>
      </c>
      <c r="B11013" t="s">
        <v>235</v>
      </c>
      <c r="C11013" t="s">
        <v>32</v>
      </c>
      <c r="D11013" t="s">
        <v>2573</v>
      </c>
      <c r="E11013" t="s">
        <v>2574</v>
      </c>
      <c r="F11013" t="s">
        <v>2575</v>
      </c>
      <c r="G11013" t="s">
        <v>2576</v>
      </c>
      <c r="H11013" t="s">
        <v>2577</v>
      </c>
      <c r="I11013" t="s">
        <v>2578</v>
      </c>
      <c r="J11013" t="s">
        <v>2579</v>
      </c>
      <c r="K11013" t="s">
        <v>2580</v>
      </c>
      <c r="L11013" t="s">
        <v>2581</v>
      </c>
      <c r="M11013" t="s">
        <v>83</v>
      </c>
    </row>
    <row r="11014" spans="1:13" x14ac:dyDescent="0.3">
      <c r="A11014" t="s">
        <v>35</v>
      </c>
      <c r="B11014" t="s">
        <v>236</v>
      </c>
      <c r="C11014">
        <v>1610</v>
      </c>
      <c r="D11014" t="s">
        <v>118</v>
      </c>
      <c r="E11014" t="s">
        <v>103</v>
      </c>
      <c r="F11014" t="s">
        <v>158</v>
      </c>
      <c r="G11014" t="s">
        <v>147</v>
      </c>
      <c r="H11014" t="s">
        <v>253</v>
      </c>
      <c r="I11014" t="s">
        <v>123</v>
      </c>
      <c r="J11014" t="s">
        <v>115</v>
      </c>
      <c r="K11014" t="s">
        <v>134</v>
      </c>
      <c r="L11014" t="s">
        <v>451</v>
      </c>
      <c r="M11014" t="s">
        <v>825</v>
      </c>
    </row>
    <row r="11015" spans="1:13" x14ac:dyDescent="0.3">
      <c r="A11015" t="s">
        <v>35</v>
      </c>
      <c r="B11015" t="s">
        <v>238</v>
      </c>
      <c r="C11015">
        <v>1535</v>
      </c>
      <c r="D11015" t="s">
        <v>231</v>
      </c>
      <c r="E11015" t="s">
        <v>171</v>
      </c>
      <c r="F11015" t="s">
        <v>708</v>
      </c>
      <c r="G11015" t="s">
        <v>145</v>
      </c>
      <c r="H11015" t="s">
        <v>120</v>
      </c>
      <c r="I11015" t="s">
        <v>291</v>
      </c>
      <c r="J11015" t="s">
        <v>118</v>
      </c>
      <c r="K11015" t="s">
        <v>167</v>
      </c>
      <c r="L11015" t="s">
        <v>672</v>
      </c>
      <c r="M11015" t="s">
        <v>1100</v>
      </c>
    </row>
    <row r="11016" spans="1:13" x14ac:dyDescent="0.3">
      <c r="A11016" t="s">
        <v>37</v>
      </c>
      <c r="B11016" t="s">
        <v>236</v>
      </c>
      <c r="C11016">
        <v>2211</v>
      </c>
      <c r="D11016" t="s">
        <v>412</v>
      </c>
      <c r="E11016" t="s">
        <v>155</v>
      </c>
      <c r="F11016" t="s">
        <v>242</v>
      </c>
      <c r="G11016" t="s">
        <v>332</v>
      </c>
      <c r="H11016" t="s">
        <v>151</v>
      </c>
      <c r="I11016" t="s">
        <v>712</v>
      </c>
      <c r="J11016" t="s">
        <v>103</v>
      </c>
      <c r="K11016" t="s">
        <v>254</v>
      </c>
      <c r="L11016" t="s">
        <v>503</v>
      </c>
      <c r="M11016" t="s">
        <v>951</v>
      </c>
    </row>
    <row r="11017" spans="1:13" x14ac:dyDescent="0.3">
      <c r="A11017" t="s">
        <v>37</v>
      </c>
      <c r="B11017" t="s">
        <v>238</v>
      </c>
      <c r="C11017">
        <v>1644</v>
      </c>
      <c r="D11017" t="s">
        <v>802</v>
      </c>
      <c r="E11017" t="s">
        <v>373</v>
      </c>
      <c r="F11017" t="s">
        <v>678</v>
      </c>
      <c r="G11017" t="s">
        <v>287</v>
      </c>
      <c r="H11017" t="s">
        <v>420</v>
      </c>
      <c r="I11017" t="s">
        <v>677</v>
      </c>
      <c r="J11017" t="s">
        <v>353</v>
      </c>
      <c r="K11017" t="s">
        <v>393</v>
      </c>
      <c r="L11017" t="s">
        <v>434</v>
      </c>
      <c r="M11017" t="s">
        <v>637</v>
      </c>
    </row>
    <row r="11018" spans="1:13" x14ac:dyDescent="0.3">
      <c r="A11018" t="s">
        <v>36</v>
      </c>
      <c r="B11018" t="s">
        <v>236</v>
      </c>
      <c r="C11018">
        <v>1566</v>
      </c>
      <c r="D11018" t="s">
        <v>152</v>
      </c>
      <c r="E11018" t="s">
        <v>277</v>
      </c>
      <c r="F11018" t="s">
        <v>113</v>
      </c>
      <c r="G11018" t="s">
        <v>118</v>
      </c>
      <c r="H11018" t="s">
        <v>198</v>
      </c>
      <c r="I11018" t="s">
        <v>99</v>
      </c>
      <c r="J11018" t="s">
        <v>198</v>
      </c>
      <c r="K11018" t="s">
        <v>132</v>
      </c>
      <c r="L11018" t="s">
        <v>485</v>
      </c>
      <c r="M11018" t="s">
        <v>618</v>
      </c>
    </row>
    <row r="11019" spans="1:13" x14ac:dyDescent="0.3">
      <c r="A11019" t="s">
        <v>36</v>
      </c>
      <c r="B11019" t="s">
        <v>238</v>
      </c>
      <c r="C11019">
        <v>739</v>
      </c>
      <c r="D11019" t="s">
        <v>432</v>
      </c>
      <c r="E11019" t="s">
        <v>416</v>
      </c>
      <c r="F11019" t="s">
        <v>811</v>
      </c>
      <c r="G11019" t="s">
        <v>296</v>
      </c>
      <c r="H11019" t="s">
        <v>117</v>
      </c>
      <c r="I11019" t="s">
        <v>125</v>
      </c>
      <c r="J11019" t="s">
        <v>675</v>
      </c>
      <c r="K11019" t="s">
        <v>175</v>
      </c>
      <c r="L11019" t="s">
        <v>254</v>
      </c>
      <c r="M11019" t="s">
        <v>1224</v>
      </c>
    </row>
    <row r="11020" spans="1:13" x14ac:dyDescent="0.3">
      <c r="A11020" t="s">
        <v>34</v>
      </c>
      <c r="B11020" t="s">
        <v>236</v>
      </c>
      <c r="C11020">
        <v>717</v>
      </c>
      <c r="D11020" t="s">
        <v>804</v>
      </c>
      <c r="E11020" t="s">
        <v>109</v>
      </c>
      <c r="F11020" t="s">
        <v>416</v>
      </c>
      <c r="G11020" t="s">
        <v>204</v>
      </c>
      <c r="H11020" t="s">
        <v>110</v>
      </c>
      <c r="I11020" t="s">
        <v>468</v>
      </c>
      <c r="J11020" t="s">
        <v>118</v>
      </c>
      <c r="K11020" t="s">
        <v>143</v>
      </c>
      <c r="L11020" t="s">
        <v>868</v>
      </c>
      <c r="M11020" t="s">
        <v>1236</v>
      </c>
    </row>
    <row r="11021" spans="1:13" x14ac:dyDescent="0.3">
      <c r="A11021" t="s">
        <v>34</v>
      </c>
      <c r="B11021" t="s">
        <v>238</v>
      </c>
      <c r="C11021">
        <v>1363</v>
      </c>
      <c r="D11021" t="s">
        <v>503</v>
      </c>
      <c r="E11021" t="s">
        <v>264</v>
      </c>
      <c r="F11021" t="s">
        <v>676</v>
      </c>
      <c r="G11021" t="s">
        <v>113</v>
      </c>
      <c r="H11021" t="s">
        <v>149</v>
      </c>
      <c r="I11021" t="s">
        <v>78</v>
      </c>
      <c r="J11021" t="s">
        <v>679</v>
      </c>
      <c r="K11021" t="s">
        <v>179</v>
      </c>
      <c r="L11021" t="s">
        <v>248</v>
      </c>
      <c r="M11021" t="s">
        <v>800</v>
      </c>
    </row>
    <row r="11022" spans="1:13" x14ac:dyDescent="0.3">
      <c r="A11022" t="s">
        <v>33</v>
      </c>
      <c r="B11022" t="s">
        <v>236</v>
      </c>
      <c r="C11022">
        <v>1116</v>
      </c>
      <c r="D11022" t="s">
        <v>125</v>
      </c>
      <c r="E11022" t="s">
        <v>138</v>
      </c>
      <c r="F11022" t="s">
        <v>78</v>
      </c>
      <c r="G11022" t="s">
        <v>147</v>
      </c>
      <c r="H11022" t="s">
        <v>123</v>
      </c>
      <c r="I11022" t="s">
        <v>149</v>
      </c>
      <c r="J11022" t="s">
        <v>332</v>
      </c>
      <c r="K11022" t="s">
        <v>142</v>
      </c>
      <c r="L11022" t="s">
        <v>1706</v>
      </c>
      <c r="M11022" t="s">
        <v>153</v>
      </c>
    </row>
    <row r="11023" spans="1:13" x14ac:dyDescent="0.3">
      <c r="A11023" t="s">
        <v>33</v>
      </c>
      <c r="B11023" t="s">
        <v>238</v>
      </c>
      <c r="C11023">
        <v>821</v>
      </c>
      <c r="D11023" t="s">
        <v>812</v>
      </c>
      <c r="E11023" t="s">
        <v>303</v>
      </c>
      <c r="F11023" t="s">
        <v>456</v>
      </c>
      <c r="G11023" t="s">
        <v>536</v>
      </c>
      <c r="H11023" t="s">
        <v>264</v>
      </c>
      <c r="I11023" t="s">
        <v>446</v>
      </c>
      <c r="J11023" t="s">
        <v>463</v>
      </c>
      <c r="K11023" t="s">
        <v>745</v>
      </c>
      <c r="L11023" t="s">
        <v>206</v>
      </c>
      <c r="M11023" t="s">
        <v>1110</v>
      </c>
    </row>
    <row r="11024" spans="1:13" x14ac:dyDescent="0.3">
      <c r="A11024" t="s">
        <v>49</v>
      </c>
      <c r="B11024" t="s">
        <v>236</v>
      </c>
      <c r="C11024">
        <v>7220</v>
      </c>
      <c r="D11024" t="s">
        <v>145</v>
      </c>
      <c r="E11024" t="s">
        <v>118</v>
      </c>
      <c r="F11024" t="s">
        <v>135</v>
      </c>
      <c r="G11024" t="s">
        <v>154</v>
      </c>
      <c r="H11024" t="s">
        <v>127</v>
      </c>
      <c r="I11024" t="s">
        <v>134</v>
      </c>
      <c r="J11024" t="s">
        <v>268</v>
      </c>
      <c r="K11024" t="s">
        <v>204</v>
      </c>
      <c r="L11024" t="s">
        <v>809</v>
      </c>
      <c r="M11024" t="s">
        <v>1239</v>
      </c>
    </row>
    <row r="11025" spans="1:13" x14ac:dyDescent="0.3">
      <c r="A11025" t="s">
        <v>49</v>
      </c>
      <c r="B11025" t="s">
        <v>238</v>
      </c>
      <c r="C11025">
        <v>6102</v>
      </c>
      <c r="D11025" t="s">
        <v>706</v>
      </c>
      <c r="E11025" t="s">
        <v>685</v>
      </c>
      <c r="F11025" t="s">
        <v>177</v>
      </c>
      <c r="G11025" t="s">
        <v>182</v>
      </c>
      <c r="H11025" t="s">
        <v>204</v>
      </c>
      <c r="I11025" t="s">
        <v>218</v>
      </c>
      <c r="J11025" t="s">
        <v>78</v>
      </c>
      <c r="K11025" t="s">
        <v>678</v>
      </c>
      <c r="L11025" t="s">
        <v>804</v>
      </c>
      <c r="M11025" t="s">
        <v>589</v>
      </c>
    </row>
    <row r="11027" spans="1:13" x14ac:dyDescent="0.3">
      <c r="A11027" t="s">
        <v>2586</v>
      </c>
    </row>
    <row r="11028" spans="1:13" x14ac:dyDescent="0.3">
      <c r="A11028" t="s">
        <v>44</v>
      </c>
      <c r="B11028" t="s">
        <v>1720</v>
      </c>
      <c r="C11028" t="s">
        <v>32</v>
      </c>
      <c r="D11028" t="s">
        <v>2573</v>
      </c>
      <c r="E11028" t="s">
        <v>2574</v>
      </c>
      <c r="F11028" t="s">
        <v>2575</v>
      </c>
      <c r="G11028" t="s">
        <v>2576</v>
      </c>
      <c r="H11028" t="s">
        <v>2577</v>
      </c>
      <c r="I11028" t="s">
        <v>2578</v>
      </c>
      <c r="J11028" t="s">
        <v>2579</v>
      </c>
      <c r="K11028" t="s">
        <v>2580</v>
      </c>
      <c r="L11028" t="s">
        <v>2581</v>
      </c>
      <c r="M11028" t="s">
        <v>83</v>
      </c>
    </row>
    <row r="11029" spans="1:13" x14ac:dyDescent="0.3">
      <c r="A11029" t="s">
        <v>35</v>
      </c>
      <c r="B11029" t="s">
        <v>1721</v>
      </c>
      <c r="C11029">
        <v>996</v>
      </c>
      <c r="D11029" t="s">
        <v>807</v>
      </c>
      <c r="E11029" t="s">
        <v>244</v>
      </c>
      <c r="F11029" t="s">
        <v>444</v>
      </c>
      <c r="G11029" t="s">
        <v>363</v>
      </c>
      <c r="H11029" t="s">
        <v>147</v>
      </c>
      <c r="I11029" t="s">
        <v>685</v>
      </c>
      <c r="J11029" t="s">
        <v>277</v>
      </c>
      <c r="K11029" t="s">
        <v>501</v>
      </c>
      <c r="L11029" t="s">
        <v>704</v>
      </c>
      <c r="M11029" t="s">
        <v>1704</v>
      </c>
    </row>
    <row r="11030" spans="1:13" x14ac:dyDescent="0.3">
      <c r="A11030" t="s">
        <v>35</v>
      </c>
      <c r="B11030" t="s">
        <v>1722</v>
      </c>
      <c r="C11030">
        <v>2149</v>
      </c>
      <c r="D11030" t="s">
        <v>113</v>
      </c>
      <c r="E11030" t="s">
        <v>98</v>
      </c>
      <c r="F11030" t="s">
        <v>184</v>
      </c>
      <c r="G11030" t="s">
        <v>110</v>
      </c>
      <c r="H11030" t="s">
        <v>127</v>
      </c>
      <c r="I11030" t="s">
        <v>328</v>
      </c>
      <c r="J11030" t="s">
        <v>215</v>
      </c>
      <c r="K11030" t="s">
        <v>722</v>
      </c>
      <c r="L11030" t="s">
        <v>303</v>
      </c>
      <c r="M11030" t="s">
        <v>1001</v>
      </c>
    </row>
    <row r="11031" spans="1:13" x14ac:dyDescent="0.3">
      <c r="A11031" t="s">
        <v>37</v>
      </c>
      <c r="B11031" t="s">
        <v>1721</v>
      </c>
      <c r="C11031">
        <v>1252</v>
      </c>
      <c r="D11031" t="s">
        <v>689</v>
      </c>
      <c r="E11031" t="s">
        <v>355</v>
      </c>
      <c r="F11031" t="s">
        <v>76</v>
      </c>
      <c r="G11031" t="s">
        <v>248</v>
      </c>
      <c r="H11031" t="s">
        <v>144</v>
      </c>
      <c r="I11031" t="s">
        <v>369</v>
      </c>
      <c r="J11031" t="s">
        <v>74</v>
      </c>
      <c r="K11031" t="s">
        <v>206</v>
      </c>
      <c r="L11031" t="s">
        <v>687</v>
      </c>
      <c r="M11031" t="s">
        <v>1386</v>
      </c>
    </row>
    <row r="11032" spans="1:13" x14ac:dyDescent="0.3">
      <c r="A11032" t="s">
        <v>37</v>
      </c>
      <c r="B11032" t="s">
        <v>1722</v>
      </c>
      <c r="C11032">
        <v>2603</v>
      </c>
      <c r="D11032" t="s">
        <v>133</v>
      </c>
      <c r="E11032" t="s">
        <v>70</v>
      </c>
      <c r="F11032" t="s">
        <v>420</v>
      </c>
      <c r="G11032" t="s">
        <v>144</v>
      </c>
      <c r="H11032" t="s">
        <v>434</v>
      </c>
      <c r="I11032" t="s">
        <v>160</v>
      </c>
      <c r="J11032" t="s">
        <v>434</v>
      </c>
      <c r="K11032" t="s">
        <v>405</v>
      </c>
      <c r="L11032" t="s">
        <v>739</v>
      </c>
      <c r="M11032" t="s">
        <v>815</v>
      </c>
    </row>
    <row r="11033" spans="1:13" x14ac:dyDescent="0.3">
      <c r="A11033" t="s">
        <v>36</v>
      </c>
      <c r="B11033" t="s">
        <v>1721</v>
      </c>
      <c r="C11033">
        <v>813</v>
      </c>
      <c r="D11033" t="s">
        <v>76</v>
      </c>
      <c r="E11033" t="s">
        <v>313</v>
      </c>
      <c r="F11033" t="s">
        <v>38</v>
      </c>
      <c r="G11033" t="s">
        <v>408</v>
      </c>
      <c r="H11033" t="s">
        <v>120</v>
      </c>
      <c r="I11033" t="s">
        <v>679</v>
      </c>
      <c r="J11033" t="s">
        <v>328</v>
      </c>
      <c r="K11033" t="s">
        <v>737</v>
      </c>
      <c r="L11033" t="s">
        <v>186</v>
      </c>
      <c r="M11033" t="s">
        <v>910</v>
      </c>
    </row>
    <row r="11034" spans="1:13" x14ac:dyDescent="0.3">
      <c r="A11034" t="s">
        <v>36</v>
      </c>
      <c r="B11034" t="s">
        <v>1722</v>
      </c>
      <c r="C11034">
        <v>1492</v>
      </c>
      <c r="D11034" t="s">
        <v>688</v>
      </c>
      <c r="E11034" t="s">
        <v>78</v>
      </c>
      <c r="F11034" t="s">
        <v>688</v>
      </c>
      <c r="G11034" t="s">
        <v>110</v>
      </c>
      <c r="H11034" t="s">
        <v>253</v>
      </c>
      <c r="I11034" t="s">
        <v>110</v>
      </c>
      <c r="J11034" t="s">
        <v>120</v>
      </c>
      <c r="K11034" t="s">
        <v>145</v>
      </c>
      <c r="L11034" t="s">
        <v>687</v>
      </c>
      <c r="M11034" t="s">
        <v>1227</v>
      </c>
    </row>
    <row r="11035" spans="1:13" x14ac:dyDescent="0.3">
      <c r="A11035" t="s">
        <v>34</v>
      </c>
      <c r="B11035" t="s">
        <v>1721</v>
      </c>
      <c r="C11035">
        <v>621</v>
      </c>
      <c r="D11035" t="s">
        <v>860</v>
      </c>
      <c r="E11035" t="s">
        <v>318</v>
      </c>
      <c r="F11035" t="s">
        <v>807</v>
      </c>
      <c r="G11035" t="s">
        <v>113</v>
      </c>
      <c r="H11035" t="s">
        <v>130</v>
      </c>
      <c r="I11035" t="s">
        <v>254</v>
      </c>
      <c r="J11035" t="s">
        <v>663</v>
      </c>
      <c r="K11035" t="s">
        <v>716</v>
      </c>
      <c r="L11035" t="s">
        <v>372</v>
      </c>
      <c r="M11035" t="s">
        <v>603</v>
      </c>
    </row>
    <row r="11036" spans="1:13" x14ac:dyDescent="0.3">
      <c r="A11036" t="s">
        <v>34</v>
      </c>
      <c r="B11036" t="s">
        <v>1722</v>
      </c>
      <c r="C11036">
        <v>1459</v>
      </c>
      <c r="D11036" t="s">
        <v>738</v>
      </c>
      <c r="E11036" t="s">
        <v>313</v>
      </c>
      <c r="F11036" t="s">
        <v>201</v>
      </c>
      <c r="G11036" t="s">
        <v>664</v>
      </c>
      <c r="H11036" t="s">
        <v>149</v>
      </c>
      <c r="I11036" t="s">
        <v>184</v>
      </c>
      <c r="J11036" t="s">
        <v>145</v>
      </c>
      <c r="K11036" t="s">
        <v>405</v>
      </c>
      <c r="L11036" t="s">
        <v>714</v>
      </c>
      <c r="M11036" t="s">
        <v>962</v>
      </c>
    </row>
    <row r="11037" spans="1:13" x14ac:dyDescent="0.3">
      <c r="A11037" t="s">
        <v>33</v>
      </c>
      <c r="B11037" t="s">
        <v>1721</v>
      </c>
      <c r="C11037">
        <v>557</v>
      </c>
      <c r="D11037" t="s">
        <v>715</v>
      </c>
      <c r="E11037" t="s">
        <v>244</v>
      </c>
      <c r="F11037" t="s">
        <v>347</v>
      </c>
      <c r="G11037" t="s">
        <v>368</v>
      </c>
      <c r="H11037" t="s">
        <v>222</v>
      </c>
      <c r="I11037" t="s">
        <v>423</v>
      </c>
      <c r="J11037" t="s">
        <v>357</v>
      </c>
      <c r="K11037" t="s">
        <v>1414</v>
      </c>
      <c r="L11037" t="s">
        <v>832</v>
      </c>
      <c r="M11037" t="s">
        <v>1157</v>
      </c>
    </row>
    <row r="11038" spans="1:13" x14ac:dyDescent="0.3">
      <c r="A11038" t="s">
        <v>33</v>
      </c>
      <c r="B11038" t="s">
        <v>1722</v>
      </c>
      <c r="C11038">
        <v>1380</v>
      </c>
      <c r="D11038" t="s">
        <v>395</v>
      </c>
      <c r="E11038" t="s">
        <v>220</v>
      </c>
      <c r="F11038" t="s">
        <v>38</v>
      </c>
      <c r="G11038" t="s">
        <v>78</v>
      </c>
      <c r="H11038" t="s">
        <v>143</v>
      </c>
      <c r="I11038" t="s">
        <v>267</v>
      </c>
      <c r="J11038" t="s">
        <v>296</v>
      </c>
      <c r="K11038" t="s">
        <v>303</v>
      </c>
      <c r="L11038" t="s">
        <v>1206</v>
      </c>
      <c r="M11038" t="s">
        <v>1214</v>
      </c>
    </row>
    <row r="11039" spans="1:13" x14ac:dyDescent="0.3">
      <c r="A11039" t="s">
        <v>49</v>
      </c>
      <c r="B11039" t="s">
        <v>1721</v>
      </c>
      <c r="C11039">
        <v>4239</v>
      </c>
      <c r="D11039" t="s">
        <v>743</v>
      </c>
      <c r="E11039" t="s">
        <v>267</v>
      </c>
      <c r="F11039" t="s">
        <v>177</v>
      </c>
      <c r="G11039" t="s">
        <v>182</v>
      </c>
      <c r="H11039" t="s">
        <v>98</v>
      </c>
      <c r="I11039" t="s">
        <v>206</v>
      </c>
      <c r="J11039" t="s">
        <v>184</v>
      </c>
      <c r="K11039" t="s">
        <v>393</v>
      </c>
      <c r="L11039" t="s">
        <v>177</v>
      </c>
      <c r="M11039" t="s">
        <v>1123</v>
      </c>
    </row>
    <row r="11040" spans="1:13" x14ac:dyDescent="0.3">
      <c r="A11040" t="s">
        <v>49</v>
      </c>
      <c r="B11040" t="s">
        <v>1722</v>
      </c>
      <c r="C11040">
        <v>9083</v>
      </c>
      <c r="D11040" t="s">
        <v>737</v>
      </c>
      <c r="E11040" t="s">
        <v>353</v>
      </c>
      <c r="F11040" t="s">
        <v>313</v>
      </c>
      <c r="G11040" t="s">
        <v>328</v>
      </c>
      <c r="H11040" t="s">
        <v>154</v>
      </c>
      <c r="I11040" t="s">
        <v>679</v>
      </c>
      <c r="J11040" t="s">
        <v>112</v>
      </c>
      <c r="K11040" t="s">
        <v>165</v>
      </c>
      <c r="L11040" t="s">
        <v>463</v>
      </c>
      <c r="M11040" t="s">
        <v>800</v>
      </c>
    </row>
    <row r="11042" spans="1:14" x14ac:dyDescent="0.3">
      <c r="A11042" t="s">
        <v>2587</v>
      </c>
    </row>
    <row r="11043" spans="1:14" x14ac:dyDescent="0.3">
      <c r="A11043" t="s">
        <v>44</v>
      </c>
      <c r="B11043" t="s">
        <v>32</v>
      </c>
      <c r="C11043" t="s">
        <v>2588</v>
      </c>
      <c r="D11043" t="s">
        <v>2589</v>
      </c>
      <c r="E11043" t="s">
        <v>2590</v>
      </c>
      <c r="F11043" t="s">
        <v>2591</v>
      </c>
      <c r="G11043" t="s">
        <v>2592</v>
      </c>
      <c r="H11043" t="s">
        <v>2593</v>
      </c>
      <c r="I11043" t="s">
        <v>2594</v>
      </c>
      <c r="J11043" t="s">
        <v>2595</v>
      </c>
      <c r="K11043" t="s">
        <v>2596</v>
      </c>
      <c r="L11043" t="s">
        <v>2597</v>
      </c>
      <c r="M11043" t="s">
        <v>2598</v>
      </c>
    </row>
    <row r="11044" spans="1:14" x14ac:dyDescent="0.3">
      <c r="A11044" t="s">
        <v>35</v>
      </c>
      <c r="B11044">
        <v>524</v>
      </c>
      <c r="C11044" t="s">
        <v>516</v>
      </c>
      <c r="D11044" t="s">
        <v>153</v>
      </c>
      <c r="E11044" t="s">
        <v>103</v>
      </c>
      <c r="F11044" t="s">
        <v>101</v>
      </c>
      <c r="G11044" t="s">
        <v>141</v>
      </c>
      <c r="H11044" t="s">
        <v>542</v>
      </c>
      <c r="I11044" t="s">
        <v>802</v>
      </c>
      <c r="J11044" t="s">
        <v>198</v>
      </c>
      <c r="K11044" t="s">
        <v>382</v>
      </c>
      <c r="L11044" t="s">
        <v>111</v>
      </c>
      <c r="M11044" t="s">
        <v>107</v>
      </c>
    </row>
    <row r="11045" spans="1:14" x14ac:dyDescent="0.3">
      <c r="A11045" t="s">
        <v>37</v>
      </c>
      <c r="B11045">
        <v>939</v>
      </c>
      <c r="C11045" t="s">
        <v>1457</v>
      </c>
      <c r="D11045" t="s">
        <v>482</v>
      </c>
      <c r="E11045" t="s">
        <v>412</v>
      </c>
      <c r="F11045" t="s">
        <v>132</v>
      </c>
      <c r="G11045" t="s">
        <v>104</v>
      </c>
      <c r="H11045" t="s">
        <v>126</v>
      </c>
      <c r="I11045" t="s">
        <v>120</v>
      </c>
      <c r="J11045" t="s">
        <v>207</v>
      </c>
      <c r="K11045" t="s">
        <v>136</v>
      </c>
      <c r="L11045" t="s">
        <v>292</v>
      </c>
      <c r="M11045" t="s">
        <v>120</v>
      </c>
    </row>
    <row r="11046" spans="1:14" x14ac:dyDescent="0.3">
      <c r="A11046" t="s">
        <v>36</v>
      </c>
      <c r="B11046">
        <v>377</v>
      </c>
      <c r="C11046" t="s">
        <v>1079</v>
      </c>
      <c r="D11046" t="s">
        <v>680</v>
      </c>
      <c r="E11046" t="s">
        <v>712</v>
      </c>
      <c r="F11046" t="s">
        <v>198</v>
      </c>
      <c r="G11046" t="s">
        <v>198</v>
      </c>
      <c r="H11046" t="s">
        <v>100</v>
      </c>
      <c r="I11046" t="s">
        <v>461</v>
      </c>
      <c r="J11046" t="s">
        <v>99</v>
      </c>
      <c r="K11046" t="s">
        <v>136</v>
      </c>
      <c r="L11046" t="s">
        <v>382</v>
      </c>
      <c r="M11046" t="s">
        <v>111</v>
      </c>
    </row>
    <row r="11047" spans="1:14" x14ac:dyDescent="0.3">
      <c r="A11047" t="s">
        <v>34</v>
      </c>
      <c r="B11047">
        <v>513</v>
      </c>
      <c r="C11047" t="s">
        <v>1135</v>
      </c>
      <c r="D11047" t="s">
        <v>122</v>
      </c>
      <c r="E11047" t="s">
        <v>104</v>
      </c>
      <c r="F11047" t="s">
        <v>382</v>
      </c>
      <c r="G11047" t="s">
        <v>215</v>
      </c>
      <c r="H11047" t="s">
        <v>108</v>
      </c>
      <c r="I11047" t="s">
        <v>115</v>
      </c>
      <c r="J11047" t="s">
        <v>99</v>
      </c>
      <c r="K11047" t="s">
        <v>126</v>
      </c>
      <c r="L11047" t="s">
        <v>114</v>
      </c>
      <c r="M11047" t="s">
        <v>151</v>
      </c>
    </row>
    <row r="11048" spans="1:14" x14ac:dyDescent="0.3">
      <c r="A11048" t="s">
        <v>33</v>
      </c>
      <c r="B11048">
        <v>637</v>
      </c>
      <c r="C11048" t="s">
        <v>762</v>
      </c>
      <c r="D11048" t="s">
        <v>133</v>
      </c>
      <c r="E11048" t="s">
        <v>268</v>
      </c>
      <c r="F11048" t="s">
        <v>198</v>
      </c>
      <c r="G11048" t="s">
        <v>99</v>
      </c>
      <c r="H11048" t="s">
        <v>136</v>
      </c>
      <c r="I11048" t="s">
        <v>136</v>
      </c>
      <c r="J11048" t="s">
        <v>198</v>
      </c>
      <c r="K11048" t="s">
        <v>136</v>
      </c>
      <c r="L11048" t="s">
        <v>198</v>
      </c>
      <c r="M11048" t="s">
        <v>114</v>
      </c>
    </row>
    <row r="11049" spans="1:14" x14ac:dyDescent="0.3">
      <c r="A11049" t="s">
        <v>49</v>
      </c>
      <c r="B11049">
        <v>2990</v>
      </c>
      <c r="C11049" t="s">
        <v>535</v>
      </c>
      <c r="D11049" t="s">
        <v>186</v>
      </c>
      <c r="E11049" t="s">
        <v>120</v>
      </c>
      <c r="F11049" t="s">
        <v>108</v>
      </c>
      <c r="G11049" t="s">
        <v>141</v>
      </c>
      <c r="H11049" t="s">
        <v>139</v>
      </c>
      <c r="I11049" t="s">
        <v>135</v>
      </c>
      <c r="J11049" t="s">
        <v>198</v>
      </c>
      <c r="K11049" t="s">
        <v>108</v>
      </c>
      <c r="L11049" t="s">
        <v>319</v>
      </c>
      <c r="M11049" t="s">
        <v>111</v>
      </c>
    </row>
    <row r="11051" spans="1:14" x14ac:dyDescent="0.3">
      <c r="A11051" t="s">
        <v>2599</v>
      </c>
    </row>
    <row r="11052" spans="1:14" x14ac:dyDescent="0.3">
      <c r="A11052" t="s">
        <v>44</v>
      </c>
      <c r="B11052" t="s">
        <v>361</v>
      </c>
      <c r="C11052" t="s">
        <v>32</v>
      </c>
      <c r="D11052" t="s">
        <v>2588</v>
      </c>
      <c r="E11052" t="s">
        <v>2589</v>
      </c>
      <c r="F11052" t="s">
        <v>2590</v>
      </c>
      <c r="G11052" t="s">
        <v>2591</v>
      </c>
      <c r="H11052" t="s">
        <v>2592</v>
      </c>
      <c r="I11052" t="s">
        <v>2593</v>
      </c>
      <c r="J11052" t="s">
        <v>2594</v>
      </c>
      <c r="K11052" t="s">
        <v>2595</v>
      </c>
      <c r="L11052" t="s">
        <v>2596</v>
      </c>
      <c r="M11052" t="s">
        <v>2597</v>
      </c>
      <c r="N11052" t="s">
        <v>2598</v>
      </c>
    </row>
    <row r="11053" spans="1:14" x14ac:dyDescent="0.3">
      <c r="A11053" t="s">
        <v>35</v>
      </c>
      <c r="B11053" t="s">
        <v>339</v>
      </c>
      <c r="C11053">
        <v>120</v>
      </c>
      <c r="D11053" t="s">
        <v>1103</v>
      </c>
      <c r="E11053" t="s">
        <v>802</v>
      </c>
      <c r="F11053" t="s">
        <v>127</v>
      </c>
      <c r="G11053" t="s">
        <v>126</v>
      </c>
      <c r="H11053" t="s">
        <v>101</v>
      </c>
      <c r="I11053" t="s">
        <v>152</v>
      </c>
      <c r="J11053" t="s">
        <v>482</v>
      </c>
      <c r="K11053" t="s">
        <v>101</v>
      </c>
      <c r="L11053" t="s">
        <v>204</v>
      </c>
      <c r="M11053" t="s">
        <v>115</v>
      </c>
      <c r="N11053" t="s">
        <v>316</v>
      </c>
    </row>
    <row r="11054" spans="1:14" x14ac:dyDescent="0.3">
      <c r="A11054" t="s">
        <v>35</v>
      </c>
      <c r="B11054" t="s">
        <v>340</v>
      </c>
      <c r="C11054">
        <v>399</v>
      </c>
      <c r="D11054" t="s">
        <v>1258</v>
      </c>
      <c r="E11054" t="s">
        <v>662</v>
      </c>
      <c r="F11054" t="s">
        <v>128</v>
      </c>
      <c r="G11054" t="s">
        <v>101</v>
      </c>
      <c r="H11054" t="s">
        <v>207</v>
      </c>
      <c r="I11054" t="s">
        <v>463</v>
      </c>
      <c r="J11054" t="s">
        <v>692</v>
      </c>
      <c r="K11054" t="s">
        <v>99</v>
      </c>
      <c r="L11054" t="s">
        <v>253</v>
      </c>
      <c r="M11054" t="s">
        <v>316</v>
      </c>
      <c r="N11054" t="s">
        <v>105</v>
      </c>
    </row>
    <row r="11055" spans="1:14" x14ac:dyDescent="0.3">
      <c r="A11055" t="s">
        <v>35</v>
      </c>
      <c r="B11055" t="s">
        <v>365</v>
      </c>
      <c r="C11055">
        <v>5</v>
      </c>
      <c r="D11055" t="s">
        <v>79</v>
      </c>
      <c r="E11055" t="s">
        <v>78</v>
      </c>
      <c r="F11055" t="s">
        <v>99</v>
      </c>
      <c r="G11055" t="s">
        <v>99</v>
      </c>
      <c r="H11055" t="s">
        <v>99</v>
      </c>
      <c r="I11055" t="s">
        <v>78</v>
      </c>
      <c r="J11055" t="s">
        <v>99</v>
      </c>
      <c r="K11055" t="s">
        <v>99</v>
      </c>
      <c r="L11055" t="s">
        <v>99</v>
      </c>
      <c r="M11055" t="s">
        <v>99</v>
      </c>
      <c r="N11055" t="s">
        <v>99</v>
      </c>
    </row>
    <row r="11056" spans="1:14" x14ac:dyDescent="0.3">
      <c r="A11056" t="s">
        <v>37</v>
      </c>
      <c r="B11056" t="s">
        <v>339</v>
      </c>
      <c r="C11056">
        <v>184</v>
      </c>
      <c r="D11056" t="s">
        <v>1075</v>
      </c>
      <c r="E11056" t="s">
        <v>814</v>
      </c>
      <c r="F11056" t="s">
        <v>74</v>
      </c>
      <c r="G11056" t="s">
        <v>121</v>
      </c>
      <c r="H11056" t="s">
        <v>99</v>
      </c>
      <c r="I11056" t="s">
        <v>136</v>
      </c>
      <c r="J11056" t="s">
        <v>134</v>
      </c>
      <c r="K11056" t="s">
        <v>136</v>
      </c>
      <c r="L11056" t="s">
        <v>99</v>
      </c>
      <c r="M11056" t="s">
        <v>207</v>
      </c>
      <c r="N11056" t="s">
        <v>112</v>
      </c>
    </row>
    <row r="11057" spans="1:14" x14ac:dyDescent="0.3">
      <c r="A11057" t="s">
        <v>37</v>
      </c>
      <c r="B11057" t="s">
        <v>340</v>
      </c>
      <c r="C11057">
        <v>743</v>
      </c>
      <c r="D11057" t="s">
        <v>869</v>
      </c>
      <c r="E11057" t="s">
        <v>444</v>
      </c>
      <c r="F11057" t="s">
        <v>68</v>
      </c>
      <c r="G11057" t="s">
        <v>115</v>
      </c>
      <c r="H11057" t="s">
        <v>104</v>
      </c>
      <c r="I11057" t="s">
        <v>127</v>
      </c>
      <c r="J11057" t="s">
        <v>128</v>
      </c>
      <c r="K11057" t="s">
        <v>207</v>
      </c>
      <c r="L11057" t="s">
        <v>141</v>
      </c>
      <c r="M11057" t="s">
        <v>103</v>
      </c>
      <c r="N11057" t="s">
        <v>117</v>
      </c>
    </row>
    <row r="11058" spans="1:14" x14ac:dyDescent="0.3">
      <c r="A11058" t="s">
        <v>37</v>
      </c>
      <c r="B11058" t="s">
        <v>365</v>
      </c>
      <c r="C11058">
        <v>12</v>
      </c>
      <c r="D11058" t="s">
        <v>211</v>
      </c>
      <c r="E11058" t="s">
        <v>99</v>
      </c>
      <c r="F11058" t="s">
        <v>99</v>
      </c>
      <c r="G11058" t="s">
        <v>99</v>
      </c>
      <c r="H11058" t="s">
        <v>99</v>
      </c>
      <c r="I11058" t="s">
        <v>99</v>
      </c>
      <c r="J11058" t="s">
        <v>99</v>
      </c>
      <c r="K11058" t="s">
        <v>99</v>
      </c>
      <c r="L11058" t="s">
        <v>99</v>
      </c>
      <c r="M11058" t="s">
        <v>99</v>
      </c>
      <c r="N11058" t="s">
        <v>99</v>
      </c>
    </row>
    <row r="11059" spans="1:14" x14ac:dyDescent="0.3">
      <c r="A11059" t="s">
        <v>36</v>
      </c>
      <c r="B11059" t="s">
        <v>339</v>
      </c>
      <c r="C11059">
        <v>115</v>
      </c>
      <c r="D11059" t="s">
        <v>443</v>
      </c>
      <c r="E11059" t="s">
        <v>248</v>
      </c>
      <c r="F11059" t="s">
        <v>155</v>
      </c>
      <c r="G11059" t="s">
        <v>99</v>
      </c>
      <c r="H11059" t="s">
        <v>104</v>
      </c>
      <c r="I11059" t="s">
        <v>198</v>
      </c>
      <c r="J11059" t="s">
        <v>198</v>
      </c>
      <c r="K11059" t="s">
        <v>99</v>
      </c>
      <c r="L11059" t="s">
        <v>101</v>
      </c>
      <c r="M11059" t="s">
        <v>154</v>
      </c>
      <c r="N11059" t="s">
        <v>99</v>
      </c>
    </row>
    <row r="11060" spans="1:14" x14ac:dyDescent="0.3">
      <c r="A11060" t="s">
        <v>36</v>
      </c>
      <c r="B11060" t="s">
        <v>340</v>
      </c>
      <c r="C11060">
        <v>256</v>
      </c>
      <c r="D11060" t="s">
        <v>939</v>
      </c>
      <c r="E11060" t="s">
        <v>321</v>
      </c>
      <c r="F11060" t="s">
        <v>149</v>
      </c>
      <c r="G11060" t="s">
        <v>207</v>
      </c>
      <c r="H11060" t="s">
        <v>207</v>
      </c>
      <c r="I11060" t="s">
        <v>382</v>
      </c>
      <c r="J11060" t="s">
        <v>688</v>
      </c>
      <c r="K11060" t="s">
        <v>99</v>
      </c>
      <c r="L11060" t="s">
        <v>99</v>
      </c>
      <c r="M11060" t="s">
        <v>115</v>
      </c>
      <c r="N11060" t="s">
        <v>105</v>
      </c>
    </row>
    <row r="11061" spans="1:14" x14ac:dyDescent="0.3">
      <c r="A11061" t="s">
        <v>36</v>
      </c>
      <c r="B11061" t="s">
        <v>365</v>
      </c>
      <c r="C11061">
        <v>6</v>
      </c>
      <c r="D11061" t="s">
        <v>211</v>
      </c>
      <c r="E11061" t="s">
        <v>99</v>
      </c>
      <c r="F11061" t="s">
        <v>99</v>
      </c>
      <c r="G11061" t="s">
        <v>99</v>
      </c>
      <c r="H11061" t="s">
        <v>99</v>
      </c>
      <c r="I11061" t="s">
        <v>99</v>
      </c>
      <c r="J11061" t="s">
        <v>99</v>
      </c>
      <c r="K11061" t="s">
        <v>99</v>
      </c>
      <c r="L11061" t="s">
        <v>99</v>
      </c>
      <c r="M11061" t="s">
        <v>99</v>
      </c>
      <c r="N11061" t="s">
        <v>99</v>
      </c>
    </row>
    <row r="11062" spans="1:14" x14ac:dyDescent="0.3">
      <c r="A11062" t="s">
        <v>34</v>
      </c>
      <c r="B11062" t="s">
        <v>339</v>
      </c>
      <c r="C11062">
        <v>121</v>
      </c>
      <c r="D11062" t="s">
        <v>443</v>
      </c>
      <c r="E11062" t="s">
        <v>135</v>
      </c>
      <c r="F11062" t="s">
        <v>99</v>
      </c>
      <c r="G11062" t="s">
        <v>207</v>
      </c>
      <c r="H11062" t="s">
        <v>99</v>
      </c>
      <c r="I11062" t="s">
        <v>215</v>
      </c>
      <c r="J11062" t="s">
        <v>319</v>
      </c>
      <c r="K11062" t="s">
        <v>99</v>
      </c>
      <c r="L11062" t="s">
        <v>474</v>
      </c>
      <c r="M11062" t="s">
        <v>155</v>
      </c>
      <c r="N11062" t="s">
        <v>155</v>
      </c>
    </row>
    <row r="11063" spans="1:14" x14ac:dyDescent="0.3">
      <c r="A11063" t="s">
        <v>34</v>
      </c>
      <c r="B11063" t="s">
        <v>340</v>
      </c>
      <c r="C11063">
        <v>388</v>
      </c>
      <c r="D11063" t="s">
        <v>314</v>
      </c>
      <c r="E11063" t="s">
        <v>184</v>
      </c>
      <c r="F11063" t="s">
        <v>104</v>
      </c>
      <c r="G11063" t="s">
        <v>292</v>
      </c>
      <c r="H11063" t="s">
        <v>117</v>
      </c>
      <c r="I11063" t="s">
        <v>253</v>
      </c>
      <c r="J11063" t="s">
        <v>198</v>
      </c>
      <c r="K11063" t="s">
        <v>99</v>
      </c>
      <c r="L11063" t="s">
        <v>136</v>
      </c>
      <c r="M11063" t="s">
        <v>99</v>
      </c>
      <c r="N11063" t="s">
        <v>319</v>
      </c>
    </row>
    <row r="11064" spans="1:14" x14ac:dyDescent="0.3">
      <c r="A11064" t="s">
        <v>34</v>
      </c>
      <c r="B11064" t="s">
        <v>365</v>
      </c>
      <c r="C11064">
        <v>4</v>
      </c>
      <c r="D11064" t="s">
        <v>634</v>
      </c>
      <c r="E11064" t="s">
        <v>820</v>
      </c>
      <c r="F11064" t="s">
        <v>99</v>
      </c>
      <c r="G11064" t="s">
        <v>99</v>
      </c>
      <c r="H11064" t="s">
        <v>99</v>
      </c>
      <c r="I11064" t="s">
        <v>99</v>
      </c>
      <c r="J11064" t="s">
        <v>820</v>
      </c>
      <c r="K11064" t="s">
        <v>99</v>
      </c>
      <c r="L11064" t="s">
        <v>99</v>
      </c>
      <c r="M11064" t="s">
        <v>99</v>
      </c>
      <c r="N11064" t="s">
        <v>99</v>
      </c>
    </row>
    <row r="11065" spans="1:14" x14ac:dyDescent="0.3">
      <c r="A11065" t="s">
        <v>33</v>
      </c>
      <c r="B11065" t="s">
        <v>339</v>
      </c>
      <c r="C11065">
        <v>128</v>
      </c>
      <c r="D11065" t="s">
        <v>845</v>
      </c>
      <c r="E11065" t="s">
        <v>671</v>
      </c>
      <c r="F11065" t="s">
        <v>123</v>
      </c>
      <c r="G11065" t="s">
        <v>99</v>
      </c>
      <c r="H11065" t="s">
        <v>99</v>
      </c>
      <c r="I11065" t="s">
        <v>100</v>
      </c>
      <c r="J11065" t="s">
        <v>99</v>
      </c>
      <c r="K11065" t="s">
        <v>99</v>
      </c>
      <c r="L11065" t="s">
        <v>99</v>
      </c>
      <c r="M11065" t="s">
        <v>99</v>
      </c>
      <c r="N11065" t="s">
        <v>132</v>
      </c>
    </row>
    <row r="11066" spans="1:14" x14ac:dyDescent="0.3">
      <c r="A11066" t="s">
        <v>33</v>
      </c>
      <c r="B11066" t="s">
        <v>340</v>
      </c>
      <c r="C11066">
        <v>502</v>
      </c>
      <c r="D11066" t="s">
        <v>854</v>
      </c>
      <c r="E11066" t="s">
        <v>671</v>
      </c>
      <c r="F11066" t="s">
        <v>117</v>
      </c>
      <c r="G11066" t="s">
        <v>198</v>
      </c>
      <c r="H11066" t="s">
        <v>99</v>
      </c>
      <c r="I11066" t="s">
        <v>198</v>
      </c>
      <c r="J11066" t="s">
        <v>141</v>
      </c>
      <c r="K11066" t="s">
        <v>198</v>
      </c>
      <c r="L11066" t="s">
        <v>136</v>
      </c>
      <c r="M11066" t="s">
        <v>198</v>
      </c>
      <c r="N11066" t="s">
        <v>100</v>
      </c>
    </row>
    <row r="11067" spans="1:14" x14ac:dyDescent="0.3">
      <c r="A11067" t="s">
        <v>33</v>
      </c>
      <c r="B11067" t="s">
        <v>365</v>
      </c>
      <c r="C11067">
        <v>7</v>
      </c>
      <c r="D11067" t="s">
        <v>187</v>
      </c>
      <c r="E11067" t="s">
        <v>186</v>
      </c>
      <c r="F11067" t="s">
        <v>99</v>
      </c>
      <c r="G11067" t="s">
        <v>99</v>
      </c>
      <c r="H11067" t="s">
        <v>99</v>
      </c>
      <c r="I11067" t="s">
        <v>99</v>
      </c>
      <c r="J11067" t="s">
        <v>99</v>
      </c>
      <c r="K11067" t="s">
        <v>99</v>
      </c>
      <c r="L11067" t="s">
        <v>99</v>
      </c>
      <c r="M11067" t="s">
        <v>99</v>
      </c>
      <c r="N11067" t="s">
        <v>99</v>
      </c>
    </row>
    <row r="11068" spans="1:14" x14ac:dyDescent="0.3">
      <c r="A11068" t="s">
        <v>49</v>
      </c>
      <c r="B11068" t="s">
        <v>339</v>
      </c>
      <c r="C11068">
        <v>668</v>
      </c>
      <c r="D11068" t="s">
        <v>865</v>
      </c>
      <c r="E11068" t="s">
        <v>680</v>
      </c>
      <c r="F11068" t="s">
        <v>103</v>
      </c>
      <c r="G11068" t="s">
        <v>253</v>
      </c>
      <c r="H11068" t="s">
        <v>207</v>
      </c>
      <c r="I11068" t="s">
        <v>111</v>
      </c>
      <c r="J11068" t="s">
        <v>474</v>
      </c>
      <c r="K11068" t="s">
        <v>207</v>
      </c>
      <c r="L11068" t="s">
        <v>103</v>
      </c>
      <c r="M11068" t="s">
        <v>382</v>
      </c>
      <c r="N11068" t="s">
        <v>316</v>
      </c>
    </row>
    <row r="11069" spans="1:14" x14ac:dyDescent="0.3">
      <c r="A11069" t="s">
        <v>49</v>
      </c>
      <c r="B11069" t="s">
        <v>340</v>
      </c>
      <c r="C11069">
        <v>2288</v>
      </c>
      <c r="D11069" t="s">
        <v>869</v>
      </c>
      <c r="E11069" t="s">
        <v>705</v>
      </c>
      <c r="F11069" t="s">
        <v>147</v>
      </c>
      <c r="G11069" t="s">
        <v>114</v>
      </c>
      <c r="H11069" t="s">
        <v>253</v>
      </c>
      <c r="I11069" t="s">
        <v>158</v>
      </c>
      <c r="J11069" t="s">
        <v>184</v>
      </c>
      <c r="K11069" t="s">
        <v>104</v>
      </c>
      <c r="L11069" t="s">
        <v>141</v>
      </c>
      <c r="M11069" t="s">
        <v>319</v>
      </c>
      <c r="N11069" t="s">
        <v>111</v>
      </c>
    </row>
    <row r="11070" spans="1:14" x14ac:dyDescent="0.3">
      <c r="A11070" t="s">
        <v>49</v>
      </c>
      <c r="B11070" t="s">
        <v>365</v>
      </c>
      <c r="C11070">
        <v>34</v>
      </c>
      <c r="D11070" t="s">
        <v>217</v>
      </c>
      <c r="E11070" t="s">
        <v>125</v>
      </c>
      <c r="F11070" t="s">
        <v>99</v>
      </c>
      <c r="G11070" t="s">
        <v>99</v>
      </c>
      <c r="H11070" t="s">
        <v>99</v>
      </c>
      <c r="I11070" t="s">
        <v>268</v>
      </c>
      <c r="J11070" t="s">
        <v>118</v>
      </c>
      <c r="K11070" t="s">
        <v>99</v>
      </c>
      <c r="L11070" t="s">
        <v>99</v>
      </c>
      <c r="M11070" t="s">
        <v>99</v>
      </c>
      <c r="N11070" t="s">
        <v>99</v>
      </c>
    </row>
    <row r="11072" spans="1:14" x14ac:dyDescent="0.3">
      <c r="A11072" t="s">
        <v>2600</v>
      </c>
    </row>
    <row r="11073" spans="1:14" x14ac:dyDescent="0.3">
      <c r="A11073" t="s">
        <v>44</v>
      </c>
      <c r="B11073" t="s">
        <v>209</v>
      </c>
      <c r="C11073" t="s">
        <v>32</v>
      </c>
      <c r="D11073" t="s">
        <v>2588</v>
      </c>
      <c r="E11073" t="s">
        <v>2589</v>
      </c>
      <c r="F11073" t="s">
        <v>2590</v>
      </c>
      <c r="G11073" t="s">
        <v>2591</v>
      </c>
      <c r="H11073" t="s">
        <v>2592</v>
      </c>
      <c r="I11073" t="s">
        <v>2593</v>
      </c>
      <c r="J11073" t="s">
        <v>2594</v>
      </c>
      <c r="K11073" t="s">
        <v>2595</v>
      </c>
      <c r="L11073" t="s">
        <v>2596</v>
      </c>
      <c r="M11073" t="s">
        <v>2597</v>
      </c>
      <c r="N11073" t="s">
        <v>2598</v>
      </c>
    </row>
    <row r="11074" spans="1:14" x14ac:dyDescent="0.3">
      <c r="A11074" t="s">
        <v>35</v>
      </c>
      <c r="B11074" t="s">
        <v>210</v>
      </c>
      <c r="C11074">
        <v>32</v>
      </c>
      <c r="D11074" t="s">
        <v>571</v>
      </c>
      <c r="E11074" t="s">
        <v>2115</v>
      </c>
      <c r="F11074" t="s">
        <v>412</v>
      </c>
      <c r="G11074" t="s">
        <v>268</v>
      </c>
      <c r="H11074" t="s">
        <v>268</v>
      </c>
      <c r="I11074" t="s">
        <v>264</v>
      </c>
      <c r="J11074" t="s">
        <v>724</v>
      </c>
      <c r="K11074" t="s">
        <v>268</v>
      </c>
      <c r="L11074" t="s">
        <v>268</v>
      </c>
      <c r="M11074" t="s">
        <v>313</v>
      </c>
      <c r="N11074" t="s">
        <v>382</v>
      </c>
    </row>
    <row r="11075" spans="1:14" x14ac:dyDescent="0.3">
      <c r="A11075" t="s">
        <v>35</v>
      </c>
      <c r="B11075" t="s">
        <v>212</v>
      </c>
      <c r="C11075">
        <v>352</v>
      </c>
      <c r="D11075" t="s">
        <v>958</v>
      </c>
      <c r="E11075" t="s">
        <v>724</v>
      </c>
      <c r="F11075" t="s">
        <v>120</v>
      </c>
      <c r="G11075" t="s">
        <v>123</v>
      </c>
      <c r="H11075" t="s">
        <v>136</v>
      </c>
      <c r="I11075" t="s">
        <v>318</v>
      </c>
      <c r="J11075" t="s">
        <v>131</v>
      </c>
      <c r="K11075" t="s">
        <v>104</v>
      </c>
      <c r="L11075" t="s">
        <v>268</v>
      </c>
      <c r="M11075" t="s">
        <v>207</v>
      </c>
      <c r="N11075" t="s">
        <v>130</v>
      </c>
    </row>
    <row r="11076" spans="1:14" x14ac:dyDescent="0.3">
      <c r="A11076" t="s">
        <v>35</v>
      </c>
      <c r="B11076" t="s">
        <v>216</v>
      </c>
      <c r="C11076">
        <v>140</v>
      </c>
      <c r="D11076" t="s">
        <v>563</v>
      </c>
      <c r="E11076" t="s">
        <v>1148</v>
      </c>
      <c r="F11076" t="s">
        <v>101</v>
      </c>
      <c r="G11076" t="s">
        <v>104</v>
      </c>
      <c r="H11076" t="s">
        <v>99</v>
      </c>
      <c r="I11076" t="s">
        <v>743</v>
      </c>
      <c r="J11076" t="s">
        <v>425</v>
      </c>
      <c r="K11076" t="s">
        <v>99</v>
      </c>
      <c r="L11076" t="s">
        <v>136</v>
      </c>
      <c r="M11076" t="s">
        <v>107</v>
      </c>
      <c r="N11076" t="s">
        <v>382</v>
      </c>
    </row>
    <row r="11077" spans="1:14" x14ac:dyDescent="0.3">
      <c r="A11077" t="s">
        <v>37</v>
      </c>
      <c r="B11077" t="s">
        <v>210</v>
      </c>
      <c r="C11077">
        <v>63</v>
      </c>
      <c r="D11077" t="s">
        <v>1245</v>
      </c>
      <c r="E11077" t="s">
        <v>349</v>
      </c>
      <c r="F11077" t="s">
        <v>316</v>
      </c>
      <c r="G11077" t="s">
        <v>99</v>
      </c>
      <c r="H11077" t="s">
        <v>99</v>
      </c>
      <c r="I11077" t="s">
        <v>68</v>
      </c>
      <c r="J11077" t="s">
        <v>121</v>
      </c>
      <c r="K11077" t="s">
        <v>99</v>
      </c>
      <c r="L11077" t="s">
        <v>99</v>
      </c>
      <c r="M11077" t="s">
        <v>99</v>
      </c>
      <c r="N11077" t="s">
        <v>99</v>
      </c>
    </row>
    <row r="11078" spans="1:14" x14ac:dyDescent="0.3">
      <c r="A11078" t="s">
        <v>37</v>
      </c>
      <c r="B11078" t="s">
        <v>212</v>
      </c>
      <c r="C11078">
        <v>832</v>
      </c>
      <c r="D11078" t="s">
        <v>1054</v>
      </c>
      <c r="E11078" t="s">
        <v>231</v>
      </c>
      <c r="F11078" t="s">
        <v>277</v>
      </c>
      <c r="G11078" t="s">
        <v>108</v>
      </c>
      <c r="H11078" t="s">
        <v>104</v>
      </c>
      <c r="I11078" t="s">
        <v>101</v>
      </c>
      <c r="J11078" t="s">
        <v>128</v>
      </c>
      <c r="K11078" t="s">
        <v>207</v>
      </c>
      <c r="L11078" t="s">
        <v>141</v>
      </c>
      <c r="M11078" t="s">
        <v>117</v>
      </c>
      <c r="N11078" t="s">
        <v>157</v>
      </c>
    </row>
    <row r="11079" spans="1:14" x14ac:dyDescent="0.3">
      <c r="A11079" t="s">
        <v>37</v>
      </c>
      <c r="B11079" t="s">
        <v>216</v>
      </c>
      <c r="C11079">
        <v>44</v>
      </c>
      <c r="D11079" t="s">
        <v>77</v>
      </c>
      <c r="E11079" t="s">
        <v>277</v>
      </c>
      <c r="F11079" t="s">
        <v>109</v>
      </c>
      <c r="G11079" t="s">
        <v>99</v>
      </c>
      <c r="H11079" t="s">
        <v>99</v>
      </c>
      <c r="I11079" t="s">
        <v>99</v>
      </c>
      <c r="J11079" t="s">
        <v>41</v>
      </c>
      <c r="K11079" t="s">
        <v>99</v>
      </c>
      <c r="L11079" t="s">
        <v>99</v>
      </c>
      <c r="M11079" t="s">
        <v>99</v>
      </c>
      <c r="N11079" t="s">
        <v>99</v>
      </c>
    </row>
    <row r="11080" spans="1:14" x14ac:dyDescent="0.3">
      <c r="A11080" t="s">
        <v>36</v>
      </c>
      <c r="B11080" t="s">
        <v>210</v>
      </c>
      <c r="C11080">
        <v>47</v>
      </c>
      <c r="D11080" t="s">
        <v>396</v>
      </c>
      <c r="E11080" t="s">
        <v>175</v>
      </c>
      <c r="F11080" t="s">
        <v>99</v>
      </c>
      <c r="G11080" t="s">
        <v>104</v>
      </c>
      <c r="H11080" t="s">
        <v>136</v>
      </c>
      <c r="I11080" t="s">
        <v>99</v>
      </c>
      <c r="J11080" t="s">
        <v>136</v>
      </c>
      <c r="K11080" t="s">
        <v>99</v>
      </c>
      <c r="L11080" t="s">
        <v>292</v>
      </c>
      <c r="M11080" t="s">
        <v>99</v>
      </c>
      <c r="N11080" t="s">
        <v>99</v>
      </c>
    </row>
    <row r="11081" spans="1:14" x14ac:dyDescent="0.3">
      <c r="A11081" t="s">
        <v>36</v>
      </c>
      <c r="B11081" t="s">
        <v>212</v>
      </c>
      <c r="C11081">
        <v>255</v>
      </c>
      <c r="D11081" t="s">
        <v>865</v>
      </c>
      <c r="E11081" t="s">
        <v>233</v>
      </c>
      <c r="F11081" t="s">
        <v>151</v>
      </c>
      <c r="G11081" t="s">
        <v>207</v>
      </c>
      <c r="H11081" t="s">
        <v>104</v>
      </c>
      <c r="I11081" t="s">
        <v>104</v>
      </c>
      <c r="J11081" t="s">
        <v>142</v>
      </c>
      <c r="K11081" t="s">
        <v>99</v>
      </c>
      <c r="L11081" t="s">
        <v>104</v>
      </c>
      <c r="M11081" t="s">
        <v>268</v>
      </c>
      <c r="N11081" t="s">
        <v>104</v>
      </c>
    </row>
    <row r="11082" spans="1:14" x14ac:dyDescent="0.3">
      <c r="A11082" t="s">
        <v>36</v>
      </c>
      <c r="B11082" t="s">
        <v>216</v>
      </c>
      <c r="C11082">
        <v>75</v>
      </c>
      <c r="D11082" t="s">
        <v>494</v>
      </c>
      <c r="E11082" t="s">
        <v>393</v>
      </c>
      <c r="F11082" t="s">
        <v>740</v>
      </c>
      <c r="G11082" t="s">
        <v>104</v>
      </c>
      <c r="H11082" t="s">
        <v>141</v>
      </c>
      <c r="I11082" t="s">
        <v>122</v>
      </c>
      <c r="J11082" t="s">
        <v>726</v>
      </c>
      <c r="K11082" t="s">
        <v>99</v>
      </c>
      <c r="L11082" t="s">
        <v>104</v>
      </c>
      <c r="M11082" t="s">
        <v>99</v>
      </c>
      <c r="N11082" t="s">
        <v>201</v>
      </c>
    </row>
    <row r="11083" spans="1:14" x14ac:dyDescent="0.3">
      <c r="A11083" t="s">
        <v>34</v>
      </c>
      <c r="B11083" t="s">
        <v>210</v>
      </c>
      <c r="C11083">
        <v>74</v>
      </c>
      <c r="D11083" t="s">
        <v>226</v>
      </c>
      <c r="E11083" t="s">
        <v>117</v>
      </c>
      <c r="F11083" t="s">
        <v>99</v>
      </c>
      <c r="G11083" t="s">
        <v>99</v>
      </c>
      <c r="H11083" t="s">
        <v>127</v>
      </c>
      <c r="I11083" t="s">
        <v>99</v>
      </c>
      <c r="J11083" t="s">
        <v>99</v>
      </c>
      <c r="K11083" t="s">
        <v>99</v>
      </c>
      <c r="L11083" t="s">
        <v>100</v>
      </c>
      <c r="M11083" t="s">
        <v>99</v>
      </c>
      <c r="N11083" t="s">
        <v>127</v>
      </c>
    </row>
    <row r="11084" spans="1:14" x14ac:dyDescent="0.3">
      <c r="A11084" t="s">
        <v>34</v>
      </c>
      <c r="B11084" t="s">
        <v>212</v>
      </c>
      <c r="C11084">
        <v>368</v>
      </c>
      <c r="D11084" t="s">
        <v>205</v>
      </c>
      <c r="E11084" t="s">
        <v>363</v>
      </c>
      <c r="F11084" t="s">
        <v>104</v>
      </c>
      <c r="G11084" t="s">
        <v>382</v>
      </c>
      <c r="H11084" t="s">
        <v>132</v>
      </c>
      <c r="I11084" t="s">
        <v>115</v>
      </c>
      <c r="J11084" t="s">
        <v>100</v>
      </c>
      <c r="K11084" t="s">
        <v>99</v>
      </c>
      <c r="L11084" t="s">
        <v>198</v>
      </c>
      <c r="M11084" t="s">
        <v>99</v>
      </c>
      <c r="N11084" t="s">
        <v>127</v>
      </c>
    </row>
    <row r="11085" spans="1:14" x14ac:dyDescent="0.3">
      <c r="A11085" t="s">
        <v>34</v>
      </c>
      <c r="B11085" t="s">
        <v>216</v>
      </c>
      <c r="C11085">
        <v>71</v>
      </c>
      <c r="D11085" t="s">
        <v>1027</v>
      </c>
      <c r="E11085" t="s">
        <v>182</v>
      </c>
      <c r="F11085" t="s">
        <v>99</v>
      </c>
      <c r="G11085" t="s">
        <v>105</v>
      </c>
      <c r="H11085" t="s">
        <v>412</v>
      </c>
      <c r="I11085" t="s">
        <v>120</v>
      </c>
      <c r="J11085" t="s">
        <v>99</v>
      </c>
      <c r="K11085" t="s">
        <v>99</v>
      </c>
      <c r="L11085" t="s">
        <v>663</v>
      </c>
      <c r="M11085" t="s">
        <v>124</v>
      </c>
      <c r="N11085" t="s">
        <v>120</v>
      </c>
    </row>
    <row r="11086" spans="1:14" s="5" customFormat="1" x14ac:dyDescent="0.3">
      <c r="A11086" s="5" t="s">
        <v>33</v>
      </c>
      <c r="B11086" s="5" t="s">
        <v>210</v>
      </c>
      <c r="C11086" s="5">
        <v>22</v>
      </c>
      <c r="D11086" s="5" t="s">
        <v>1253</v>
      </c>
      <c r="E11086" s="5" t="s">
        <v>673</v>
      </c>
      <c r="F11086" s="5" t="s">
        <v>118</v>
      </c>
      <c r="G11086" s="5" t="s">
        <v>99</v>
      </c>
      <c r="H11086" s="5" t="s">
        <v>99</v>
      </c>
      <c r="I11086" s="5" t="s">
        <v>99</v>
      </c>
      <c r="J11086" s="5" t="s">
        <v>99</v>
      </c>
      <c r="K11086" s="5" t="s">
        <v>99</v>
      </c>
      <c r="L11086" s="5" t="s">
        <v>99</v>
      </c>
      <c r="M11086" s="5" t="s">
        <v>99</v>
      </c>
      <c r="N11086" s="5" t="s">
        <v>99</v>
      </c>
    </row>
    <row r="11087" spans="1:14" x14ac:dyDescent="0.3">
      <c r="A11087" t="s">
        <v>33</v>
      </c>
      <c r="B11087" t="s">
        <v>212</v>
      </c>
      <c r="C11087">
        <v>585</v>
      </c>
      <c r="D11087" t="s">
        <v>966</v>
      </c>
      <c r="E11087" t="s">
        <v>461</v>
      </c>
      <c r="F11087" t="s">
        <v>292</v>
      </c>
      <c r="G11087" t="s">
        <v>198</v>
      </c>
      <c r="H11087" t="s">
        <v>99</v>
      </c>
      <c r="I11087" t="s">
        <v>136</v>
      </c>
      <c r="J11087" t="s">
        <v>198</v>
      </c>
      <c r="K11087" t="s">
        <v>198</v>
      </c>
      <c r="L11087" t="s">
        <v>198</v>
      </c>
      <c r="M11087" t="s">
        <v>99</v>
      </c>
      <c r="N11087" t="s">
        <v>108</v>
      </c>
    </row>
    <row r="11088" spans="1:14" s="5" customFormat="1" x14ac:dyDescent="0.3">
      <c r="A11088" s="5" t="s">
        <v>33</v>
      </c>
      <c r="B11088" s="5" t="s">
        <v>216</v>
      </c>
      <c r="C11088" s="5">
        <v>30</v>
      </c>
      <c r="D11088" s="5" t="s">
        <v>520</v>
      </c>
      <c r="E11088" s="5" t="s">
        <v>355</v>
      </c>
      <c r="F11088" s="5" t="s">
        <v>134</v>
      </c>
      <c r="G11088" s="5" t="s">
        <v>99</v>
      </c>
      <c r="H11088" s="5" t="s">
        <v>99</v>
      </c>
      <c r="I11088" s="5" t="s">
        <v>99</v>
      </c>
      <c r="J11088" s="5" t="s">
        <v>712</v>
      </c>
      <c r="K11088" s="5" t="s">
        <v>99</v>
      </c>
      <c r="L11088" s="5" t="s">
        <v>134</v>
      </c>
      <c r="M11088" s="5" t="s">
        <v>155</v>
      </c>
      <c r="N11088" s="5" t="s">
        <v>134</v>
      </c>
    </row>
    <row r="11089" spans="1:14" x14ac:dyDescent="0.3">
      <c r="A11089" t="s">
        <v>49</v>
      </c>
      <c r="B11089" t="s">
        <v>210</v>
      </c>
      <c r="C11089">
        <v>238</v>
      </c>
      <c r="D11089" t="s">
        <v>1060</v>
      </c>
      <c r="E11089" t="s">
        <v>807</v>
      </c>
      <c r="F11089" t="s">
        <v>123</v>
      </c>
      <c r="G11089" t="s">
        <v>141</v>
      </c>
      <c r="H11089" t="s">
        <v>121</v>
      </c>
      <c r="I11089" t="s">
        <v>129</v>
      </c>
      <c r="J11089" t="s">
        <v>328</v>
      </c>
      <c r="K11089" t="s">
        <v>141</v>
      </c>
      <c r="L11089" t="s">
        <v>121</v>
      </c>
      <c r="M11089" t="s">
        <v>111</v>
      </c>
      <c r="N11089" t="s">
        <v>114</v>
      </c>
    </row>
    <row r="11090" spans="1:14" x14ac:dyDescent="0.3">
      <c r="A11090" t="s">
        <v>49</v>
      </c>
      <c r="B11090" t="s">
        <v>212</v>
      </c>
      <c r="C11090">
        <v>2392</v>
      </c>
      <c r="D11090" t="s">
        <v>1515</v>
      </c>
      <c r="E11090" t="s">
        <v>244</v>
      </c>
      <c r="F11090" t="s">
        <v>120</v>
      </c>
      <c r="G11090" t="s">
        <v>114</v>
      </c>
      <c r="H11090" t="s">
        <v>207</v>
      </c>
      <c r="I11090" t="s">
        <v>105</v>
      </c>
      <c r="J11090" t="s">
        <v>468</v>
      </c>
      <c r="K11090" t="s">
        <v>198</v>
      </c>
      <c r="L11090" t="s">
        <v>253</v>
      </c>
      <c r="M11090" t="s">
        <v>114</v>
      </c>
      <c r="N11090" t="s">
        <v>268</v>
      </c>
    </row>
    <row r="11091" spans="1:14" x14ac:dyDescent="0.3">
      <c r="A11091" t="s">
        <v>49</v>
      </c>
      <c r="B11091" t="s">
        <v>216</v>
      </c>
      <c r="C11091">
        <v>360</v>
      </c>
      <c r="D11091" t="s">
        <v>1331</v>
      </c>
      <c r="E11091" t="s">
        <v>860</v>
      </c>
      <c r="F11091" t="s">
        <v>157</v>
      </c>
      <c r="G11091" t="s">
        <v>132</v>
      </c>
      <c r="H11091" t="s">
        <v>121</v>
      </c>
      <c r="I11091" t="s">
        <v>206</v>
      </c>
      <c r="J11091" t="s">
        <v>218</v>
      </c>
      <c r="K11091" t="s">
        <v>99</v>
      </c>
      <c r="L11091" t="s">
        <v>151</v>
      </c>
      <c r="M11091" t="s">
        <v>105</v>
      </c>
      <c r="N11091" t="s">
        <v>107</v>
      </c>
    </row>
    <row r="11093" spans="1:14" x14ac:dyDescent="0.3">
      <c r="A11093" t="s">
        <v>2601</v>
      </c>
    </row>
    <row r="11094" spans="1:14" x14ac:dyDescent="0.3">
      <c r="A11094" t="s">
        <v>44</v>
      </c>
      <c r="B11094" t="s">
        <v>388</v>
      </c>
      <c r="C11094" t="s">
        <v>32</v>
      </c>
      <c r="D11094" t="s">
        <v>2588</v>
      </c>
      <c r="E11094" t="s">
        <v>2589</v>
      </c>
      <c r="F11094" t="s">
        <v>2590</v>
      </c>
      <c r="G11094" t="s">
        <v>2591</v>
      </c>
      <c r="H11094" t="s">
        <v>2592</v>
      </c>
      <c r="I11094" t="s">
        <v>2593</v>
      </c>
      <c r="J11094" t="s">
        <v>2594</v>
      </c>
      <c r="K11094" t="s">
        <v>2595</v>
      </c>
      <c r="L11094" t="s">
        <v>2596</v>
      </c>
      <c r="M11094" t="s">
        <v>2597</v>
      </c>
      <c r="N11094" t="s">
        <v>2598</v>
      </c>
    </row>
    <row r="11095" spans="1:14" x14ac:dyDescent="0.3">
      <c r="A11095" t="s">
        <v>35</v>
      </c>
      <c r="B11095" t="s">
        <v>389</v>
      </c>
      <c r="C11095">
        <v>371</v>
      </c>
      <c r="D11095" t="s">
        <v>1106</v>
      </c>
      <c r="E11095" t="s">
        <v>840</v>
      </c>
      <c r="F11095" t="s">
        <v>128</v>
      </c>
      <c r="G11095" t="s">
        <v>215</v>
      </c>
      <c r="H11095" t="s">
        <v>207</v>
      </c>
      <c r="I11095" t="s">
        <v>303</v>
      </c>
      <c r="J11095" t="s">
        <v>517</v>
      </c>
      <c r="K11095" t="s">
        <v>207</v>
      </c>
      <c r="L11095" t="s">
        <v>127</v>
      </c>
      <c r="M11095" t="s">
        <v>126</v>
      </c>
      <c r="N11095" t="s">
        <v>154</v>
      </c>
    </row>
    <row r="11096" spans="1:14" x14ac:dyDescent="0.3">
      <c r="A11096" t="s">
        <v>35</v>
      </c>
      <c r="B11096" t="s">
        <v>390</v>
      </c>
      <c r="C11096">
        <v>117</v>
      </c>
      <c r="D11096" t="s">
        <v>1224</v>
      </c>
      <c r="E11096" t="s">
        <v>508</v>
      </c>
      <c r="F11096" t="s">
        <v>101</v>
      </c>
      <c r="G11096" t="s">
        <v>99</v>
      </c>
      <c r="H11096" t="s">
        <v>121</v>
      </c>
      <c r="I11096" t="s">
        <v>664</v>
      </c>
      <c r="J11096" t="s">
        <v>74</v>
      </c>
      <c r="K11096" t="s">
        <v>99</v>
      </c>
      <c r="L11096" t="s">
        <v>121</v>
      </c>
      <c r="M11096" t="s">
        <v>141</v>
      </c>
      <c r="N11096" t="s">
        <v>101</v>
      </c>
    </row>
    <row r="11097" spans="1:14" x14ac:dyDescent="0.3">
      <c r="A11097" t="s">
        <v>35</v>
      </c>
      <c r="B11097" t="s">
        <v>365</v>
      </c>
      <c r="C11097">
        <v>36</v>
      </c>
      <c r="D11097" t="s">
        <v>624</v>
      </c>
      <c r="E11097" t="s">
        <v>564</v>
      </c>
      <c r="F11097" t="s">
        <v>120</v>
      </c>
      <c r="G11097" t="s">
        <v>99</v>
      </c>
      <c r="H11097" t="s">
        <v>99</v>
      </c>
      <c r="I11097" t="s">
        <v>188</v>
      </c>
      <c r="J11097" t="s">
        <v>960</v>
      </c>
      <c r="K11097" t="s">
        <v>99</v>
      </c>
      <c r="L11097" t="s">
        <v>99</v>
      </c>
      <c r="M11097" t="s">
        <v>705</v>
      </c>
      <c r="N11097" t="s">
        <v>99</v>
      </c>
    </row>
    <row r="11098" spans="1:14" x14ac:dyDescent="0.3">
      <c r="A11098" t="s">
        <v>37</v>
      </c>
      <c r="B11098" t="s">
        <v>389</v>
      </c>
      <c r="C11098">
        <v>599</v>
      </c>
      <c r="D11098" t="s">
        <v>1174</v>
      </c>
      <c r="E11098" t="s">
        <v>718</v>
      </c>
      <c r="F11098" t="s">
        <v>130</v>
      </c>
      <c r="G11098" t="s">
        <v>132</v>
      </c>
      <c r="H11098" t="s">
        <v>99</v>
      </c>
      <c r="I11098" t="s">
        <v>123</v>
      </c>
      <c r="J11098" t="s">
        <v>123</v>
      </c>
      <c r="K11098" t="s">
        <v>198</v>
      </c>
      <c r="L11098" t="s">
        <v>141</v>
      </c>
      <c r="M11098" t="s">
        <v>319</v>
      </c>
      <c r="N11098" t="s">
        <v>117</v>
      </c>
    </row>
    <row r="11099" spans="1:14" x14ac:dyDescent="0.3">
      <c r="A11099" t="s">
        <v>37</v>
      </c>
      <c r="B11099" t="s">
        <v>390</v>
      </c>
      <c r="C11099">
        <v>257</v>
      </c>
      <c r="D11099" t="s">
        <v>869</v>
      </c>
      <c r="E11099" t="s">
        <v>737</v>
      </c>
      <c r="F11099" t="s">
        <v>78</v>
      </c>
      <c r="G11099" t="s">
        <v>114</v>
      </c>
      <c r="H11099" t="s">
        <v>99</v>
      </c>
      <c r="I11099" t="s">
        <v>115</v>
      </c>
      <c r="J11099" t="s">
        <v>434</v>
      </c>
      <c r="K11099" t="s">
        <v>99</v>
      </c>
      <c r="L11099" t="s">
        <v>207</v>
      </c>
      <c r="M11099" t="s">
        <v>316</v>
      </c>
      <c r="N11099" t="s">
        <v>128</v>
      </c>
    </row>
    <row r="11100" spans="1:14" x14ac:dyDescent="0.3">
      <c r="A11100" t="s">
        <v>37</v>
      </c>
      <c r="B11100" t="s">
        <v>365</v>
      </c>
      <c r="C11100">
        <v>83</v>
      </c>
      <c r="D11100" t="s">
        <v>1047</v>
      </c>
      <c r="E11100" t="s">
        <v>177</v>
      </c>
      <c r="F11100" t="s">
        <v>107</v>
      </c>
      <c r="G11100" t="s">
        <v>99</v>
      </c>
      <c r="H11100" t="s">
        <v>132</v>
      </c>
      <c r="I11100" t="s">
        <v>215</v>
      </c>
      <c r="J11100" t="s">
        <v>242</v>
      </c>
      <c r="K11100" t="s">
        <v>123</v>
      </c>
      <c r="L11100" t="s">
        <v>99</v>
      </c>
      <c r="M11100" t="s">
        <v>242</v>
      </c>
      <c r="N11100" t="s">
        <v>277</v>
      </c>
    </row>
    <row r="11101" spans="1:14" x14ac:dyDescent="0.3">
      <c r="A11101" t="s">
        <v>36</v>
      </c>
      <c r="B11101" t="s">
        <v>389</v>
      </c>
      <c r="C11101">
        <v>266</v>
      </c>
      <c r="D11101" t="s">
        <v>1132</v>
      </c>
      <c r="E11101" t="s">
        <v>233</v>
      </c>
      <c r="F11101" t="s">
        <v>277</v>
      </c>
      <c r="G11101" t="s">
        <v>198</v>
      </c>
      <c r="H11101" t="s">
        <v>198</v>
      </c>
      <c r="I11101" t="s">
        <v>382</v>
      </c>
      <c r="J11101" t="s">
        <v>804</v>
      </c>
      <c r="K11101" t="s">
        <v>99</v>
      </c>
      <c r="L11101" t="s">
        <v>253</v>
      </c>
      <c r="M11101" t="s">
        <v>127</v>
      </c>
      <c r="N11101" t="s">
        <v>105</v>
      </c>
    </row>
    <row r="11102" spans="1:14" x14ac:dyDescent="0.3">
      <c r="A11102" t="s">
        <v>36</v>
      </c>
      <c r="B11102" t="s">
        <v>390</v>
      </c>
      <c r="C11102">
        <v>84</v>
      </c>
      <c r="D11102" t="s">
        <v>518</v>
      </c>
      <c r="E11102" t="s">
        <v>393</v>
      </c>
      <c r="F11102" t="s">
        <v>118</v>
      </c>
      <c r="G11102" t="s">
        <v>207</v>
      </c>
      <c r="H11102" t="s">
        <v>99</v>
      </c>
      <c r="I11102" t="s">
        <v>99</v>
      </c>
      <c r="J11102" t="s">
        <v>470</v>
      </c>
      <c r="K11102" t="s">
        <v>99</v>
      </c>
      <c r="L11102" t="s">
        <v>99</v>
      </c>
      <c r="M11102" t="s">
        <v>126</v>
      </c>
      <c r="N11102" t="s">
        <v>99</v>
      </c>
    </row>
    <row r="11103" spans="1:14" x14ac:dyDescent="0.3">
      <c r="A11103" t="s">
        <v>36</v>
      </c>
      <c r="B11103" t="s">
        <v>365</v>
      </c>
      <c r="C11103">
        <v>27</v>
      </c>
      <c r="D11103" t="s">
        <v>845</v>
      </c>
      <c r="E11103" t="s">
        <v>294</v>
      </c>
      <c r="F11103" t="s">
        <v>99</v>
      </c>
      <c r="G11103" t="s">
        <v>99</v>
      </c>
      <c r="H11103" t="s">
        <v>115</v>
      </c>
      <c r="I11103" t="s">
        <v>99</v>
      </c>
      <c r="J11103" t="s">
        <v>99</v>
      </c>
      <c r="K11103" t="s">
        <v>99</v>
      </c>
      <c r="L11103" t="s">
        <v>99</v>
      </c>
      <c r="M11103" t="s">
        <v>99</v>
      </c>
      <c r="N11103" t="s">
        <v>99</v>
      </c>
    </row>
    <row r="11104" spans="1:14" x14ac:dyDescent="0.3">
      <c r="A11104" t="s">
        <v>34</v>
      </c>
      <c r="B11104" t="s">
        <v>389</v>
      </c>
      <c r="C11104">
        <v>351</v>
      </c>
      <c r="D11104" t="s">
        <v>320</v>
      </c>
      <c r="E11104" t="s">
        <v>248</v>
      </c>
      <c r="F11104" t="s">
        <v>104</v>
      </c>
      <c r="G11104" t="s">
        <v>126</v>
      </c>
      <c r="H11104" t="s">
        <v>253</v>
      </c>
      <c r="I11104" t="s">
        <v>121</v>
      </c>
      <c r="J11104" t="s">
        <v>115</v>
      </c>
      <c r="K11104" t="s">
        <v>99</v>
      </c>
      <c r="L11104" t="s">
        <v>292</v>
      </c>
      <c r="M11104" t="s">
        <v>319</v>
      </c>
      <c r="N11104" t="s">
        <v>111</v>
      </c>
    </row>
    <row r="11105" spans="1:14" x14ac:dyDescent="0.3">
      <c r="A11105" t="s">
        <v>34</v>
      </c>
      <c r="B11105" t="s">
        <v>390</v>
      </c>
      <c r="C11105">
        <v>136</v>
      </c>
      <c r="D11105" t="s">
        <v>187</v>
      </c>
      <c r="E11105" t="s">
        <v>122</v>
      </c>
      <c r="F11105" t="s">
        <v>99</v>
      </c>
      <c r="G11105" t="s">
        <v>292</v>
      </c>
      <c r="H11105" t="s">
        <v>412</v>
      </c>
      <c r="I11105" t="s">
        <v>136</v>
      </c>
      <c r="J11105" t="s">
        <v>114</v>
      </c>
      <c r="K11105" t="s">
        <v>99</v>
      </c>
      <c r="L11105" t="s">
        <v>99</v>
      </c>
      <c r="M11105" t="s">
        <v>99</v>
      </c>
      <c r="N11105" t="s">
        <v>127</v>
      </c>
    </row>
    <row r="11106" spans="1:14" x14ac:dyDescent="0.3">
      <c r="A11106" t="s">
        <v>34</v>
      </c>
      <c r="B11106" t="s">
        <v>365</v>
      </c>
      <c r="C11106">
        <v>26</v>
      </c>
      <c r="D11106" t="s">
        <v>211</v>
      </c>
      <c r="E11106" t="s">
        <v>99</v>
      </c>
      <c r="F11106" t="s">
        <v>99</v>
      </c>
      <c r="G11106" t="s">
        <v>99</v>
      </c>
      <c r="H11106" t="s">
        <v>99</v>
      </c>
      <c r="I11106" t="s">
        <v>99</v>
      </c>
      <c r="J11106" t="s">
        <v>99</v>
      </c>
      <c r="K11106" t="s">
        <v>99</v>
      </c>
      <c r="L11106" t="s">
        <v>99</v>
      </c>
      <c r="M11106" t="s">
        <v>99</v>
      </c>
      <c r="N11106" t="s">
        <v>99</v>
      </c>
    </row>
    <row r="11107" spans="1:14" x14ac:dyDescent="0.3">
      <c r="A11107" t="s">
        <v>33</v>
      </c>
      <c r="B11107" t="s">
        <v>389</v>
      </c>
      <c r="C11107">
        <v>368</v>
      </c>
      <c r="D11107" t="s">
        <v>447</v>
      </c>
      <c r="E11107" t="s">
        <v>296</v>
      </c>
      <c r="F11107" t="s">
        <v>107</v>
      </c>
      <c r="G11107" t="s">
        <v>207</v>
      </c>
      <c r="H11107" t="s">
        <v>99</v>
      </c>
      <c r="I11107" t="s">
        <v>207</v>
      </c>
      <c r="J11107" t="s">
        <v>115</v>
      </c>
      <c r="K11107" t="s">
        <v>207</v>
      </c>
      <c r="L11107" t="s">
        <v>99</v>
      </c>
      <c r="M11107" t="s">
        <v>207</v>
      </c>
      <c r="N11107" t="s">
        <v>253</v>
      </c>
    </row>
    <row r="11108" spans="1:14" x14ac:dyDescent="0.3">
      <c r="A11108" t="s">
        <v>33</v>
      </c>
      <c r="B11108" t="s">
        <v>390</v>
      </c>
      <c r="C11108">
        <v>204</v>
      </c>
      <c r="D11108" t="s">
        <v>232</v>
      </c>
      <c r="E11108" t="s">
        <v>420</v>
      </c>
      <c r="F11108" t="s">
        <v>382</v>
      </c>
      <c r="G11108" t="s">
        <v>99</v>
      </c>
      <c r="H11108" t="s">
        <v>99</v>
      </c>
      <c r="I11108" t="s">
        <v>99</v>
      </c>
      <c r="J11108" t="s">
        <v>99</v>
      </c>
      <c r="K11108" t="s">
        <v>99</v>
      </c>
      <c r="L11108" t="s">
        <v>99</v>
      </c>
      <c r="M11108" t="s">
        <v>99</v>
      </c>
      <c r="N11108" t="s">
        <v>126</v>
      </c>
    </row>
    <row r="11109" spans="1:14" x14ac:dyDescent="0.3">
      <c r="A11109" t="s">
        <v>33</v>
      </c>
      <c r="B11109" t="s">
        <v>365</v>
      </c>
      <c r="C11109">
        <v>65</v>
      </c>
      <c r="D11109" t="s">
        <v>772</v>
      </c>
      <c r="E11109" t="s">
        <v>255</v>
      </c>
      <c r="F11109" t="s">
        <v>99</v>
      </c>
      <c r="G11109" t="s">
        <v>99</v>
      </c>
      <c r="H11109" t="s">
        <v>99</v>
      </c>
      <c r="I11109" t="s">
        <v>268</v>
      </c>
      <c r="J11109" t="s">
        <v>99</v>
      </c>
      <c r="K11109" t="s">
        <v>99</v>
      </c>
      <c r="L11109" t="s">
        <v>118</v>
      </c>
      <c r="M11109" t="s">
        <v>99</v>
      </c>
      <c r="N11109" t="s">
        <v>151</v>
      </c>
    </row>
    <row r="11110" spans="1:14" x14ac:dyDescent="0.3">
      <c r="A11110" t="s">
        <v>49</v>
      </c>
      <c r="B11110" t="s">
        <v>389</v>
      </c>
      <c r="C11110">
        <v>1955</v>
      </c>
      <c r="D11110" t="s">
        <v>1457</v>
      </c>
      <c r="E11110" t="s">
        <v>440</v>
      </c>
      <c r="F11110" t="s">
        <v>128</v>
      </c>
      <c r="G11110" t="s">
        <v>100</v>
      </c>
      <c r="H11110" t="s">
        <v>198</v>
      </c>
      <c r="I11110" t="s">
        <v>204</v>
      </c>
      <c r="J11110" t="s">
        <v>401</v>
      </c>
      <c r="K11110" t="s">
        <v>198</v>
      </c>
      <c r="L11110" t="s">
        <v>100</v>
      </c>
      <c r="M11110" t="s">
        <v>101</v>
      </c>
      <c r="N11110" t="s">
        <v>117</v>
      </c>
    </row>
    <row r="11111" spans="1:14" x14ac:dyDescent="0.3">
      <c r="A11111" t="s">
        <v>49</v>
      </c>
      <c r="B11111" t="s">
        <v>390</v>
      </c>
      <c r="C11111">
        <v>798</v>
      </c>
      <c r="D11111" t="s">
        <v>1478</v>
      </c>
      <c r="E11111" t="s">
        <v>179</v>
      </c>
      <c r="F11111" t="s">
        <v>105</v>
      </c>
      <c r="G11111" t="s">
        <v>132</v>
      </c>
      <c r="H11111" t="s">
        <v>101</v>
      </c>
      <c r="I11111" t="s">
        <v>319</v>
      </c>
      <c r="J11111" t="s">
        <v>157</v>
      </c>
      <c r="K11111" t="s">
        <v>99</v>
      </c>
      <c r="L11111" t="s">
        <v>207</v>
      </c>
      <c r="M11111" t="s">
        <v>114</v>
      </c>
      <c r="N11111" t="s">
        <v>127</v>
      </c>
    </row>
    <row r="11112" spans="1:14" x14ac:dyDescent="0.3">
      <c r="A11112" t="s">
        <v>49</v>
      </c>
      <c r="B11112" t="s">
        <v>365</v>
      </c>
      <c r="C11112">
        <v>237</v>
      </c>
      <c r="D11112" t="s">
        <v>985</v>
      </c>
      <c r="E11112" t="s">
        <v>748</v>
      </c>
      <c r="F11112" t="s">
        <v>126</v>
      </c>
      <c r="G11112" t="s">
        <v>99</v>
      </c>
      <c r="H11112" t="s">
        <v>207</v>
      </c>
      <c r="I11112" t="s">
        <v>712</v>
      </c>
      <c r="J11112" t="s">
        <v>122</v>
      </c>
      <c r="K11112" t="s">
        <v>253</v>
      </c>
      <c r="L11112" t="s">
        <v>108</v>
      </c>
      <c r="M11112" t="s">
        <v>139</v>
      </c>
      <c r="N11112" t="s">
        <v>111</v>
      </c>
    </row>
    <row r="11114" spans="1:14" x14ac:dyDescent="0.3">
      <c r="A11114" t="s">
        <v>2602</v>
      </c>
    </row>
    <row r="11115" spans="1:14" x14ac:dyDescent="0.3">
      <c r="A11115" t="s">
        <v>44</v>
      </c>
      <c r="B11115" t="s">
        <v>235</v>
      </c>
      <c r="C11115" t="s">
        <v>32</v>
      </c>
      <c r="D11115" t="s">
        <v>2588</v>
      </c>
      <c r="E11115" t="s">
        <v>2589</v>
      </c>
      <c r="F11115" t="s">
        <v>2590</v>
      </c>
      <c r="G11115" t="s">
        <v>2591</v>
      </c>
      <c r="H11115" t="s">
        <v>2592</v>
      </c>
      <c r="I11115" t="s">
        <v>2593</v>
      </c>
      <c r="J11115" t="s">
        <v>2594</v>
      </c>
      <c r="K11115" t="s">
        <v>2595</v>
      </c>
      <c r="L11115" t="s">
        <v>2596</v>
      </c>
      <c r="M11115" t="s">
        <v>2597</v>
      </c>
      <c r="N11115" t="s">
        <v>2598</v>
      </c>
    </row>
    <row r="11116" spans="1:14" x14ac:dyDescent="0.3">
      <c r="A11116" t="s">
        <v>35</v>
      </c>
      <c r="B11116" t="s">
        <v>236</v>
      </c>
      <c r="C11116">
        <v>189</v>
      </c>
      <c r="D11116" t="s">
        <v>761</v>
      </c>
      <c r="E11116" t="s">
        <v>262</v>
      </c>
      <c r="F11116" t="s">
        <v>117</v>
      </c>
      <c r="G11116" t="s">
        <v>101</v>
      </c>
      <c r="H11116" t="s">
        <v>207</v>
      </c>
      <c r="I11116" t="s">
        <v>157</v>
      </c>
      <c r="J11116" t="s">
        <v>215</v>
      </c>
      <c r="K11116" t="s">
        <v>207</v>
      </c>
      <c r="L11116" t="s">
        <v>99</v>
      </c>
      <c r="M11116" t="s">
        <v>121</v>
      </c>
      <c r="N11116" t="s">
        <v>128</v>
      </c>
    </row>
    <row r="11117" spans="1:14" x14ac:dyDescent="0.3">
      <c r="A11117" t="s">
        <v>35</v>
      </c>
      <c r="B11117" t="s">
        <v>238</v>
      </c>
      <c r="C11117">
        <v>335</v>
      </c>
      <c r="D11117" t="s">
        <v>818</v>
      </c>
      <c r="E11117" t="s">
        <v>647</v>
      </c>
      <c r="F11117" t="s">
        <v>103</v>
      </c>
      <c r="G11117" t="s">
        <v>319</v>
      </c>
      <c r="H11117" t="s">
        <v>141</v>
      </c>
      <c r="I11117" t="s">
        <v>673</v>
      </c>
      <c r="J11117" t="s">
        <v>276</v>
      </c>
      <c r="K11117" t="s">
        <v>198</v>
      </c>
      <c r="L11117" t="s">
        <v>123</v>
      </c>
      <c r="M11117" t="s">
        <v>117</v>
      </c>
      <c r="N11117" t="s">
        <v>157</v>
      </c>
    </row>
    <row r="11118" spans="1:14" x14ac:dyDescent="0.3">
      <c r="A11118" t="s">
        <v>37</v>
      </c>
      <c r="B11118" t="s">
        <v>236</v>
      </c>
      <c r="C11118">
        <v>331</v>
      </c>
      <c r="D11118" t="s">
        <v>59</v>
      </c>
      <c r="E11118" t="s">
        <v>444</v>
      </c>
      <c r="F11118" t="s">
        <v>158</v>
      </c>
      <c r="G11118" t="s">
        <v>126</v>
      </c>
      <c r="H11118" t="s">
        <v>99</v>
      </c>
      <c r="I11118" t="s">
        <v>207</v>
      </c>
      <c r="J11118" t="s">
        <v>154</v>
      </c>
      <c r="K11118" t="s">
        <v>99</v>
      </c>
      <c r="L11118" t="s">
        <v>141</v>
      </c>
      <c r="M11118" t="s">
        <v>319</v>
      </c>
      <c r="N11118" t="s">
        <v>474</v>
      </c>
    </row>
    <row r="11119" spans="1:14" x14ac:dyDescent="0.3">
      <c r="A11119" t="s">
        <v>37</v>
      </c>
      <c r="B11119" t="s">
        <v>238</v>
      </c>
      <c r="C11119">
        <v>608</v>
      </c>
      <c r="D11119" t="s">
        <v>568</v>
      </c>
      <c r="E11119" t="s">
        <v>701</v>
      </c>
      <c r="F11119" t="s">
        <v>68</v>
      </c>
      <c r="G11119" t="s">
        <v>136</v>
      </c>
      <c r="H11119" t="s">
        <v>104</v>
      </c>
      <c r="I11119" t="s">
        <v>292</v>
      </c>
      <c r="J11119" t="s">
        <v>117</v>
      </c>
      <c r="K11119" t="s">
        <v>141</v>
      </c>
      <c r="L11119" t="s">
        <v>207</v>
      </c>
      <c r="M11119" t="s">
        <v>117</v>
      </c>
      <c r="N11119" t="s">
        <v>123</v>
      </c>
    </row>
    <row r="11120" spans="1:14" x14ac:dyDescent="0.3">
      <c r="A11120" t="s">
        <v>36</v>
      </c>
      <c r="B11120" t="s">
        <v>236</v>
      </c>
      <c r="C11120">
        <v>188</v>
      </c>
      <c r="D11120" t="s">
        <v>547</v>
      </c>
      <c r="E11120" t="s">
        <v>461</v>
      </c>
      <c r="F11120" t="s">
        <v>112</v>
      </c>
      <c r="G11120" t="s">
        <v>108</v>
      </c>
      <c r="H11120" t="s">
        <v>104</v>
      </c>
      <c r="I11120" t="s">
        <v>198</v>
      </c>
      <c r="J11120" t="s">
        <v>136</v>
      </c>
      <c r="K11120" t="s">
        <v>99</v>
      </c>
      <c r="L11120" t="s">
        <v>136</v>
      </c>
      <c r="M11120" t="s">
        <v>158</v>
      </c>
      <c r="N11120" t="s">
        <v>99</v>
      </c>
    </row>
    <row r="11121" spans="1:14" x14ac:dyDescent="0.3">
      <c r="A11121" t="s">
        <v>36</v>
      </c>
      <c r="B11121" t="s">
        <v>238</v>
      </c>
      <c r="C11121">
        <v>189</v>
      </c>
      <c r="D11121" t="s">
        <v>472</v>
      </c>
      <c r="E11121" t="s">
        <v>677</v>
      </c>
      <c r="F11121" t="s">
        <v>434</v>
      </c>
      <c r="G11121" t="s">
        <v>99</v>
      </c>
      <c r="H11121" t="s">
        <v>207</v>
      </c>
      <c r="I11121" t="s">
        <v>319</v>
      </c>
      <c r="J11121" t="s">
        <v>315</v>
      </c>
      <c r="K11121" t="s">
        <v>99</v>
      </c>
      <c r="L11121" t="s">
        <v>136</v>
      </c>
      <c r="M11121" t="s">
        <v>136</v>
      </c>
      <c r="N11121" t="s">
        <v>147</v>
      </c>
    </row>
    <row r="11122" spans="1:14" x14ac:dyDescent="0.3">
      <c r="A11122" t="s">
        <v>34</v>
      </c>
      <c r="B11122" t="s">
        <v>236</v>
      </c>
      <c r="C11122">
        <v>86</v>
      </c>
      <c r="D11122" t="s">
        <v>460</v>
      </c>
      <c r="E11122" t="s">
        <v>99</v>
      </c>
      <c r="F11122" t="s">
        <v>99</v>
      </c>
      <c r="G11122" t="s">
        <v>353</v>
      </c>
      <c r="H11122" t="s">
        <v>684</v>
      </c>
      <c r="I11122" t="s">
        <v>99</v>
      </c>
      <c r="J11122" t="s">
        <v>99</v>
      </c>
      <c r="K11122" t="s">
        <v>99</v>
      </c>
      <c r="L11122" t="s">
        <v>316</v>
      </c>
      <c r="M11122" t="s">
        <v>316</v>
      </c>
      <c r="N11122" t="s">
        <v>316</v>
      </c>
    </row>
    <row r="11123" spans="1:14" x14ac:dyDescent="0.3">
      <c r="A11123" t="s">
        <v>34</v>
      </c>
      <c r="B11123" t="s">
        <v>238</v>
      </c>
      <c r="C11123">
        <v>427</v>
      </c>
      <c r="D11123" t="s">
        <v>200</v>
      </c>
      <c r="E11123" t="s">
        <v>41</v>
      </c>
      <c r="F11123" t="s">
        <v>104</v>
      </c>
      <c r="G11123" t="s">
        <v>198</v>
      </c>
      <c r="H11123" t="s">
        <v>108</v>
      </c>
      <c r="I11123" t="s">
        <v>100</v>
      </c>
      <c r="J11123" t="s">
        <v>108</v>
      </c>
      <c r="K11123" t="s">
        <v>99</v>
      </c>
      <c r="L11123" t="s">
        <v>121</v>
      </c>
      <c r="M11123" t="s">
        <v>253</v>
      </c>
      <c r="N11123" t="s">
        <v>127</v>
      </c>
    </row>
    <row r="11124" spans="1:14" x14ac:dyDescent="0.3">
      <c r="A11124" t="s">
        <v>33</v>
      </c>
      <c r="B11124" t="s">
        <v>236</v>
      </c>
      <c r="C11124">
        <v>203</v>
      </c>
      <c r="D11124" t="s">
        <v>266</v>
      </c>
      <c r="E11124" t="s">
        <v>41</v>
      </c>
      <c r="F11124" t="s">
        <v>292</v>
      </c>
      <c r="G11124" t="s">
        <v>253</v>
      </c>
      <c r="H11124" t="s">
        <v>99</v>
      </c>
      <c r="I11124" t="s">
        <v>253</v>
      </c>
      <c r="J11124" t="s">
        <v>99</v>
      </c>
      <c r="K11124" t="s">
        <v>253</v>
      </c>
      <c r="L11124" t="s">
        <v>253</v>
      </c>
      <c r="M11124" t="s">
        <v>253</v>
      </c>
      <c r="N11124" t="s">
        <v>382</v>
      </c>
    </row>
    <row r="11125" spans="1:14" x14ac:dyDescent="0.3">
      <c r="A11125" t="s">
        <v>33</v>
      </c>
      <c r="B11125" t="s">
        <v>238</v>
      </c>
      <c r="C11125">
        <v>434</v>
      </c>
      <c r="D11125" t="s">
        <v>448</v>
      </c>
      <c r="E11125" t="s">
        <v>142</v>
      </c>
      <c r="F11125" t="s">
        <v>268</v>
      </c>
      <c r="G11125" t="s">
        <v>99</v>
      </c>
      <c r="H11125" t="s">
        <v>99</v>
      </c>
      <c r="I11125" t="s">
        <v>207</v>
      </c>
      <c r="J11125" t="s">
        <v>253</v>
      </c>
      <c r="K11125" t="s">
        <v>99</v>
      </c>
      <c r="L11125" t="s">
        <v>198</v>
      </c>
      <c r="M11125" t="s">
        <v>99</v>
      </c>
      <c r="N11125" t="s">
        <v>132</v>
      </c>
    </row>
    <row r="11126" spans="1:14" x14ac:dyDescent="0.3">
      <c r="A11126" t="s">
        <v>49</v>
      </c>
      <c r="B11126" t="s">
        <v>236</v>
      </c>
      <c r="C11126">
        <v>997</v>
      </c>
      <c r="D11126" t="s">
        <v>500</v>
      </c>
      <c r="E11126" t="s">
        <v>233</v>
      </c>
      <c r="F11126" t="s">
        <v>105</v>
      </c>
      <c r="G11126" t="s">
        <v>111</v>
      </c>
      <c r="H11126" t="s">
        <v>108</v>
      </c>
      <c r="I11126" t="s">
        <v>115</v>
      </c>
      <c r="J11126" t="s">
        <v>215</v>
      </c>
      <c r="K11126" t="s">
        <v>198</v>
      </c>
      <c r="L11126" t="s">
        <v>132</v>
      </c>
      <c r="M11126" t="s">
        <v>215</v>
      </c>
      <c r="N11126" t="s">
        <v>147</v>
      </c>
    </row>
    <row r="11127" spans="1:14" x14ac:dyDescent="0.3">
      <c r="A11127" t="s">
        <v>49</v>
      </c>
      <c r="B11127" t="s">
        <v>238</v>
      </c>
      <c r="C11127">
        <v>1993</v>
      </c>
      <c r="D11127" t="s">
        <v>1054</v>
      </c>
      <c r="E11127" t="s">
        <v>177</v>
      </c>
      <c r="F11127" t="s">
        <v>316</v>
      </c>
      <c r="G11127" t="s">
        <v>141</v>
      </c>
      <c r="H11127" t="s">
        <v>136</v>
      </c>
      <c r="I11127" t="s">
        <v>325</v>
      </c>
      <c r="J11127" t="s">
        <v>363</v>
      </c>
      <c r="K11127" t="s">
        <v>198</v>
      </c>
      <c r="L11127" t="s">
        <v>108</v>
      </c>
      <c r="M11127" t="s">
        <v>319</v>
      </c>
      <c r="N11127" t="s">
        <v>292</v>
      </c>
    </row>
    <row r="11129" spans="1:14" x14ac:dyDescent="0.3">
      <c r="A11129" t="s">
        <v>2603</v>
      </c>
    </row>
    <row r="11130" spans="1:14" x14ac:dyDescent="0.3">
      <c r="A11130" t="s">
        <v>44</v>
      </c>
      <c r="B11130" t="s">
        <v>2604</v>
      </c>
      <c r="C11130" t="s">
        <v>32</v>
      </c>
      <c r="D11130" t="s">
        <v>2588</v>
      </c>
      <c r="E11130" t="s">
        <v>2589</v>
      </c>
      <c r="F11130" t="s">
        <v>2590</v>
      </c>
      <c r="G11130" t="s">
        <v>2591</v>
      </c>
      <c r="H11130" t="s">
        <v>2592</v>
      </c>
      <c r="I11130" t="s">
        <v>2593</v>
      </c>
      <c r="J11130" t="s">
        <v>2594</v>
      </c>
      <c r="K11130" t="s">
        <v>2595</v>
      </c>
      <c r="L11130" t="s">
        <v>2596</v>
      </c>
      <c r="M11130" t="s">
        <v>2597</v>
      </c>
      <c r="N11130" t="s">
        <v>2598</v>
      </c>
    </row>
    <row r="11131" spans="1:14" x14ac:dyDescent="0.3">
      <c r="A11131" t="s">
        <v>35</v>
      </c>
      <c r="B11131" t="s">
        <v>2605</v>
      </c>
      <c r="C11131">
        <v>99</v>
      </c>
      <c r="D11131" t="s">
        <v>2132</v>
      </c>
      <c r="E11131" t="s">
        <v>485</v>
      </c>
      <c r="F11131" t="s">
        <v>328</v>
      </c>
      <c r="G11131" t="s">
        <v>242</v>
      </c>
      <c r="H11131" t="s">
        <v>99</v>
      </c>
      <c r="I11131" t="s">
        <v>894</v>
      </c>
      <c r="J11131" t="s">
        <v>738</v>
      </c>
      <c r="K11131" t="s">
        <v>99</v>
      </c>
      <c r="L11131" t="s">
        <v>115</v>
      </c>
      <c r="M11131" t="s">
        <v>158</v>
      </c>
      <c r="N11131" t="s">
        <v>675</v>
      </c>
    </row>
    <row r="11132" spans="1:14" x14ac:dyDescent="0.3">
      <c r="A11132" t="s">
        <v>35</v>
      </c>
      <c r="B11132" t="s">
        <v>2606</v>
      </c>
      <c r="C11132">
        <v>405</v>
      </c>
      <c r="D11132" t="s">
        <v>563</v>
      </c>
      <c r="E11132" t="s">
        <v>1102</v>
      </c>
      <c r="F11132" t="s">
        <v>382</v>
      </c>
      <c r="G11132" t="s">
        <v>141</v>
      </c>
      <c r="H11132" t="s">
        <v>253</v>
      </c>
      <c r="I11132" t="s">
        <v>701</v>
      </c>
      <c r="J11132" t="s">
        <v>670</v>
      </c>
      <c r="K11132" t="s">
        <v>207</v>
      </c>
      <c r="L11132" t="s">
        <v>123</v>
      </c>
      <c r="M11132" t="s">
        <v>126</v>
      </c>
      <c r="N11132" t="s">
        <v>111</v>
      </c>
    </row>
    <row r="11133" spans="1:14" s="5" customFormat="1" x14ac:dyDescent="0.3">
      <c r="A11133" s="5" t="s">
        <v>35</v>
      </c>
      <c r="B11133" s="5" t="s">
        <v>2607</v>
      </c>
      <c r="C11133" s="5">
        <v>20</v>
      </c>
      <c r="D11133" s="5" t="s">
        <v>1707</v>
      </c>
      <c r="E11133" s="5" t="s">
        <v>163</v>
      </c>
      <c r="F11133" s="5" t="s">
        <v>154</v>
      </c>
      <c r="G11133" s="5" t="s">
        <v>99</v>
      </c>
      <c r="H11133" s="5" t="s">
        <v>99</v>
      </c>
      <c r="I11133" s="5" t="s">
        <v>99</v>
      </c>
      <c r="J11133" s="5" t="s">
        <v>99</v>
      </c>
      <c r="K11133" s="5" t="s">
        <v>99</v>
      </c>
      <c r="L11133" s="5" t="s">
        <v>99</v>
      </c>
      <c r="M11133" s="5" t="s">
        <v>99</v>
      </c>
      <c r="N11133" s="5" t="s">
        <v>99</v>
      </c>
    </row>
    <row r="11134" spans="1:14" x14ac:dyDescent="0.3">
      <c r="A11134" t="s">
        <v>37</v>
      </c>
      <c r="B11134" t="s">
        <v>2605</v>
      </c>
      <c r="C11134">
        <v>168</v>
      </c>
      <c r="D11134" t="s">
        <v>1080</v>
      </c>
      <c r="E11134" t="s">
        <v>425</v>
      </c>
      <c r="F11134" t="s">
        <v>474</v>
      </c>
      <c r="G11134" t="s">
        <v>99</v>
      </c>
      <c r="H11134" t="s">
        <v>99</v>
      </c>
      <c r="I11134" t="s">
        <v>134</v>
      </c>
      <c r="J11134" t="s">
        <v>215</v>
      </c>
      <c r="K11134" t="s">
        <v>136</v>
      </c>
      <c r="L11134" t="s">
        <v>136</v>
      </c>
      <c r="M11134" t="s">
        <v>292</v>
      </c>
      <c r="N11134" t="s">
        <v>103</v>
      </c>
    </row>
    <row r="11135" spans="1:14" x14ac:dyDescent="0.3">
      <c r="A11135" t="s">
        <v>37</v>
      </c>
      <c r="B11135" t="s">
        <v>2606</v>
      </c>
      <c r="C11135">
        <v>713</v>
      </c>
      <c r="D11135" t="s">
        <v>939</v>
      </c>
      <c r="E11135" t="s">
        <v>372</v>
      </c>
      <c r="F11135" t="s">
        <v>277</v>
      </c>
      <c r="G11135" t="s">
        <v>114</v>
      </c>
      <c r="H11135" t="s">
        <v>104</v>
      </c>
      <c r="I11135" t="s">
        <v>100</v>
      </c>
      <c r="J11135" t="s">
        <v>147</v>
      </c>
      <c r="K11135" t="s">
        <v>207</v>
      </c>
      <c r="L11135" t="s">
        <v>136</v>
      </c>
      <c r="M11135" t="s">
        <v>319</v>
      </c>
      <c r="N11135" t="s">
        <v>316</v>
      </c>
    </row>
    <row r="11136" spans="1:14" x14ac:dyDescent="0.3">
      <c r="A11136" t="s">
        <v>37</v>
      </c>
      <c r="B11136" t="s">
        <v>2607</v>
      </c>
      <c r="C11136">
        <v>58</v>
      </c>
      <c r="D11136" t="s">
        <v>494</v>
      </c>
      <c r="E11136" t="s">
        <v>109</v>
      </c>
      <c r="F11136" t="s">
        <v>328</v>
      </c>
      <c r="G11136" t="s">
        <v>99</v>
      </c>
      <c r="H11136" t="s">
        <v>99</v>
      </c>
      <c r="I11136" t="s">
        <v>121</v>
      </c>
      <c r="J11136" t="s">
        <v>468</v>
      </c>
      <c r="K11136" t="s">
        <v>99</v>
      </c>
      <c r="L11136" t="s">
        <v>99</v>
      </c>
      <c r="M11136" t="s">
        <v>470</v>
      </c>
      <c r="N11136" t="s">
        <v>144</v>
      </c>
    </row>
    <row r="11137" spans="1:14" x14ac:dyDescent="0.3">
      <c r="A11137" t="s">
        <v>36</v>
      </c>
      <c r="B11137" t="s">
        <v>2605</v>
      </c>
      <c r="C11137">
        <v>83</v>
      </c>
      <c r="D11137" t="s">
        <v>245</v>
      </c>
      <c r="E11137" t="s">
        <v>714</v>
      </c>
      <c r="F11137" t="s">
        <v>679</v>
      </c>
      <c r="G11137" t="s">
        <v>104</v>
      </c>
      <c r="H11137" t="s">
        <v>115</v>
      </c>
      <c r="I11137" t="s">
        <v>99</v>
      </c>
      <c r="J11137" t="s">
        <v>133</v>
      </c>
      <c r="K11137" t="s">
        <v>99</v>
      </c>
      <c r="L11137" t="s">
        <v>104</v>
      </c>
      <c r="M11137" t="s">
        <v>112</v>
      </c>
      <c r="N11137" t="s">
        <v>149</v>
      </c>
    </row>
    <row r="11138" spans="1:14" x14ac:dyDescent="0.3">
      <c r="A11138" t="s">
        <v>36</v>
      </c>
      <c r="B11138" t="s">
        <v>2606</v>
      </c>
      <c r="C11138">
        <v>277</v>
      </c>
      <c r="D11138" t="s">
        <v>1628</v>
      </c>
      <c r="E11138" t="s">
        <v>289</v>
      </c>
      <c r="F11138" t="s">
        <v>155</v>
      </c>
      <c r="G11138" t="s">
        <v>207</v>
      </c>
      <c r="H11138" t="s">
        <v>104</v>
      </c>
      <c r="I11138" t="s">
        <v>382</v>
      </c>
      <c r="J11138" t="s">
        <v>78</v>
      </c>
      <c r="K11138" t="s">
        <v>99</v>
      </c>
      <c r="L11138" t="s">
        <v>253</v>
      </c>
      <c r="M11138" t="s">
        <v>207</v>
      </c>
      <c r="N11138" t="s">
        <v>126</v>
      </c>
    </row>
    <row r="11139" spans="1:14" s="5" customFormat="1" x14ac:dyDescent="0.3">
      <c r="A11139" s="5" t="s">
        <v>36</v>
      </c>
      <c r="B11139" s="5" t="s">
        <v>2607</v>
      </c>
      <c r="C11139" s="5">
        <v>17</v>
      </c>
      <c r="D11139" s="5" t="s">
        <v>2118</v>
      </c>
      <c r="E11139" s="5" t="s">
        <v>267</v>
      </c>
      <c r="F11139" s="5" t="s">
        <v>268</v>
      </c>
      <c r="G11139" s="5" t="s">
        <v>99</v>
      </c>
      <c r="H11139" s="5" t="s">
        <v>99</v>
      </c>
      <c r="I11139" s="5" t="s">
        <v>99</v>
      </c>
      <c r="J11139" s="5" t="s">
        <v>478</v>
      </c>
      <c r="K11139" s="5" t="s">
        <v>99</v>
      </c>
      <c r="L11139" s="5" t="s">
        <v>99</v>
      </c>
      <c r="M11139" s="5" t="s">
        <v>328</v>
      </c>
      <c r="N11139" s="5" t="s">
        <v>99</v>
      </c>
    </row>
    <row r="11140" spans="1:14" x14ac:dyDescent="0.3">
      <c r="A11140" t="s">
        <v>34</v>
      </c>
      <c r="B11140" t="s">
        <v>2605</v>
      </c>
      <c r="C11140">
        <v>110</v>
      </c>
      <c r="D11140" t="s">
        <v>263</v>
      </c>
      <c r="E11140" t="s">
        <v>262</v>
      </c>
      <c r="F11140" t="s">
        <v>207</v>
      </c>
      <c r="G11140" t="s">
        <v>117</v>
      </c>
      <c r="H11140" t="s">
        <v>99</v>
      </c>
      <c r="I11140" t="s">
        <v>108</v>
      </c>
      <c r="J11140" t="s">
        <v>99</v>
      </c>
      <c r="K11140" t="s">
        <v>99</v>
      </c>
      <c r="L11140" t="s">
        <v>136</v>
      </c>
      <c r="M11140" t="s">
        <v>99</v>
      </c>
      <c r="N11140" t="s">
        <v>99</v>
      </c>
    </row>
    <row r="11141" spans="1:14" x14ac:dyDescent="0.3">
      <c r="A11141" t="s">
        <v>34</v>
      </c>
      <c r="B11141" t="s">
        <v>2606</v>
      </c>
      <c r="C11141">
        <v>366</v>
      </c>
      <c r="D11141" t="s">
        <v>314</v>
      </c>
      <c r="E11141" t="s">
        <v>74</v>
      </c>
      <c r="F11141" t="s">
        <v>99</v>
      </c>
      <c r="G11141" t="s">
        <v>132</v>
      </c>
      <c r="H11141" t="s">
        <v>121</v>
      </c>
      <c r="I11141" t="s">
        <v>114</v>
      </c>
      <c r="J11141" t="s">
        <v>114</v>
      </c>
      <c r="K11141" t="s">
        <v>99</v>
      </c>
      <c r="L11141" t="s">
        <v>123</v>
      </c>
      <c r="M11141" t="s">
        <v>101</v>
      </c>
      <c r="N11141" t="s">
        <v>128</v>
      </c>
    </row>
    <row r="11142" spans="1:14" x14ac:dyDescent="0.3">
      <c r="A11142" t="s">
        <v>34</v>
      </c>
      <c r="B11142" t="s">
        <v>2607</v>
      </c>
      <c r="C11142">
        <v>37</v>
      </c>
      <c r="D11142" t="s">
        <v>530</v>
      </c>
      <c r="E11142" t="s">
        <v>165</v>
      </c>
      <c r="F11142" t="s">
        <v>99</v>
      </c>
      <c r="G11142" t="s">
        <v>353</v>
      </c>
      <c r="H11142" t="s">
        <v>714</v>
      </c>
      <c r="I11142" t="s">
        <v>99</v>
      </c>
      <c r="J11142" t="s">
        <v>99</v>
      </c>
      <c r="K11142" t="s">
        <v>99</v>
      </c>
      <c r="L11142" t="s">
        <v>99</v>
      </c>
      <c r="M11142" t="s">
        <v>99</v>
      </c>
      <c r="N11142" t="s">
        <v>99</v>
      </c>
    </row>
    <row r="11143" spans="1:14" x14ac:dyDescent="0.3">
      <c r="A11143" t="s">
        <v>33</v>
      </c>
      <c r="B11143" t="s">
        <v>2605</v>
      </c>
      <c r="C11143">
        <v>110</v>
      </c>
      <c r="D11143" t="s">
        <v>467</v>
      </c>
      <c r="E11143" t="s">
        <v>134</v>
      </c>
      <c r="F11143" t="s">
        <v>382</v>
      </c>
      <c r="G11143" t="s">
        <v>99</v>
      </c>
      <c r="H11143" t="s">
        <v>99</v>
      </c>
      <c r="I11143" t="s">
        <v>99</v>
      </c>
      <c r="J11143" t="s">
        <v>117</v>
      </c>
      <c r="K11143" t="s">
        <v>99</v>
      </c>
      <c r="L11143" t="s">
        <v>99</v>
      </c>
      <c r="M11143" t="s">
        <v>108</v>
      </c>
      <c r="N11143" t="s">
        <v>99</v>
      </c>
    </row>
    <row r="11144" spans="1:14" x14ac:dyDescent="0.3">
      <c r="A11144" t="s">
        <v>33</v>
      </c>
      <c r="B11144" t="s">
        <v>2606</v>
      </c>
      <c r="C11144">
        <v>494</v>
      </c>
      <c r="D11144" t="s">
        <v>263</v>
      </c>
      <c r="E11144" t="s">
        <v>311</v>
      </c>
      <c r="F11144" t="s">
        <v>268</v>
      </c>
      <c r="G11144" t="s">
        <v>198</v>
      </c>
      <c r="H11144" t="s">
        <v>99</v>
      </c>
      <c r="I11144" t="s">
        <v>141</v>
      </c>
      <c r="J11144" t="s">
        <v>99</v>
      </c>
      <c r="K11144" t="s">
        <v>198</v>
      </c>
      <c r="L11144" t="s">
        <v>141</v>
      </c>
      <c r="M11144" t="s">
        <v>99</v>
      </c>
      <c r="N11144" t="s">
        <v>101</v>
      </c>
    </row>
    <row r="11145" spans="1:14" x14ac:dyDescent="0.3">
      <c r="A11145" t="s">
        <v>33</v>
      </c>
      <c r="B11145" t="s">
        <v>2607</v>
      </c>
      <c r="C11145">
        <v>33</v>
      </c>
      <c r="D11145" t="s">
        <v>203</v>
      </c>
      <c r="E11145" t="s">
        <v>149</v>
      </c>
      <c r="F11145" t="s">
        <v>134</v>
      </c>
      <c r="G11145" t="s">
        <v>99</v>
      </c>
      <c r="H11145" t="s">
        <v>99</v>
      </c>
      <c r="I11145" t="s">
        <v>99</v>
      </c>
      <c r="J11145" t="s">
        <v>99</v>
      </c>
      <c r="K11145" t="s">
        <v>99</v>
      </c>
      <c r="L11145" t="s">
        <v>99</v>
      </c>
      <c r="M11145" t="s">
        <v>99</v>
      </c>
      <c r="N11145" t="s">
        <v>99</v>
      </c>
    </row>
    <row r="11146" spans="1:14" x14ac:dyDescent="0.3">
      <c r="A11146" t="s">
        <v>49</v>
      </c>
      <c r="B11146" t="s">
        <v>2605</v>
      </c>
      <c r="C11146">
        <v>570</v>
      </c>
      <c r="D11146" t="s">
        <v>535</v>
      </c>
      <c r="E11146" t="s">
        <v>444</v>
      </c>
      <c r="F11146" t="s">
        <v>154</v>
      </c>
      <c r="G11146" t="s">
        <v>215</v>
      </c>
      <c r="H11146" t="s">
        <v>104</v>
      </c>
      <c r="I11146" t="s">
        <v>150</v>
      </c>
      <c r="J11146" t="s">
        <v>675</v>
      </c>
      <c r="K11146" t="s">
        <v>104</v>
      </c>
      <c r="L11146" t="s">
        <v>136</v>
      </c>
      <c r="M11146" t="s">
        <v>103</v>
      </c>
      <c r="N11146" t="s">
        <v>128</v>
      </c>
    </row>
    <row r="11147" spans="1:14" x14ac:dyDescent="0.3">
      <c r="A11147" t="s">
        <v>49</v>
      </c>
      <c r="B11147" t="s">
        <v>2606</v>
      </c>
      <c r="C11147">
        <v>2255</v>
      </c>
      <c r="D11147" t="s">
        <v>767</v>
      </c>
      <c r="E11147" t="s">
        <v>167</v>
      </c>
      <c r="F11147" t="s">
        <v>103</v>
      </c>
      <c r="G11147" t="s">
        <v>253</v>
      </c>
      <c r="H11147" t="s">
        <v>136</v>
      </c>
      <c r="I11147" t="s">
        <v>712</v>
      </c>
      <c r="J11147" t="s">
        <v>150</v>
      </c>
      <c r="K11147" t="s">
        <v>198</v>
      </c>
      <c r="L11147" t="s">
        <v>100</v>
      </c>
      <c r="M11147" t="s">
        <v>114</v>
      </c>
      <c r="N11147" t="s">
        <v>111</v>
      </c>
    </row>
    <row r="11148" spans="1:14" x14ac:dyDescent="0.3">
      <c r="A11148" t="s">
        <v>49</v>
      </c>
      <c r="B11148" t="s">
        <v>2607</v>
      </c>
      <c r="C11148">
        <v>165</v>
      </c>
      <c r="D11148" t="s">
        <v>259</v>
      </c>
      <c r="E11148" t="s">
        <v>72</v>
      </c>
      <c r="F11148" t="s">
        <v>105</v>
      </c>
      <c r="G11148" t="s">
        <v>151</v>
      </c>
      <c r="H11148" t="s">
        <v>105</v>
      </c>
      <c r="I11148" t="s">
        <v>136</v>
      </c>
      <c r="J11148" t="s">
        <v>138</v>
      </c>
      <c r="K11148" t="s">
        <v>99</v>
      </c>
      <c r="L11148" t="s">
        <v>99</v>
      </c>
      <c r="M11148" t="s">
        <v>154</v>
      </c>
      <c r="N11148" t="s">
        <v>123</v>
      </c>
    </row>
    <row r="11150" spans="1:14" x14ac:dyDescent="0.3">
      <c r="A11150" t="s">
        <v>2608</v>
      </c>
    </row>
    <row r="11151" spans="1:14" x14ac:dyDescent="0.3">
      <c r="A11151" t="s">
        <v>44</v>
      </c>
      <c r="B11151" t="s">
        <v>32</v>
      </c>
      <c r="C11151" t="s">
        <v>2609</v>
      </c>
      <c r="D11151" t="s">
        <v>2610</v>
      </c>
      <c r="E11151" t="s">
        <v>2611</v>
      </c>
      <c r="F11151" t="s">
        <v>2612</v>
      </c>
      <c r="G11151" t="s">
        <v>83</v>
      </c>
    </row>
    <row r="11152" spans="1:14" x14ac:dyDescent="0.3">
      <c r="A11152" t="s">
        <v>35</v>
      </c>
      <c r="B11152">
        <v>3145</v>
      </c>
      <c r="C11152" t="s">
        <v>206</v>
      </c>
      <c r="D11152" t="s">
        <v>722</v>
      </c>
      <c r="E11152" t="s">
        <v>173</v>
      </c>
      <c r="F11152" t="s">
        <v>700</v>
      </c>
      <c r="G11152" t="s">
        <v>926</v>
      </c>
    </row>
    <row r="11153" spans="1:8" x14ac:dyDescent="0.3">
      <c r="A11153" t="s">
        <v>37</v>
      </c>
      <c r="B11153">
        <v>3855</v>
      </c>
      <c r="C11153" t="s">
        <v>721</v>
      </c>
      <c r="D11153" t="s">
        <v>294</v>
      </c>
      <c r="E11153" t="s">
        <v>718</v>
      </c>
      <c r="F11153" t="s">
        <v>726</v>
      </c>
      <c r="G11153" t="s">
        <v>819</v>
      </c>
    </row>
    <row r="11154" spans="1:8" x14ac:dyDescent="0.3">
      <c r="A11154" t="s">
        <v>36</v>
      </c>
      <c r="B11154">
        <v>2305</v>
      </c>
      <c r="C11154" t="s">
        <v>710</v>
      </c>
      <c r="D11154" t="s">
        <v>708</v>
      </c>
      <c r="E11154" t="s">
        <v>727</v>
      </c>
      <c r="F11154" t="s">
        <v>173</v>
      </c>
      <c r="G11154" t="s">
        <v>589</v>
      </c>
    </row>
    <row r="11155" spans="1:8" x14ac:dyDescent="0.3">
      <c r="A11155" t="s">
        <v>34</v>
      </c>
      <c r="B11155">
        <v>2080</v>
      </c>
      <c r="C11155" t="s">
        <v>444</v>
      </c>
      <c r="D11155" t="s">
        <v>685</v>
      </c>
      <c r="E11155" t="s">
        <v>742</v>
      </c>
      <c r="F11155" t="s">
        <v>688</v>
      </c>
      <c r="G11155" t="s">
        <v>1163</v>
      </c>
    </row>
    <row r="11156" spans="1:8" x14ac:dyDescent="0.3">
      <c r="A11156" t="s">
        <v>33</v>
      </c>
      <c r="B11156">
        <v>1937</v>
      </c>
      <c r="C11156" t="s">
        <v>240</v>
      </c>
      <c r="D11156" t="s">
        <v>741</v>
      </c>
      <c r="E11156" t="s">
        <v>1098</v>
      </c>
      <c r="F11156" t="s">
        <v>730</v>
      </c>
      <c r="G11156" t="s">
        <v>836</v>
      </c>
    </row>
    <row r="11157" spans="1:8" x14ac:dyDescent="0.3">
      <c r="A11157" t="s">
        <v>49</v>
      </c>
      <c r="B11157">
        <v>13322</v>
      </c>
      <c r="C11157" t="s">
        <v>255</v>
      </c>
      <c r="D11157" t="s">
        <v>355</v>
      </c>
      <c r="E11157" t="s">
        <v>864</v>
      </c>
      <c r="F11157" t="s">
        <v>444</v>
      </c>
      <c r="G11157" t="s">
        <v>585</v>
      </c>
    </row>
    <row r="11159" spans="1:8" x14ac:dyDescent="0.3">
      <c r="A11159" t="s">
        <v>2613</v>
      </c>
    </row>
    <row r="11160" spans="1:8" x14ac:dyDescent="0.3">
      <c r="A11160" t="s">
        <v>44</v>
      </c>
      <c r="B11160" t="s">
        <v>361</v>
      </c>
      <c r="C11160" t="s">
        <v>32</v>
      </c>
      <c r="D11160" t="s">
        <v>2609</v>
      </c>
      <c r="E11160" t="s">
        <v>2610</v>
      </c>
      <c r="F11160" t="s">
        <v>2611</v>
      </c>
      <c r="G11160" t="s">
        <v>2612</v>
      </c>
      <c r="H11160" t="s">
        <v>83</v>
      </c>
    </row>
    <row r="11161" spans="1:8" x14ac:dyDescent="0.3">
      <c r="A11161" t="s">
        <v>35</v>
      </c>
      <c r="B11161" t="s">
        <v>339</v>
      </c>
      <c r="C11161">
        <v>890</v>
      </c>
      <c r="D11161" t="s">
        <v>184</v>
      </c>
      <c r="E11161" t="s">
        <v>684</v>
      </c>
      <c r="F11161" t="s">
        <v>171</v>
      </c>
      <c r="G11161" t="s">
        <v>523</v>
      </c>
      <c r="H11161" t="s">
        <v>1082</v>
      </c>
    </row>
    <row r="11162" spans="1:8" x14ac:dyDescent="0.3">
      <c r="A11162" t="s">
        <v>35</v>
      </c>
      <c r="B11162" t="s">
        <v>340</v>
      </c>
      <c r="C11162">
        <v>2215</v>
      </c>
      <c r="D11162" t="s">
        <v>685</v>
      </c>
      <c r="E11162" t="s">
        <v>315</v>
      </c>
      <c r="F11162" t="s">
        <v>811</v>
      </c>
      <c r="G11162" t="s">
        <v>186</v>
      </c>
      <c r="H11162" t="s">
        <v>562</v>
      </c>
    </row>
    <row r="11163" spans="1:8" x14ac:dyDescent="0.3">
      <c r="A11163" t="s">
        <v>35</v>
      </c>
      <c r="B11163" t="s">
        <v>365</v>
      </c>
      <c r="C11163">
        <v>40</v>
      </c>
      <c r="D11163" t="s">
        <v>686</v>
      </c>
      <c r="E11163" t="s">
        <v>117</v>
      </c>
      <c r="F11163" t="s">
        <v>679</v>
      </c>
      <c r="G11163" t="s">
        <v>499</v>
      </c>
      <c r="H11163" t="s">
        <v>563</v>
      </c>
    </row>
    <row r="11164" spans="1:8" x14ac:dyDescent="0.3">
      <c r="A11164" t="s">
        <v>37</v>
      </c>
      <c r="B11164" t="s">
        <v>339</v>
      </c>
      <c r="C11164">
        <v>1093</v>
      </c>
      <c r="D11164" t="s">
        <v>663</v>
      </c>
      <c r="E11164" t="s">
        <v>109</v>
      </c>
      <c r="F11164" t="s">
        <v>287</v>
      </c>
      <c r="G11164" t="s">
        <v>694</v>
      </c>
      <c r="H11164" t="s">
        <v>350</v>
      </c>
    </row>
    <row r="11165" spans="1:8" x14ac:dyDescent="0.3">
      <c r="A11165" t="s">
        <v>37</v>
      </c>
      <c r="B11165" t="s">
        <v>340</v>
      </c>
      <c r="C11165">
        <v>2721</v>
      </c>
      <c r="D11165" t="s">
        <v>701</v>
      </c>
      <c r="E11165" t="s">
        <v>264</v>
      </c>
      <c r="F11165" t="s">
        <v>1044</v>
      </c>
      <c r="G11165" t="s">
        <v>318</v>
      </c>
      <c r="H11165" t="s">
        <v>528</v>
      </c>
    </row>
    <row r="11166" spans="1:8" x14ac:dyDescent="0.3">
      <c r="A11166" t="s">
        <v>37</v>
      </c>
      <c r="B11166" t="s">
        <v>365</v>
      </c>
      <c r="C11166">
        <v>41</v>
      </c>
      <c r="D11166" t="s">
        <v>742</v>
      </c>
      <c r="E11166" t="s">
        <v>727</v>
      </c>
      <c r="F11166" t="s">
        <v>175</v>
      </c>
      <c r="G11166" t="s">
        <v>99</v>
      </c>
      <c r="H11166" t="s">
        <v>53</v>
      </c>
    </row>
    <row r="11167" spans="1:8" x14ac:dyDescent="0.3">
      <c r="A11167" t="s">
        <v>36</v>
      </c>
      <c r="B11167" t="s">
        <v>339</v>
      </c>
      <c r="C11167">
        <v>770</v>
      </c>
      <c r="D11167" t="s">
        <v>714</v>
      </c>
      <c r="E11167" t="s">
        <v>311</v>
      </c>
      <c r="F11167" t="s">
        <v>704</v>
      </c>
      <c r="G11167" t="s">
        <v>197</v>
      </c>
      <c r="H11167" t="s">
        <v>1237</v>
      </c>
    </row>
    <row r="11168" spans="1:8" x14ac:dyDescent="0.3">
      <c r="A11168" t="s">
        <v>36</v>
      </c>
      <c r="B11168" t="s">
        <v>340</v>
      </c>
      <c r="C11168">
        <v>1472</v>
      </c>
      <c r="D11168" t="s">
        <v>714</v>
      </c>
      <c r="E11168" t="s">
        <v>244</v>
      </c>
      <c r="F11168" t="s">
        <v>692</v>
      </c>
      <c r="G11168" t="s">
        <v>218</v>
      </c>
      <c r="H11168" t="s">
        <v>559</v>
      </c>
    </row>
    <row r="11169" spans="1:8" x14ac:dyDescent="0.3">
      <c r="A11169" t="s">
        <v>36</v>
      </c>
      <c r="B11169" t="s">
        <v>365</v>
      </c>
      <c r="C11169">
        <v>63</v>
      </c>
      <c r="D11169" t="s">
        <v>474</v>
      </c>
      <c r="E11169" t="s">
        <v>684</v>
      </c>
      <c r="F11169" t="s">
        <v>812</v>
      </c>
      <c r="G11169" t="s">
        <v>742</v>
      </c>
      <c r="H11169" t="s">
        <v>856</v>
      </c>
    </row>
    <row r="11170" spans="1:8" x14ac:dyDescent="0.3">
      <c r="A11170" t="s">
        <v>34</v>
      </c>
      <c r="B11170" t="s">
        <v>339</v>
      </c>
      <c r="C11170">
        <v>555</v>
      </c>
      <c r="D11170" t="s">
        <v>701</v>
      </c>
      <c r="E11170" t="s">
        <v>746</v>
      </c>
      <c r="F11170" t="s">
        <v>751</v>
      </c>
      <c r="G11170" t="s">
        <v>264</v>
      </c>
      <c r="H11170" t="s">
        <v>983</v>
      </c>
    </row>
    <row r="11171" spans="1:8" x14ac:dyDescent="0.3">
      <c r="A11171" t="s">
        <v>34</v>
      </c>
      <c r="B11171" t="s">
        <v>340</v>
      </c>
      <c r="C11171">
        <v>1497</v>
      </c>
      <c r="D11171" t="s">
        <v>700</v>
      </c>
      <c r="E11171" t="s">
        <v>465</v>
      </c>
      <c r="F11171" t="s">
        <v>1167</v>
      </c>
      <c r="G11171" t="s">
        <v>179</v>
      </c>
      <c r="H11171" t="s">
        <v>558</v>
      </c>
    </row>
    <row r="11172" spans="1:8" x14ac:dyDescent="0.3">
      <c r="A11172" t="s">
        <v>34</v>
      </c>
      <c r="B11172" t="s">
        <v>365</v>
      </c>
      <c r="C11172">
        <v>28</v>
      </c>
      <c r="D11172" t="s">
        <v>206</v>
      </c>
      <c r="E11172" t="s">
        <v>291</v>
      </c>
      <c r="F11172" t="s">
        <v>737</v>
      </c>
      <c r="G11172" t="s">
        <v>746</v>
      </c>
      <c r="H11172" t="s">
        <v>593</v>
      </c>
    </row>
    <row r="11173" spans="1:8" x14ac:dyDescent="0.3">
      <c r="A11173" t="s">
        <v>33</v>
      </c>
      <c r="B11173" t="s">
        <v>339</v>
      </c>
      <c r="C11173">
        <v>503</v>
      </c>
      <c r="D11173" t="s">
        <v>186</v>
      </c>
      <c r="E11173" t="s">
        <v>175</v>
      </c>
      <c r="F11173" t="s">
        <v>662</v>
      </c>
      <c r="G11173" t="s">
        <v>106</v>
      </c>
      <c r="H11173" t="s">
        <v>1222</v>
      </c>
    </row>
    <row r="11174" spans="1:8" x14ac:dyDescent="0.3">
      <c r="A11174" t="s">
        <v>33</v>
      </c>
      <c r="B11174" t="s">
        <v>340</v>
      </c>
      <c r="C11174">
        <v>1415</v>
      </c>
      <c r="D11174" t="s">
        <v>519</v>
      </c>
      <c r="E11174" t="s">
        <v>106</v>
      </c>
      <c r="F11174" t="s">
        <v>642</v>
      </c>
      <c r="G11174" t="s">
        <v>734</v>
      </c>
      <c r="H11174" t="s">
        <v>1107</v>
      </c>
    </row>
    <row r="11175" spans="1:8" x14ac:dyDescent="0.3">
      <c r="A11175" t="s">
        <v>33</v>
      </c>
      <c r="B11175" t="s">
        <v>365</v>
      </c>
      <c r="C11175">
        <v>19</v>
      </c>
      <c r="D11175" t="s">
        <v>182</v>
      </c>
      <c r="E11175" t="s">
        <v>540</v>
      </c>
      <c r="F11175" t="s">
        <v>40</v>
      </c>
      <c r="G11175" t="s">
        <v>902</v>
      </c>
      <c r="H11175" t="s">
        <v>699</v>
      </c>
    </row>
    <row r="11176" spans="1:8" x14ac:dyDescent="0.3">
      <c r="A11176" t="s">
        <v>49</v>
      </c>
      <c r="B11176" t="s">
        <v>339</v>
      </c>
      <c r="C11176">
        <v>3811</v>
      </c>
      <c r="D11176" t="s">
        <v>716</v>
      </c>
      <c r="E11176" t="s">
        <v>671</v>
      </c>
      <c r="F11176" t="s">
        <v>542</v>
      </c>
      <c r="G11176" t="s">
        <v>432</v>
      </c>
      <c r="H11176" t="s">
        <v>962</v>
      </c>
    </row>
    <row r="11177" spans="1:8" x14ac:dyDescent="0.3">
      <c r="A11177" t="s">
        <v>49</v>
      </c>
      <c r="B11177" t="s">
        <v>340</v>
      </c>
      <c r="C11177">
        <v>9320</v>
      </c>
      <c r="D11177" t="s">
        <v>440</v>
      </c>
      <c r="E11177" t="s">
        <v>704</v>
      </c>
      <c r="F11177" t="s">
        <v>665</v>
      </c>
      <c r="G11177" t="s">
        <v>173</v>
      </c>
      <c r="H11177" t="s">
        <v>590</v>
      </c>
    </row>
    <row r="11178" spans="1:8" x14ac:dyDescent="0.3">
      <c r="A11178" t="s">
        <v>49</v>
      </c>
      <c r="B11178" t="s">
        <v>365</v>
      </c>
      <c r="C11178">
        <v>191</v>
      </c>
      <c r="D11178" t="s">
        <v>393</v>
      </c>
      <c r="E11178" t="s">
        <v>680</v>
      </c>
      <c r="F11178" t="s">
        <v>700</v>
      </c>
      <c r="G11178" t="s">
        <v>542</v>
      </c>
      <c r="H11178" t="s">
        <v>958</v>
      </c>
    </row>
    <row r="11180" spans="1:8" x14ac:dyDescent="0.3">
      <c r="A11180" t="s">
        <v>2614</v>
      </c>
    </row>
    <row r="11181" spans="1:8" x14ac:dyDescent="0.3">
      <c r="A11181" t="s">
        <v>44</v>
      </c>
      <c r="B11181" t="s">
        <v>209</v>
      </c>
      <c r="C11181" t="s">
        <v>32</v>
      </c>
      <c r="D11181" t="s">
        <v>2609</v>
      </c>
      <c r="E11181" t="s">
        <v>2610</v>
      </c>
      <c r="F11181" t="s">
        <v>2611</v>
      </c>
      <c r="G11181" t="s">
        <v>2612</v>
      </c>
      <c r="H11181" t="s">
        <v>83</v>
      </c>
    </row>
    <row r="11182" spans="1:8" x14ac:dyDescent="0.3">
      <c r="A11182" t="s">
        <v>35</v>
      </c>
      <c r="B11182" t="s">
        <v>210</v>
      </c>
      <c r="C11182">
        <v>136</v>
      </c>
      <c r="D11182" t="s">
        <v>291</v>
      </c>
      <c r="E11182" t="s">
        <v>412</v>
      </c>
      <c r="F11182" t="s">
        <v>218</v>
      </c>
      <c r="G11182" t="s">
        <v>218</v>
      </c>
      <c r="H11182" t="s">
        <v>297</v>
      </c>
    </row>
    <row r="11183" spans="1:8" x14ac:dyDescent="0.3">
      <c r="A11183" t="s">
        <v>35</v>
      </c>
      <c r="B11183" t="s">
        <v>212</v>
      </c>
      <c r="C11183">
        <v>2442</v>
      </c>
      <c r="D11183" t="s">
        <v>804</v>
      </c>
      <c r="E11183" t="s">
        <v>299</v>
      </c>
      <c r="F11183" t="s">
        <v>672</v>
      </c>
      <c r="G11183" t="s">
        <v>39</v>
      </c>
      <c r="H11183" t="s">
        <v>1227</v>
      </c>
    </row>
    <row r="11184" spans="1:8" x14ac:dyDescent="0.3">
      <c r="A11184" t="s">
        <v>35</v>
      </c>
      <c r="B11184" t="s">
        <v>216</v>
      </c>
      <c r="C11184">
        <v>567</v>
      </c>
      <c r="D11184" t="s">
        <v>807</v>
      </c>
      <c r="E11184" t="s">
        <v>685</v>
      </c>
      <c r="F11184" t="s">
        <v>370</v>
      </c>
      <c r="G11184" t="s">
        <v>714</v>
      </c>
      <c r="H11184" t="s">
        <v>579</v>
      </c>
    </row>
    <row r="11185" spans="1:8" x14ac:dyDescent="0.3">
      <c r="A11185" t="s">
        <v>37</v>
      </c>
      <c r="B11185" t="s">
        <v>210</v>
      </c>
      <c r="C11185">
        <v>138</v>
      </c>
      <c r="D11185" t="s">
        <v>741</v>
      </c>
      <c r="E11185" t="s">
        <v>423</v>
      </c>
      <c r="F11185" t="s">
        <v>803</v>
      </c>
      <c r="G11185" t="s">
        <v>78</v>
      </c>
      <c r="H11185" t="s">
        <v>1151</v>
      </c>
    </row>
    <row r="11186" spans="1:8" x14ac:dyDescent="0.3">
      <c r="A11186" t="s">
        <v>37</v>
      </c>
      <c r="B11186" t="s">
        <v>212</v>
      </c>
      <c r="C11186">
        <v>3606</v>
      </c>
      <c r="D11186" t="s">
        <v>708</v>
      </c>
      <c r="E11186" t="s">
        <v>289</v>
      </c>
      <c r="F11186" t="s">
        <v>393</v>
      </c>
      <c r="G11186" t="s">
        <v>694</v>
      </c>
      <c r="H11186" t="s">
        <v>935</v>
      </c>
    </row>
    <row r="11187" spans="1:8" x14ac:dyDescent="0.3">
      <c r="A11187" t="s">
        <v>37</v>
      </c>
      <c r="B11187" t="s">
        <v>216</v>
      </c>
      <c r="C11187">
        <v>111</v>
      </c>
      <c r="D11187" t="s">
        <v>704</v>
      </c>
      <c r="E11187" t="s">
        <v>523</v>
      </c>
      <c r="F11187" t="s">
        <v>64</v>
      </c>
      <c r="G11187" t="s">
        <v>461</v>
      </c>
      <c r="H11187" t="s">
        <v>887</v>
      </c>
    </row>
    <row r="11188" spans="1:8" x14ac:dyDescent="0.3">
      <c r="A11188" t="s">
        <v>36</v>
      </c>
      <c r="B11188" t="s">
        <v>210</v>
      </c>
      <c r="C11188">
        <v>165</v>
      </c>
      <c r="D11188" t="s">
        <v>444</v>
      </c>
      <c r="E11188" t="s">
        <v>731</v>
      </c>
      <c r="F11188" t="s">
        <v>795</v>
      </c>
      <c r="G11188" t="s">
        <v>182</v>
      </c>
      <c r="H11188" t="s">
        <v>1165</v>
      </c>
    </row>
    <row r="11189" spans="1:8" x14ac:dyDescent="0.3">
      <c r="A11189" t="s">
        <v>36</v>
      </c>
      <c r="B11189" t="s">
        <v>212</v>
      </c>
      <c r="C11189">
        <v>1875</v>
      </c>
      <c r="D11189" t="s">
        <v>287</v>
      </c>
      <c r="E11189" t="s">
        <v>311</v>
      </c>
      <c r="F11189" t="s">
        <v>301</v>
      </c>
      <c r="G11189" t="s">
        <v>393</v>
      </c>
      <c r="H11189" t="s">
        <v>951</v>
      </c>
    </row>
    <row r="11190" spans="1:8" x14ac:dyDescent="0.3">
      <c r="A11190" t="s">
        <v>36</v>
      </c>
      <c r="B11190" t="s">
        <v>216</v>
      </c>
      <c r="C11190">
        <v>265</v>
      </c>
      <c r="D11190" t="s">
        <v>739</v>
      </c>
      <c r="E11190" t="s">
        <v>1008</v>
      </c>
      <c r="F11190" t="s">
        <v>820</v>
      </c>
      <c r="G11190" t="s">
        <v>188</v>
      </c>
      <c r="H11190" t="s">
        <v>946</v>
      </c>
    </row>
    <row r="11191" spans="1:8" x14ac:dyDescent="0.3">
      <c r="A11191" t="s">
        <v>34</v>
      </c>
      <c r="B11191" t="s">
        <v>210</v>
      </c>
      <c r="C11191">
        <v>256</v>
      </c>
      <c r="D11191" t="s">
        <v>807</v>
      </c>
      <c r="E11191" t="s">
        <v>406</v>
      </c>
      <c r="F11191" t="s">
        <v>838</v>
      </c>
      <c r="G11191" t="s">
        <v>254</v>
      </c>
      <c r="H11191" t="s">
        <v>646</v>
      </c>
    </row>
    <row r="11192" spans="1:8" x14ac:dyDescent="0.3">
      <c r="A11192" t="s">
        <v>34</v>
      </c>
      <c r="B11192" t="s">
        <v>212</v>
      </c>
      <c r="C11192">
        <v>1582</v>
      </c>
      <c r="D11192" t="s">
        <v>685</v>
      </c>
      <c r="E11192" t="s">
        <v>449</v>
      </c>
      <c r="F11192" t="s">
        <v>131</v>
      </c>
      <c r="G11192" t="s">
        <v>175</v>
      </c>
      <c r="H11192" t="s">
        <v>646</v>
      </c>
    </row>
    <row r="11193" spans="1:8" x14ac:dyDescent="0.3">
      <c r="A11193" t="s">
        <v>34</v>
      </c>
      <c r="B11193" t="s">
        <v>216</v>
      </c>
      <c r="C11193">
        <v>242</v>
      </c>
      <c r="D11193" t="s">
        <v>894</v>
      </c>
      <c r="E11193" t="s">
        <v>749</v>
      </c>
      <c r="F11193" t="s">
        <v>1062</v>
      </c>
      <c r="G11193" t="s">
        <v>294</v>
      </c>
      <c r="H11193" t="s">
        <v>2132</v>
      </c>
    </row>
    <row r="11194" spans="1:8" x14ac:dyDescent="0.3">
      <c r="A11194" t="s">
        <v>33</v>
      </c>
      <c r="B11194" t="s">
        <v>210</v>
      </c>
      <c r="C11194">
        <v>68</v>
      </c>
      <c r="D11194" t="s">
        <v>508</v>
      </c>
      <c r="E11194" t="s">
        <v>692</v>
      </c>
      <c r="F11194" t="s">
        <v>906</v>
      </c>
      <c r="G11194" t="s">
        <v>444</v>
      </c>
      <c r="H11194" t="s">
        <v>932</v>
      </c>
    </row>
    <row r="11195" spans="1:8" x14ac:dyDescent="0.3">
      <c r="A11195" t="s">
        <v>33</v>
      </c>
      <c r="B11195" t="s">
        <v>212</v>
      </c>
      <c r="C11195">
        <v>1800</v>
      </c>
      <c r="D11195" t="s">
        <v>665</v>
      </c>
      <c r="E11195" t="s">
        <v>686</v>
      </c>
      <c r="F11195" t="s">
        <v>521</v>
      </c>
      <c r="G11195" t="s">
        <v>457</v>
      </c>
      <c r="H11195" t="s">
        <v>574</v>
      </c>
    </row>
    <row r="11196" spans="1:8" x14ac:dyDescent="0.3">
      <c r="A11196" t="s">
        <v>33</v>
      </c>
      <c r="B11196" t="s">
        <v>216</v>
      </c>
      <c r="C11196">
        <v>69</v>
      </c>
      <c r="D11196" t="s">
        <v>742</v>
      </c>
      <c r="E11196" t="s">
        <v>718</v>
      </c>
      <c r="F11196" t="s">
        <v>862</v>
      </c>
      <c r="G11196" t="s">
        <v>805</v>
      </c>
      <c r="H11196" t="s">
        <v>456</v>
      </c>
    </row>
    <row r="11197" spans="1:8" x14ac:dyDescent="0.3">
      <c r="A11197" t="s">
        <v>49</v>
      </c>
      <c r="B11197" t="s">
        <v>210</v>
      </c>
      <c r="C11197">
        <v>763</v>
      </c>
      <c r="D11197" t="s">
        <v>373</v>
      </c>
      <c r="E11197" t="s">
        <v>231</v>
      </c>
      <c r="F11197" t="s">
        <v>347</v>
      </c>
      <c r="G11197" t="s">
        <v>182</v>
      </c>
      <c r="H11197" t="s">
        <v>579</v>
      </c>
    </row>
    <row r="11198" spans="1:8" x14ac:dyDescent="0.3">
      <c r="A11198" t="s">
        <v>49</v>
      </c>
      <c r="B11198" t="s">
        <v>212</v>
      </c>
      <c r="C11198">
        <v>11305</v>
      </c>
      <c r="D11198" t="s">
        <v>76</v>
      </c>
      <c r="E11198" t="s">
        <v>688</v>
      </c>
      <c r="F11198" t="s">
        <v>911</v>
      </c>
      <c r="G11198" t="s">
        <v>678</v>
      </c>
      <c r="H11198" t="s">
        <v>539</v>
      </c>
    </row>
    <row r="11199" spans="1:8" x14ac:dyDescent="0.3">
      <c r="A11199" t="s">
        <v>49</v>
      </c>
      <c r="B11199" t="s">
        <v>216</v>
      </c>
      <c r="C11199">
        <v>1254</v>
      </c>
      <c r="D11199" t="s">
        <v>301</v>
      </c>
      <c r="E11199" t="s">
        <v>542</v>
      </c>
      <c r="F11199" t="s">
        <v>534</v>
      </c>
      <c r="G11199" t="s">
        <v>746</v>
      </c>
      <c r="H11199" t="s">
        <v>640</v>
      </c>
    </row>
    <row r="11201" spans="1:8" x14ac:dyDescent="0.3">
      <c r="A11201" t="s">
        <v>2615</v>
      </c>
    </row>
    <row r="11202" spans="1:8" x14ac:dyDescent="0.3">
      <c r="A11202" t="s">
        <v>44</v>
      </c>
      <c r="B11202" t="s">
        <v>388</v>
      </c>
      <c r="C11202" t="s">
        <v>32</v>
      </c>
      <c r="D11202" t="s">
        <v>2609</v>
      </c>
      <c r="E11202" t="s">
        <v>2610</v>
      </c>
      <c r="F11202" t="s">
        <v>2611</v>
      </c>
      <c r="G11202" t="s">
        <v>2612</v>
      </c>
      <c r="H11202" t="s">
        <v>83</v>
      </c>
    </row>
    <row r="11203" spans="1:8" x14ac:dyDescent="0.3">
      <c r="A11203" t="s">
        <v>35</v>
      </c>
      <c r="B11203" t="s">
        <v>389</v>
      </c>
      <c r="C11203">
        <v>2141</v>
      </c>
      <c r="D11203" t="s">
        <v>685</v>
      </c>
      <c r="E11203" t="s">
        <v>262</v>
      </c>
      <c r="F11203" t="s">
        <v>395</v>
      </c>
      <c r="G11203" t="s">
        <v>700</v>
      </c>
      <c r="H11203" t="s">
        <v>1748</v>
      </c>
    </row>
    <row r="11204" spans="1:8" x14ac:dyDescent="0.3">
      <c r="A11204" t="s">
        <v>35</v>
      </c>
      <c r="B11204" t="s">
        <v>390</v>
      </c>
      <c r="C11204">
        <v>875</v>
      </c>
      <c r="D11204" t="s">
        <v>254</v>
      </c>
      <c r="E11204" t="s">
        <v>109</v>
      </c>
      <c r="F11204" t="s">
        <v>369</v>
      </c>
      <c r="G11204" t="s">
        <v>303</v>
      </c>
      <c r="H11204" t="s">
        <v>1327</v>
      </c>
    </row>
    <row r="11205" spans="1:8" x14ac:dyDescent="0.3">
      <c r="A11205" t="s">
        <v>35</v>
      </c>
      <c r="B11205" t="s">
        <v>365</v>
      </c>
      <c r="C11205">
        <v>129</v>
      </c>
      <c r="D11205" t="s">
        <v>463</v>
      </c>
      <c r="E11205" t="s">
        <v>206</v>
      </c>
      <c r="F11205" t="s">
        <v>508</v>
      </c>
      <c r="G11205" t="s">
        <v>139</v>
      </c>
      <c r="H11205" t="s">
        <v>1236</v>
      </c>
    </row>
    <row r="11206" spans="1:8" x14ac:dyDescent="0.3">
      <c r="A11206" t="s">
        <v>37</v>
      </c>
      <c r="B11206" t="s">
        <v>389</v>
      </c>
      <c r="C11206">
        <v>2305</v>
      </c>
      <c r="D11206" t="s">
        <v>814</v>
      </c>
      <c r="E11206" t="s">
        <v>355</v>
      </c>
      <c r="F11206" t="s">
        <v>691</v>
      </c>
      <c r="G11206" t="s">
        <v>672</v>
      </c>
      <c r="H11206" t="s">
        <v>900</v>
      </c>
    </row>
    <row r="11207" spans="1:8" x14ac:dyDescent="0.3">
      <c r="A11207" t="s">
        <v>37</v>
      </c>
      <c r="B11207" t="s">
        <v>390</v>
      </c>
      <c r="C11207">
        <v>1309</v>
      </c>
      <c r="D11207" t="s">
        <v>287</v>
      </c>
      <c r="E11207" t="s">
        <v>220</v>
      </c>
      <c r="F11207" t="s">
        <v>721</v>
      </c>
      <c r="G11207" t="s">
        <v>685</v>
      </c>
      <c r="H11207" t="s">
        <v>1125</v>
      </c>
    </row>
    <row r="11208" spans="1:8" x14ac:dyDescent="0.3">
      <c r="A11208" t="s">
        <v>37</v>
      </c>
      <c r="B11208" t="s">
        <v>365</v>
      </c>
      <c r="C11208">
        <v>241</v>
      </c>
      <c r="D11208" t="s">
        <v>740</v>
      </c>
      <c r="E11208" t="s">
        <v>444</v>
      </c>
      <c r="F11208" t="s">
        <v>959</v>
      </c>
      <c r="G11208" t="s">
        <v>240</v>
      </c>
      <c r="H11208" t="s">
        <v>831</v>
      </c>
    </row>
    <row r="11209" spans="1:8" x14ac:dyDescent="0.3">
      <c r="A11209" t="s">
        <v>36</v>
      </c>
      <c r="B11209" t="s">
        <v>389</v>
      </c>
      <c r="C11209">
        <v>1578</v>
      </c>
      <c r="D11209" t="s">
        <v>708</v>
      </c>
      <c r="E11209" t="s">
        <v>746</v>
      </c>
      <c r="F11209" t="s">
        <v>751</v>
      </c>
      <c r="G11209" t="s">
        <v>542</v>
      </c>
      <c r="H11209" t="s">
        <v>1182</v>
      </c>
    </row>
    <row r="11210" spans="1:8" x14ac:dyDescent="0.3">
      <c r="A11210" t="s">
        <v>36</v>
      </c>
      <c r="B11210" t="s">
        <v>390</v>
      </c>
      <c r="C11210">
        <v>627</v>
      </c>
      <c r="D11210" t="s">
        <v>379</v>
      </c>
      <c r="E11210" t="s">
        <v>251</v>
      </c>
      <c r="F11210" t="s">
        <v>38</v>
      </c>
      <c r="G11210" t="s">
        <v>814</v>
      </c>
      <c r="H11210" t="s">
        <v>1144</v>
      </c>
    </row>
    <row r="11211" spans="1:8" x14ac:dyDescent="0.3">
      <c r="A11211" t="s">
        <v>36</v>
      </c>
      <c r="B11211" t="s">
        <v>365</v>
      </c>
      <c r="C11211">
        <v>100</v>
      </c>
      <c r="D11211" t="s">
        <v>201</v>
      </c>
      <c r="E11211" t="s">
        <v>705</v>
      </c>
      <c r="F11211" t="s">
        <v>1252</v>
      </c>
      <c r="G11211" t="s">
        <v>179</v>
      </c>
      <c r="H11211" t="s">
        <v>947</v>
      </c>
    </row>
    <row r="11212" spans="1:8" x14ac:dyDescent="0.3">
      <c r="A11212" t="s">
        <v>34</v>
      </c>
      <c r="B11212" t="s">
        <v>389</v>
      </c>
      <c r="C11212">
        <v>1385</v>
      </c>
      <c r="D11212" t="s">
        <v>542</v>
      </c>
      <c r="E11212" t="s">
        <v>321</v>
      </c>
      <c r="F11212" t="s">
        <v>717</v>
      </c>
      <c r="G11212" t="s">
        <v>685</v>
      </c>
      <c r="H11212" t="s">
        <v>498</v>
      </c>
    </row>
    <row r="11213" spans="1:8" x14ac:dyDescent="0.3">
      <c r="A11213" t="s">
        <v>34</v>
      </c>
      <c r="B11213" t="s">
        <v>390</v>
      </c>
      <c r="C11213">
        <v>615</v>
      </c>
      <c r="D11213" t="s">
        <v>672</v>
      </c>
      <c r="E11213" t="s">
        <v>355</v>
      </c>
      <c r="F11213" t="s">
        <v>309</v>
      </c>
      <c r="G11213" t="s">
        <v>470</v>
      </c>
      <c r="H11213" t="s">
        <v>2118</v>
      </c>
    </row>
    <row r="11214" spans="1:8" x14ac:dyDescent="0.3">
      <c r="A11214" t="s">
        <v>34</v>
      </c>
      <c r="B11214" t="s">
        <v>365</v>
      </c>
      <c r="C11214">
        <v>80</v>
      </c>
      <c r="D11214" t="s">
        <v>894</v>
      </c>
      <c r="E11214" t="s">
        <v>501</v>
      </c>
      <c r="F11214" t="s">
        <v>723</v>
      </c>
      <c r="G11214" t="s">
        <v>416</v>
      </c>
      <c r="H11214" t="s">
        <v>563</v>
      </c>
    </row>
    <row r="11215" spans="1:8" x14ac:dyDescent="0.3">
      <c r="A11215" t="s">
        <v>33</v>
      </c>
      <c r="B11215" t="s">
        <v>389</v>
      </c>
      <c r="C11215">
        <v>1090</v>
      </c>
      <c r="D11215" t="s">
        <v>842</v>
      </c>
      <c r="E11215" t="s">
        <v>690</v>
      </c>
      <c r="F11215" t="s">
        <v>799</v>
      </c>
      <c r="G11215" t="s">
        <v>730</v>
      </c>
      <c r="H11215" t="s">
        <v>1062</v>
      </c>
    </row>
    <row r="11216" spans="1:8" x14ac:dyDescent="0.3">
      <c r="A11216" t="s">
        <v>33</v>
      </c>
      <c r="B11216" t="s">
        <v>390</v>
      </c>
      <c r="C11216">
        <v>708</v>
      </c>
      <c r="D11216" t="s">
        <v>702</v>
      </c>
      <c r="E11216" t="s">
        <v>442</v>
      </c>
      <c r="F11216" t="s">
        <v>56</v>
      </c>
      <c r="G11216" t="s">
        <v>534</v>
      </c>
      <c r="H11216" t="s">
        <v>662</v>
      </c>
    </row>
    <row r="11217" spans="1:8" x14ac:dyDescent="0.3">
      <c r="A11217" t="s">
        <v>33</v>
      </c>
      <c r="B11217" t="s">
        <v>365</v>
      </c>
      <c r="C11217">
        <v>139</v>
      </c>
      <c r="D11217" t="s">
        <v>1107</v>
      </c>
      <c r="E11217" t="s">
        <v>513</v>
      </c>
      <c r="F11217" t="s">
        <v>1069</v>
      </c>
      <c r="G11217" t="s">
        <v>244</v>
      </c>
      <c r="H11217" t="s">
        <v>670</v>
      </c>
    </row>
    <row r="11218" spans="1:8" x14ac:dyDescent="0.3">
      <c r="A11218" t="s">
        <v>49</v>
      </c>
      <c r="B11218" t="s">
        <v>389</v>
      </c>
      <c r="C11218">
        <v>8499</v>
      </c>
      <c r="D11218" t="s">
        <v>38</v>
      </c>
      <c r="E11218" t="s">
        <v>814</v>
      </c>
      <c r="F11218" t="s">
        <v>670</v>
      </c>
      <c r="G11218" t="s">
        <v>167</v>
      </c>
      <c r="H11218" t="s">
        <v>640</v>
      </c>
    </row>
    <row r="11219" spans="1:8" x14ac:dyDescent="0.3">
      <c r="A11219" t="s">
        <v>49</v>
      </c>
      <c r="B11219" t="s">
        <v>390</v>
      </c>
      <c r="C11219">
        <v>4134</v>
      </c>
      <c r="D11219" t="s">
        <v>708</v>
      </c>
      <c r="E11219" t="s">
        <v>449</v>
      </c>
      <c r="F11219" t="s">
        <v>691</v>
      </c>
      <c r="G11219" t="s">
        <v>444</v>
      </c>
      <c r="H11219" t="s">
        <v>863</v>
      </c>
    </row>
    <row r="11220" spans="1:8" x14ac:dyDescent="0.3">
      <c r="A11220" t="s">
        <v>49</v>
      </c>
      <c r="B11220" t="s">
        <v>365</v>
      </c>
      <c r="C11220">
        <v>689</v>
      </c>
      <c r="D11220" t="s">
        <v>437</v>
      </c>
      <c r="E11220" t="s">
        <v>691</v>
      </c>
      <c r="F11220" t="s">
        <v>719</v>
      </c>
      <c r="G11220" t="s">
        <v>255</v>
      </c>
      <c r="H11220" t="s">
        <v>629</v>
      </c>
    </row>
    <row r="11222" spans="1:8" x14ac:dyDescent="0.3">
      <c r="A11222" t="s">
        <v>2616</v>
      </c>
    </row>
    <row r="11223" spans="1:8" x14ac:dyDescent="0.3">
      <c r="A11223" t="s">
        <v>44</v>
      </c>
      <c r="B11223" t="s">
        <v>235</v>
      </c>
      <c r="C11223" t="s">
        <v>32</v>
      </c>
      <c r="D11223" t="s">
        <v>2609</v>
      </c>
      <c r="E11223" t="s">
        <v>2610</v>
      </c>
      <c r="F11223" t="s">
        <v>2611</v>
      </c>
      <c r="G11223" t="s">
        <v>2612</v>
      </c>
      <c r="H11223" t="s">
        <v>83</v>
      </c>
    </row>
    <row r="11224" spans="1:8" x14ac:dyDescent="0.3">
      <c r="A11224" t="s">
        <v>35</v>
      </c>
      <c r="B11224" t="s">
        <v>236</v>
      </c>
      <c r="C11224">
        <v>1610</v>
      </c>
      <c r="D11224" t="s">
        <v>675</v>
      </c>
      <c r="E11224" t="s">
        <v>325</v>
      </c>
      <c r="F11224" t="s">
        <v>244</v>
      </c>
      <c r="G11224" t="s">
        <v>690</v>
      </c>
      <c r="H11224" t="s">
        <v>522</v>
      </c>
    </row>
    <row r="11225" spans="1:8" x14ac:dyDescent="0.3">
      <c r="A11225" t="s">
        <v>35</v>
      </c>
      <c r="B11225" t="s">
        <v>238</v>
      </c>
      <c r="C11225">
        <v>1535</v>
      </c>
      <c r="D11225" t="s">
        <v>201</v>
      </c>
      <c r="E11225" t="s">
        <v>311</v>
      </c>
      <c r="F11225" t="s">
        <v>167</v>
      </c>
      <c r="G11225" t="s">
        <v>264</v>
      </c>
      <c r="H11225" t="s">
        <v>1291</v>
      </c>
    </row>
    <row r="11226" spans="1:8" x14ac:dyDescent="0.3">
      <c r="A11226" t="s">
        <v>37</v>
      </c>
      <c r="B11226" t="s">
        <v>236</v>
      </c>
      <c r="C11226">
        <v>2211</v>
      </c>
      <c r="D11226" t="s">
        <v>109</v>
      </c>
      <c r="E11226" t="s">
        <v>109</v>
      </c>
      <c r="F11226" t="s">
        <v>171</v>
      </c>
      <c r="G11226" t="s">
        <v>281</v>
      </c>
      <c r="H11226" t="s">
        <v>279</v>
      </c>
    </row>
    <row r="11227" spans="1:8" x14ac:dyDescent="0.3">
      <c r="A11227" t="s">
        <v>37</v>
      </c>
      <c r="B11227" t="s">
        <v>238</v>
      </c>
      <c r="C11227">
        <v>1644</v>
      </c>
      <c r="D11227" t="s">
        <v>911</v>
      </c>
      <c r="E11227" t="s">
        <v>740</v>
      </c>
      <c r="F11227" t="s">
        <v>959</v>
      </c>
      <c r="G11227" t="s">
        <v>332</v>
      </c>
      <c r="H11227" t="s">
        <v>1474</v>
      </c>
    </row>
    <row r="11228" spans="1:8" x14ac:dyDescent="0.3">
      <c r="A11228" t="s">
        <v>36</v>
      </c>
      <c r="B11228" t="s">
        <v>236</v>
      </c>
      <c r="C11228">
        <v>1566</v>
      </c>
      <c r="D11228" t="s">
        <v>470</v>
      </c>
      <c r="E11228" t="s">
        <v>233</v>
      </c>
      <c r="F11228" t="s">
        <v>811</v>
      </c>
      <c r="G11228" t="s">
        <v>1167</v>
      </c>
      <c r="H11228" t="s">
        <v>918</v>
      </c>
    </row>
    <row r="11229" spans="1:8" x14ac:dyDescent="0.3">
      <c r="A11229" t="s">
        <v>36</v>
      </c>
      <c r="B11229" t="s">
        <v>238</v>
      </c>
      <c r="C11229">
        <v>739</v>
      </c>
      <c r="D11229" t="s">
        <v>267</v>
      </c>
      <c r="E11229" t="s">
        <v>672</v>
      </c>
      <c r="F11229" t="s">
        <v>670</v>
      </c>
      <c r="G11229" t="s">
        <v>664</v>
      </c>
      <c r="H11229" t="s">
        <v>55</v>
      </c>
    </row>
    <row r="11230" spans="1:8" x14ac:dyDescent="0.3">
      <c r="A11230" t="s">
        <v>34</v>
      </c>
      <c r="B11230" t="s">
        <v>236</v>
      </c>
      <c r="C11230">
        <v>717</v>
      </c>
      <c r="D11230" t="s">
        <v>440</v>
      </c>
      <c r="E11230" t="s">
        <v>726</v>
      </c>
      <c r="F11230" t="s">
        <v>457</v>
      </c>
      <c r="G11230" t="s">
        <v>686</v>
      </c>
      <c r="H11230" t="s">
        <v>886</v>
      </c>
    </row>
    <row r="11231" spans="1:8" x14ac:dyDescent="0.3">
      <c r="A11231" t="s">
        <v>34</v>
      </c>
      <c r="B11231" t="s">
        <v>238</v>
      </c>
      <c r="C11231">
        <v>1363</v>
      </c>
      <c r="D11231" t="s">
        <v>536</v>
      </c>
      <c r="E11231" t="s">
        <v>244</v>
      </c>
      <c r="F11231" t="s">
        <v>451</v>
      </c>
      <c r="G11231" t="s">
        <v>305</v>
      </c>
      <c r="H11231" t="s">
        <v>458</v>
      </c>
    </row>
    <row r="11232" spans="1:8" x14ac:dyDescent="0.3">
      <c r="A11232" t="s">
        <v>33</v>
      </c>
      <c r="B11232" t="s">
        <v>236</v>
      </c>
      <c r="C11232">
        <v>1116</v>
      </c>
      <c r="D11232" t="s">
        <v>465</v>
      </c>
      <c r="E11232" t="s">
        <v>731</v>
      </c>
      <c r="F11232" t="s">
        <v>836</v>
      </c>
      <c r="G11232" t="s">
        <v>897</v>
      </c>
      <c r="H11232" t="s">
        <v>481</v>
      </c>
    </row>
    <row r="11233" spans="1:8" x14ac:dyDescent="0.3">
      <c r="A11233" t="s">
        <v>33</v>
      </c>
      <c r="B11233" t="s">
        <v>238</v>
      </c>
      <c r="C11233">
        <v>821</v>
      </c>
      <c r="D11233" t="s">
        <v>902</v>
      </c>
      <c r="E11233" t="s">
        <v>64</v>
      </c>
      <c r="F11233" t="s">
        <v>1498</v>
      </c>
      <c r="G11233" t="s">
        <v>449</v>
      </c>
      <c r="H11233" t="s">
        <v>344</v>
      </c>
    </row>
    <row r="11234" spans="1:8" x14ac:dyDescent="0.3">
      <c r="A11234" t="s">
        <v>49</v>
      </c>
      <c r="B11234" t="s">
        <v>236</v>
      </c>
      <c r="C11234">
        <v>7220</v>
      </c>
      <c r="D11234" t="s">
        <v>405</v>
      </c>
      <c r="E11234" t="s">
        <v>671</v>
      </c>
      <c r="F11234" t="s">
        <v>177</v>
      </c>
      <c r="G11234" t="s">
        <v>106</v>
      </c>
      <c r="H11234" t="s">
        <v>1258</v>
      </c>
    </row>
    <row r="11235" spans="1:8" x14ac:dyDescent="0.3">
      <c r="A11235" t="s">
        <v>49</v>
      </c>
      <c r="B11235" t="s">
        <v>238</v>
      </c>
      <c r="C11235">
        <v>6102</v>
      </c>
      <c r="D11235" t="s">
        <v>39</v>
      </c>
      <c r="E11235" t="s">
        <v>167</v>
      </c>
      <c r="F11235" t="s">
        <v>959</v>
      </c>
      <c r="G11235" t="s">
        <v>405</v>
      </c>
      <c r="H11235" t="s">
        <v>1163</v>
      </c>
    </row>
    <row r="11237" spans="1:8" x14ac:dyDescent="0.3">
      <c r="A11237" t="s">
        <v>2617</v>
      </c>
    </row>
    <row r="11238" spans="1:8" x14ac:dyDescent="0.3">
      <c r="A11238" t="s">
        <v>44</v>
      </c>
      <c r="B11238" t="s">
        <v>1720</v>
      </c>
      <c r="C11238" t="s">
        <v>32</v>
      </c>
      <c r="D11238" t="s">
        <v>2609</v>
      </c>
      <c r="E11238" t="s">
        <v>2610</v>
      </c>
      <c r="F11238" t="s">
        <v>2611</v>
      </c>
      <c r="G11238" t="s">
        <v>2612</v>
      </c>
      <c r="H11238" t="s">
        <v>83</v>
      </c>
    </row>
    <row r="11239" spans="1:8" x14ac:dyDescent="0.3">
      <c r="A11239" t="s">
        <v>35</v>
      </c>
      <c r="B11239" t="s">
        <v>1721</v>
      </c>
      <c r="C11239">
        <v>996</v>
      </c>
      <c r="D11239" t="s">
        <v>370</v>
      </c>
      <c r="E11239" t="s">
        <v>255</v>
      </c>
      <c r="F11239" t="s">
        <v>833</v>
      </c>
      <c r="G11239" t="s">
        <v>255</v>
      </c>
      <c r="H11239" t="s">
        <v>1258</v>
      </c>
    </row>
    <row r="11240" spans="1:8" x14ac:dyDescent="0.3">
      <c r="A11240" t="s">
        <v>35</v>
      </c>
      <c r="B11240" t="s">
        <v>1722</v>
      </c>
      <c r="C11240">
        <v>2149</v>
      </c>
      <c r="D11240" t="s">
        <v>113</v>
      </c>
      <c r="E11240" t="s">
        <v>135</v>
      </c>
      <c r="F11240" t="s">
        <v>315</v>
      </c>
      <c r="G11240" t="s">
        <v>177</v>
      </c>
      <c r="H11240" t="s">
        <v>1155</v>
      </c>
    </row>
    <row r="11241" spans="1:8" x14ac:dyDescent="0.3">
      <c r="A11241" t="s">
        <v>37</v>
      </c>
      <c r="B11241" t="s">
        <v>1721</v>
      </c>
      <c r="C11241">
        <v>1252</v>
      </c>
      <c r="D11241" t="s">
        <v>807</v>
      </c>
      <c r="E11241" t="s">
        <v>718</v>
      </c>
      <c r="F11241" t="s">
        <v>715</v>
      </c>
      <c r="G11241" t="s">
        <v>318</v>
      </c>
      <c r="H11241" t="s">
        <v>1533</v>
      </c>
    </row>
    <row r="11242" spans="1:8" x14ac:dyDescent="0.3">
      <c r="A11242" t="s">
        <v>37</v>
      </c>
      <c r="B11242" t="s">
        <v>1722</v>
      </c>
      <c r="C11242">
        <v>2603</v>
      </c>
      <c r="D11242" t="s">
        <v>233</v>
      </c>
      <c r="E11242" t="s">
        <v>369</v>
      </c>
      <c r="F11242" t="s">
        <v>218</v>
      </c>
      <c r="G11242" t="s">
        <v>726</v>
      </c>
      <c r="H11242" t="s">
        <v>1119</v>
      </c>
    </row>
    <row r="11243" spans="1:8" x14ac:dyDescent="0.3">
      <c r="A11243" t="s">
        <v>36</v>
      </c>
      <c r="B11243" t="s">
        <v>1721</v>
      </c>
      <c r="C11243">
        <v>813</v>
      </c>
      <c r="D11243" t="s">
        <v>718</v>
      </c>
      <c r="E11243" t="s">
        <v>691</v>
      </c>
      <c r="F11243" t="s">
        <v>349</v>
      </c>
      <c r="G11243" t="s">
        <v>739</v>
      </c>
      <c r="H11243" t="s">
        <v>497</v>
      </c>
    </row>
    <row r="11244" spans="1:8" x14ac:dyDescent="0.3">
      <c r="A11244" t="s">
        <v>36</v>
      </c>
      <c r="B11244" t="s">
        <v>1722</v>
      </c>
      <c r="C11244">
        <v>1492</v>
      </c>
      <c r="D11244" t="s">
        <v>671</v>
      </c>
      <c r="E11244" t="s">
        <v>133</v>
      </c>
      <c r="F11244" t="s">
        <v>173</v>
      </c>
      <c r="G11244" t="s">
        <v>231</v>
      </c>
      <c r="H11244" t="s">
        <v>490</v>
      </c>
    </row>
    <row r="11245" spans="1:8" x14ac:dyDescent="0.3">
      <c r="A11245" t="s">
        <v>34</v>
      </c>
      <c r="B11245" t="s">
        <v>1721</v>
      </c>
      <c r="C11245">
        <v>621</v>
      </c>
      <c r="D11245" t="s">
        <v>720</v>
      </c>
      <c r="E11245" t="s">
        <v>432</v>
      </c>
      <c r="F11245" t="s">
        <v>960</v>
      </c>
      <c r="G11245" t="s">
        <v>691</v>
      </c>
      <c r="H11245" t="s">
        <v>538</v>
      </c>
    </row>
    <row r="11246" spans="1:8" x14ac:dyDescent="0.3">
      <c r="A11246" t="s">
        <v>34</v>
      </c>
      <c r="B11246" t="s">
        <v>1722</v>
      </c>
      <c r="C11246">
        <v>1459</v>
      </c>
      <c r="D11246" t="s">
        <v>175</v>
      </c>
      <c r="E11246" t="s">
        <v>710</v>
      </c>
      <c r="F11246" t="s">
        <v>706</v>
      </c>
      <c r="G11246" t="s">
        <v>251</v>
      </c>
      <c r="H11246" t="s">
        <v>1192</v>
      </c>
    </row>
    <row r="11247" spans="1:8" x14ac:dyDescent="0.3">
      <c r="A11247" t="s">
        <v>33</v>
      </c>
      <c r="B11247" t="s">
        <v>1721</v>
      </c>
      <c r="C11247">
        <v>557</v>
      </c>
      <c r="D11247" t="s">
        <v>797</v>
      </c>
      <c r="E11247" t="s">
        <v>838</v>
      </c>
      <c r="F11247" t="s">
        <v>550</v>
      </c>
      <c r="G11247" t="s">
        <v>691</v>
      </c>
      <c r="H11247" t="s">
        <v>303</v>
      </c>
    </row>
    <row r="11248" spans="1:8" x14ac:dyDescent="0.3">
      <c r="A11248" t="s">
        <v>33</v>
      </c>
      <c r="B11248" t="s">
        <v>1722</v>
      </c>
      <c r="C11248">
        <v>1380</v>
      </c>
      <c r="D11248" t="s">
        <v>491</v>
      </c>
      <c r="E11248" t="s">
        <v>303</v>
      </c>
      <c r="F11248" t="s">
        <v>662</v>
      </c>
      <c r="G11248" t="s">
        <v>665</v>
      </c>
      <c r="H11248" t="s">
        <v>1232</v>
      </c>
    </row>
    <row r="11249" spans="1:8" x14ac:dyDescent="0.3">
      <c r="A11249" t="s">
        <v>49</v>
      </c>
      <c r="B11249" t="s">
        <v>1721</v>
      </c>
      <c r="C11249">
        <v>4239</v>
      </c>
      <c r="D11249" t="s">
        <v>437</v>
      </c>
      <c r="E11249" t="s">
        <v>523</v>
      </c>
      <c r="F11249" t="s">
        <v>699</v>
      </c>
      <c r="G11249" t="s">
        <v>406</v>
      </c>
      <c r="H11249" t="s">
        <v>629</v>
      </c>
    </row>
    <row r="11250" spans="1:8" x14ac:dyDescent="0.3">
      <c r="A11250" t="s">
        <v>49</v>
      </c>
      <c r="B11250" t="s">
        <v>1722</v>
      </c>
      <c r="C11250">
        <v>9083</v>
      </c>
      <c r="D11250" t="s">
        <v>680</v>
      </c>
      <c r="E11250" t="s">
        <v>313</v>
      </c>
      <c r="F11250" t="s">
        <v>676</v>
      </c>
      <c r="G11250" t="s">
        <v>444</v>
      </c>
      <c r="H11250" t="s">
        <v>819</v>
      </c>
    </row>
    <row r="11252" spans="1:8" x14ac:dyDescent="0.3">
      <c r="A11252" t="s">
        <v>2618</v>
      </c>
    </row>
    <row r="11253" spans="1:8" x14ac:dyDescent="0.3">
      <c r="A11253" t="s">
        <v>44</v>
      </c>
      <c r="B11253" t="s">
        <v>2619</v>
      </c>
      <c r="C11253" t="s">
        <v>32</v>
      </c>
      <c r="D11253" t="s">
        <v>2609</v>
      </c>
      <c r="E11253" t="s">
        <v>2610</v>
      </c>
      <c r="F11253" t="s">
        <v>2611</v>
      </c>
      <c r="G11253" t="s">
        <v>2612</v>
      </c>
      <c r="H11253" t="s">
        <v>83</v>
      </c>
    </row>
    <row r="11254" spans="1:8" x14ac:dyDescent="0.3">
      <c r="A11254" t="s">
        <v>35</v>
      </c>
      <c r="B11254" t="s">
        <v>2620</v>
      </c>
      <c r="C11254">
        <v>392</v>
      </c>
      <c r="D11254" t="s">
        <v>370</v>
      </c>
      <c r="E11254" t="s">
        <v>373</v>
      </c>
      <c r="F11254" t="s">
        <v>668</v>
      </c>
      <c r="G11254" t="s">
        <v>355</v>
      </c>
      <c r="H11254" t="s">
        <v>1256</v>
      </c>
    </row>
    <row r="11255" spans="1:8" x14ac:dyDescent="0.3">
      <c r="A11255" t="s">
        <v>35</v>
      </c>
      <c r="B11255" t="s">
        <v>2621</v>
      </c>
      <c r="C11255">
        <v>388</v>
      </c>
      <c r="D11255" t="s">
        <v>425</v>
      </c>
      <c r="E11255" t="s">
        <v>737</v>
      </c>
      <c r="F11255" t="s">
        <v>523</v>
      </c>
      <c r="G11255" t="s">
        <v>255</v>
      </c>
      <c r="H11255" t="s">
        <v>1176</v>
      </c>
    </row>
    <row r="11256" spans="1:8" x14ac:dyDescent="0.3">
      <c r="A11256" t="s">
        <v>35</v>
      </c>
      <c r="B11256" t="s">
        <v>2622</v>
      </c>
      <c r="C11256">
        <v>216</v>
      </c>
      <c r="D11256" t="s">
        <v>298</v>
      </c>
      <c r="E11256" t="s">
        <v>173</v>
      </c>
      <c r="F11256" t="s">
        <v>137</v>
      </c>
      <c r="G11256" t="s">
        <v>478</v>
      </c>
      <c r="H11256" t="s">
        <v>957</v>
      </c>
    </row>
    <row r="11257" spans="1:8" x14ac:dyDescent="0.3">
      <c r="A11257" t="s">
        <v>35</v>
      </c>
      <c r="B11257" t="s">
        <v>2623</v>
      </c>
      <c r="C11257">
        <v>2149</v>
      </c>
      <c r="D11257" t="s">
        <v>113</v>
      </c>
      <c r="E11257" t="s">
        <v>135</v>
      </c>
      <c r="F11257" t="s">
        <v>315</v>
      </c>
      <c r="G11257" t="s">
        <v>177</v>
      </c>
      <c r="H11257" t="s">
        <v>1155</v>
      </c>
    </row>
    <row r="11258" spans="1:8" x14ac:dyDescent="0.3">
      <c r="A11258" t="s">
        <v>37</v>
      </c>
      <c r="B11258" t="s">
        <v>2620</v>
      </c>
      <c r="C11258">
        <v>473</v>
      </c>
      <c r="D11258" t="s">
        <v>309</v>
      </c>
      <c r="E11258" t="s">
        <v>705</v>
      </c>
      <c r="F11258" t="s">
        <v>803</v>
      </c>
      <c r="G11258" t="s">
        <v>814</v>
      </c>
      <c r="H11258" t="s">
        <v>598</v>
      </c>
    </row>
    <row r="11259" spans="1:8" x14ac:dyDescent="0.3">
      <c r="A11259" t="s">
        <v>37</v>
      </c>
      <c r="B11259" t="s">
        <v>2621</v>
      </c>
      <c r="C11259">
        <v>432</v>
      </c>
      <c r="D11259" t="s">
        <v>38</v>
      </c>
      <c r="E11259" t="s">
        <v>701</v>
      </c>
      <c r="F11259" t="s">
        <v>307</v>
      </c>
      <c r="G11259" t="s">
        <v>175</v>
      </c>
      <c r="H11259" t="s">
        <v>1215</v>
      </c>
    </row>
    <row r="11260" spans="1:8" x14ac:dyDescent="0.3">
      <c r="A11260" t="s">
        <v>37</v>
      </c>
      <c r="B11260" t="s">
        <v>2622</v>
      </c>
      <c r="C11260">
        <v>347</v>
      </c>
      <c r="D11260" t="s">
        <v>1044</v>
      </c>
      <c r="E11260" t="s">
        <v>478</v>
      </c>
      <c r="F11260" t="s">
        <v>503</v>
      </c>
      <c r="G11260" t="s">
        <v>440</v>
      </c>
      <c r="H11260" t="s">
        <v>1183</v>
      </c>
    </row>
    <row r="11261" spans="1:8" x14ac:dyDescent="0.3">
      <c r="A11261" t="s">
        <v>37</v>
      </c>
      <c r="B11261" t="s">
        <v>2623</v>
      </c>
      <c r="C11261">
        <v>2603</v>
      </c>
      <c r="D11261" t="s">
        <v>233</v>
      </c>
      <c r="E11261" t="s">
        <v>369</v>
      </c>
      <c r="F11261" t="s">
        <v>218</v>
      </c>
      <c r="G11261" t="s">
        <v>726</v>
      </c>
      <c r="H11261" t="s">
        <v>1119</v>
      </c>
    </row>
    <row r="11262" spans="1:8" x14ac:dyDescent="0.3">
      <c r="A11262" t="s">
        <v>36</v>
      </c>
      <c r="B11262" t="s">
        <v>2620</v>
      </c>
      <c r="C11262">
        <v>301</v>
      </c>
      <c r="D11262" t="s">
        <v>478</v>
      </c>
      <c r="E11262" t="s">
        <v>798</v>
      </c>
      <c r="F11262" t="s">
        <v>429</v>
      </c>
      <c r="G11262" t="s">
        <v>186</v>
      </c>
      <c r="H11262" t="s">
        <v>566</v>
      </c>
    </row>
    <row r="11263" spans="1:8" x14ac:dyDescent="0.3">
      <c r="A11263" t="s">
        <v>36</v>
      </c>
      <c r="B11263" t="s">
        <v>2621</v>
      </c>
      <c r="C11263">
        <v>289</v>
      </c>
      <c r="D11263" t="s">
        <v>726</v>
      </c>
      <c r="E11263" t="s">
        <v>670</v>
      </c>
      <c r="F11263" t="s">
        <v>840</v>
      </c>
      <c r="G11263" t="s">
        <v>683</v>
      </c>
      <c r="H11263" t="s">
        <v>459</v>
      </c>
    </row>
    <row r="11264" spans="1:8" x14ac:dyDescent="0.3">
      <c r="A11264" t="s">
        <v>36</v>
      </c>
      <c r="B11264" t="s">
        <v>2622</v>
      </c>
      <c r="C11264">
        <v>223</v>
      </c>
      <c r="D11264" t="s">
        <v>440</v>
      </c>
      <c r="E11264" t="s">
        <v>303</v>
      </c>
      <c r="F11264" t="s">
        <v>429</v>
      </c>
      <c r="G11264" t="s">
        <v>688</v>
      </c>
      <c r="H11264" t="s">
        <v>564</v>
      </c>
    </row>
    <row r="11265" spans="1:20" x14ac:dyDescent="0.3">
      <c r="A11265" t="s">
        <v>36</v>
      </c>
      <c r="B11265" t="s">
        <v>2623</v>
      </c>
      <c r="C11265">
        <v>1492</v>
      </c>
      <c r="D11265" t="s">
        <v>671</v>
      </c>
      <c r="E11265" t="s">
        <v>133</v>
      </c>
      <c r="F11265" t="s">
        <v>173</v>
      </c>
      <c r="G11265" t="s">
        <v>231</v>
      </c>
      <c r="H11265" t="s">
        <v>490</v>
      </c>
    </row>
    <row r="11266" spans="1:20" x14ac:dyDescent="0.3">
      <c r="A11266" t="s">
        <v>34</v>
      </c>
      <c r="B11266" t="s">
        <v>2620</v>
      </c>
      <c r="C11266">
        <v>249</v>
      </c>
      <c r="D11266" t="s">
        <v>432</v>
      </c>
      <c r="E11266" t="s">
        <v>373</v>
      </c>
      <c r="F11266" t="s">
        <v>1206</v>
      </c>
      <c r="G11266" t="s">
        <v>370</v>
      </c>
      <c r="H11266" t="s">
        <v>899</v>
      </c>
    </row>
    <row r="11267" spans="1:20" x14ac:dyDescent="0.3">
      <c r="A11267" t="s">
        <v>34</v>
      </c>
      <c r="B11267" t="s">
        <v>2621</v>
      </c>
      <c r="C11267">
        <v>236</v>
      </c>
      <c r="D11267" t="s">
        <v>683</v>
      </c>
      <c r="E11267" t="s">
        <v>255</v>
      </c>
      <c r="F11267" t="s">
        <v>148</v>
      </c>
      <c r="G11267" t="s">
        <v>678</v>
      </c>
      <c r="H11267" t="s">
        <v>577</v>
      </c>
    </row>
    <row r="11268" spans="1:20" x14ac:dyDescent="0.3">
      <c r="A11268" t="s">
        <v>34</v>
      </c>
      <c r="B11268" t="s">
        <v>2622</v>
      </c>
      <c r="C11268">
        <v>136</v>
      </c>
      <c r="D11268" t="s">
        <v>517</v>
      </c>
      <c r="E11268" t="s">
        <v>805</v>
      </c>
      <c r="F11268" t="s">
        <v>146</v>
      </c>
      <c r="G11268" t="s">
        <v>395</v>
      </c>
      <c r="H11268" t="s">
        <v>496</v>
      </c>
    </row>
    <row r="11269" spans="1:20" x14ac:dyDescent="0.3">
      <c r="A11269" t="s">
        <v>34</v>
      </c>
      <c r="B11269" t="s">
        <v>2623</v>
      </c>
      <c r="C11269">
        <v>1459</v>
      </c>
      <c r="D11269" t="s">
        <v>175</v>
      </c>
      <c r="E11269" t="s">
        <v>710</v>
      </c>
      <c r="F11269" t="s">
        <v>706</v>
      </c>
      <c r="G11269" t="s">
        <v>251</v>
      </c>
      <c r="H11269" t="s">
        <v>1192</v>
      </c>
    </row>
    <row r="11270" spans="1:20" x14ac:dyDescent="0.3">
      <c r="A11270" t="s">
        <v>33</v>
      </c>
      <c r="B11270" t="s">
        <v>2620</v>
      </c>
      <c r="C11270">
        <v>217</v>
      </c>
      <c r="D11270" t="s">
        <v>459</v>
      </c>
      <c r="E11270" t="s">
        <v>960</v>
      </c>
      <c r="F11270" t="s">
        <v>1176</v>
      </c>
      <c r="G11270" t="s">
        <v>167</v>
      </c>
      <c r="H11270" t="s">
        <v>499</v>
      </c>
    </row>
    <row r="11271" spans="1:20" x14ac:dyDescent="0.3">
      <c r="A11271" t="s">
        <v>33</v>
      </c>
      <c r="B11271" t="s">
        <v>2621</v>
      </c>
      <c r="C11271">
        <v>222</v>
      </c>
      <c r="D11271" t="s">
        <v>703</v>
      </c>
      <c r="E11271" t="s">
        <v>1209</v>
      </c>
      <c r="F11271" t="s">
        <v>528</v>
      </c>
      <c r="G11271" t="s">
        <v>748</v>
      </c>
      <c r="H11271" t="s">
        <v>482</v>
      </c>
    </row>
    <row r="11272" spans="1:20" x14ac:dyDescent="0.3">
      <c r="A11272" t="s">
        <v>33</v>
      </c>
      <c r="B11272" t="s">
        <v>2622</v>
      </c>
      <c r="C11272">
        <v>118</v>
      </c>
      <c r="D11272" t="s">
        <v>1115</v>
      </c>
      <c r="E11272" t="s">
        <v>488</v>
      </c>
      <c r="F11272" t="s">
        <v>1061</v>
      </c>
      <c r="G11272" t="s">
        <v>177</v>
      </c>
      <c r="H11272" t="s">
        <v>425</v>
      </c>
    </row>
    <row r="11273" spans="1:20" x14ac:dyDescent="0.3">
      <c r="A11273" t="s">
        <v>33</v>
      </c>
      <c r="B11273" t="s">
        <v>2623</v>
      </c>
      <c r="C11273">
        <v>1380</v>
      </c>
      <c r="D11273" t="s">
        <v>491</v>
      </c>
      <c r="E11273" t="s">
        <v>303</v>
      </c>
      <c r="F11273" t="s">
        <v>662</v>
      </c>
      <c r="G11273" t="s">
        <v>665</v>
      </c>
      <c r="H11273" t="s">
        <v>1232</v>
      </c>
    </row>
    <row r="11274" spans="1:20" x14ac:dyDescent="0.3">
      <c r="A11274" t="s">
        <v>49</v>
      </c>
      <c r="B11274" t="s">
        <v>2620</v>
      </c>
      <c r="C11274">
        <v>1632</v>
      </c>
      <c r="D11274" t="s">
        <v>864</v>
      </c>
      <c r="E11274" t="s">
        <v>463</v>
      </c>
      <c r="F11274" t="s">
        <v>674</v>
      </c>
      <c r="G11274" t="s">
        <v>701</v>
      </c>
      <c r="H11274" t="s">
        <v>1113</v>
      </c>
    </row>
    <row r="11275" spans="1:20" x14ac:dyDescent="0.3">
      <c r="A11275" t="s">
        <v>49</v>
      </c>
      <c r="B11275" t="s">
        <v>2621</v>
      </c>
      <c r="C11275">
        <v>1567</v>
      </c>
      <c r="D11275" t="s">
        <v>508</v>
      </c>
      <c r="E11275" t="s">
        <v>676</v>
      </c>
      <c r="F11275" t="s">
        <v>429</v>
      </c>
      <c r="G11275" t="s">
        <v>739</v>
      </c>
      <c r="H11275" t="s">
        <v>615</v>
      </c>
    </row>
    <row r="11276" spans="1:20" x14ac:dyDescent="0.3">
      <c r="A11276" t="s">
        <v>49</v>
      </c>
      <c r="B11276" t="s">
        <v>2622</v>
      </c>
      <c r="C11276">
        <v>1040</v>
      </c>
      <c r="D11276" t="s">
        <v>1008</v>
      </c>
      <c r="E11276" t="s">
        <v>301</v>
      </c>
      <c r="F11276" t="s">
        <v>1062</v>
      </c>
      <c r="G11276" t="s">
        <v>440</v>
      </c>
      <c r="H11276" t="s">
        <v>1494</v>
      </c>
    </row>
    <row r="11277" spans="1:20" x14ac:dyDescent="0.3">
      <c r="A11277" t="s">
        <v>49</v>
      </c>
      <c r="B11277" t="s">
        <v>2623</v>
      </c>
      <c r="C11277">
        <v>9083</v>
      </c>
      <c r="D11277" t="s">
        <v>680</v>
      </c>
      <c r="E11277" t="s">
        <v>313</v>
      </c>
      <c r="F11277" t="s">
        <v>676</v>
      </c>
      <c r="G11277" t="s">
        <v>444</v>
      </c>
      <c r="H11277" t="s">
        <v>819</v>
      </c>
    </row>
    <row r="11279" spans="1:20" x14ac:dyDescent="0.3">
      <c r="A11279" t="s">
        <v>2624</v>
      </c>
    </row>
    <row r="11280" spans="1:20" x14ac:dyDescent="0.3">
      <c r="A11280" t="s">
        <v>44</v>
      </c>
      <c r="B11280" t="s">
        <v>32</v>
      </c>
      <c r="C11280" t="s">
        <v>2588</v>
      </c>
      <c r="D11280" t="s">
        <v>2625</v>
      </c>
      <c r="E11280" t="s">
        <v>2626</v>
      </c>
      <c r="F11280" t="s">
        <v>2627</v>
      </c>
      <c r="G11280" t="s">
        <v>2628</v>
      </c>
      <c r="H11280" t="s">
        <v>2629</v>
      </c>
      <c r="I11280" t="s">
        <v>2597</v>
      </c>
      <c r="J11280" t="s">
        <v>2630</v>
      </c>
      <c r="K11280" t="s">
        <v>2631</v>
      </c>
      <c r="L11280" t="s">
        <v>2632</v>
      </c>
      <c r="M11280" t="s">
        <v>2633</v>
      </c>
      <c r="N11280" t="s">
        <v>2634</v>
      </c>
      <c r="O11280" t="s">
        <v>2635</v>
      </c>
      <c r="P11280" t="s">
        <v>2636</v>
      </c>
      <c r="Q11280" t="s">
        <v>2637</v>
      </c>
      <c r="R11280" t="s">
        <v>2638</v>
      </c>
      <c r="S11280" t="s">
        <v>2639</v>
      </c>
      <c r="T11280" t="s">
        <v>88</v>
      </c>
    </row>
    <row r="11281" spans="1:21" x14ac:dyDescent="0.3">
      <c r="A11281" t="s">
        <v>35</v>
      </c>
      <c r="B11281">
        <v>614</v>
      </c>
      <c r="C11281" t="s">
        <v>1187</v>
      </c>
      <c r="D11281" t="s">
        <v>123</v>
      </c>
      <c r="E11281" t="s">
        <v>316</v>
      </c>
      <c r="F11281" t="s">
        <v>253</v>
      </c>
      <c r="G11281" t="s">
        <v>117</v>
      </c>
      <c r="H11281" t="s">
        <v>103</v>
      </c>
      <c r="I11281" t="s">
        <v>101</v>
      </c>
      <c r="J11281" t="s">
        <v>109</v>
      </c>
      <c r="K11281" t="s">
        <v>100</v>
      </c>
      <c r="L11281" t="s">
        <v>127</v>
      </c>
      <c r="M11281" t="s">
        <v>198</v>
      </c>
      <c r="N11281" t="s">
        <v>138</v>
      </c>
      <c r="O11281" t="s">
        <v>743</v>
      </c>
      <c r="P11281" t="s">
        <v>99</v>
      </c>
      <c r="Q11281" t="s">
        <v>316</v>
      </c>
      <c r="R11281" t="s">
        <v>115</v>
      </c>
      <c r="S11281" t="s">
        <v>470</v>
      </c>
      <c r="T11281" t="s">
        <v>292</v>
      </c>
    </row>
    <row r="11282" spans="1:21" x14ac:dyDescent="0.3">
      <c r="A11282" t="s">
        <v>37</v>
      </c>
      <c r="B11282">
        <v>890</v>
      </c>
      <c r="C11282" t="s">
        <v>1135</v>
      </c>
      <c r="D11282" t="s">
        <v>157</v>
      </c>
      <c r="E11282" t="s">
        <v>68</v>
      </c>
      <c r="F11282" t="s">
        <v>117</v>
      </c>
      <c r="G11282" t="s">
        <v>132</v>
      </c>
      <c r="H11282" t="s">
        <v>132</v>
      </c>
      <c r="I11282" t="s">
        <v>215</v>
      </c>
      <c r="J11282" t="s">
        <v>198</v>
      </c>
      <c r="K11282" t="s">
        <v>207</v>
      </c>
      <c r="L11282" t="s">
        <v>104</v>
      </c>
      <c r="M11282" t="s">
        <v>253</v>
      </c>
      <c r="N11282" t="s">
        <v>132</v>
      </c>
      <c r="O11282" t="s">
        <v>155</v>
      </c>
      <c r="P11282" t="s">
        <v>104</v>
      </c>
      <c r="Q11282" t="s">
        <v>207</v>
      </c>
      <c r="R11282" t="s">
        <v>151</v>
      </c>
      <c r="S11282" t="s">
        <v>103</v>
      </c>
      <c r="T11282" t="s">
        <v>99</v>
      </c>
    </row>
    <row r="11283" spans="1:21" x14ac:dyDescent="0.3">
      <c r="A11283" t="s">
        <v>36</v>
      </c>
      <c r="B11283">
        <v>458</v>
      </c>
      <c r="C11283" t="s">
        <v>543</v>
      </c>
      <c r="D11283" t="s">
        <v>121</v>
      </c>
      <c r="E11283" t="s">
        <v>242</v>
      </c>
      <c r="F11283" t="s">
        <v>100</v>
      </c>
      <c r="G11283" t="s">
        <v>292</v>
      </c>
      <c r="H11283" t="s">
        <v>207</v>
      </c>
      <c r="I11283" t="s">
        <v>141</v>
      </c>
      <c r="J11283" t="s">
        <v>99</v>
      </c>
      <c r="K11283" t="s">
        <v>99</v>
      </c>
      <c r="L11283" t="s">
        <v>127</v>
      </c>
      <c r="M11283" t="s">
        <v>121</v>
      </c>
      <c r="N11283" t="s">
        <v>101</v>
      </c>
      <c r="O11283" t="s">
        <v>474</v>
      </c>
      <c r="P11283" t="s">
        <v>99</v>
      </c>
      <c r="Q11283" t="s">
        <v>207</v>
      </c>
      <c r="R11283" t="s">
        <v>136</v>
      </c>
      <c r="S11283" t="s">
        <v>382</v>
      </c>
      <c r="T11283" t="s">
        <v>99</v>
      </c>
    </row>
    <row r="11284" spans="1:21" x14ac:dyDescent="0.3">
      <c r="A11284" t="s">
        <v>34</v>
      </c>
      <c r="B11284">
        <v>510</v>
      </c>
      <c r="C11284" t="s">
        <v>883</v>
      </c>
      <c r="D11284" t="s">
        <v>111</v>
      </c>
      <c r="E11284" t="s">
        <v>253</v>
      </c>
      <c r="F11284" t="s">
        <v>215</v>
      </c>
      <c r="G11284" t="s">
        <v>332</v>
      </c>
      <c r="H11284" t="s">
        <v>141</v>
      </c>
      <c r="I11284" t="s">
        <v>207</v>
      </c>
      <c r="J11284" t="s">
        <v>207</v>
      </c>
      <c r="K11284" t="s">
        <v>104</v>
      </c>
      <c r="L11284" t="s">
        <v>712</v>
      </c>
      <c r="M11284" t="s">
        <v>141</v>
      </c>
      <c r="N11284" t="s">
        <v>108</v>
      </c>
      <c r="O11284" t="s">
        <v>101</v>
      </c>
      <c r="P11284" t="s">
        <v>99</v>
      </c>
      <c r="Q11284" t="s">
        <v>101</v>
      </c>
      <c r="R11284" t="s">
        <v>111</v>
      </c>
      <c r="S11284" t="s">
        <v>129</v>
      </c>
      <c r="T11284" t="s">
        <v>253</v>
      </c>
    </row>
    <row r="11285" spans="1:21" x14ac:dyDescent="0.3">
      <c r="A11285" t="s">
        <v>33</v>
      </c>
      <c r="B11285">
        <v>893</v>
      </c>
      <c r="C11285" t="s">
        <v>75</v>
      </c>
      <c r="D11285" t="s">
        <v>141</v>
      </c>
      <c r="E11285" t="s">
        <v>99</v>
      </c>
      <c r="F11285" t="s">
        <v>207</v>
      </c>
      <c r="G11285" t="s">
        <v>253</v>
      </c>
      <c r="H11285" t="s">
        <v>198</v>
      </c>
      <c r="I11285" t="s">
        <v>136</v>
      </c>
      <c r="J11285" t="s">
        <v>99</v>
      </c>
      <c r="K11285" t="s">
        <v>198</v>
      </c>
      <c r="L11285" t="s">
        <v>136</v>
      </c>
      <c r="M11285" t="s">
        <v>99</v>
      </c>
      <c r="N11285" t="s">
        <v>104</v>
      </c>
      <c r="O11285" t="s">
        <v>123</v>
      </c>
      <c r="P11285" t="s">
        <v>99</v>
      </c>
      <c r="Q11285" t="s">
        <v>136</v>
      </c>
      <c r="R11285" t="s">
        <v>136</v>
      </c>
      <c r="S11285" t="s">
        <v>319</v>
      </c>
      <c r="T11285" t="s">
        <v>198</v>
      </c>
    </row>
    <row r="11286" spans="1:21" x14ac:dyDescent="0.3">
      <c r="A11286" t="s">
        <v>49</v>
      </c>
      <c r="B11286">
        <v>3365</v>
      </c>
      <c r="C11286" t="s">
        <v>394</v>
      </c>
      <c r="D11286" t="s">
        <v>123</v>
      </c>
      <c r="E11286" t="s">
        <v>268</v>
      </c>
      <c r="F11286" t="s">
        <v>121</v>
      </c>
      <c r="G11286" t="s">
        <v>215</v>
      </c>
      <c r="H11286" t="s">
        <v>108</v>
      </c>
      <c r="I11286" t="s">
        <v>108</v>
      </c>
      <c r="J11286" t="s">
        <v>382</v>
      </c>
      <c r="K11286" t="s">
        <v>136</v>
      </c>
      <c r="L11286" t="s">
        <v>126</v>
      </c>
      <c r="M11286" t="s">
        <v>136</v>
      </c>
      <c r="N11286" t="s">
        <v>121</v>
      </c>
      <c r="O11286" t="s">
        <v>145</v>
      </c>
      <c r="P11286" t="s">
        <v>99</v>
      </c>
      <c r="Q11286" t="s">
        <v>114</v>
      </c>
      <c r="R11286" t="s">
        <v>121</v>
      </c>
      <c r="S11286" t="s">
        <v>129</v>
      </c>
      <c r="T11286" t="s">
        <v>253</v>
      </c>
    </row>
    <row r="11288" spans="1:21" x14ac:dyDescent="0.3">
      <c r="A11288" t="s">
        <v>2640</v>
      </c>
    </row>
    <row r="11289" spans="1:21" x14ac:dyDescent="0.3">
      <c r="A11289" t="s">
        <v>44</v>
      </c>
      <c r="B11289" t="s">
        <v>361</v>
      </c>
      <c r="C11289" t="s">
        <v>32</v>
      </c>
      <c r="D11289" t="s">
        <v>2588</v>
      </c>
      <c r="E11289" t="s">
        <v>2625</v>
      </c>
      <c r="F11289" t="s">
        <v>2626</v>
      </c>
      <c r="G11289" t="s">
        <v>2627</v>
      </c>
      <c r="H11289" t="s">
        <v>2628</v>
      </c>
      <c r="I11289" t="s">
        <v>2629</v>
      </c>
      <c r="J11289" t="s">
        <v>2597</v>
      </c>
      <c r="K11289" t="s">
        <v>2630</v>
      </c>
      <c r="L11289" t="s">
        <v>2631</v>
      </c>
      <c r="M11289" t="s">
        <v>2632</v>
      </c>
      <c r="N11289" t="s">
        <v>2633</v>
      </c>
      <c r="O11289" t="s">
        <v>2634</v>
      </c>
      <c r="P11289" t="s">
        <v>2635</v>
      </c>
      <c r="Q11289" t="s">
        <v>2636</v>
      </c>
      <c r="R11289" t="s">
        <v>2637</v>
      </c>
      <c r="S11289" t="s">
        <v>2638</v>
      </c>
      <c r="T11289" t="s">
        <v>2639</v>
      </c>
      <c r="U11289" t="s">
        <v>88</v>
      </c>
    </row>
    <row r="11290" spans="1:21" x14ac:dyDescent="0.3">
      <c r="A11290" t="s">
        <v>35</v>
      </c>
      <c r="B11290" t="s">
        <v>339</v>
      </c>
      <c r="C11290">
        <v>148</v>
      </c>
      <c r="D11290" t="s">
        <v>855</v>
      </c>
      <c r="E11290" t="s">
        <v>100</v>
      </c>
      <c r="F11290" t="s">
        <v>132</v>
      </c>
      <c r="G11290" t="s">
        <v>198</v>
      </c>
      <c r="H11290" t="s">
        <v>123</v>
      </c>
      <c r="I11290" t="s">
        <v>99</v>
      </c>
      <c r="J11290" t="s">
        <v>115</v>
      </c>
      <c r="K11290" t="s">
        <v>253</v>
      </c>
      <c r="L11290" t="s">
        <v>99</v>
      </c>
      <c r="M11290" t="s">
        <v>127</v>
      </c>
      <c r="N11290" t="s">
        <v>99</v>
      </c>
      <c r="O11290" t="s">
        <v>99</v>
      </c>
      <c r="P11290" t="s">
        <v>70</v>
      </c>
      <c r="Q11290" t="s">
        <v>99</v>
      </c>
      <c r="R11290" t="s">
        <v>664</v>
      </c>
      <c r="S11290" t="s">
        <v>132</v>
      </c>
      <c r="T11290" t="s">
        <v>253</v>
      </c>
      <c r="U11290" t="s">
        <v>132</v>
      </c>
    </row>
    <row r="11291" spans="1:21" x14ac:dyDescent="0.3">
      <c r="A11291" t="s">
        <v>35</v>
      </c>
      <c r="B11291" t="s">
        <v>340</v>
      </c>
      <c r="C11291">
        <v>460</v>
      </c>
      <c r="D11291" t="s">
        <v>345</v>
      </c>
      <c r="E11291" t="s">
        <v>111</v>
      </c>
      <c r="F11291" t="s">
        <v>107</v>
      </c>
      <c r="G11291" t="s">
        <v>253</v>
      </c>
      <c r="H11291" t="s">
        <v>103</v>
      </c>
      <c r="I11291" t="s">
        <v>157</v>
      </c>
      <c r="J11291" t="s">
        <v>319</v>
      </c>
      <c r="K11291" t="s">
        <v>113</v>
      </c>
      <c r="L11291" t="s">
        <v>101</v>
      </c>
      <c r="M11291" t="s">
        <v>127</v>
      </c>
      <c r="N11291" t="s">
        <v>198</v>
      </c>
      <c r="O11291" t="s">
        <v>130</v>
      </c>
      <c r="P11291" t="s">
        <v>735</v>
      </c>
      <c r="Q11291" t="s">
        <v>99</v>
      </c>
      <c r="R11291" t="s">
        <v>382</v>
      </c>
      <c r="S11291" t="s">
        <v>115</v>
      </c>
      <c r="T11291" t="s">
        <v>714</v>
      </c>
      <c r="U11291" t="s">
        <v>117</v>
      </c>
    </row>
    <row r="11292" spans="1:21" x14ac:dyDescent="0.3">
      <c r="A11292" t="s">
        <v>35</v>
      </c>
      <c r="B11292" t="s">
        <v>365</v>
      </c>
      <c r="C11292">
        <v>6</v>
      </c>
      <c r="D11292" t="s">
        <v>211</v>
      </c>
      <c r="E11292" t="s">
        <v>99</v>
      </c>
      <c r="F11292" t="s">
        <v>99</v>
      </c>
      <c r="G11292" t="s">
        <v>99</v>
      </c>
      <c r="H11292" t="s">
        <v>99</v>
      </c>
      <c r="I11292" t="s">
        <v>99</v>
      </c>
      <c r="J11292" t="s">
        <v>99</v>
      </c>
      <c r="K11292" t="s">
        <v>99</v>
      </c>
      <c r="L11292" t="s">
        <v>99</v>
      </c>
      <c r="M11292" t="s">
        <v>99</v>
      </c>
      <c r="N11292" t="s">
        <v>99</v>
      </c>
      <c r="O11292" t="s">
        <v>99</v>
      </c>
      <c r="P11292" t="s">
        <v>99</v>
      </c>
      <c r="Q11292" t="s">
        <v>99</v>
      </c>
      <c r="R11292" t="s">
        <v>99</v>
      </c>
      <c r="S11292" t="s">
        <v>99</v>
      </c>
      <c r="T11292" t="s">
        <v>99</v>
      </c>
      <c r="U11292" t="s">
        <v>99</v>
      </c>
    </row>
    <row r="11293" spans="1:21" x14ac:dyDescent="0.3">
      <c r="A11293" t="s">
        <v>37</v>
      </c>
      <c r="B11293" t="s">
        <v>339</v>
      </c>
      <c r="C11293">
        <v>163</v>
      </c>
      <c r="D11293" t="s">
        <v>460</v>
      </c>
      <c r="E11293" t="s">
        <v>100</v>
      </c>
      <c r="F11293" t="s">
        <v>117</v>
      </c>
      <c r="G11293" t="s">
        <v>100</v>
      </c>
      <c r="H11293" t="s">
        <v>117</v>
      </c>
      <c r="I11293" t="s">
        <v>132</v>
      </c>
      <c r="J11293" t="s">
        <v>123</v>
      </c>
      <c r="K11293" t="s">
        <v>101</v>
      </c>
      <c r="L11293" t="s">
        <v>99</v>
      </c>
      <c r="M11293" t="s">
        <v>99</v>
      </c>
      <c r="N11293" t="s">
        <v>99</v>
      </c>
      <c r="O11293" t="s">
        <v>101</v>
      </c>
      <c r="P11293" t="s">
        <v>663</v>
      </c>
      <c r="Q11293" t="s">
        <v>141</v>
      </c>
      <c r="R11293" t="s">
        <v>132</v>
      </c>
      <c r="S11293" t="s">
        <v>132</v>
      </c>
      <c r="T11293" t="s">
        <v>118</v>
      </c>
      <c r="U11293" t="s">
        <v>99</v>
      </c>
    </row>
    <row r="11294" spans="1:21" x14ac:dyDescent="0.3">
      <c r="A11294" t="s">
        <v>37</v>
      </c>
      <c r="B11294" t="s">
        <v>340</v>
      </c>
      <c r="C11294">
        <v>714</v>
      </c>
      <c r="D11294" t="s">
        <v>885</v>
      </c>
      <c r="E11294" t="s">
        <v>154</v>
      </c>
      <c r="F11294" t="s">
        <v>98</v>
      </c>
      <c r="G11294" t="s">
        <v>128</v>
      </c>
      <c r="H11294" t="s">
        <v>141</v>
      </c>
      <c r="I11294" t="s">
        <v>108</v>
      </c>
      <c r="J11294" t="s">
        <v>215</v>
      </c>
      <c r="K11294" t="s">
        <v>99</v>
      </c>
      <c r="L11294" t="s">
        <v>207</v>
      </c>
      <c r="M11294" t="s">
        <v>104</v>
      </c>
      <c r="N11294" t="s">
        <v>115</v>
      </c>
      <c r="O11294" t="s">
        <v>115</v>
      </c>
      <c r="P11294" t="s">
        <v>120</v>
      </c>
      <c r="Q11294" t="s">
        <v>99</v>
      </c>
      <c r="R11294" t="s">
        <v>104</v>
      </c>
      <c r="S11294" t="s">
        <v>111</v>
      </c>
      <c r="T11294" t="s">
        <v>111</v>
      </c>
      <c r="U11294" t="s">
        <v>99</v>
      </c>
    </row>
    <row r="11295" spans="1:21" x14ac:dyDescent="0.3">
      <c r="A11295" t="s">
        <v>37</v>
      </c>
      <c r="B11295" t="s">
        <v>365</v>
      </c>
      <c r="C11295">
        <v>13</v>
      </c>
      <c r="D11295" t="s">
        <v>978</v>
      </c>
      <c r="E11295" t="s">
        <v>99</v>
      </c>
      <c r="F11295" t="s">
        <v>99</v>
      </c>
      <c r="G11295" t="s">
        <v>99</v>
      </c>
      <c r="H11295" t="s">
        <v>99</v>
      </c>
      <c r="I11295" t="s">
        <v>99</v>
      </c>
      <c r="J11295" t="s">
        <v>99</v>
      </c>
      <c r="K11295" t="s">
        <v>99</v>
      </c>
      <c r="L11295" t="s">
        <v>99</v>
      </c>
      <c r="M11295" t="s">
        <v>99</v>
      </c>
      <c r="N11295" t="s">
        <v>99</v>
      </c>
      <c r="O11295" t="s">
        <v>99</v>
      </c>
      <c r="P11295" t="s">
        <v>99</v>
      </c>
      <c r="Q11295" t="s">
        <v>99</v>
      </c>
      <c r="R11295" t="s">
        <v>152</v>
      </c>
      <c r="S11295" t="s">
        <v>152</v>
      </c>
      <c r="T11295" t="s">
        <v>152</v>
      </c>
      <c r="U11295" t="s">
        <v>99</v>
      </c>
    </row>
    <row r="11296" spans="1:21" x14ac:dyDescent="0.3">
      <c r="A11296" t="s">
        <v>36</v>
      </c>
      <c r="B11296" t="s">
        <v>339</v>
      </c>
      <c r="C11296">
        <v>128</v>
      </c>
      <c r="D11296" t="s">
        <v>266</v>
      </c>
      <c r="E11296" t="s">
        <v>207</v>
      </c>
      <c r="F11296" t="s">
        <v>104</v>
      </c>
      <c r="G11296" t="s">
        <v>115</v>
      </c>
      <c r="H11296" t="s">
        <v>468</v>
      </c>
      <c r="I11296" t="s">
        <v>99</v>
      </c>
      <c r="J11296" t="s">
        <v>136</v>
      </c>
      <c r="K11296" t="s">
        <v>99</v>
      </c>
      <c r="L11296" t="s">
        <v>99</v>
      </c>
      <c r="M11296" t="s">
        <v>215</v>
      </c>
      <c r="N11296" t="s">
        <v>253</v>
      </c>
      <c r="O11296" t="s">
        <v>207</v>
      </c>
      <c r="P11296" t="s">
        <v>158</v>
      </c>
      <c r="Q11296" t="s">
        <v>99</v>
      </c>
      <c r="R11296" t="s">
        <v>99</v>
      </c>
      <c r="S11296" t="s">
        <v>104</v>
      </c>
      <c r="T11296" t="s">
        <v>121</v>
      </c>
      <c r="U11296" t="s">
        <v>99</v>
      </c>
    </row>
    <row r="11297" spans="1:21" x14ac:dyDescent="0.3">
      <c r="A11297" t="s">
        <v>36</v>
      </c>
      <c r="B11297" t="s">
        <v>340</v>
      </c>
      <c r="C11297">
        <v>303</v>
      </c>
      <c r="D11297" t="s">
        <v>189</v>
      </c>
      <c r="E11297" t="s">
        <v>382</v>
      </c>
      <c r="F11297" t="s">
        <v>135</v>
      </c>
      <c r="G11297" t="s">
        <v>101</v>
      </c>
      <c r="H11297" t="s">
        <v>114</v>
      </c>
      <c r="I11297" t="s">
        <v>136</v>
      </c>
      <c r="J11297" t="s">
        <v>141</v>
      </c>
      <c r="K11297" t="s">
        <v>99</v>
      </c>
      <c r="L11297" t="s">
        <v>99</v>
      </c>
      <c r="M11297" t="s">
        <v>123</v>
      </c>
      <c r="N11297" t="s">
        <v>319</v>
      </c>
      <c r="O11297" t="s">
        <v>215</v>
      </c>
      <c r="P11297" t="s">
        <v>712</v>
      </c>
      <c r="Q11297" t="s">
        <v>99</v>
      </c>
      <c r="R11297" t="s">
        <v>136</v>
      </c>
      <c r="S11297" t="s">
        <v>141</v>
      </c>
      <c r="T11297" t="s">
        <v>127</v>
      </c>
      <c r="U11297" t="s">
        <v>99</v>
      </c>
    </row>
    <row r="11298" spans="1:21" x14ac:dyDescent="0.3">
      <c r="A11298" t="s">
        <v>36</v>
      </c>
      <c r="B11298" t="s">
        <v>365</v>
      </c>
      <c r="C11298">
        <v>27</v>
      </c>
      <c r="D11298" t="s">
        <v>993</v>
      </c>
      <c r="E11298" t="s">
        <v>99</v>
      </c>
      <c r="F11298" t="s">
        <v>99</v>
      </c>
      <c r="G11298" t="s">
        <v>99</v>
      </c>
      <c r="H11298" t="s">
        <v>382</v>
      </c>
      <c r="I11298" t="s">
        <v>99</v>
      </c>
      <c r="J11298" t="s">
        <v>99</v>
      </c>
      <c r="K11298" t="s">
        <v>99</v>
      </c>
      <c r="L11298" t="s">
        <v>99</v>
      </c>
      <c r="M11298" t="s">
        <v>99</v>
      </c>
      <c r="N11298" t="s">
        <v>99</v>
      </c>
      <c r="O11298" t="s">
        <v>99</v>
      </c>
      <c r="P11298" t="s">
        <v>99</v>
      </c>
      <c r="Q11298" t="s">
        <v>99</v>
      </c>
      <c r="R11298" t="s">
        <v>382</v>
      </c>
      <c r="S11298" t="s">
        <v>99</v>
      </c>
      <c r="T11298" t="s">
        <v>99</v>
      </c>
      <c r="U11298" t="s">
        <v>382</v>
      </c>
    </row>
    <row r="11299" spans="1:21" x14ac:dyDescent="0.3">
      <c r="A11299" t="s">
        <v>34</v>
      </c>
      <c r="B11299" t="s">
        <v>339</v>
      </c>
      <c r="C11299">
        <v>123</v>
      </c>
      <c r="D11299" t="s">
        <v>612</v>
      </c>
      <c r="E11299" t="s">
        <v>154</v>
      </c>
      <c r="F11299" t="s">
        <v>253</v>
      </c>
      <c r="G11299" t="s">
        <v>111</v>
      </c>
      <c r="H11299" t="s">
        <v>103</v>
      </c>
      <c r="I11299" t="s">
        <v>121</v>
      </c>
      <c r="J11299" t="s">
        <v>99</v>
      </c>
      <c r="K11299" t="s">
        <v>99</v>
      </c>
      <c r="L11299" t="s">
        <v>99</v>
      </c>
      <c r="M11299" t="s">
        <v>111</v>
      </c>
      <c r="N11299" t="s">
        <v>99</v>
      </c>
      <c r="O11299" t="s">
        <v>253</v>
      </c>
      <c r="P11299" t="s">
        <v>105</v>
      </c>
      <c r="Q11299" t="s">
        <v>99</v>
      </c>
      <c r="R11299" t="s">
        <v>253</v>
      </c>
      <c r="S11299" t="s">
        <v>111</v>
      </c>
      <c r="T11299" t="s">
        <v>98</v>
      </c>
      <c r="U11299" t="s">
        <v>99</v>
      </c>
    </row>
    <row r="11300" spans="1:21" x14ac:dyDescent="0.3">
      <c r="A11300" t="s">
        <v>34</v>
      </c>
      <c r="B11300" t="s">
        <v>340</v>
      </c>
      <c r="C11300">
        <v>381</v>
      </c>
      <c r="D11300" t="s">
        <v>200</v>
      </c>
      <c r="E11300" t="s">
        <v>215</v>
      </c>
      <c r="F11300" t="s">
        <v>115</v>
      </c>
      <c r="G11300" t="s">
        <v>382</v>
      </c>
      <c r="H11300" t="s">
        <v>129</v>
      </c>
      <c r="I11300" t="s">
        <v>207</v>
      </c>
      <c r="J11300" t="s">
        <v>136</v>
      </c>
      <c r="K11300" t="s">
        <v>136</v>
      </c>
      <c r="L11300" t="s">
        <v>198</v>
      </c>
      <c r="M11300" t="s">
        <v>139</v>
      </c>
      <c r="N11300" t="s">
        <v>115</v>
      </c>
      <c r="O11300" t="s">
        <v>100</v>
      </c>
      <c r="P11300" t="s">
        <v>141</v>
      </c>
      <c r="Q11300" t="s">
        <v>99</v>
      </c>
      <c r="R11300" t="s">
        <v>382</v>
      </c>
      <c r="S11300" t="s">
        <v>111</v>
      </c>
      <c r="T11300" t="s">
        <v>105</v>
      </c>
      <c r="U11300" t="s">
        <v>108</v>
      </c>
    </row>
    <row r="11301" spans="1:21" x14ac:dyDescent="0.3">
      <c r="A11301" t="s">
        <v>34</v>
      </c>
      <c r="B11301" t="s">
        <v>365</v>
      </c>
      <c r="C11301">
        <v>6</v>
      </c>
      <c r="D11301" t="s">
        <v>2132</v>
      </c>
      <c r="E11301" t="s">
        <v>99</v>
      </c>
      <c r="F11301" t="s">
        <v>99</v>
      </c>
      <c r="G11301" t="s">
        <v>99</v>
      </c>
      <c r="H11301" t="s">
        <v>99</v>
      </c>
      <c r="I11301" t="s">
        <v>99</v>
      </c>
      <c r="J11301" t="s">
        <v>99</v>
      </c>
      <c r="K11301" t="s">
        <v>99</v>
      </c>
      <c r="L11301" t="s">
        <v>99</v>
      </c>
      <c r="M11301" t="s">
        <v>1149</v>
      </c>
      <c r="N11301" t="s">
        <v>99</v>
      </c>
      <c r="O11301" t="s">
        <v>99</v>
      </c>
      <c r="P11301" t="s">
        <v>99</v>
      </c>
      <c r="Q11301" t="s">
        <v>99</v>
      </c>
      <c r="R11301" t="s">
        <v>99</v>
      </c>
      <c r="S11301" t="s">
        <v>99</v>
      </c>
      <c r="T11301" t="s">
        <v>678</v>
      </c>
      <c r="U11301" t="s">
        <v>99</v>
      </c>
    </row>
    <row r="11302" spans="1:21" x14ac:dyDescent="0.3">
      <c r="A11302" t="s">
        <v>33</v>
      </c>
      <c r="B11302" t="s">
        <v>339</v>
      </c>
      <c r="C11302">
        <v>199</v>
      </c>
      <c r="D11302" t="s">
        <v>203</v>
      </c>
      <c r="E11302" t="s">
        <v>141</v>
      </c>
      <c r="F11302" t="s">
        <v>99</v>
      </c>
      <c r="G11302" t="s">
        <v>141</v>
      </c>
      <c r="H11302" t="s">
        <v>101</v>
      </c>
      <c r="I11302" t="s">
        <v>115</v>
      </c>
      <c r="J11302" t="s">
        <v>115</v>
      </c>
      <c r="K11302" t="s">
        <v>99</v>
      </c>
      <c r="L11302" t="s">
        <v>115</v>
      </c>
      <c r="M11302" t="s">
        <v>121</v>
      </c>
      <c r="N11302" t="s">
        <v>99</v>
      </c>
      <c r="O11302" t="s">
        <v>99</v>
      </c>
      <c r="P11302" t="s">
        <v>112</v>
      </c>
      <c r="Q11302" t="s">
        <v>99</v>
      </c>
      <c r="R11302" t="s">
        <v>253</v>
      </c>
      <c r="S11302" t="s">
        <v>114</v>
      </c>
      <c r="T11302" t="s">
        <v>99</v>
      </c>
      <c r="U11302" t="s">
        <v>99</v>
      </c>
    </row>
    <row r="11303" spans="1:21" x14ac:dyDescent="0.3">
      <c r="A11303" t="s">
        <v>33</v>
      </c>
      <c r="B11303" t="s">
        <v>340</v>
      </c>
      <c r="C11303">
        <v>686</v>
      </c>
      <c r="D11303" t="s">
        <v>467</v>
      </c>
      <c r="E11303" t="s">
        <v>253</v>
      </c>
      <c r="F11303" t="s">
        <v>99</v>
      </c>
      <c r="G11303" t="s">
        <v>198</v>
      </c>
      <c r="H11303" t="s">
        <v>136</v>
      </c>
      <c r="I11303" t="s">
        <v>99</v>
      </c>
      <c r="J11303" t="s">
        <v>207</v>
      </c>
      <c r="K11303" t="s">
        <v>99</v>
      </c>
      <c r="L11303" t="s">
        <v>99</v>
      </c>
      <c r="M11303" t="s">
        <v>198</v>
      </c>
      <c r="N11303" t="s">
        <v>99</v>
      </c>
      <c r="O11303" t="s">
        <v>198</v>
      </c>
      <c r="P11303" t="s">
        <v>121</v>
      </c>
      <c r="Q11303" t="s">
        <v>99</v>
      </c>
      <c r="R11303" t="s">
        <v>207</v>
      </c>
      <c r="S11303" t="s">
        <v>207</v>
      </c>
      <c r="T11303" t="s">
        <v>127</v>
      </c>
      <c r="U11303" t="s">
        <v>207</v>
      </c>
    </row>
    <row r="11304" spans="1:21" x14ac:dyDescent="0.3">
      <c r="A11304" t="s">
        <v>33</v>
      </c>
      <c r="B11304" t="s">
        <v>365</v>
      </c>
      <c r="C11304">
        <v>8</v>
      </c>
      <c r="D11304" t="s">
        <v>211</v>
      </c>
      <c r="E11304" t="s">
        <v>99</v>
      </c>
      <c r="F11304" t="s">
        <v>99</v>
      </c>
      <c r="G11304" t="s">
        <v>99</v>
      </c>
      <c r="H11304" t="s">
        <v>99</v>
      </c>
      <c r="I11304" t="s">
        <v>99</v>
      </c>
      <c r="J11304" t="s">
        <v>99</v>
      </c>
      <c r="K11304" t="s">
        <v>99</v>
      </c>
      <c r="L11304" t="s">
        <v>99</v>
      </c>
      <c r="M11304" t="s">
        <v>99</v>
      </c>
      <c r="N11304" t="s">
        <v>99</v>
      </c>
      <c r="O11304" t="s">
        <v>99</v>
      </c>
      <c r="P11304" t="s">
        <v>99</v>
      </c>
      <c r="Q11304" t="s">
        <v>99</v>
      </c>
      <c r="R11304" t="s">
        <v>99</v>
      </c>
      <c r="S11304" t="s">
        <v>99</v>
      </c>
      <c r="T11304" t="s">
        <v>99</v>
      </c>
      <c r="U11304" t="s">
        <v>99</v>
      </c>
    </row>
    <row r="11305" spans="1:21" x14ac:dyDescent="0.3">
      <c r="A11305" t="s">
        <v>49</v>
      </c>
      <c r="B11305" t="s">
        <v>339</v>
      </c>
      <c r="C11305">
        <v>761</v>
      </c>
      <c r="D11305" t="s">
        <v>858</v>
      </c>
      <c r="E11305" t="s">
        <v>126</v>
      </c>
      <c r="F11305" t="s">
        <v>132</v>
      </c>
      <c r="G11305" t="s">
        <v>114</v>
      </c>
      <c r="H11305" t="s">
        <v>268</v>
      </c>
      <c r="I11305" t="s">
        <v>115</v>
      </c>
      <c r="J11305" t="s">
        <v>115</v>
      </c>
      <c r="K11305" t="s">
        <v>136</v>
      </c>
      <c r="L11305" t="s">
        <v>198</v>
      </c>
      <c r="M11305" t="s">
        <v>319</v>
      </c>
      <c r="N11305" t="s">
        <v>104</v>
      </c>
      <c r="O11305" t="s">
        <v>136</v>
      </c>
      <c r="P11305" t="s">
        <v>684</v>
      </c>
      <c r="Q11305" t="s">
        <v>104</v>
      </c>
      <c r="R11305" t="s">
        <v>127</v>
      </c>
      <c r="S11305" t="s">
        <v>100</v>
      </c>
      <c r="T11305" t="s">
        <v>117</v>
      </c>
      <c r="U11305" t="s">
        <v>104</v>
      </c>
    </row>
    <row r="11306" spans="1:21" x14ac:dyDescent="0.3">
      <c r="A11306" t="s">
        <v>49</v>
      </c>
      <c r="B11306" t="s">
        <v>340</v>
      </c>
      <c r="C11306">
        <v>2544</v>
      </c>
      <c r="D11306" t="s">
        <v>1292</v>
      </c>
      <c r="E11306" t="s">
        <v>151</v>
      </c>
      <c r="F11306" t="s">
        <v>128</v>
      </c>
      <c r="G11306" t="s">
        <v>101</v>
      </c>
      <c r="H11306" t="s">
        <v>382</v>
      </c>
      <c r="I11306" t="s">
        <v>114</v>
      </c>
      <c r="J11306" t="s">
        <v>114</v>
      </c>
      <c r="K11306" t="s">
        <v>123</v>
      </c>
      <c r="L11306" t="s">
        <v>136</v>
      </c>
      <c r="M11306" t="s">
        <v>319</v>
      </c>
      <c r="N11306" t="s">
        <v>141</v>
      </c>
      <c r="O11306" t="s">
        <v>126</v>
      </c>
      <c r="P11306" t="s">
        <v>135</v>
      </c>
      <c r="Q11306" t="s">
        <v>99</v>
      </c>
      <c r="R11306" t="s">
        <v>132</v>
      </c>
      <c r="S11306" t="s">
        <v>121</v>
      </c>
      <c r="T11306" t="s">
        <v>112</v>
      </c>
      <c r="U11306" t="s">
        <v>132</v>
      </c>
    </row>
    <row r="11307" spans="1:21" x14ac:dyDescent="0.3">
      <c r="A11307" t="s">
        <v>49</v>
      </c>
      <c r="B11307" t="s">
        <v>365</v>
      </c>
      <c r="C11307">
        <v>60</v>
      </c>
      <c r="D11307" t="s">
        <v>961</v>
      </c>
      <c r="E11307" t="s">
        <v>99</v>
      </c>
      <c r="F11307" t="s">
        <v>99</v>
      </c>
      <c r="G11307" t="s">
        <v>99</v>
      </c>
      <c r="H11307" t="s">
        <v>207</v>
      </c>
      <c r="I11307" t="s">
        <v>99</v>
      </c>
      <c r="J11307" t="s">
        <v>99</v>
      </c>
      <c r="K11307" t="s">
        <v>99</v>
      </c>
      <c r="L11307" t="s">
        <v>99</v>
      </c>
      <c r="M11307" t="s">
        <v>679</v>
      </c>
      <c r="N11307" t="s">
        <v>99</v>
      </c>
      <c r="O11307" t="s">
        <v>99</v>
      </c>
      <c r="P11307" t="s">
        <v>99</v>
      </c>
      <c r="Q11307" t="s">
        <v>99</v>
      </c>
      <c r="R11307" t="s">
        <v>123</v>
      </c>
      <c r="S11307" t="s">
        <v>382</v>
      </c>
      <c r="T11307" t="s">
        <v>474</v>
      </c>
      <c r="U11307" t="s">
        <v>207</v>
      </c>
    </row>
    <row r="11309" spans="1:21" x14ac:dyDescent="0.3">
      <c r="A11309" t="s">
        <v>2641</v>
      </c>
    </row>
    <row r="11310" spans="1:21" x14ac:dyDescent="0.3">
      <c r="A11310" t="s">
        <v>44</v>
      </c>
      <c r="B11310" t="s">
        <v>209</v>
      </c>
      <c r="C11310" t="s">
        <v>32</v>
      </c>
      <c r="D11310" t="s">
        <v>2588</v>
      </c>
      <c r="E11310" t="s">
        <v>2625</v>
      </c>
      <c r="F11310" t="s">
        <v>2626</v>
      </c>
      <c r="G11310" t="s">
        <v>2627</v>
      </c>
      <c r="H11310" t="s">
        <v>2628</v>
      </c>
      <c r="I11310" t="s">
        <v>2629</v>
      </c>
      <c r="J11310" t="s">
        <v>2597</v>
      </c>
      <c r="K11310" t="s">
        <v>2630</v>
      </c>
      <c r="L11310" t="s">
        <v>2631</v>
      </c>
      <c r="M11310" t="s">
        <v>2632</v>
      </c>
      <c r="N11310" t="s">
        <v>2633</v>
      </c>
      <c r="O11310" t="s">
        <v>2634</v>
      </c>
      <c r="P11310" t="s">
        <v>2635</v>
      </c>
      <c r="Q11310" t="s">
        <v>2636</v>
      </c>
      <c r="R11310" t="s">
        <v>2637</v>
      </c>
      <c r="S11310" t="s">
        <v>2638</v>
      </c>
      <c r="T11310" t="s">
        <v>2639</v>
      </c>
      <c r="U11310" t="s">
        <v>88</v>
      </c>
    </row>
    <row r="11311" spans="1:21" x14ac:dyDescent="0.3">
      <c r="A11311" t="s">
        <v>35</v>
      </c>
      <c r="B11311" t="s">
        <v>210</v>
      </c>
      <c r="C11311">
        <v>31</v>
      </c>
      <c r="D11311" t="s">
        <v>266</v>
      </c>
      <c r="E11311" t="s">
        <v>139</v>
      </c>
      <c r="F11311" t="s">
        <v>138</v>
      </c>
      <c r="G11311" t="s">
        <v>99</v>
      </c>
      <c r="H11311" t="s">
        <v>138</v>
      </c>
      <c r="I11311" t="s">
        <v>99</v>
      </c>
      <c r="J11311" t="s">
        <v>99</v>
      </c>
      <c r="K11311" t="s">
        <v>99</v>
      </c>
      <c r="L11311" t="s">
        <v>99</v>
      </c>
      <c r="M11311" t="s">
        <v>138</v>
      </c>
      <c r="N11311" t="s">
        <v>99</v>
      </c>
      <c r="O11311" t="s">
        <v>99</v>
      </c>
      <c r="P11311" t="s">
        <v>468</v>
      </c>
      <c r="Q11311" t="s">
        <v>99</v>
      </c>
      <c r="R11311" t="s">
        <v>248</v>
      </c>
      <c r="S11311" t="s">
        <v>99</v>
      </c>
      <c r="T11311" t="s">
        <v>111</v>
      </c>
      <c r="U11311" t="s">
        <v>111</v>
      </c>
    </row>
    <row r="11312" spans="1:21" x14ac:dyDescent="0.3">
      <c r="A11312" t="s">
        <v>35</v>
      </c>
      <c r="B11312" t="s">
        <v>212</v>
      </c>
      <c r="C11312">
        <v>419</v>
      </c>
      <c r="D11312" t="s">
        <v>1457</v>
      </c>
      <c r="E11312" t="s">
        <v>132</v>
      </c>
      <c r="F11312" t="s">
        <v>115</v>
      </c>
      <c r="G11312" t="s">
        <v>114</v>
      </c>
      <c r="H11312" t="s">
        <v>151</v>
      </c>
      <c r="I11312" t="s">
        <v>132</v>
      </c>
      <c r="J11312" t="s">
        <v>151</v>
      </c>
      <c r="K11312" t="s">
        <v>305</v>
      </c>
      <c r="L11312" t="s">
        <v>127</v>
      </c>
      <c r="M11312" t="s">
        <v>253</v>
      </c>
      <c r="N11312" t="s">
        <v>207</v>
      </c>
      <c r="O11312" t="s">
        <v>111</v>
      </c>
      <c r="P11312" t="s">
        <v>406</v>
      </c>
      <c r="Q11312" t="s">
        <v>99</v>
      </c>
      <c r="R11312" t="s">
        <v>268</v>
      </c>
      <c r="S11312" t="s">
        <v>121</v>
      </c>
      <c r="T11312" t="s">
        <v>663</v>
      </c>
      <c r="U11312" t="s">
        <v>382</v>
      </c>
    </row>
    <row r="11313" spans="1:21" x14ac:dyDescent="0.3">
      <c r="A11313" t="s">
        <v>35</v>
      </c>
      <c r="B11313" t="s">
        <v>216</v>
      </c>
      <c r="C11313">
        <v>164</v>
      </c>
      <c r="D11313" t="s">
        <v>1291</v>
      </c>
      <c r="E11313" t="s">
        <v>155</v>
      </c>
      <c r="F11313" t="s">
        <v>124</v>
      </c>
      <c r="G11313" t="s">
        <v>99</v>
      </c>
      <c r="H11313" t="s">
        <v>147</v>
      </c>
      <c r="I11313" t="s">
        <v>98</v>
      </c>
      <c r="J11313" t="s">
        <v>136</v>
      </c>
      <c r="K11313" t="s">
        <v>412</v>
      </c>
      <c r="L11313" t="s">
        <v>99</v>
      </c>
      <c r="M11313" t="s">
        <v>155</v>
      </c>
      <c r="N11313" t="s">
        <v>99</v>
      </c>
      <c r="O11313" t="s">
        <v>158</v>
      </c>
      <c r="P11313" t="s">
        <v>342</v>
      </c>
      <c r="Q11313" t="s">
        <v>99</v>
      </c>
      <c r="R11313" t="s">
        <v>103</v>
      </c>
      <c r="S11313" t="s">
        <v>99</v>
      </c>
      <c r="T11313" t="s">
        <v>393</v>
      </c>
      <c r="U11313" t="s">
        <v>147</v>
      </c>
    </row>
    <row r="11314" spans="1:21" x14ac:dyDescent="0.3">
      <c r="A11314" t="s">
        <v>37</v>
      </c>
      <c r="B11314" t="s">
        <v>210</v>
      </c>
      <c r="C11314">
        <v>54</v>
      </c>
      <c r="D11314" t="s">
        <v>1277</v>
      </c>
      <c r="E11314" t="s">
        <v>99</v>
      </c>
      <c r="F11314" t="s">
        <v>412</v>
      </c>
      <c r="G11314" t="s">
        <v>99</v>
      </c>
      <c r="H11314" t="s">
        <v>126</v>
      </c>
      <c r="I11314" t="s">
        <v>382</v>
      </c>
      <c r="J11314" t="s">
        <v>111</v>
      </c>
      <c r="K11314" t="s">
        <v>99</v>
      </c>
      <c r="L11314" t="s">
        <v>111</v>
      </c>
      <c r="M11314" t="s">
        <v>99</v>
      </c>
      <c r="N11314" t="s">
        <v>99</v>
      </c>
      <c r="O11314" t="s">
        <v>99</v>
      </c>
      <c r="P11314" t="s">
        <v>363</v>
      </c>
      <c r="Q11314" t="s">
        <v>99</v>
      </c>
      <c r="R11314" t="s">
        <v>99</v>
      </c>
      <c r="S11314" t="s">
        <v>412</v>
      </c>
      <c r="T11314" t="s">
        <v>99</v>
      </c>
      <c r="U11314" t="s">
        <v>99</v>
      </c>
    </row>
    <row r="11315" spans="1:21" x14ac:dyDescent="0.3">
      <c r="A11315" t="s">
        <v>37</v>
      </c>
      <c r="B11315" t="s">
        <v>212</v>
      </c>
      <c r="C11315">
        <v>787</v>
      </c>
      <c r="D11315" t="s">
        <v>885</v>
      </c>
      <c r="E11315" t="s">
        <v>105</v>
      </c>
      <c r="F11315" t="s">
        <v>149</v>
      </c>
      <c r="G11315" t="s">
        <v>128</v>
      </c>
      <c r="H11315" t="s">
        <v>132</v>
      </c>
      <c r="I11315" t="s">
        <v>132</v>
      </c>
      <c r="J11315" t="s">
        <v>215</v>
      </c>
      <c r="K11315" t="s">
        <v>207</v>
      </c>
      <c r="L11315" t="s">
        <v>104</v>
      </c>
      <c r="M11315" t="s">
        <v>104</v>
      </c>
      <c r="N11315" t="s">
        <v>115</v>
      </c>
      <c r="O11315" t="s">
        <v>108</v>
      </c>
      <c r="P11315" t="s">
        <v>157</v>
      </c>
      <c r="Q11315" t="s">
        <v>104</v>
      </c>
      <c r="R11315" t="s">
        <v>207</v>
      </c>
      <c r="S11315" t="s">
        <v>123</v>
      </c>
      <c r="T11315" t="s">
        <v>120</v>
      </c>
      <c r="U11315" t="s">
        <v>99</v>
      </c>
    </row>
    <row r="11316" spans="1:21" x14ac:dyDescent="0.3">
      <c r="A11316" t="s">
        <v>37</v>
      </c>
      <c r="B11316" t="s">
        <v>216</v>
      </c>
      <c r="C11316">
        <v>49</v>
      </c>
      <c r="D11316" t="s">
        <v>180</v>
      </c>
      <c r="E11316" t="s">
        <v>144</v>
      </c>
      <c r="F11316" t="s">
        <v>144</v>
      </c>
      <c r="G11316" t="s">
        <v>99</v>
      </c>
      <c r="H11316" t="s">
        <v>99</v>
      </c>
      <c r="I11316" t="s">
        <v>99</v>
      </c>
      <c r="J11316" t="s">
        <v>123</v>
      </c>
      <c r="K11316" t="s">
        <v>99</v>
      </c>
      <c r="L11316" t="s">
        <v>99</v>
      </c>
      <c r="M11316" t="s">
        <v>99</v>
      </c>
      <c r="N11316" t="s">
        <v>99</v>
      </c>
      <c r="O11316" t="s">
        <v>99</v>
      </c>
      <c r="P11316" t="s">
        <v>110</v>
      </c>
      <c r="Q11316" t="s">
        <v>99</v>
      </c>
      <c r="R11316" t="s">
        <v>99</v>
      </c>
      <c r="S11316" t="s">
        <v>99</v>
      </c>
      <c r="T11316" t="s">
        <v>99</v>
      </c>
      <c r="U11316" t="s">
        <v>99</v>
      </c>
    </row>
    <row r="11317" spans="1:21" x14ac:dyDescent="0.3">
      <c r="A11317" t="s">
        <v>36</v>
      </c>
      <c r="B11317" t="s">
        <v>210</v>
      </c>
      <c r="C11317">
        <v>50</v>
      </c>
      <c r="D11317" t="s">
        <v>250</v>
      </c>
      <c r="E11317" t="s">
        <v>104</v>
      </c>
      <c r="F11317" t="s">
        <v>108</v>
      </c>
      <c r="G11317" t="s">
        <v>268</v>
      </c>
      <c r="H11317" t="s">
        <v>123</v>
      </c>
      <c r="I11317" t="s">
        <v>99</v>
      </c>
      <c r="J11317" t="s">
        <v>99</v>
      </c>
      <c r="K11317" t="s">
        <v>99</v>
      </c>
      <c r="L11317" t="s">
        <v>99</v>
      </c>
      <c r="M11317" t="s">
        <v>114</v>
      </c>
      <c r="N11317" t="s">
        <v>104</v>
      </c>
      <c r="O11317" t="s">
        <v>99</v>
      </c>
      <c r="P11317" t="s">
        <v>136</v>
      </c>
      <c r="Q11317" t="s">
        <v>99</v>
      </c>
      <c r="R11317" t="s">
        <v>123</v>
      </c>
      <c r="S11317" t="s">
        <v>151</v>
      </c>
      <c r="T11317" t="s">
        <v>123</v>
      </c>
      <c r="U11317" t="s">
        <v>99</v>
      </c>
    </row>
    <row r="11318" spans="1:21" x14ac:dyDescent="0.3">
      <c r="A11318" t="s">
        <v>36</v>
      </c>
      <c r="B11318" t="s">
        <v>212</v>
      </c>
      <c r="C11318">
        <v>335</v>
      </c>
      <c r="D11318" t="s">
        <v>178</v>
      </c>
      <c r="E11318" t="s">
        <v>127</v>
      </c>
      <c r="F11318" t="s">
        <v>135</v>
      </c>
      <c r="G11318" t="s">
        <v>100</v>
      </c>
      <c r="H11318" t="s">
        <v>292</v>
      </c>
      <c r="I11318" t="s">
        <v>207</v>
      </c>
      <c r="J11318" t="s">
        <v>115</v>
      </c>
      <c r="K11318" t="s">
        <v>99</v>
      </c>
      <c r="L11318" t="s">
        <v>99</v>
      </c>
      <c r="M11318" t="s">
        <v>141</v>
      </c>
      <c r="N11318" t="s">
        <v>198</v>
      </c>
      <c r="O11318" t="s">
        <v>207</v>
      </c>
      <c r="P11318" t="s">
        <v>139</v>
      </c>
      <c r="Q11318" t="s">
        <v>99</v>
      </c>
      <c r="R11318" t="s">
        <v>104</v>
      </c>
      <c r="S11318" t="s">
        <v>104</v>
      </c>
      <c r="T11318" t="s">
        <v>104</v>
      </c>
      <c r="U11318" t="s">
        <v>104</v>
      </c>
    </row>
    <row r="11319" spans="1:21" x14ac:dyDescent="0.3">
      <c r="A11319" t="s">
        <v>36</v>
      </c>
      <c r="B11319" t="s">
        <v>216</v>
      </c>
      <c r="C11319">
        <v>73</v>
      </c>
      <c r="D11319" t="s">
        <v>371</v>
      </c>
      <c r="E11319" t="s">
        <v>104</v>
      </c>
      <c r="F11319" t="s">
        <v>100</v>
      </c>
      <c r="G11319" t="s">
        <v>104</v>
      </c>
      <c r="H11319" t="s">
        <v>123</v>
      </c>
      <c r="I11319" t="s">
        <v>141</v>
      </c>
      <c r="J11319" t="s">
        <v>207</v>
      </c>
      <c r="K11319" t="s">
        <v>99</v>
      </c>
      <c r="L11319" t="s">
        <v>99</v>
      </c>
      <c r="M11319" t="s">
        <v>353</v>
      </c>
      <c r="N11319" t="s">
        <v>254</v>
      </c>
      <c r="O11319" t="s">
        <v>109</v>
      </c>
      <c r="P11319" t="s">
        <v>248</v>
      </c>
      <c r="Q11319" t="s">
        <v>99</v>
      </c>
      <c r="R11319" t="s">
        <v>99</v>
      </c>
      <c r="S11319" t="s">
        <v>99</v>
      </c>
      <c r="T11319" t="s">
        <v>248</v>
      </c>
      <c r="U11319" t="s">
        <v>99</v>
      </c>
    </row>
    <row r="11320" spans="1:21" x14ac:dyDescent="0.3">
      <c r="A11320" t="s">
        <v>34</v>
      </c>
      <c r="B11320" t="s">
        <v>210</v>
      </c>
      <c r="C11320">
        <v>83</v>
      </c>
      <c r="D11320" t="s">
        <v>443</v>
      </c>
      <c r="E11320" t="s">
        <v>99</v>
      </c>
      <c r="F11320" t="s">
        <v>99</v>
      </c>
      <c r="G11320" t="s">
        <v>124</v>
      </c>
      <c r="H11320" t="s">
        <v>254</v>
      </c>
      <c r="I11320" t="s">
        <v>99</v>
      </c>
      <c r="J11320" t="s">
        <v>382</v>
      </c>
      <c r="K11320" t="s">
        <v>382</v>
      </c>
      <c r="L11320" t="s">
        <v>99</v>
      </c>
      <c r="M11320" t="s">
        <v>99</v>
      </c>
      <c r="N11320" t="s">
        <v>99</v>
      </c>
      <c r="O11320" t="s">
        <v>103</v>
      </c>
      <c r="P11320" t="s">
        <v>99</v>
      </c>
      <c r="Q11320" t="s">
        <v>99</v>
      </c>
      <c r="R11320" t="s">
        <v>99</v>
      </c>
      <c r="S11320" t="s">
        <v>99</v>
      </c>
      <c r="T11320" t="s">
        <v>325</v>
      </c>
      <c r="U11320" t="s">
        <v>99</v>
      </c>
    </row>
    <row r="11321" spans="1:21" x14ac:dyDescent="0.3">
      <c r="A11321" t="s">
        <v>34</v>
      </c>
      <c r="B11321" t="s">
        <v>212</v>
      </c>
      <c r="C11321">
        <v>362</v>
      </c>
      <c r="D11321" t="s">
        <v>77</v>
      </c>
      <c r="E11321" t="s">
        <v>147</v>
      </c>
      <c r="F11321" t="s">
        <v>207</v>
      </c>
      <c r="G11321" t="s">
        <v>207</v>
      </c>
      <c r="H11321" t="s">
        <v>128</v>
      </c>
      <c r="I11321" t="s">
        <v>132</v>
      </c>
      <c r="J11321" t="s">
        <v>99</v>
      </c>
      <c r="K11321" t="s">
        <v>99</v>
      </c>
      <c r="L11321" t="s">
        <v>198</v>
      </c>
      <c r="M11321" t="s">
        <v>277</v>
      </c>
      <c r="N11321" t="s">
        <v>99</v>
      </c>
      <c r="O11321" t="s">
        <v>99</v>
      </c>
      <c r="P11321" t="s">
        <v>151</v>
      </c>
      <c r="Q11321" t="s">
        <v>99</v>
      </c>
      <c r="R11321" t="s">
        <v>101</v>
      </c>
      <c r="S11321" t="s">
        <v>155</v>
      </c>
      <c r="T11321" t="s">
        <v>332</v>
      </c>
      <c r="U11321" t="s">
        <v>115</v>
      </c>
    </row>
    <row r="11322" spans="1:21" x14ac:dyDescent="0.3">
      <c r="A11322" t="s">
        <v>34</v>
      </c>
      <c r="B11322" t="s">
        <v>216</v>
      </c>
      <c r="C11322">
        <v>65</v>
      </c>
      <c r="D11322" t="s">
        <v>431</v>
      </c>
      <c r="E11322" t="s">
        <v>111</v>
      </c>
      <c r="F11322" t="s">
        <v>120</v>
      </c>
      <c r="G11322" t="s">
        <v>120</v>
      </c>
      <c r="H11322" t="s">
        <v>105</v>
      </c>
      <c r="I11322" t="s">
        <v>99</v>
      </c>
      <c r="J11322" t="s">
        <v>99</v>
      </c>
      <c r="K11322" t="s">
        <v>99</v>
      </c>
      <c r="L11322" t="s">
        <v>99</v>
      </c>
      <c r="M11322" t="s">
        <v>145</v>
      </c>
      <c r="N11322" t="s">
        <v>120</v>
      </c>
      <c r="O11322" t="s">
        <v>120</v>
      </c>
      <c r="P11322" t="s">
        <v>99</v>
      </c>
      <c r="Q11322" t="s">
        <v>99</v>
      </c>
      <c r="R11322" t="s">
        <v>120</v>
      </c>
      <c r="S11322" t="s">
        <v>99</v>
      </c>
      <c r="T11322" t="s">
        <v>118</v>
      </c>
      <c r="U11322" t="s">
        <v>114</v>
      </c>
    </row>
    <row r="11323" spans="1:21" x14ac:dyDescent="0.3">
      <c r="A11323" t="s">
        <v>33</v>
      </c>
      <c r="B11323" t="s">
        <v>210</v>
      </c>
      <c r="C11323">
        <v>31</v>
      </c>
      <c r="D11323" t="s">
        <v>326</v>
      </c>
      <c r="E11323" t="s">
        <v>99</v>
      </c>
      <c r="F11323" t="s">
        <v>99</v>
      </c>
      <c r="G11323" t="s">
        <v>99</v>
      </c>
      <c r="H11323" t="s">
        <v>99</v>
      </c>
      <c r="I11323" t="s">
        <v>99</v>
      </c>
      <c r="J11323" t="s">
        <v>99</v>
      </c>
      <c r="K11323" t="s">
        <v>99</v>
      </c>
      <c r="L11323" t="s">
        <v>99</v>
      </c>
      <c r="M11323" t="s">
        <v>99</v>
      </c>
      <c r="N11323" t="s">
        <v>99</v>
      </c>
      <c r="O11323" t="s">
        <v>99</v>
      </c>
      <c r="P11323" t="s">
        <v>434</v>
      </c>
      <c r="Q11323" t="s">
        <v>99</v>
      </c>
      <c r="R11323" t="s">
        <v>99</v>
      </c>
      <c r="S11323" t="s">
        <v>99</v>
      </c>
      <c r="T11323" t="s">
        <v>316</v>
      </c>
      <c r="U11323" t="s">
        <v>99</v>
      </c>
    </row>
    <row r="11324" spans="1:21" x14ac:dyDescent="0.3">
      <c r="A11324" t="s">
        <v>33</v>
      </c>
      <c r="B11324" t="s">
        <v>212</v>
      </c>
      <c r="C11324">
        <v>831</v>
      </c>
      <c r="D11324" t="s">
        <v>758</v>
      </c>
      <c r="E11324" t="s">
        <v>253</v>
      </c>
      <c r="F11324" t="s">
        <v>99</v>
      </c>
      <c r="G11324" t="s">
        <v>207</v>
      </c>
      <c r="H11324" t="s">
        <v>115</v>
      </c>
      <c r="I11324" t="s">
        <v>99</v>
      </c>
      <c r="J11324" t="s">
        <v>207</v>
      </c>
      <c r="K11324" t="s">
        <v>99</v>
      </c>
      <c r="L11324" t="s">
        <v>99</v>
      </c>
      <c r="M11324" t="s">
        <v>136</v>
      </c>
      <c r="N11324" t="s">
        <v>99</v>
      </c>
      <c r="O11324" t="s">
        <v>104</v>
      </c>
      <c r="P11324" t="s">
        <v>319</v>
      </c>
      <c r="Q11324" t="s">
        <v>99</v>
      </c>
      <c r="R11324" t="s">
        <v>136</v>
      </c>
      <c r="S11324" t="s">
        <v>141</v>
      </c>
      <c r="T11324" t="s">
        <v>100</v>
      </c>
      <c r="U11324" t="s">
        <v>207</v>
      </c>
    </row>
    <row r="11325" spans="1:21" x14ac:dyDescent="0.3">
      <c r="A11325" t="s">
        <v>33</v>
      </c>
      <c r="B11325" t="s">
        <v>216</v>
      </c>
      <c r="C11325">
        <v>31</v>
      </c>
      <c r="D11325" t="s">
        <v>901</v>
      </c>
      <c r="E11325" t="s">
        <v>99</v>
      </c>
      <c r="F11325" t="s">
        <v>99</v>
      </c>
      <c r="G11325" t="s">
        <v>99</v>
      </c>
      <c r="H11325" t="s">
        <v>99</v>
      </c>
      <c r="I11325" t="s">
        <v>129</v>
      </c>
      <c r="J11325" t="s">
        <v>129</v>
      </c>
      <c r="K11325" t="s">
        <v>99</v>
      </c>
      <c r="L11325" t="s">
        <v>129</v>
      </c>
      <c r="M11325" t="s">
        <v>99</v>
      </c>
      <c r="N11325" t="s">
        <v>99</v>
      </c>
      <c r="O11325" t="s">
        <v>99</v>
      </c>
      <c r="P11325" t="s">
        <v>165</v>
      </c>
      <c r="Q11325" t="s">
        <v>99</v>
      </c>
      <c r="R11325" t="s">
        <v>99</v>
      </c>
      <c r="S11325" t="s">
        <v>99</v>
      </c>
      <c r="T11325" t="s">
        <v>184</v>
      </c>
      <c r="U11325" t="s">
        <v>99</v>
      </c>
    </row>
    <row r="11326" spans="1:21" x14ac:dyDescent="0.3">
      <c r="A11326" t="s">
        <v>49</v>
      </c>
      <c r="B11326" t="s">
        <v>210</v>
      </c>
      <c r="C11326">
        <v>249</v>
      </c>
      <c r="D11326" t="s">
        <v>266</v>
      </c>
      <c r="E11326" t="s">
        <v>141</v>
      </c>
      <c r="F11326" t="s">
        <v>319</v>
      </c>
      <c r="G11326" t="s">
        <v>120</v>
      </c>
      <c r="H11326" t="s">
        <v>118</v>
      </c>
      <c r="I11326" t="s">
        <v>207</v>
      </c>
      <c r="J11326" t="s">
        <v>100</v>
      </c>
      <c r="K11326" t="s">
        <v>115</v>
      </c>
      <c r="L11326" t="s">
        <v>136</v>
      </c>
      <c r="M11326" t="s">
        <v>141</v>
      </c>
      <c r="N11326" t="s">
        <v>99</v>
      </c>
      <c r="O11326" t="s">
        <v>100</v>
      </c>
      <c r="P11326" t="s">
        <v>316</v>
      </c>
      <c r="Q11326" t="s">
        <v>99</v>
      </c>
      <c r="R11326" t="s">
        <v>121</v>
      </c>
      <c r="S11326" t="s">
        <v>121</v>
      </c>
      <c r="T11326" t="s">
        <v>155</v>
      </c>
      <c r="U11326" t="s">
        <v>198</v>
      </c>
    </row>
    <row r="11327" spans="1:21" x14ac:dyDescent="0.3">
      <c r="A11327" t="s">
        <v>49</v>
      </c>
      <c r="B11327" t="s">
        <v>212</v>
      </c>
      <c r="C11327">
        <v>2734</v>
      </c>
      <c r="D11327" t="s">
        <v>356</v>
      </c>
      <c r="E11327" t="s">
        <v>127</v>
      </c>
      <c r="F11327" t="s">
        <v>151</v>
      </c>
      <c r="G11327" t="s">
        <v>121</v>
      </c>
      <c r="H11327" t="s">
        <v>319</v>
      </c>
      <c r="I11327" t="s">
        <v>141</v>
      </c>
      <c r="J11327" t="s">
        <v>108</v>
      </c>
      <c r="K11327" t="s">
        <v>126</v>
      </c>
      <c r="L11327" t="s">
        <v>136</v>
      </c>
      <c r="M11327" t="s">
        <v>100</v>
      </c>
      <c r="N11327" t="s">
        <v>207</v>
      </c>
      <c r="O11327" t="s">
        <v>115</v>
      </c>
      <c r="P11327" t="s">
        <v>149</v>
      </c>
      <c r="Q11327" t="s">
        <v>99</v>
      </c>
      <c r="R11327" t="s">
        <v>132</v>
      </c>
      <c r="S11327" t="s">
        <v>319</v>
      </c>
      <c r="T11327" t="s">
        <v>120</v>
      </c>
      <c r="U11327" t="s">
        <v>141</v>
      </c>
    </row>
    <row r="11328" spans="1:21" x14ac:dyDescent="0.3">
      <c r="A11328" t="s">
        <v>49</v>
      </c>
      <c r="B11328" t="s">
        <v>216</v>
      </c>
      <c r="C11328">
        <v>382</v>
      </c>
      <c r="D11328" t="s">
        <v>57</v>
      </c>
      <c r="E11328" t="s">
        <v>120</v>
      </c>
      <c r="F11328" t="s">
        <v>434</v>
      </c>
      <c r="G11328" t="s">
        <v>253</v>
      </c>
      <c r="H11328" t="s">
        <v>117</v>
      </c>
      <c r="I11328" t="s">
        <v>105</v>
      </c>
      <c r="J11328" t="s">
        <v>115</v>
      </c>
      <c r="K11328" t="s">
        <v>128</v>
      </c>
      <c r="L11328" t="s">
        <v>207</v>
      </c>
      <c r="M11328" t="s">
        <v>129</v>
      </c>
      <c r="N11328" t="s">
        <v>121</v>
      </c>
      <c r="O11328" t="s">
        <v>130</v>
      </c>
      <c r="P11328" t="s">
        <v>440</v>
      </c>
      <c r="Q11328" t="s">
        <v>99</v>
      </c>
      <c r="R11328" t="s">
        <v>151</v>
      </c>
      <c r="S11328" t="s">
        <v>99</v>
      </c>
      <c r="T11328" t="s">
        <v>287</v>
      </c>
      <c r="U11328" t="s">
        <v>127</v>
      </c>
    </row>
    <row r="11330" spans="1:21" x14ac:dyDescent="0.3">
      <c r="A11330" t="s">
        <v>2642</v>
      </c>
    </row>
    <row r="11331" spans="1:21" x14ac:dyDescent="0.3">
      <c r="A11331" t="s">
        <v>44</v>
      </c>
      <c r="B11331" t="s">
        <v>388</v>
      </c>
      <c r="C11331" t="s">
        <v>32</v>
      </c>
      <c r="D11331" t="s">
        <v>2588</v>
      </c>
      <c r="E11331" t="s">
        <v>2625</v>
      </c>
      <c r="F11331" t="s">
        <v>2626</v>
      </c>
      <c r="G11331" t="s">
        <v>2627</v>
      </c>
      <c r="H11331" t="s">
        <v>2628</v>
      </c>
      <c r="I11331" t="s">
        <v>2629</v>
      </c>
      <c r="J11331" t="s">
        <v>2597</v>
      </c>
      <c r="K11331" t="s">
        <v>2630</v>
      </c>
      <c r="L11331" t="s">
        <v>2631</v>
      </c>
      <c r="M11331" t="s">
        <v>2632</v>
      </c>
      <c r="N11331" t="s">
        <v>2633</v>
      </c>
      <c r="O11331" t="s">
        <v>2634</v>
      </c>
      <c r="P11331" t="s">
        <v>2635</v>
      </c>
      <c r="Q11331" t="s">
        <v>2636</v>
      </c>
      <c r="R11331" t="s">
        <v>2637</v>
      </c>
      <c r="S11331" t="s">
        <v>2638</v>
      </c>
      <c r="T11331" t="s">
        <v>2639</v>
      </c>
      <c r="U11331" t="s">
        <v>88</v>
      </c>
    </row>
    <row r="11332" spans="1:21" x14ac:dyDescent="0.3">
      <c r="A11332" t="s">
        <v>35</v>
      </c>
      <c r="B11332" t="s">
        <v>389</v>
      </c>
      <c r="C11332">
        <v>435</v>
      </c>
      <c r="D11332" t="s">
        <v>278</v>
      </c>
      <c r="E11332" t="s">
        <v>151</v>
      </c>
      <c r="F11332" t="s">
        <v>105</v>
      </c>
      <c r="G11332" t="s">
        <v>198</v>
      </c>
      <c r="H11332" t="s">
        <v>103</v>
      </c>
      <c r="I11332" t="s">
        <v>157</v>
      </c>
      <c r="J11332" t="s">
        <v>215</v>
      </c>
      <c r="K11332" t="s">
        <v>679</v>
      </c>
      <c r="L11332" t="s">
        <v>319</v>
      </c>
      <c r="M11332" t="s">
        <v>268</v>
      </c>
      <c r="N11332" t="s">
        <v>207</v>
      </c>
      <c r="O11332" t="s">
        <v>129</v>
      </c>
      <c r="P11332" t="s">
        <v>747</v>
      </c>
      <c r="Q11332" t="s">
        <v>99</v>
      </c>
      <c r="R11332" t="s">
        <v>155</v>
      </c>
      <c r="S11332" t="s">
        <v>253</v>
      </c>
      <c r="T11332" t="s">
        <v>311</v>
      </c>
      <c r="U11332" t="s">
        <v>316</v>
      </c>
    </row>
    <row r="11333" spans="1:21" x14ac:dyDescent="0.3">
      <c r="A11333" t="s">
        <v>35</v>
      </c>
      <c r="B11333" t="s">
        <v>390</v>
      </c>
      <c r="C11333">
        <v>140</v>
      </c>
      <c r="D11333" t="s">
        <v>168</v>
      </c>
      <c r="E11333" t="s">
        <v>117</v>
      </c>
      <c r="F11333" t="s">
        <v>132</v>
      </c>
      <c r="G11333" t="s">
        <v>111</v>
      </c>
      <c r="H11333" t="s">
        <v>120</v>
      </c>
      <c r="I11333" t="s">
        <v>253</v>
      </c>
      <c r="J11333" t="s">
        <v>99</v>
      </c>
      <c r="K11333" t="s">
        <v>253</v>
      </c>
      <c r="L11333" t="s">
        <v>99</v>
      </c>
      <c r="M11333" t="s">
        <v>99</v>
      </c>
      <c r="N11333" t="s">
        <v>99</v>
      </c>
      <c r="O11333" t="s">
        <v>100</v>
      </c>
      <c r="P11333" t="s">
        <v>122</v>
      </c>
      <c r="Q11333" t="s">
        <v>99</v>
      </c>
      <c r="R11333" t="s">
        <v>99</v>
      </c>
      <c r="S11333" t="s">
        <v>319</v>
      </c>
      <c r="T11333" t="s">
        <v>154</v>
      </c>
      <c r="U11333" t="s">
        <v>141</v>
      </c>
    </row>
    <row r="11334" spans="1:21" x14ac:dyDescent="0.3">
      <c r="A11334" t="s">
        <v>35</v>
      </c>
      <c r="B11334" t="s">
        <v>365</v>
      </c>
      <c r="C11334">
        <v>39</v>
      </c>
      <c r="D11334" t="s">
        <v>280</v>
      </c>
      <c r="E11334" t="s">
        <v>99</v>
      </c>
      <c r="F11334" t="s">
        <v>99</v>
      </c>
      <c r="G11334" t="s">
        <v>99</v>
      </c>
      <c r="H11334" t="s">
        <v>99</v>
      </c>
      <c r="I11334" t="s">
        <v>115</v>
      </c>
      <c r="J11334" t="s">
        <v>99</v>
      </c>
      <c r="K11334" t="s">
        <v>694</v>
      </c>
      <c r="L11334" t="s">
        <v>99</v>
      </c>
      <c r="M11334" t="s">
        <v>99</v>
      </c>
      <c r="N11334" t="s">
        <v>99</v>
      </c>
      <c r="O11334" t="s">
        <v>99</v>
      </c>
      <c r="P11334" t="s">
        <v>828</v>
      </c>
      <c r="Q11334" t="s">
        <v>99</v>
      </c>
      <c r="R11334" t="s">
        <v>99</v>
      </c>
      <c r="S11334" t="s">
        <v>99</v>
      </c>
      <c r="T11334" t="s">
        <v>694</v>
      </c>
      <c r="U11334" t="s">
        <v>99</v>
      </c>
    </row>
    <row r="11335" spans="1:21" x14ac:dyDescent="0.3">
      <c r="A11335" t="s">
        <v>37</v>
      </c>
      <c r="B11335" t="s">
        <v>389</v>
      </c>
      <c r="C11335">
        <v>586</v>
      </c>
      <c r="D11335" t="s">
        <v>380</v>
      </c>
      <c r="E11335" t="s">
        <v>114</v>
      </c>
      <c r="F11335" t="s">
        <v>155</v>
      </c>
      <c r="G11335" t="s">
        <v>103</v>
      </c>
      <c r="H11335" t="s">
        <v>132</v>
      </c>
      <c r="I11335" t="s">
        <v>141</v>
      </c>
      <c r="J11335" t="s">
        <v>319</v>
      </c>
      <c r="K11335" t="s">
        <v>136</v>
      </c>
      <c r="L11335" t="s">
        <v>198</v>
      </c>
      <c r="M11335" t="s">
        <v>104</v>
      </c>
      <c r="N11335" t="s">
        <v>99</v>
      </c>
      <c r="O11335" t="s">
        <v>108</v>
      </c>
      <c r="P11335" t="s">
        <v>118</v>
      </c>
      <c r="Q11335" t="s">
        <v>104</v>
      </c>
      <c r="R11335" t="s">
        <v>141</v>
      </c>
      <c r="S11335" t="s">
        <v>215</v>
      </c>
      <c r="T11335" t="s">
        <v>117</v>
      </c>
      <c r="U11335" t="s">
        <v>99</v>
      </c>
    </row>
    <row r="11336" spans="1:21" x14ac:dyDescent="0.3">
      <c r="A11336" t="s">
        <v>37</v>
      </c>
      <c r="B11336" t="s">
        <v>390</v>
      </c>
      <c r="C11336">
        <v>237</v>
      </c>
      <c r="D11336" t="s">
        <v>189</v>
      </c>
      <c r="E11336" t="s">
        <v>675</v>
      </c>
      <c r="F11336" t="s">
        <v>248</v>
      </c>
      <c r="G11336" t="s">
        <v>215</v>
      </c>
      <c r="H11336" t="s">
        <v>100</v>
      </c>
      <c r="I11336" t="s">
        <v>141</v>
      </c>
      <c r="J11336" t="s">
        <v>100</v>
      </c>
      <c r="K11336" t="s">
        <v>99</v>
      </c>
      <c r="L11336" t="s">
        <v>99</v>
      </c>
      <c r="M11336" t="s">
        <v>99</v>
      </c>
      <c r="N11336" t="s">
        <v>292</v>
      </c>
      <c r="O11336" t="s">
        <v>198</v>
      </c>
      <c r="P11336" t="s">
        <v>118</v>
      </c>
      <c r="Q11336" t="s">
        <v>99</v>
      </c>
      <c r="R11336" t="s">
        <v>99</v>
      </c>
      <c r="S11336" t="s">
        <v>268</v>
      </c>
      <c r="T11336" t="s">
        <v>111</v>
      </c>
      <c r="U11336" t="s">
        <v>99</v>
      </c>
    </row>
    <row r="11337" spans="1:21" x14ac:dyDescent="0.3">
      <c r="A11337" t="s">
        <v>37</v>
      </c>
      <c r="B11337" t="s">
        <v>365</v>
      </c>
      <c r="C11337">
        <v>67</v>
      </c>
      <c r="D11337" t="s">
        <v>518</v>
      </c>
      <c r="E11337" t="s">
        <v>679</v>
      </c>
      <c r="F11337" t="s">
        <v>412</v>
      </c>
      <c r="G11337" t="s">
        <v>130</v>
      </c>
      <c r="H11337" t="s">
        <v>99</v>
      </c>
      <c r="I11337" t="s">
        <v>130</v>
      </c>
      <c r="J11337" t="s">
        <v>145</v>
      </c>
      <c r="K11337" t="s">
        <v>99</v>
      </c>
      <c r="L11337" t="s">
        <v>126</v>
      </c>
      <c r="M11337" t="s">
        <v>99</v>
      </c>
      <c r="N11337" t="s">
        <v>99</v>
      </c>
      <c r="O11337" t="s">
        <v>111</v>
      </c>
      <c r="P11337" t="s">
        <v>99</v>
      </c>
      <c r="Q11337" t="s">
        <v>99</v>
      </c>
      <c r="R11337" t="s">
        <v>99</v>
      </c>
      <c r="S11337" t="s">
        <v>120</v>
      </c>
      <c r="T11337" t="s">
        <v>712</v>
      </c>
      <c r="U11337" t="s">
        <v>99</v>
      </c>
    </row>
    <row r="11338" spans="1:21" x14ac:dyDescent="0.3">
      <c r="A11338" t="s">
        <v>36</v>
      </c>
      <c r="B11338" t="s">
        <v>389</v>
      </c>
      <c r="C11338">
        <v>327</v>
      </c>
      <c r="D11338" t="s">
        <v>1226</v>
      </c>
      <c r="E11338" t="s">
        <v>207</v>
      </c>
      <c r="F11338" t="s">
        <v>468</v>
      </c>
      <c r="G11338" t="s">
        <v>115</v>
      </c>
      <c r="H11338" t="s">
        <v>120</v>
      </c>
      <c r="I11338" t="s">
        <v>99</v>
      </c>
      <c r="J11338" t="s">
        <v>198</v>
      </c>
      <c r="K11338" t="s">
        <v>99</v>
      </c>
      <c r="L11338" t="s">
        <v>99</v>
      </c>
      <c r="M11338" t="s">
        <v>111</v>
      </c>
      <c r="N11338" t="s">
        <v>382</v>
      </c>
      <c r="O11338" t="s">
        <v>382</v>
      </c>
      <c r="P11338" t="s">
        <v>242</v>
      </c>
      <c r="Q11338" t="s">
        <v>99</v>
      </c>
      <c r="R11338" t="s">
        <v>141</v>
      </c>
      <c r="S11338" t="s">
        <v>136</v>
      </c>
      <c r="T11338" t="s">
        <v>111</v>
      </c>
      <c r="U11338" t="s">
        <v>104</v>
      </c>
    </row>
    <row r="11339" spans="1:21" x14ac:dyDescent="0.3">
      <c r="A11339" t="s">
        <v>36</v>
      </c>
      <c r="B11339" t="s">
        <v>390</v>
      </c>
      <c r="C11339">
        <v>99</v>
      </c>
      <c r="D11339" t="s">
        <v>1510</v>
      </c>
      <c r="E11339" t="s">
        <v>468</v>
      </c>
      <c r="F11339" t="s">
        <v>147</v>
      </c>
      <c r="G11339" t="s">
        <v>107</v>
      </c>
      <c r="H11339" t="s">
        <v>198</v>
      </c>
      <c r="I11339" t="s">
        <v>319</v>
      </c>
      <c r="J11339" t="s">
        <v>127</v>
      </c>
      <c r="K11339" t="s">
        <v>99</v>
      </c>
      <c r="L11339" t="s">
        <v>99</v>
      </c>
      <c r="M11339" t="s">
        <v>207</v>
      </c>
      <c r="N11339" t="s">
        <v>104</v>
      </c>
      <c r="O11339" t="s">
        <v>108</v>
      </c>
      <c r="P11339" t="s">
        <v>277</v>
      </c>
      <c r="Q11339" t="s">
        <v>99</v>
      </c>
      <c r="R11339" t="s">
        <v>99</v>
      </c>
      <c r="S11339" t="s">
        <v>253</v>
      </c>
      <c r="T11339" t="s">
        <v>99</v>
      </c>
      <c r="U11339" t="s">
        <v>99</v>
      </c>
    </row>
    <row r="11340" spans="1:21" x14ac:dyDescent="0.3">
      <c r="A11340" t="s">
        <v>36</v>
      </c>
      <c r="B11340" t="s">
        <v>365</v>
      </c>
      <c r="C11340">
        <v>32</v>
      </c>
      <c r="D11340" t="s">
        <v>467</v>
      </c>
      <c r="E11340" t="s">
        <v>99</v>
      </c>
      <c r="F11340" t="s">
        <v>130</v>
      </c>
      <c r="G11340" t="s">
        <v>253</v>
      </c>
      <c r="H11340" t="s">
        <v>99</v>
      </c>
      <c r="I11340" t="s">
        <v>99</v>
      </c>
      <c r="J11340" t="s">
        <v>99</v>
      </c>
      <c r="K11340" t="s">
        <v>99</v>
      </c>
      <c r="L11340" t="s">
        <v>99</v>
      </c>
      <c r="M11340" t="s">
        <v>114</v>
      </c>
      <c r="N11340" t="s">
        <v>141</v>
      </c>
      <c r="O11340" t="s">
        <v>99</v>
      </c>
      <c r="P11340" t="s">
        <v>99</v>
      </c>
      <c r="Q11340" t="s">
        <v>99</v>
      </c>
      <c r="R11340" t="s">
        <v>99</v>
      </c>
      <c r="S11340" t="s">
        <v>99</v>
      </c>
      <c r="T11340" t="s">
        <v>99</v>
      </c>
      <c r="U11340" t="s">
        <v>99</v>
      </c>
    </row>
    <row r="11341" spans="1:21" x14ac:dyDescent="0.3">
      <c r="A11341" t="s">
        <v>34</v>
      </c>
      <c r="B11341" t="s">
        <v>389</v>
      </c>
      <c r="C11341">
        <v>376</v>
      </c>
      <c r="D11341" t="s">
        <v>612</v>
      </c>
      <c r="E11341" t="s">
        <v>268</v>
      </c>
      <c r="F11341" t="s">
        <v>108</v>
      </c>
      <c r="G11341" t="s">
        <v>117</v>
      </c>
      <c r="H11341" t="s">
        <v>138</v>
      </c>
      <c r="I11341" t="s">
        <v>141</v>
      </c>
      <c r="J11341" t="s">
        <v>136</v>
      </c>
      <c r="K11341" t="s">
        <v>136</v>
      </c>
      <c r="L11341" t="s">
        <v>99</v>
      </c>
      <c r="M11341" t="s">
        <v>138</v>
      </c>
      <c r="N11341" t="s">
        <v>115</v>
      </c>
      <c r="O11341" t="s">
        <v>101</v>
      </c>
      <c r="P11341" t="s">
        <v>127</v>
      </c>
      <c r="Q11341" t="s">
        <v>99</v>
      </c>
      <c r="R11341" t="s">
        <v>121</v>
      </c>
      <c r="S11341" t="s">
        <v>117</v>
      </c>
      <c r="T11341" t="s">
        <v>712</v>
      </c>
      <c r="U11341" t="s">
        <v>108</v>
      </c>
    </row>
    <row r="11342" spans="1:21" x14ac:dyDescent="0.3">
      <c r="A11342" t="s">
        <v>34</v>
      </c>
      <c r="B11342" t="s">
        <v>390</v>
      </c>
      <c r="C11342">
        <v>110</v>
      </c>
      <c r="D11342" t="s">
        <v>1707</v>
      </c>
      <c r="E11342" t="s">
        <v>151</v>
      </c>
      <c r="F11342" t="s">
        <v>99</v>
      </c>
      <c r="G11342" t="s">
        <v>99</v>
      </c>
      <c r="H11342" t="s">
        <v>68</v>
      </c>
      <c r="I11342" t="s">
        <v>132</v>
      </c>
      <c r="J11342" t="s">
        <v>99</v>
      </c>
      <c r="K11342" t="s">
        <v>99</v>
      </c>
      <c r="L11342" t="s">
        <v>141</v>
      </c>
      <c r="M11342" t="s">
        <v>679</v>
      </c>
      <c r="N11342" t="s">
        <v>99</v>
      </c>
      <c r="O11342" t="s">
        <v>99</v>
      </c>
      <c r="P11342" t="s">
        <v>99</v>
      </c>
      <c r="Q11342" t="s">
        <v>99</v>
      </c>
      <c r="R11342" t="s">
        <v>151</v>
      </c>
      <c r="S11342" t="s">
        <v>151</v>
      </c>
      <c r="T11342" t="s">
        <v>151</v>
      </c>
      <c r="U11342" t="s">
        <v>99</v>
      </c>
    </row>
    <row r="11343" spans="1:21" x14ac:dyDescent="0.3">
      <c r="A11343" t="s">
        <v>34</v>
      </c>
      <c r="B11343" t="s">
        <v>365</v>
      </c>
      <c r="C11343">
        <v>24</v>
      </c>
      <c r="D11343" t="s">
        <v>866</v>
      </c>
      <c r="E11343" t="s">
        <v>126</v>
      </c>
      <c r="F11343" t="s">
        <v>99</v>
      </c>
      <c r="G11343" t="s">
        <v>99</v>
      </c>
      <c r="H11343" t="s">
        <v>126</v>
      </c>
      <c r="I11343" t="s">
        <v>99</v>
      </c>
      <c r="J11343" t="s">
        <v>99</v>
      </c>
      <c r="K11343" t="s">
        <v>99</v>
      </c>
      <c r="L11343" t="s">
        <v>99</v>
      </c>
      <c r="M11343" t="s">
        <v>154</v>
      </c>
      <c r="N11343" t="s">
        <v>99</v>
      </c>
      <c r="O11343" t="s">
        <v>99</v>
      </c>
      <c r="P11343" t="s">
        <v>99</v>
      </c>
      <c r="Q11343" t="s">
        <v>99</v>
      </c>
      <c r="R11343" t="s">
        <v>99</v>
      </c>
      <c r="S11343" t="s">
        <v>99</v>
      </c>
      <c r="T11343" t="s">
        <v>401</v>
      </c>
      <c r="U11343" t="s">
        <v>99</v>
      </c>
    </row>
    <row r="11344" spans="1:21" x14ac:dyDescent="0.3">
      <c r="A11344" t="s">
        <v>33</v>
      </c>
      <c r="B11344" t="s">
        <v>389</v>
      </c>
      <c r="C11344">
        <v>505</v>
      </c>
      <c r="D11344" t="s">
        <v>75</v>
      </c>
      <c r="E11344" t="s">
        <v>141</v>
      </c>
      <c r="F11344" t="s">
        <v>99</v>
      </c>
      <c r="G11344" t="s">
        <v>104</v>
      </c>
      <c r="H11344" t="s">
        <v>108</v>
      </c>
      <c r="I11344" t="s">
        <v>207</v>
      </c>
      <c r="J11344" t="s">
        <v>253</v>
      </c>
      <c r="K11344" t="s">
        <v>99</v>
      </c>
      <c r="L11344" t="s">
        <v>207</v>
      </c>
      <c r="M11344" t="s">
        <v>115</v>
      </c>
      <c r="N11344" t="s">
        <v>99</v>
      </c>
      <c r="O11344" t="s">
        <v>198</v>
      </c>
      <c r="P11344" t="s">
        <v>111</v>
      </c>
      <c r="Q11344" t="s">
        <v>99</v>
      </c>
      <c r="R11344" t="s">
        <v>141</v>
      </c>
      <c r="S11344" t="s">
        <v>99</v>
      </c>
      <c r="T11344" t="s">
        <v>101</v>
      </c>
      <c r="U11344" t="s">
        <v>198</v>
      </c>
    </row>
    <row r="11345" spans="1:21" x14ac:dyDescent="0.3">
      <c r="A11345" t="s">
        <v>33</v>
      </c>
      <c r="B11345" t="s">
        <v>390</v>
      </c>
      <c r="C11345">
        <v>296</v>
      </c>
      <c r="D11345" t="s">
        <v>758</v>
      </c>
      <c r="E11345" t="s">
        <v>132</v>
      </c>
      <c r="F11345" t="s">
        <v>99</v>
      </c>
      <c r="G11345" t="s">
        <v>115</v>
      </c>
      <c r="H11345" t="s">
        <v>207</v>
      </c>
      <c r="I11345" t="s">
        <v>99</v>
      </c>
      <c r="J11345" t="s">
        <v>207</v>
      </c>
      <c r="K11345" t="s">
        <v>99</v>
      </c>
      <c r="L11345" t="s">
        <v>99</v>
      </c>
      <c r="M11345" t="s">
        <v>99</v>
      </c>
      <c r="N11345" t="s">
        <v>99</v>
      </c>
      <c r="O11345" t="s">
        <v>99</v>
      </c>
      <c r="P11345" t="s">
        <v>108</v>
      </c>
      <c r="Q11345" t="s">
        <v>99</v>
      </c>
      <c r="R11345" t="s">
        <v>99</v>
      </c>
      <c r="S11345" t="s">
        <v>198</v>
      </c>
      <c r="T11345" t="s">
        <v>127</v>
      </c>
      <c r="U11345" t="s">
        <v>136</v>
      </c>
    </row>
    <row r="11346" spans="1:21" x14ac:dyDescent="0.3">
      <c r="A11346" t="s">
        <v>33</v>
      </c>
      <c r="B11346" t="s">
        <v>365</v>
      </c>
      <c r="C11346">
        <v>92</v>
      </c>
      <c r="D11346" t="s">
        <v>183</v>
      </c>
      <c r="E11346" t="s">
        <v>99</v>
      </c>
      <c r="F11346" t="s">
        <v>99</v>
      </c>
      <c r="G11346" t="s">
        <v>99</v>
      </c>
      <c r="H11346" t="s">
        <v>99</v>
      </c>
      <c r="I11346" t="s">
        <v>99</v>
      </c>
      <c r="J11346" t="s">
        <v>99</v>
      </c>
      <c r="K11346" t="s">
        <v>99</v>
      </c>
      <c r="L11346" t="s">
        <v>99</v>
      </c>
      <c r="M11346" t="s">
        <v>99</v>
      </c>
      <c r="N11346" t="s">
        <v>99</v>
      </c>
      <c r="O11346" t="s">
        <v>99</v>
      </c>
      <c r="P11346" t="s">
        <v>129</v>
      </c>
      <c r="Q11346" t="s">
        <v>99</v>
      </c>
      <c r="R11346" t="s">
        <v>101</v>
      </c>
      <c r="S11346" t="s">
        <v>118</v>
      </c>
      <c r="T11346" t="s">
        <v>99</v>
      </c>
      <c r="U11346" t="s">
        <v>99</v>
      </c>
    </row>
    <row r="11347" spans="1:21" x14ac:dyDescent="0.3">
      <c r="A11347" t="s">
        <v>49</v>
      </c>
      <c r="B11347" t="s">
        <v>389</v>
      </c>
      <c r="C11347">
        <v>2229</v>
      </c>
      <c r="D11347" t="s">
        <v>785</v>
      </c>
      <c r="E11347" t="s">
        <v>101</v>
      </c>
      <c r="F11347" t="s">
        <v>268</v>
      </c>
      <c r="G11347" t="s">
        <v>121</v>
      </c>
      <c r="H11347" t="s">
        <v>123</v>
      </c>
      <c r="I11347" t="s">
        <v>114</v>
      </c>
      <c r="J11347" t="s">
        <v>114</v>
      </c>
      <c r="K11347" t="s">
        <v>151</v>
      </c>
      <c r="L11347" t="s">
        <v>141</v>
      </c>
      <c r="M11347" t="s">
        <v>215</v>
      </c>
      <c r="N11347" t="s">
        <v>207</v>
      </c>
      <c r="O11347" t="s">
        <v>215</v>
      </c>
      <c r="P11347" t="s">
        <v>78</v>
      </c>
      <c r="Q11347" t="s">
        <v>99</v>
      </c>
      <c r="R11347" t="s">
        <v>101</v>
      </c>
      <c r="S11347" t="s">
        <v>100</v>
      </c>
      <c r="T11347" t="s">
        <v>149</v>
      </c>
      <c r="U11347" t="s">
        <v>108</v>
      </c>
    </row>
    <row r="11348" spans="1:21" x14ac:dyDescent="0.3">
      <c r="A11348" t="s">
        <v>49</v>
      </c>
      <c r="B11348" t="s">
        <v>390</v>
      </c>
      <c r="C11348">
        <v>882</v>
      </c>
      <c r="D11348" t="s">
        <v>875</v>
      </c>
      <c r="E11348" t="s">
        <v>157</v>
      </c>
      <c r="F11348" t="s">
        <v>117</v>
      </c>
      <c r="G11348" t="s">
        <v>121</v>
      </c>
      <c r="H11348" t="s">
        <v>215</v>
      </c>
      <c r="I11348" t="s">
        <v>141</v>
      </c>
      <c r="J11348" t="s">
        <v>141</v>
      </c>
      <c r="K11348" t="s">
        <v>104</v>
      </c>
      <c r="L11348" t="s">
        <v>104</v>
      </c>
      <c r="M11348" t="s">
        <v>101</v>
      </c>
      <c r="N11348" t="s">
        <v>253</v>
      </c>
      <c r="O11348" t="s">
        <v>207</v>
      </c>
      <c r="P11348" t="s">
        <v>120</v>
      </c>
      <c r="Q11348" t="s">
        <v>99</v>
      </c>
      <c r="R11348" t="s">
        <v>136</v>
      </c>
      <c r="S11348" t="s">
        <v>101</v>
      </c>
      <c r="T11348" t="s">
        <v>292</v>
      </c>
      <c r="U11348" t="s">
        <v>198</v>
      </c>
    </row>
    <row r="11349" spans="1:21" x14ac:dyDescent="0.3">
      <c r="A11349" t="s">
        <v>49</v>
      </c>
      <c r="B11349" t="s">
        <v>365</v>
      </c>
      <c r="C11349">
        <v>254</v>
      </c>
      <c r="D11349" t="s">
        <v>396</v>
      </c>
      <c r="E11349" t="s">
        <v>268</v>
      </c>
      <c r="F11349" t="s">
        <v>127</v>
      </c>
      <c r="G11349" t="s">
        <v>121</v>
      </c>
      <c r="H11349" t="s">
        <v>198</v>
      </c>
      <c r="I11349" t="s">
        <v>101</v>
      </c>
      <c r="J11349" t="s">
        <v>215</v>
      </c>
      <c r="K11349" t="s">
        <v>316</v>
      </c>
      <c r="L11349" t="s">
        <v>136</v>
      </c>
      <c r="M11349" t="s">
        <v>253</v>
      </c>
      <c r="N11349" t="s">
        <v>104</v>
      </c>
      <c r="O11349" t="s">
        <v>253</v>
      </c>
      <c r="P11349" t="s">
        <v>675</v>
      </c>
      <c r="Q11349" t="s">
        <v>99</v>
      </c>
      <c r="R11349" t="s">
        <v>136</v>
      </c>
      <c r="S11349" t="s">
        <v>151</v>
      </c>
      <c r="T11349" t="s">
        <v>68</v>
      </c>
      <c r="U11349" t="s">
        <v>99</v>
      </c>
    </row>
    <row r="11351" spans="1:21" x14ac:dyDescent="0.3">
      <c r="A11351" t="s">
        <v>2643</v>
      </c>
    </row>
    <row r="11352" spans="1:21" x14ac:dyDescent="0.3">
      <c r="A11352" t="s">
        <v>44</v>
      </c>
      <c r="B11352" t="s">
        <v>235</v>
      </c>
      <c r="C11352" t="s">
        <v>32</v>
      </c>
      <c r="D11352" t="s">
        <v>2588</v>
      </c>
      <c r="E11352" t="s">
        <v>2625</v>
      </c>
      <c r="F11352" t="s">
        <v>2626</v>
      </c>
      <c r="G11352" t="s">
        <v>2627</v>
      </c>
      <c r="H11352" t="s">
        <v>2628</v>
      </c>
      <c r="I11352" t="s">
        <v>2629</v>
      </c>
      <c r="J11352" t="s">
        <v>2597</v>
      </c>
      <c r="K11352" t="s">
        <v>2630</v>
      </c>
      <c r="L11352" t="s">
        <v>2631</v>
      </c>
      <c r="M11352" t="s">
        <v>2632</v>
      </c>
      <c r="N11352" t="s">
        <v>2633</v>
      </c>
      <c r="O11352" t="s">
        <v>2634</v>
      </c>
      <c r="P11352" t="s">
        <v>2635</v>
      </c>
      <c r="Q11352" t="s">
        <v>2636</v>
      </c>
      <c r="R11352" t="s">
        <v>2637</v>
      </c>
      <c r="S11352" t="s">
        <v>2638</v>
      </c>
      <c r="T11352" t="s">
        <v>2639</v>
      </c>
      <c r="U11352" t="s">
        <v>88</v>
      </c>
    </row>
    <row r="11353" spans="1:21" x14ac:dyDescent="0.3">
      <c r="A11353" t="s">
        <v>35</v>
      </c>
      <c r="B11353" t="s">
        <v>236</v>
      </c>
      <c r="C11353">
        <v>286</v>
      </c>
      <c r="D11353" t="s">
        <v>73</v>
      </c>
      <c r="E11353" t="s">
        <v>253</v>
      </c>
      <c r="F11353" t="s">
        <v>100</v>
      </c>
      <c r="G11353" t="s">
        <v>319</v>
      </c>
      <c r="H11353" t="s">
        <v>268</v>
      </c>
      <c r="I11353" t="s">
        <v>136</v>
      </c>
      <c r="J11353" t="s">
        <v>207</v>
      </c>
      <c r="K11353" t="s">
        <v>136</v>
      </c>
      <c r="L11353" t="s">
        <v>99</v>
      </c>
      <c r="M11353" t="s">
        <v>100</v>
      </c>
      <c r="N11353" t="s">
        <v>99</v>
      </c>
      <c r="O11353" t="s">
        <v>253</v>
      </c>
      <c r="P11353" t="s">
        <v>108</v>
      </c>
      <c r="Q11353" t="s">
        <v>99</v>
      </c>
      <c r="R11353" t="s">
        <v>100</v>
      </c>
      <c r="S11353" t="s">
        <v>121</v>
      </c>
      <c r="T11353" t="s">
        <v>114</v>
      </c>
      <c r="U11353" t="s">
        <v>99</v>
      </c>
    </row>
    <row r="11354" spans="1:21" x14ac:dyDescent="0.3">
      <c r="A11354" t="s">
        <v>35</v>
      </c>
      <c r="B11354" t="s">
        <v>238</v>
      </c>
      <c r="C11354">
        <v>328</v>
      </c>
      <c r="D11354" t="s">
        <v>1127</v>
      </c>
      <c r="E11354" t="s">
        <v>117</v>
      </c>
      <c r="F11354" t="s">
        <v>157</v>
      </c>
      <c r="G11354" t="s">
        <v>207</v>
      </c>
      <c r="H11354" t="s">
        <v>117</v>
      </c>
      <c r="I11354" t="s">
        <v>105</v>
      </c>
      <c r="J11354" t="s">
        <v>382</v>
      </c>
      <c r="K11354" t="s">
        <v>41</v>
      </c>
      <c r="L11354" t="s">
        <v>319</v>
      </c>
      <c r="M11354" t="s">
        <v>151</v>
      </c>
      <c r="N11354" t="s">
        <v>207</v>
      </c>
      <c r="O11354" t="s">
        <v>434</v>
      </c>
      <c r="P11354" t="s">
        <v>711</v>
      </c>
      <c r="Q11354" t="s">
        <v>99</v>
      </c>
      <c r="R11354" t="s">
        <v>157</v>
      </c>
      <c r="S11354" t="s">
        <v>141</v>
      </c>
      <c r="T11354" t="s">
        <v>721</v>
      </c>
      <c r="U11354" t="s">
        <v>120</v>
      </c>
    </row>
    <row r="11355" spans="1:21" x14ac:dyDescent="0.3">
      <c r="A11355" t="s">
        <v>37</v>
      </c>
      <c r="B11355" t="s">
        <v>236</v>
      </c>
      <c r="C11355">
        <v>338</v>
      </c>
      <c r="D11355" t="s">
        <v>854</v>
      </c>
      <c r="E11355" t="s">
        <v>292</v>
      </c>
      <c r="F11355" t="s">
        <v>129</v>
      </c>
      <c r="G11355" t="s">
        <v>134</v>
      </c>
      <c r="H11355" t="s">
        <v>108</v>
      </c>
      <c r="I11355" t="s">
        <v>207</v>
      </c>
      <c r="J11355" t="s">
        <v>100</v>
      </c>
      <c r="K11355" t="s">
        <v>207</v>
      </c>
      <c r="L11355" t="s">
        <v>99</v>
      </c>
      <c r="M11355" t="s">
        <v>207</v>
      </c>
      <c r="N11355" t="s">
        <v>99</v>
      </c>
      <c r="O11355" t="s">
        <v>141</v>
      </c>
      <c r="P11355" t="s">
        <v>316</v>
      </c>
      <c r="Q11355" t="s">
        <v>99</v>
      </c>
      <c r="R11355" t="s">
        <v>198</v>
      </c>
      <c r="S11355" t="s">
        <v>114</v>
      </c>
      <c r="T11355" t="s">
        <v>123</v>
      </c>
      <c r="U11355" t="s">
        <v>99</v>
      </c>
    </row>
    <row r="11356" spans="1:21" x14ac:dyDescent="0.3">
      <c r="A11356" t="s">
        <v>37</v>
      </c>
      <c r="B11356" t="s">
        <v>238</v>
      </c>
      <c r="C11356">
        <v>552</v>
      </c>
      <c r="D11356" t="s">
        <v>407</v>
      </c>
      <c r="E11356" t="s">
        <v>134</v>
      </c>
      <c r="F11356" t="s">
        <v>684</v>
      </c>
      <c r="G11356" t="s">
        <v>215</v>
      </c>
      <c r="H11356" t="s">
        <v>115</v>
      </c>
      <c r="I11356" t="s">
        <v>100</v>
      </c>
      <c r="J11356" t="s">
        <v>292</v>
      </c>
      <c r="K11356" t="s">
        <v>198</v>
      </c>
      <c r="L11356" t="s">
        <v>136</v>
      </c>
      <c r="M11356" t="s">
        <v>99</v>
      </c>
      <c r="N11356" t="s">
        <v>108</v>
      </c>
      <c r="O11356" t="s">
        <v>108</v>
      </c>
      <c r="P11356" t="s">
        <v>110</v>
      </c>
      <c r="Q11356" t="s">
        <v>104</v>
      </c>
      <c r="R11356" t="s">
        <v>207</v>
      </c>
      <c r="S11356" t="s">
        <v>103</v>
      </c>
      <c r="T11356" t="s">
        <v>120</v>
      </c>
      <c r="U11356" t="s">
        <v>99</v>
      </c>
    </row>
    <row r="11357" spans="1:21" x14ac:dyDescent="0.3">
      <c r="A11357" t="s">
        <v>36</v>
      </c>
      <c r="B11357" t="s">
        <v>236</v>
      </c>
      <c r="C11357">
        <v>251</v>
      </c>
      <c r="D11357" t="s">
        <v>293</v>
      </c>
      <c r="E11357" t="s">
        <v>136</v>
      </c>
      <c r="F11357" t="s">
        <v>101</v>
      </c>
      <c r="G11357" t="s">
        <v>215</v>
      </c>
      <c r="H11357" t="s">
        <v>110</v>
      </c>
      <c r="I11357" t="s">
        <v>136</v>
      </c>
      <c r="J11357" t="s">
        <v>136</v>
      </c>
      <c r="K11357" t="s">
        <v>99</v>
      </c>
      <c r="L11357" t="s">
        <v>99</v>
      </c>
      <c r="M11357" t="s">
        <v>132</v>
      </c>
      <c r="N11357" t="s">
        <v>198</v>
      </c>
      <c r="O11357" t="s">
        <v>207</v>
      </c>
      <c r="P11357" t="s">
        <v>100</v>
      </c>
      <c r="Q11357" t="s">
        <v>99</v>
      </c>
      <c r="R11357" t="s">
        <v>104</v>
      </c>
      <c r="S11357" t="s">
        <v>198</v>
      </c>
      <c r="T11357" t="s">
        <v>132</v>
      </c>
      <c r="U11357" t="s">
        <v>104</v>
      </c>
    </row>
    <row r="11358" spans="1:21" x14ac:dyDescent="0.3">
      <c r="A11358" t="s">
        <v>36</v>
      </c>
      <c r="B11358" t="s">
        <v>238</v>
      </c>
      <c r="C11358">
        <v>207</v>
      </c>
      <c r="D11358" t="s">
        <v>1453</v>
      </c>
      <c r="E11358" t="s">
        <v>127</v>
      </c>
      <c r="F11358" t="s">
        <v>160</v>
      </c>
      <c r="G11358" t="s">
        <v>132</v>
      </c>
      <c r="H11358" t="s">
        <v>108</v>
      </c>
      <c r="I11358" t="s">
        <v>198</v>
      </c>
      <c r="J11358" t="s">
        <v>141</v>
      </c>
      <c r="K11358" t="s">
        <v>99</v>
      </c>
      <c r="L11358" t="s">
        <v>99</v>
      </c>
      <c r="M11358" t="s">
        <v>268</v>
      </c>
      <c r="N11358" t="s">
        <v>127</v>
      </c>
      <c r="O11358" t="s">
        <v>123</v>
      </c>
      <c r="P11358" t="s">
        <v>675</v>
      </c>
      <c r="Q11358" t="s">
        <v>99</v>
      </c>
      <c r="R11358" t="s">
        <v>141</v>
      </c>
      <c r="S11358" t="s">
        <v>141</v>
      </c>
      <c r="T11358" t="s">
        <v>292</v>
      </c>
      <c r="U11358" t="s">
        <v>99</v>
      </c>
    </row>
    <row r="11359" spans="1:21" x14ac:dyDescent="0.3">
      <c r="A11359" t="s">
        <v>34</v>
      </c>
      <c r="B11359" t="s">
        <v>236</v>
      </c>
      <c r="C11359">
        <v>119</v>
      </c>
      <c r="D11359" t="s">
        <v>411</v>
      </c>
      <c r="E11359" t="s">
        <v>100</v>
      </c>
      <c r="F11359" t="s">
        <v>215</v>
      </c>
      <c r="G11359" t="s">
        <v>138</v>
      </c>
      <c r="H11359" t="s">
        <v>305</v>
      </c>
      <c r="I11359" t="s">
        <v>99</v>
      </c>
      <c r="J11359" t="s">
        <v>99</v>
      </c>
      <c r="K11359" t="s">
        <v>99</v>
      </c>
      <c r="L11359" t="s">
        <v>99</v>
      </c>
      <c r="M11359" t="s">
        <v>412</v>
      </c>
      <c r="N11359" t="s">
        <v>215</v>
      </c>
      <c r="O11359" t="s">
        <v>215</v>
      </c>
      <c r="P11359" t="s">
        <v>128</v>
      </c>
      <c r="Q11359" t="s">
        <v>99</v>
      </c>
      <c r="R11359" t="s">
        <v>138</v>
      </c>
      <c r="S11359" t="s">
        <v>412</v>
      </c>
      <c r="T11359" t="s">
        <v>138</v>
      </c>
      <c r="U11359" t="s">
        <v>215</v>
      </c>
    </row>
    <row r="11360" spans="1:21" x14ac:dyDescent="0.3">
      <c r="A11360" t="s">
        <v>34</v>
      </c>
      <c r="B11360" t="s">
        <v>238</v>
      </c>
      <c r="C11360">
        <v>391</v>
      </c>
      <c r="D11360" t="s">
        <v>288</v>
      </c>
      <c r="E11360" t="s">
        <v>128</v>
      </c>
      <c r="F11360" t="s">
        <v>198</v>
      </c>
      <c r="G11360" t="s">
        <v>100</v>
      </c>
      <c r="H11360" t="s">
        <v>382</v>
      </c>
      <c r="I11360" t="s">
        <v>115</v>
      </c>
      <c r="J11360" t="s">
        <v>136</v>
      </c>
      <c r="K11360" t="s">
        <v>136</v>
      </c>
      <c r="L11360" t="s">
        <v>198</v>
      </c>
      <c r="M11360" t="s">
        <v>129</v>
      </c>
      <c r="N11360" t="s">
        <v>99</v>
      </c>
      <c r="O11360" t="s">
        <v>115</v>
      </c>
      <c r="P11360" t="s">
        <v>115</v>
      </c>
      <c r="Q11360" t="s">
        <v>99</v>
      </c>
      <c r="R11360" t="s">
        <v>141</v>
      </c>
      <c r="S11360" t="s">
        <v>100</v>
      </c>
      <c r="T11360" t="s">
        <v>434</v>
      </c>
      <c r="U11360" t="s">
        <v>198</v>
      </c>
    </row>
    <row r="11361" spans="1:21" x14ac:dyDescent="0.3">
      <c r="A11361" t="s">
        <v>33</v>
      </c>
      <c r="B11361" t="s">
        <v>236</v>
      </c>
      <c r="C11361">
        <v>427</v>
      </c>
      <c r="D11361" t="s">
        <v>327</v>
      </c>
      <c r="E11361" t="s">
        <v>207</v>
      </c>
      <c r="F11361" t="s">
        <v>99</v>
      </c>
      <c r="G11361" t="s">
        <v>132</v>
      </c>
      <c r="H11361" t="s">
        <v>100</v>
      </c>
      <c r="I11361" t="s">
        <v>99</v>
      </c>
      <c r="J11361" t="s">
        <v>207</v>
      </c>
      <c r="K11361" t="s">
        <v>99</v>
      </c>
      <c r="L11361" t="s">
        <v>99</v>
      </c>
      <c r="M11361" t="s">
        <v>207</v>
      </c>
      <c r="N11361" t="s">
        <v>99</v>
      </c>
      <c r="O11361" t="s">
        <v>207</v>
      </c>
      <c r="P11361" t="s">
        <v>136</v>
      </c>
      <c r="Q11361" t="s">
        <v>99</v>
      </c>
      <c r="R11361" t="s">
        <v>253</v>
      </c>
      <c r="S11361" t="s">
        <v>100</v>
      </c>
      <c r="T11361" t="s">
        <v>141</v>
      </c>
      <c r="U11361" t="s">
        <v>253</v>
      </c>
    </row>
    <row r="11362" spans="1:21" x14ac:dyDescent="0.3">
      <c r="A11362" t="s">
        <v>33</v>
      </c>
      <c r="B11362" t="s">
        <v>238</v>
      </c>
      <c r="C11362">
        <v>466</v>
      </c>
      <c r="D11362" t="s">
        <v>391</v>
      </c>
      <c r="E11362" t="s">
        <v>115</v>
      </c>
      <c r="F11362" t="s">
        <v>99</v>
      </c>
      <c r="G11362" t="s">
        <v>99</v>
      </c>
      <c r="H11362" t="s">
        <v>207</v>
      </c>
      <c r="I11362" t="s">
        <v>207</v>
      </c>
      <c r="J11362" t="s">
        <v>141</v>
      </c>
      <c r="K11362" t="s">
        <v>99</v>
      </c>
      <c r="L11362" t="s">
        <v>207</v>
      </c>
      <c r="M11362" t="s">
        <v>141</v>
      </c>
      <c r="N11362" t="s">
        <v>99</v>
      </c>
      <c r="O11362" t="s">
        <v>99</v>
      </c>
      <c r="P11362" t="s">
        <v>107</v>
      </c>
      <c r="Q11362" t="s">
        <v>99</v>
      </c>
      <c r="R11362" t="s">
        <v>198</v>
      </c>
      <c r="S11362" t="s">
        <v>99</v>
      </c>
      <c r="T11362" t="s">
        <v>151</v>
      </c>
      <c r="U11362" t="s">
        <v>99</v>
      </c>
    </row>
    <row r="11363" spans="1:21" x14ac:dyDescent="0.3">
      <c r="A11363" t="s">
        <v>49</v>
      </c>
      <c r="B11363" t="s">
        <v>236</v>
      </c>
      <c r="C11363">
        <v>1421</v>
      </c>
      <c r="D11363" t="s">
        <v>873</v>
      </c>
      <c r="E11363" t="s">
        <v>108</v>
      </c>
      <c r="F11363" t="s">
        <v>382</v>
      </c>
      <c r="G11363" t="s">
        <v>292</v>
      </c>
      <c r="H11363" t="s">
        <v>128</v>
      </c>
      <c r="I11363" t="s">
        <v>198</v>
      </c>
      <c r="J11363" t="s">
        <v>136</v>
      </c>
      <c r="K11363" t="s">
        <v>104</v>
      </c>
      <c r="L11363" t="s">
        <v>99</v>
      </c>
      <c r="M11363" t="s">
        <v>121</v>
      </c>
      <c r="N11363" t="s">
        <v>207</v>
      </c>
      <c r="O11363" t="s">
        <v>253</v>
      </c>
      <c r="P11363" t="s">
        <v>126</v>
      </c>
      <c r="Q11363" t="s">
        <v>99</v>
      </c>
      <c r="R11363" t="s">
        <v>114</v>
      </c>
      <c r="S11363" t="s">
        <v>382</v>
      </c>
      <c r="T11363" t="s">
        <v>319</v>
      </c>
      <c r="U11363" t="s">
        <v>141</v>
      </c>
    </row>
    <row r="11364" spans="1:21" x14ac:dyDescent="0.3">
      <c r="A11364" t="s">
        <v>49</v>
      </c>
      <c r="B11364" t="s">
        <v>238</v>
      </c>
      <c r="C11364">
        <v>1944</v>
      </c>
      <c r="D11364" t="s">
        <v>1510</v>
      </c>
      <c r="E11364" t="s">
        <v>268</v>
      </c>
      <c r="F11364" t="s">
        <v>316</v>
      </c>
      <c r="G11364" t="s">
        <v>132</v>
      </c>
      <c r="H11364" t="s">
        <v>121</v>
      </c>
      <c r="I11364" t="s">
        <v>101</v>
      </c>
      <c r="J11364" t="s">
        <v>100</v>
      </c>
      <c r="K11364" t="s">
        <v>268</v>
      </c>
      <c r="L11364" t="s">
        <v>141</v>
      </c>
      <c r="M11364" t="s">
        <v>382</v>
      </c>
      <c r="N11364" t="s">
        <v>136</v>
      </c>
      <c r="O11364" t="s">
        <v>126</v>
      </c>
      <c r="P11364" t="s">
        <v>296</v>
      </c>
      <c r="Q11364" t="s">
        <v>99</v>
      </c>
      <c r="R11364" t="s">
        <v>114</v>
      </c>
      <c r="S11364" t="s">
        <v>114</v>
      </c>
      <c r="T11364" t="s">
        <v>158</v>
      </c>
      <c r="U11364" t="s">
        <v>115</v>
      </c>
    </row>
    <row r="11366" spans="1:21" x14ac:dyDescent="0.3">
      <c r="A11366" t="s">
        <v>2644</v>
      </c>
    </row>
    <row r="11367" spans="1:21" x14ac:dyDescent="0.3">
      <c r="A11367" t="s">
        <v>44</v>
      </c>
      <c r="B11367" t="s">
        <v>1720</v>
      </c>
      <c r="C11367" t="s">
        <v>32</v>
      </c>
      <c r="D11367" t="s">
        <v>2588</v>
      </c>
      <c r="E11367" t="s">
        <v>2625</v>
      </c>
      <c r="F11367" t="s">
        <v>2626</v>
      </c>
      <c r="G11367" t="s">
        <v>2627</v>
      </c>
      <c r="H11367" t="s">
        <v>2628</v>
      </c>
      <c r="I11367" t="s">
        <v>2629</v>
      </c>
      <c r="J11367" t="s">
        <v>2597</v>
      </c>
      <c r="K11367" t="s">
        <v>2630</v>
      </c>
      <c r="L11367" t="s">
        <v>2631</v>
      </c>
      <c r="M11367" t="s">
        <v>2632</v>
      </c>
      <c r="N11367" t="s">
        <v>2633</v>
      </c>
      <c r="O11367" t="s">
        <v>2634</v>
      </c>
      <c r="P11367" t="s">
        <v>2635</v>
      </c>
      <c r="Q11367" t="s">
        <v>2636</v>
      </c>
      <c r="R11367" t="s">
        <v>2637</v>
      </c>
      <c r="S11367" t="s">
        <v>2638</v>
      </c>
      <c r="T11367" t="s">
        <v>2639</v>
      </c>
      <c r="U11367" t="s">
        <v>88</v>
      </c>
    </row>
    <row r="11368" spans="1:21" x14ac:dyDescent="0.3">
      <c r="A11368" t="s">
        <v>35</v>
      </c>
      <c r="B11368" t="s">
        <v>1721</v>
      </c>
      <c r="C11368">
        <v>299</v>
      </c>
      <c r="D11368" t="s">
        <v>1230</v>
      </c>
      <c r="E11368" t="s">
        <v>117</v>
      </c>
      <c r="F11368" t="s">
        <v>712</v>
      </c>
      <c r="G11368" t="s">
        <v>207</v>
      </c>
      <c r="H11368" t="s">
        <v>114</v>
      </c>
      <c r="I11368" t="s">
        <v>103</v>
      </c>
      <c r="J11368" t="s">
        <v>136</v>
      </c>
      <c r="K11368" t="s">
        <v>122</v>
      </c>
      <c r="L11368" t="s">
        <v>292</v>
      </c>
      <c r="M11368" t="s">
        <v>117</v>
      </c>
      <c r="N11368" t="s">
        <v>136</v>
      </c>
      <c r="O11368" t="s">
        <v>712</v>
      </c>
      <c r="P11368" t="s">
        <v>534</v>
      </c>
      <c r="Q11368" t="s">
        <v>99</v>
      </c>
      <c r="R11368" t="s">
        <v>112</v>
      </c>
      <c r="S11368" t="s">
        <v>253</v>
      </c>
      <c r="T11368" t="s">
        <v>482</v>
      </c>
      <c r="U11368" t="s">
        <v>292</v>
      </c>
    </row>
    <row r="11369" spans="1:21" x14ac:dyDescent="0.3">
      <c r="A11369" t="s">
        <v>35</v>
      </c>
      <c r="B11369" t="s">
        <v>1722</v>
      </c>
      <c r="C11369">
        <v>315</v>
      </c>
      <c r="D11369" t="s">
        <v>504</v>
      </c>
      <c r="E11369" t="s">
        <v>319</v>
      </c>
      <c r="F11369" t="s">
        <v>132</v>
      </c>
      <c r="G11369" t="s">
        <v>132</v>
      </c>
      <c r="H11369" t="s">
        <v>118</v>
      </c>
      <c r="I11369" t="s">
        <v>103</v>
      </c>
      <c r="J11369" t="s">
        <v>111</v>
      </c>
      <c r="K11369" t="s">
        <v>74</v>
      </c>
      <c r="L11369" t="s">
        <v>99</v>
      </c>
      <c r="M11369" t="s">
        <v>100</v>
      </c>
      <c r="N11369" t="s">
        <v>99</v>
      </c>
      <c r="O11369" t="s">
        <v>111</v>
      </c>
      <c r="P11369" t="s">
        <v>393</v>
      </c>
      <c r="Q11369" t="s">
        <v>99</v>
      </c>
      <c r="R11369" t="s">
        <v>115</v>
      </c>
      <c r="S11369" t="s">
        <v>132</v>
      </c>
      <c r="T11369" t="s">
        <v>129</v>
      </c>
      <c r="U11369" t="s">
        <v>292</v>
      </c>
    </row>
    <row r="11370" spans="1:21" x14ac:dyDescent="0.3">
      <c r="A11370" t="s">
        <v>37</v>
      </c>
      <c r="B11370" t="s">
        <v>1721</v>
      </c>
      <c r="C11370">
        <v>429</v>
      </c>
      <c r="D11370" t="s">
        <v>312</v>
      </c>
      <c r="E11370" t="s">
        <v>382</v>
      </c>
      <c r="F11370" t="s">
        <v>120</v>
      </c>
      <c r="G11370" t="s">
        <v>126</v>
      </c>
      <c r="H11370" t="s">
        <v>114</v>
      </c>
      <c r="I11370" t="s">
        <v>319</v>
      </c>
      <c r="J11370" t="s">
        <v>126</v>
      </c>
      <c r="K11370" t="s">
        <v>99</v>
      </c>
      <c r="L11370" t="s">
        <v>253</v>
      </c>
      <c r="M11370" t="s">
        <v>198</v>
      </c>
      <c r="N11370" t="s">
        <v>99</v>
      </c>
      <c r="O11370" t="s">
        <v>132</v>
      </c>
      <c r="P11370" t="s">
        <v>129</v>
      </c>
      <c r="Q11370" t="s">
        <v>99</v>
      </c>
      <c r="R11370" t="s">
        <v>141</v>
      </c>
      <c r="S11370" t="s">
        <v>292</v>
      </c>
      <c r="T11370" t="s">
        <v>292</v>
      </c>
      <c r="U11370" t="s">
        <v>99</v>
      </c>
    </row>
    <row r="11371" spans="1:21" x14ac:dyDescent="0.3">
      <c r="A11371" t="s">
        <v>37</v>
      </c>
      <c r="B11371" t="s">
        <v>1722</v>
      </c>
      <c r="C11371">
        <v>461</v>
      </c>
      <c r="D11371" t="s">
        <v>439</v>
      </c>
      <c r="E11371" t="s">
        <v>474</v>
      </c>
      <c r="F11371" t="s">
        <v>663</v>
      </c>
      <c r="G11371" t="s">
        <v>105</v>
      </c>
      <c r="H11371" t="s">
        <v>253</v>
      </c>
      <c r="I11371" t="s">
        <v>207</v>
      </c>
      <c r="J11371" t="s">
        <v>123</v>
      </c>
      <c r="K11371" t="s">
        <v>136</v>
      </c>
      <c r="L11371" t="s">
        <v>99</v>
      </c>
      <c r="M11371" t="s">
        <v>99</v>
      </c>
      <c r="N11371" t="s">
        <v>100</v>
      </c>
      <c r="O11371" t="s">
        <v>132</v>
      </c>
      <c r="P11371" t="s">
        <v>147</v>
      </c>
      <c r="Q11371" t="s">
        <v>198</v>
      </c>
      <c r="R11371" t="s">
        <v>104</v>
      </c>
      <c r="S11371" t="s">
        <v>123</v>
      </c>
      <c r="T11371" t="s">
        <v>147</v>
      </c>
      <c r="U11371" t="s">
        <v>99</v>
      </c>
    </row>
    <row r="11372" spans="1:21" x14ac:dyDescent="0.3">
      <c r="A11372" t="s">
        <v>36</v>
      </c>
      <c r="B11372" t="s">
        <v>1721</v>
      </c>
      <c r="C11372">
        <v>214</v>
      </c>
      <c r="D11372" t="s">
        <v>1478</v>
      </c>
      <c r="E11372" t="s">
        <v>151</v>
      </c>
      <c r="F11372" t="s">
        <v>305</v>
      </c>
      <c r="G11372" t="s">
        <v>115</v>
      </c>
      <c r="H11372" t="s">
        <v>123</v>
      </c>
      <c r="I11372" t="s">
        <v>136</v>
      </c>
      <c r="J11372" t="s">
        <v>198</v>
      </c>
      <c r="K11372" t="s">
        <v>99</v>
      </c>
      <c r="L11372" t="s">
        <v>99</v>
      </c>
      <c r="M11372" t="s">
        <v>316</v>
      </c>
      <c r="N11372" t="s">
        <v>151</v>
      </c>
      <c r="O11372" t="s">
        <v>117</v>
      </c>
      <c r="P11372" t="s">
        <v>68</v>
      </c>
      <c r="Q11372" t="s">
        <v>99</v>
      </c>
      <c r="R11372" t="s">
        <v>253</v>
      </c>
      <c r="S11372" t="s">
        <v>104</v>
      </c>
      <c r="T11372" t="s">
        <v>147</v>
      </c>
      <c r="U11372" t="s">
        <v>99</v>
      </c>
    </row>
    <row r="11373" spans="1:21" x14ac:dyDescent="0.3">
      <c r="A11373" t="s">
        <v>36</v>
      </c>
      <c r="B11373" t="s">
        <v>1722</v>
      </c>
      <c r="C11373">
        <v>244</v>
      </c>
      <c r="D11373" t="s">
        <v>180</v>
      </c>
      <c r="E11373" t="s">
        <v>141</v>
      </c>
      <c r="F11373" t="s">
        <v>100</v>
      </c>
      <c r="G11373" t="s">
        <v>126</v>
      </c>
      <c r="H11373" t="s">
        <v>268</v>
      </c>
      <c r="I11373" t="s">
        <v>104</v>
      </c>
      <c r="J11373" t="s">
        <v>132</v>
      </c>
      <c r="K11373" t="s">
        <v>99</v>
      </c>
      <c r="L11373" t="s">
        <v>99</v>
      </c>
      <c r="M11373" t="s">
        <v>132</v>
      </c>
      <c r="N11373" t="s">
        <v>198</v>
      </c>
      <c r="O11373" t="s">
        <v>104</v>
      </c>
      <c r="P11373" t="s">
        <v>129</v>
      </c>
      <c r="Q11373" t="s">
        <v>99</v>
      </c>
      <c r="R11373" t="s">
        <v>104</v>
      </c>
      <c r="S11373" t="s">
        <v>115</v>
      </c>
      <c r="T11373" t="s">
        <v>104</v>
      </c>
      <c r="U11373" t="s">
        <v>104</v>
      </c>
    </row>
    <row r="11374" spans="1:21" x14ac:dyDescent="0.3">
      <c r="A11374" t="s">
        <v>34</v>
      </c>
      <c r="B11374" t="s">
        <v>1721</v>
      </c>
      <c r="C11374">
        <v>232</v>
      </c>
      <c r="D11374" t="s">
        <v>189</v>
      </c>
      <c r="E11374" t="s">
        <v>127</v>
      </c>
      <c r="F11374" t="s">
        <v>99</v>
      </c>
      <c r="G11374" t="s">
        <v>111</v>
      </c>
      <c r="H11374" t="s">
        <v>204</v>
      </c>
      <c r="I11374" t="s">
        <v>121</v>
      </c>
      <c r="J11374" t="s">
        <v>115</v>
      </c>
      <c r="K11374" t="s">
        <v>99</v>
      </c>
      <c r="L11374" t="s">
        <v>207</v>
      </c>
      <c r="M11374" t="s">
        <v>412</v>
      </c>
      <c r="N11374" t="s">
        <v>99</v>
      </c>
      <c r="O11374" t="s">
        <v>115</v>
      </c>
      <c r="P11374" t="s">
        <v>111</v>
      </c>
      <c r="Q11374" t="s">
        <v>99</v>
      </c>
      <c r="R11374" t="s">
        <v>136</v>
      </c>
      <c r="S11374" t="s">
        <v>147</v>
      </c>
      <c r="T11374" t="s">
        <v>118</v>
      </c>
      <c r="U11374" t="s">
        <v>136</v>
      </c>
    </row>
    <row r="11375" spans="1:21" x14ac:dyDescent="0.3">
      <c r="A11375" t="s">
        <v>34</v>
      </c>
      <c r="B11375" t="s">
        <v>1722</v>
      </c>
      <c r="C11375">
        <v>278</v>
      </c>
      <c r="D11375" t="s">
        <v>217</v>
      </c>
      <c r="E11375" t="s">
        <v>103</v>
      </c>
      <c r="F11375" t="s">
        <v>100</v>
      </c>
      <c r="G11375" t="s">
        <v>319</v>
      </c>
      <c r="H11375" t="s">
        <v>215</v>
      </c>
      <c r="I11375" t="s">
        <v>99</v>
      </c>
      <c r="J11375" t="s">
        <v>99</v>
      </c>
      <c r="K11375" t="s">
        <v>141</v>
      </c>
      <c r="L11375" t="s">
        <v>99</v>
      </c>
      <c r="M11375" t="s">
        <v>118</v>
      </c>
      <c r="N11375" t="s">
        <v>132</v>
      </c>
      <c r="O11375" t="s">
        <v>100</v>
      </c>
      <c r="P11375" t="s">
        <v>253</v>
      </c>
      <c r="Q11375" t="s">
        <v>99</v>
      </c>
      <c r="R11375" t="s">
        <v>151</v>
      </c>
      <c r="S11375" t="s">
        <v>382</v>
      </c>
      <c r="T11375" t="s">
        <v>130</v>
      </c>
      <c r="U11375" t="s">
        <v>132</v>
      </c>
    </row>
    <row r="11376" spans="1:21" x14ac:dyDescent="0.3">
      <c r="A11376" t="s">
        <v>33</v>
      </c>
      <c r="B11376" t="s">
        <v>1721</v>
      </c>
      <c r="C11376">
        <v>355</v>
      </c>
      <c r="D11376" t="s">
        <v>226</v>
      </c>
      <c r="E11376" t="s">
        <v>115</v>
      </c>
      <c r="F11376" t="s">
        <v>99</v>
      </c>
      <c r="G11376" t="s">
        <v>99</v>
      </c>
      <c r="H11376" t="s">
        <v>108</v>
      </c>
      <c r="I11376" t="s">
        <v>136</v>
      </c>
      <c r="J11376" t="s">
        <v>114</v>
      </c>
      <c r="K11376" t="s">
        <v>99</v>
      </c>
      <c r="L11376" t="s">
        <v>136</v>
      </c>
      <c r="M11376" t="s">
        <v>115</v>
      </c>
      <c r="N11376" t="s">
        <v>99</v>
      </c>
      <c r="O11376" t="s">
        <v>99</v>
      </c>
      <c r="P11376" t="s">
        <v>123</v>
      </c>
      <c r="Q11376" t="s">
        <v>99</v>
      </c>
      <c r="R11376" t="s">
        <v>108</v>
      </c>
      <c r="S11376" t="s">
        <v>141</v>
      </c>
      <c r="T11376" t="s">
        <v>114</v>
      </c>
      <c r="U11376" t="s">
        <v>207</v>
      </c>
    </row>
    <row r="11377" spans="1:21" x14ac:dyDescent="0.3">
      <c r="A11377" t="s">
        <v>33</v>
      </c>
      <c r="B11377" t="s">
        <v>1722</v>
      </c>
      <c r="C11377">
        <v>538</v>
      </c>
      <c r="D11377" t="s">
        <v>358</v>
      </c>
      <c r="E11377" t="s">
        <v>141</v>
      </c>
      <c r="F11377" t="s">
        <v>99</v>
      </c>
      <c r="G11377" t="s">
        <v>141</v>
      </c>
      <c r="H11377" t="s">
        <v>141</v>
      </c>
      <c r="I11377" t="s">
        <v>99</v>
      </c>
      <c r="J11377" t="s">
        <v>99</v>
      </c>
      <c r="K11377" t="s">
        <v>99</v>
      </c>
      <c r="L11377" t="s">
        <v>99</v>
      </c>
      <c r="M11377" t="s">
        <v>198</v>
      </c>
      <c r="N11377" t="s">
        <v>99</v>
      </c>
      <c r="O11377" t="s">
        <v>198</v>
      </c>
      <c r="P11377" t="s">
        <v>123</v>
      </c>
      <c r="Q11377" t="s">
        <v>99</v>
      </c>
      <c r="R11377" t="s">
        <v>99</v>
      </c>
      <c r="S11377" t="s">
        <v>136</v>
      </c>
      <c r="T11377" t="s">
        <v>382</v>
      </c>
      <c r="U11377" t="s">
        <v>198</v>
      </c>
    </row>
    <row r="11378" spans="1:21" x14ac:dyDescent="0.3">
      <c r="A11378" t="s">
        <v>49</v>
      </c>
      <c r="B11378" t="s">
        <v>1721</v>
      </c>
      <c r="C11378">
        <v>1529</v>
      </c>
      <c r="D11378" t="s">
        <v>991</v>
      </c>
      <c r="E11378" t="s">
        <v>215</v>
      </c>
      <c r="F11378" t="s">
        <v>316</v>
      </c>
      <c r="G11378" t="s">
        <v>108</v>
      </c>
      <c r="H11378" t="s">
        <v>151</v>
      </c>
      <c r="I11378" t="s">
        <v>101</v>
      </c>
      <c r="J11378" t="s">
        <v>108</v>
      </c>
      <c r="K11378" t="s">
        <v>215</v>
      </c>
      <c r="L11378" t="s">
        <v>132</v>
      </c>
      <c r="M11378" t="s">
        <v>123</v>
      </c>
      <c r="N11378" t="s">
        <v>207</v>
      </c>
      <c r="O11378" t="s">
        <v>382</v>
      </c>
      <c r="P11378" t="s">
        <v>299</v>
      </c>
      <c r="Q11378" t="s">
        <v>99</v>
      </c>
      <c r="R11378" t="s">
        <v>126</v>
      </c>
      <c r="S11378" t="s">
        <v>101</v>
      </c>
      <c r="T11378" t="s">
        <v>124</v>
      </c>
      <c r="U11378" t="s">
        <v>253</v>
      </c>
    </row>
    <row r="11379" spans="1:21" x14ac:dyDescent="0.3">
      <c r="A11379" t="s">
        <v>49</v>
      </c>
      <c r="B11379" t="s">
        <v>1722</v>
      </c>
      <c r="C11379">
        <v>1836</v>
      </c>
      <c r="D11379" t="s">
        <v>176</v>
      </c>
      <c r="E11379" t="s">
        <v>151</v>
      </c>
      <c r="F11379" t="s">
        <v>151</v>
      </c>
      <c r="G11379" t="s">
        <v>126</v>
      </c>
      <c r="H11379" t="s">
        <v>382</v>
      </c>
      <c r="I11379" t="s">
        <v>253</v>
      </c>
      <c r="J11379" t="s">
        <v>108</v>
      </c>
      <c r="K11379" t="s">
        <v>319</v>
      </c>
      <c r="L11379" t="s">
        <v>99</v>
      </c>
      <c r="M11379" t="s">
        <v>100</v>
      </c>
      <c r="N11379" t="s">
        <v>141</v>
      </c>
      <c r="O11379" t="s">
        <v>108</v>
      </c>
      <c r="P11379" t="s">
        <v>68</v>
      </c>
      <c r="Q11379" t="s">
        <v>99</v>
      </c>
      <c r="R11379" t="s">
        <v>253</v>
      </c>
      <c r="S11379" t="s">
        <v>100</v>
      </c>
      <c r="T11379" t="s">
        <v>120</v>
      </c>
      <c r="U11379" t="s">
        <v>253</v>
      </c>
    </row>
    <row r="11381" spans="1:21" x14ac:dyDescent="0.3">
      <c r="A11381" t="s">
        <v>2645</v>
      </c>
    </row>
    <row r="11382" spans="1:21" x14ac:dyDescent="0.3">
      <c r="A11382" t="s">
        <v>44</v>
      </c>
      <c r="B11382" t="s">
        <v>2619</v>
      </c>
      <c r="C11382" t="s">
        <v>32</v>
      </c>
      <c r="D11382" t="s">
        <v>2588</v>
      </c>
      <c r="E11382" t="s">
        <v>2625</v>
      </c>
      <c r="F11382" t="s">
        <v>2626</v>
      </c>
      <c r="G11382" t="s">
        <v>2627</v>
      </c>
      <c r="H11382" t="s">
        <v>2628</v>
      </c>
      <c r="I11382" t="s">
        <v>2629</v>
      </c>
      <c r="J11382" t="s">
        <v>2597</v>
      </c>
      <c r="K11382" t="s">
        <v>2630</v>
      </c>
      <c r="L11382" t="s">
        <v>2631</v>
      </c>
      <c r="M11382" t="s">
        <v>2632</v>
      </c>
      <c r="N11382" t="s">
        <v>2633</v>
      </c>
      <c r="O11382" t="s">
        <v>2634</v>
      </c>
      <c r="P11382" t="s">
        <v>2635</v>
      </c>
      <c r="Q11382" t="s">
        <v>2636</v>
      </c>
      <c r="R11382" t="s">
        <v>2637</v>
      </c>
      <c r="S11382" t="s">
        <v>2638</v>
      </c>
      <c r="T11382" t="s">
        <v>2639</v>
      </c>
      <c r="U11382" t="s">
        <v>88</v>
      </c>
    </row>
    <row r="11383" spans="1:21" x14ac:dyDescent="0.3">
      <c r="A11383" t="s">
        <v>35</v>
      </c>
      <c r="B11383" t="s">
        <v>2620</v>
      </c>
      <c r="C11383">
        <v>121</v>
      </c>
      <c r="D11383" t="s">
        <v>1224</v>
      </c>
      <c r="E11383" t="s">
        <v>207</v>
      </c>
      <c r="F11383" t="s">
        <v>158</v>
      </c>
      <c r="G11383" t="s">
        <v>198</v>
      </c>
      <c r="H11383" t="s">
        <v>198</v>
      </c>
      <c r="I11383" t="s">
        <v>198</v>
      </c>
      <c r="J11383" t="s">
        <v>99</v>
      </c>
      <c r="K11383" t="s">
        <v>434</v>
      </c>
      <c r="L11383" t="s">
        <v>99</v>
      </c>
      <c r="M11383" t="s">
        <v>99</v>
      </c>
      <c r="N11383" t="s">
        <v>99</v>
      </c>
      <c r="O11383" t="s">
        <v>277</v>
      </c>
      <c r="P11383" t="s">
        <v>485</v>
      </c>
      <c r="Q11383" t="s">
        <v>99</v>
      </c>
      <c r="R11383" t="s">
        <v>112</v>
      </c>
      <c r="S11383" t="s">
        <v>115</v>
      </c>
      <c r="T11383" t="s">
        <v>990</v>
      </c>
      <c r="U11383" t="s">
        <v>434</v>
      </c>
    </row>
    <row r="11384" spans="1:21" x14ac:dyDescent="0.3">
      <c r="A11384" t="s">
        <v>35</v>
      </c>
      <c r="B11384" t="s">
        <v>2621</v>
      </c>
      <c r="C11384">
        <v>109</v>
      </c>
      <c r="D11384" t="s">
        <v>526</v>
      </c>
      <c r="E11384" t="s">
        <v>207</v>
      </c>
      <c r="F11384" t="s">
        <v>141</v>
      </c>
      <c r="G11384" t="s">
        <v>253</v>
      </c>
      <c r="H11384" t="s">
        <v>132</v>
      </c>
      <c r="I11384" t="s">
        <v>99</v>
      </c>
      <c r="J11384" t="s">
        <v>99</v>
      </c>
      <c r="K11384" t="s">
        <v>171</v>
      </c>
      <c r="L11384" t="s">
        <v>132</v>
      </c>
      <c r="M11384" t="s">
        <v>132</v>
      </c>
      <c r="N11384" t="s">
        <v>99</v>
      </c>
      <c r="O11384" t="s">
        <v>115</v>
      </c>
      <c r="P11384" t="s">
        <v>1045</v>
      </c>
      <c r="Q11384" t="s">
        <v>99</v>
      </c>
      <c r="R11384" t="s">
        <v>132</v>
      </c>
      <c r="S11384" t="s">
        <v>132</v>
      </c>
      <c r="T11384" t="s">
        <v>440</v>
      </c>
      <c r="U11384" t="s">
        <v>132</v>
      </c>
    </row>
    <row r="11385" spans="1:21" x14ac:dyDescent="0.3">
      <c r="A11385" t="s">
        <v>35</v>
      </c>
      <c r="B11385" t="s">
        <v>2622</v>
      </c>
      <c r="C11385">
        <v>69</v>
      </c>
      <c r="D11385" t="s">
        <v>1279</v>
      </c>
      <c r="E11385" t="s">
        <v>379</v>
      </c>
      <c r="F11385" t="s">
        <v>305</v>
      </c>
      <c r="G11385" t="s">
        <v>99</v>
      </c>
      <c r="H11385" t="s">
        <v>157</v>
      </c>
      <c r="I11385" t="s">
        <v>163</v>
      </c>
      <c r="J11385" t="s">
        <v>123</v>
      </c>
      <c r="K11385" t="s">
        <v>305</v>
      </c>
      <c r="L11385" t="s">
        <v>305</v>
      </c>
      <c r="M11385" t="s">
        <v>804</v>
      </c>
      <c r="N11385" t="s">
        <v>127</v>
      </c>
      <c r="O11385" t="s">
        <v>305</v>
      </c>
      <c r="P11385" t="s">
        <v>379</v>
      </c>
      <c r="Q11385" t="s">
        <v>99</v>
      </c>
      <c r="R11385" t="s">
        <v>379</v>
      </c>
      <c r="S11385" t="s">
        <v>99</v>
      </c>
      <c r="T11385" t="s">
        <v>305</v>
      </c>
      <c r="U11385" t="s">
        <v>99</v>
      </c>
    </row>
    <row r="11386" spans="1:21" x14ac:dyDescent="0.3">
      <c r="A11386" t="s">
        <v>35</v>
      </c>
      <c r="B11386" t="s">
        <v>2623</v>
      </c>
      <c r="C11386">
        <v>315</v>
      </c>
      <c r="D11386" t="s">
        <v>504</v>
      </c>
      <c r="E11386" t="s">
        <v>319</v>
      </c>
      <c r="F11386" t="s">
        <v>132</v>
      </c>
      <c r="G11386" t="s">
        <v>132</v>
      </c>
      <c r="H11386" t="s">
        <v>118</v>
      </c>
      <c r="I11386" t="s">
        <v>103</v>
      </c>
      <c r="J11386" t="s">
        <v>111</v>
      </c>
      <c r="K11386" t="s">
        <v>74</v>
      </c>
      <c r="L11386" t="s">
        <v>99</v>
      </c>
      <c r="M11386" t="s">
        <v>100</v>
      </c>
      <c r="N11386" t="s">
        <v>99</v>
      </c>
      <c r="O11386" t="s">
        <v>111</v>
      </c>
      <c r="P11386" t="s">
        <v>393</v>
      </c>
      <c r="Q11386" t="s">
        <v>99</v>
      </c>
      <c r="R11386" t="s">
        <v>115</v>
      </c>
      <c r="S11386" t="s">
        <v>132</v>
      </c>
      <c r="T11386" t="s">
        <v>129</v>
      </c>
      <c r="U11386" t="s">
        <v>292</v>
      </c>
    </row>
    <row r="11387" spans="1:21" x14ac:dyDescent="0.3">
      <c r="A11387" t="s">
        <v>37</v>
      </c>
      <c r="B11387" t="s">
        <v>2620</v>
      </c>
      <c r="C11387">
        <v>162</v>
      </c>
      <c r="D11387" t="s">
        <v>1476</v>
      </c>
      <c r="E11387" t="s">
        <v>316</v>
      </c>
      <c r="F11387" t="s">
        <v>412</v>
      </c>
      <c r="G11387" t="s">
        <v>157</v>
      </c>
      <c r="H11387" t="s">
        <v>382</v>
      </c>
      <c r="I11387" t="s">
        <v>155</v>
      </c>
      <c r="J11387" t="s">
        <v>111</v>
      </c>
      <c r="K11387" t="s">
        <v>99</v>
      </c>
      <c r="L11387" t="s">
        <v>115</v>
      </c>
      <c r="M11387" t="s">
        <v>99</v>
      </c>
      <c r="N11387" t="s">
        <v>99</v>
      </c>
      <c r="O11387" t="s">
        <v>319</v>
      </c>
      <c r="P11387" t="s">
        <v>74</v>
      </c>
      <c r="Q11387" t="s">
        <v>99</v>
      </c>
      <c r="R11387" t="s">
        <v>121</v>
      </c>
      <c r="S11387" t="s">
        <v>474</v>
      </c>
      <c r="T11387" t="s">
        <v>130</v>
      </c>
      <c r="U11387" t="s">
        <v>99</v>
      </c>
    </row>
    <row r="11388" spans="1:21" x14ac:dyDescent="0.3">
      <c r="A11388" t="s">
        <v>37</v>
      </c>
      <c r="B11388" t="s">
        <v>2621</v>
      </c>
      <c r="C11388">
        <v>139</v>
      </c>
      <c r="D11388" t="s">
        <v>978</v>
      </c>
      <c r="E11388" t="s">
        <v>121</v>
      </c>
      <c r="F11388" t="s">
        <v>319</v>
      </c>
      <c r="G11388" t="s">
        <v>253</v>
      </c>
      <c r="H11388" t="s">
        <v>99</v>
      </c>
      <c r="I11388" t="s">
        <v>99</v>
      </c>
      <c r="J11388" t="s">
        <v>151</v>
      </c>
      <c r="K11388" t="s">
        <v>99</v>
      </c>
      <c r="L11388" t="s">
        <v>108</v>
      </c>
      <c r="M11388" t="s">
        <v>99</v>
      </c>
      <c r="N11388" t="s">
        <v>99</v>
      </c>
      <c r="O11388" t="s">
        <v>136</v>
      </c>
      <c r="P11388" t="s">
        <v>123</v>
      </c>
      <c r="Q11388" t="s">
        <v>99</v>
      </c>
      <c r="R11388" t="s">
        <v>99</v>
      </c>
      <c r="S11388" t="s">
        <v>141</v>
      </c>
      <c r="T11388" t="s">
        <v>132</v>
      </c>
      <c r="U11388" t="s">
        <v>99</v>
      </c>
    </row>
    <row r="11389" spans="1:21" x14ac:dyDescent="0.3">
      <c r="A11389" t="s">
        <v>37</v>
      </c>
      <c r="B11389" t="s">
        <v>2622</v>
      </c>
      <c r="C11389">
        <v>128</v>
      </c>
      <c r="D11389" t="s">
        <v>252</v>
      </c>
      <c r="E11389" t="s">
        <v>115</v>
      </c>
      <c r="F11389" t="s">
        <v>101</v>
      </c>
      <c r="G11389" t="s">
        <v>136</v>
      </c>
      <c r="H11389" t="s">
        <v>319</v>
      </c>
      <c r="I11389" t="s">
        <v>136</v>
      </c>
      <c r="J11389" t="s">
        <v>99</v>
      </c>
      <c r="K11389" t="s">
        <v>99</v>
      </c>
      <c r="L11389" t="s">
        <v>99</v>
      </c>
      <c r="M11389" t="s">
        <v>115</v>
      </c>
      <c r="N11389" t="s">
        <v>99</v>
      </c>
      <c r="O11389" t="s">
        <v>136</v>
      </c>
      <c r="P11389" t="s">
        <v>332</v>
      </c>
      <c r="Q11389" t="s">
        <v>99</v>
      </c>
      <c r="R11389" t="s">
        <v>99</v>
      </c>
      <c r="S11389" t="s">
        <v>115</v>
      </c>
      <c r="T11389" t="s">
        <v>115</v>
      </c>
      <c r="U11389" t="s">
        <v>99</v>
      </c>
    </row>
    <row r="11390" spans="1:21" x14ac:dyDescent="0.3">
      <c r="A11390" t="s">
        <v>37</v>
      </c>
      <c r="B11390" t="s">
        <v>2623</v>
      </c>
      <c r="C11390">
        <v>461</v>
      </c>
      <c r="D11390" t="s">
        <v>439</v>
      </c>
      <c r="E11390" t="s">
        <v>474</v>
      </c>
      <c r="F11390" t="s">
        <v>663</v>
      </c>
      <c r="G11390" t="s">
        <v>105</v>
      </c>
      <c r="H11390" t="s">
        <v>253</v>
      </c>
      <c r="I11390" t="s">
        <v>207</v>
      </c>
      <c r="J11390" t="s">
        <v>123</v>
      </c>
      <c r="K11390" t="s">
        <v>136</v>
      </c>
      <c r="L11390" t="s">
        <v>99</v>
      </c>
      <c r="M11390" t="s">
        <v>99</v>
      </c>
      <c r="N11390" t="s">
        <v>100</v>
      </c>
      <c r="O11390" t="s">
        <v>132</v>
      </c>
      <c r="P11390" t="s">
        <v>147</v>
      </c>
      <c r="Q11390" t="s">
        <v>198</v>
      </c>
      <c r="R11390" t="s">
        <v>104</v>
      </c>
      <c r="S11390" t="s">
        <v>123</v>
      </c>
      <c r="T11390" t="s">
        <v>147</v>
      </c>
      <c r="U11390" t="s">
        <v>99</v>
      </c>
    </row>
    <row r="11391" spans="1:21" x14ac:dyDescent="0.3">
      <c r="A11391" t="s">
        <v>36</v>
      </c>
      <c r="B11391" t="s">
        <v>2620</v>
      </c>
      <c r="C11391">
        <v>88</v>
      </c>
      <c r="D11391" t="s">
        <v>968</v>
      </c>
      <c r="E11391" t="s">
        <v>130</v>
      </c>
      <c r="F11391" t="s">
        <v>220</v>
      </c>
      <c r="G11391" t="s">
        <v>101</v>
      </c>
      <c r="H11391" t="s">
        <v>136</v>
      </c>
      <c r="I11391" t="s">
        <v>253</v>
      </c>
      <c r="J11391" t="s">
        <v>99</v>
      </c>
      <c r="K11391" t="s">
        <v>99</v>
      </c>
      <c r="L11391" t="s">
        <v>99</v>
      </c>
      <c r="M11391" t="s">
        <v>130</v>
      </c>
      <c r="N11391" t="s">
        <v>130</v>
      </c>
      <c r="O11391" t="s">
        <v>112</v>
      </c>
      <c r="P11391" t="s">
        <v>121</v>
      </c>
      <c r="Q11391" t="s">
        <v>99</v>
      </c>
      <c r="R11391" t="s">
        <v>99</v>
      </c>
      <c r="S11391" t="s">
        <v>99</v>
      </c>
      <c r="T11391" t="s">
        <v>118</v>
      </c>
      <c r="U11391" t="s">
        <v>99</v>
      </c>
    </row>
    <row r="11392" spans="1:21" x14ac:dyDescent="0.3">
      <c r="A11392" t="s">
        <v>36</v>
      </c>
      <c r="B11392" t="s">
        <v>2621</v>
      </c>
      <c r="C11392">
        <v>76</v>
      </c>
      <c r="D11392" t="s">
        <v>1451</v>
      </c>
      <c r="E11392" t="s">
        <v>104</v>
      </c>
      <c r="F11392" t="s">
        <v>710</v>
      </c>
      <c r="G11392" t="s">
        <v>207</v>
      </c>
      <c r="H11392" t="s">
        <v>684</v>
      </c>
      <c r="I11392" t="s">
        <v>104</v>
      </c>
      <c r="J11392" t="s">
        <v>136</v>
      </c>
      <c r="K11392" t="s">
        <v>99</v>
      </c>
      <c r="L11392" t="s">
        <v>99</v>
      </c>
      <c r="M11392" t="s">
        <v>136</v>
      </c>
      <c r="N11392" t="s">
        <v>136</v>
      </c>
      <c r="O11392" t="s">
        <v>141</v>
      </c>
      <c r="P11392" t="s">
        <v>78</v>
      </c>
      <c r="Q11392" t="s">
        <v>99</v>
      </c>
      <c r="R11392" t="s">
        <v>215</v>
      </c>
      <c r="S11392" t="s">
        <v>136</v>
      </c>
      <c r="T11392" t="s">
        <v>332</v>
      </c>
      <c r="U11392" t="s">
        <v>99</v>
      </c>
    </row>
    <row r="11393" spans="1:21" x14ac:dyDescent="0.3">
      <c r="A11393" t="s">
        <v>36</v>
      </c>
      <c r="B11393" t="s">
        <v>2622</v>
      </c>
      <c r="C11393">
        <v>50</v>
      </c>
      <c r="D11393" t="s">
        <v>286</v>
      </c>
      <c r="E11393" t="s">
        <v>104</v>
      </c>
      <c r="F11393" t="s">
        <v>141</v>
      </c>
      <c r="G11393" t="s">
        <v>104</v>
      </c>
      <c r="H11393" t="s">
        <v>99</v>
      </c>
      <c r="I11393" t="s">
        <v>141</v>
      </c>
      <c r="J11393" t="s">
        <v>136</v>
      </c>
      <c r="K11393" t="s">
        <v>99</v>
      </c>
      <c r="L11393" t="s">
        <v>99</v>
      </c>
      <c r="M11393" t="s">
        <v>120</v>
      </c>
      <c r="N11393" t="s">
        <v>99</v>
      </c>
      <c r="O11393" t="s">
        <v>141</v>
      </c>
      <c r="P11393" t="s">
        <v>420</v>
      </c>
      <c r="Q11393" t="s">
        <v>99</v>
      </c>
      <c r="R11393" t="s">
        <v>99</v>
      </c>
      <c r="S11393" t="s">
        <v>99</v>
      </c>
      <c r="T11393" t="s">
        <v>99</v>
      </c>
      <c r="U11393" t="s">
        <v>99</v>
      </c>
    </row>
    <row r="11394" spans="1:21" x14ac:dyDescent="0.3">
      <c r="A11394" t="s">
        <v>36</v>
      </c>
      <c r="B11394" t="s">
        <v>2623</v>
      </c>
      <c r="C11394">
        <v>244</v>
      </c>
      <c r="D11394" t="s">
        <v>180</v>
      </c>
      <c r="E11394" t="s">
        <v>141</v>
      </c>
      <c r="F11394" t="s">
        <v>100</v>
      </c>
      <c r="G11394" t="s">
        <v>126</v>
      </c>
      <c r="H11394" t="s">
        <v>268</v>
      </c>
      <c r="I11394" t="s">
        <v>104</v>
      </c>
      <c r="J11394" t="s">
        <v>132</v>
      </c>
      <c r="K11394" t="s">
        <v>99</v>
      </c>
      <c r="L11394" t="s">
        <v>99</v>
      </c>
      <c r="M11394" t="s">
        <v>132</v>
      </c>
      <c r="N11394" t="s">
        <v>198</v>
      </c>
      <c r="O11394" t="s">
        <v>104</v>
      </c>
      <c r="P11394" t="s">
        <v>129</v>
      </c>
      <c r="Q11394" t="s">
        <v>99</v>
      </c>
      <c r="R11394" t="s">
        <v>104</v>
      </c>
      <c r="S11394" t="s">
        <v>115</v>
      </c>
      <c r="T11394" t="s">
        <v>104</v>
      </c>
      <c r="U11394" t="s">
        <v>104</v>
      </c>
    </row>
    <row r="11395" spans="1:21" x14ac:dyDescent="0.3">
      <c r="A11395" t="s">
        <v>34</v>
      </c>
      <c r="B11395" t="s">
        <v>2620</v>
      </c>
      <c r="C11395">
        <v>88</v>
      </c>
      <c r="D11395" t="s">
        <v>1707</v>
      </c>
      <c r="E11395" t="s">
        <v>99</v>
      </c>
      <c r="F11395" t="s">
        <v>99</v>
      </c>
      <c r="G11395" t="s">
        <v>99</v>
      </c>
      <c r="H11395" t="s">
        <v>120</v>
      </c>
      <c r="I11395" t="s">
        <v>99</v>
      </c>
      <c r="J11395" t="s">
        <v>127</v>
      </c>
      <c r="K11395" t="s">
        <v>99</v>
      </c>
      <c r="L11395" t="s">
        <v>99</v>
      </c>
      <c r="M11395" t="s">
        <v>242</v>
      </c>
      <c r="N11395" t="s">
        <v>99</v>
      </c>
      <c r="O11395" t="s">
        <v>99</v>
      </c>
      <c r="P11395" t="s">
        <v>99</v>
      </c>
      <c r="Q11395" t="s">
        <v>99</v>
      </c>
      <c r="R11395" t="s">
        <v>99</v>
      </c>
      <c r="S11395" t="s">
        <v>120</v>
      </c>
      <c r="T11395" t="s">
        <v>254</v>
      </c>
      <c r="U11395" t="s">
        <v>99</v>
      </c>
    </row>
    <row r="11396" spans="1:21" x14ac:dyDescent="0.3">
      <c r="A11396" t="s">
        <v>34</v>
      </c>
      <c r="B11396" t="s">
        <v>2621</v>
      </c>
      <c r="C11396">
        <v>91</v>
      </c>
      <c r="D11396" t="s">
        <v>448</v>
      </c>
      <c r="E11396" t="s">
        <v>147</v>
      </c>
      <c r="F11396" t="s">
        <v>99</v>
      </c>
      <c r="G11396" t="s">
        <v>99</v>
      </c>
      <c r="H11396" t="s">
        <v>684</v>
      </c>
      <c r="I11396" t="s">
        <v>100</v>
      </c>
      <c r="J11396" t="s">
        <v>99</v>
      </c>
      <c r="K11396" t="s">
        <v>99</v>
      </c>
      <c r="L11396" t="s">
        <v>115</v>
      </c>
      <c r="M11396" t="s">
        <v>138</v>
      </c>
      <c r="N11396" t="s">
        <v>99</v>
      </c>
      <c r="O11396" t="s">
        <v>99</v>
      </c>
      <c r="P11396" t="s">
        <v>147</v>
      </c>
      <c r="Q11396" t="s">
        <v>99</v>
      </c>
      <c r="R11396" t="s">
        <v>100</v>
      </c>
      <c r="S11396" t="s">
        <v>99</v>
      </c>
      <c r="T11396" t="s">
        <v>115</v>
      </c>
      <c r="U11396" t="s">
        <v>100</v>
      </c>
    </row>
    <row r="11397" spans="1:21" x14ac:dyDescent="0.3">
      <c r="A11397" t="s">
        <v>34</v>
      </c>
      <c r="B11397" t="s">
        <v>2622</v>
      </c>
      <c r="C11397">
        <v>53</v>
      </c>
      <c r="D11397" t="s">
        <v>1155</v>
      </c>
      <c r="E11397" t="s">
        <v>147</v>
      </c>
      <c r="F11397" t="s">
        <v>99</v>
      </c>
      <c r="G11397" t="s">
        <v>671</v>
      </c>
      <c r="H11397" t="s">
        <v>710</v>
      </c>
      <c r="I11397" t="s">
        <v>155</v>
      </c>
      <c r="J11397" t="s">
        <v>99</v>
      </c>
      <c r="K11397" t="s">
        <v>99</v>
      </c>
      <c r="L11397" t="s">
        <v>99</v>
      </c>
      <c r="M11397" t="s">
        <v>70</v>
      </c>
      <c r="N11397" t="s">
        <v>99</v>
      </c>
      <c r="O11397" t="s">
        <v>147</v>
      </c>
      <c r="P11397" t="s">
        <v>112</v>
      </c>
      <c r="Q11397" t="s">
        <v>99</v>
      </c>
      <c r="R11397" t="s">
        <v>99</v>
      </c>
      <c r="S11397" t="s">
        <v>70</v>
      </c>
      <c r="T11397" t="s">
        <v>112</v>
      </c>
      <c r="U11397" t="s">
        <v>99</v>
      </c>
    </row>
    <row r="11398" spans="1:21" x14ac:dyDescent="0.3">
      <c r="A11398" t="s">
        <v>34</v>
      </c>
      <c r="B11398" t="s">
        <v>2623</v>
      </c>
      <c r="C11398">
        <v>278</v>
      </c>
      <c r="D11398" t="s">
        <v>217</v>
      </c>
      <c r="E11398" t="s">
        <v>103</v>
      </c>
      <c r="F11398" t="s">
        <v>100</v>
      </c>
      <c r="G11398" t="s">
        <v>319</v>
      </c>
      <c r="H11398" t="s">
        <v>215</v>
      </c>
      <c r="I11398" t="s">
        <v>99</v>
      </c>
      <c r="J11398" t="s">
        <v>99</v>
      </c>
      <c r="K11398" t="s">
        <v>141</v>
      </c>
      <c r="L11398" t="s">
        <v>99</v>
      </c>
      <c r="M11398" t="s">
        <v>118</v>
      </c>
      <c r="N11398" t="s">
        <v>132</v>
      </c>
      <c r="O11398" t="s">
        <v>100</v>
      </c>
      <c r="P11398" t="s">
        <v>253</v>
      </c>
      <c r="Q11398" t="s">
        <v>99</v>
      </c>
      <c r="R11398" t="s">
        <v>151</v>
      </c>
      <c r="S11398" t="s">
        <v>382</v>
      </c>
      <c r="T11398" t="s">
        <v>130</v>
      </c>
      <c r="U11398" t="s">
        <v>132</v>
      </c>
    </row>
    <row r="11399" spans="1:21" x14ac:dyDescent="0.3">
      <c r="A11399" t="s">
        <v>33</v>
      </c>
      <c r="B11399" t="s">
        <v>2620</v>
      </c>
      <c r="C11399">
        <v>139</v>
      </c>
      <c r="D11399" t="s">
        <v>162</v>
      </c>
      <c r="E11399" t="s">
        <v>108</v>
      </c>
      <c r="F11399" t="s">
        <v>99</v>
      </c>
      <c r="G11399" t="s">
        <v>99</v>
      </c>
      <c r="H11399" t="s">
        <v>99</v>
      </c>
      <c r="I11399" t="s">
        <v>99</v>
      </c>
      <c r="J11399" t="s">
        <v>215</v>
      </c>
      <c r="K11399" t="s">
        <v>99</v>
      </c>
      <c r="L11399" t="s">
        <v>99</v>
      </c>
      <c r="M11399" t="s">
        <v>108</v>
      </c>
      <c r="N11399" t="s">
        <v>99</v>
      </c>
      <c r="O11399" t="s">
        <v>99</v>
      </c>
      <c r="P11399" t="s">
        <v>108</v>
      </c>
      <c r="Q11399" t="s">
        <v>99</v>
      </c>
      <c r="R11399" t="s">
        <v>99</v>
      </c>
      <c r="S11399" t="s">
        <v>132</v>
      </c>
      <c r="T11399" t="s">
        <v>114</v>
      </c>
      <c r="U11399" t="s">
        <v>99</v>
      </c>
    </row>
    <row r="11400" spans="1:21" x14ac:dyDescent="0.3">
      <c r="A11400" t="s">
        <v>33</v>
      </c>
      <c r="B11400" t="s">
        <v>2621</v>
      </c>
      <c r="C11400">
        <v>143</v>
      </c>
      <c r="D11400" t="s">
        <v>327</v>
      </c>
      <c r="E11400" t="s">
        <v>99</v>
      </c>
      <c r="F11400" t="s">
        <v>99</v>
      </c>
      <c r="G11400" t="s">
        <v>99</v>
      </c>
      <c r="H11400" t="s">
        <v>126</v>
      </c>
      <c r="I11400" t="s">
        <v>114</v>
      </c>
      <c r="J11400" t="s">
        <v>114</v>
      </c>
      <c r="K11400" t="s">
        <v>99</v>
      </c>
      <c r="L11400" t="s">
        <v>114</v>
      </c>
      <c r="M11400" t="s">
        <v>99</v>
      </c>
      <c r="N11400" t="s">
        <v>99</v>
      </c>
      <c r="O11400" t="s">
        <v>99</v>
      </c>
      <c r="P11400" t="s">
        <v>111</v>
      </c>
      <c r="Q11400" t="s">
        <v>99</v>
      </c>
      <c r="R11400" t="s">
        <v>99</v>
      </c>
      <c r="S11400" t="s">
        <v>141</v>
      </c>
      <c r="T11400" t="s">
        <v>115</v>
      </c>
      <c r="U11400" t="s">
        <v>115</v>
      </c>
    </row>
    <row r="11401" spans="1:21" x14ac:dyDescent="0.3">
      <c r="A11401" t="s">
        <v>33</v>
      </c>
      <c r="B11401" t="s">
        <v>2622</v>
      </c>
      <c r="C11401">
        <v>73</v>
      </c>
      <c r="D11401" t="s">
        <v>166</v>
      </c>
      <c r="E11401" t="s">
        <v>382</v>
      </c>
      <c r="F11401" t="s">
        <v>99</v>
      </c>
      <c r="G11401" t="s">
        <v>99</v>
      </c>
      <c r="H11401" t="s">
        <v>101</v>
      </c>
      <c r="I11401" t="s">
        <v>99</v>
      </c>
      <c r="J11401" t="s">
        <v>99</v>
      </c>
      <c r="K11401" t="s">
        <v>99</v>
      </c>
      <c r="L11401" t="s">
        <v>99</v>
      </c>
      <c r="M11401" t="s">
        <v>382</v>
      </c>
      <c r="N11401" t="s">
        <v>99</v>
      </c>
      <c r="O11401" t="s">
        <v>99</v>
      </c>
      <c r="P11401" t="s">
        <v>105</v>
      </c>
      <c r="Q11401" t="s">
        <v>99</v>
      </c>
      <c r="R11401" t="s">
        <v>112</v>
      </c>
      <c r="S11401" t="s">
        <v>99</v>
      </c>
      <c r="T11401" t="s">
        <v>123</v>
      </c>
      <c r="U11401" t="s">
        <v>99</v>
      </c>
    </row>
    <row r="11402" spans="1:21" x14ac:dyDescent="0.3">
      <c r="A11402" t="s">
        <v>33</v>
      </c>
      <c r="B11402" t="s">
        <v>2623</v>
      </c>
      <c r="C11402">
        <v>538</v>
      </c>
      <c r="D11402" t="s">
        <v>358</v>
      </c>
      <c r="E11402" t="s">
        <v>141</v>
      </c>
      <c r="F11402" t="s">
        <v>99</v>
      </c>
      <c r="G11402" t="s">
        <v>141</v>
      </c>
      <c r="H11402" t="s">
        <v>141</v>
      </c>
      <c r="I11402" t="s">
        <v>99</v>
      </c>
      <c r="J11402" t="s">
        <v>99</v>
      </c>
      <c r="K11402" t="s">
        <v>99</v>
      </c>
      <c r="L11402" t="s">
        <v>99</v>
      </c>
      <c r="M11402" t="s">
        <v>198</v>
      </c>
      <c r="N11402" t="s">
        <v>99</v>
      </c>
      <c r="O11402" t="s">
        <v>198</v>
      </c>
      <c r="P11402" t="s">
        <v>123</v>
      </c>
      <c r="Q11402" t="s">
        <v>99</v>
      </c>
      <c r="R11402" t="s">
        <v>99</v>
      </c>
      <c r="S11402" t="s">
        <v>136</v>
      </c>
      <c r="T11402" t="s">
        <v>382</v>
      </c>
      <c r="U11402" t="s">
        <v>198</v>
      </c>
    </row>
    <row r="11403" spans="1:21" x14ac:dyDescent="0.3">
      <c r="A11403" t="s">
        <v>49</v>
      </c>
      <c r="B11403" t="s">
        <v>2620</v>
      </c>
      <c r="C11403">
        <v>598</v>
      </c>
      <c r="D11403" t="s">
        <v>261</v>
      </c>
      <c r="E11403" t="s">
        <v>319</v>
      </c>
      <c r="F11403" t="s">
        <v>134</v>
      </c>
      <c r="G11403" t="s">
        <v>108</v>
      </c>
      <c r="H11403" t="s">
        <v>114</v>
      </c>
      <c r="I11403" t="s">
        <v>108</v>
      </c>
      <c r="J11403" t="s">
        <v>121</v>
      </c>
      <c r="K11403" t="s">
        <v>100</v>
      </c>
      <c r="L11403" t="s">
        <v>198</v>
      </c>
      <c r="M11403" t="s">
        <v>126</v>
      </c>
      <c r="N11403" t="s">
        <v>141</v>
      </c>
      <c r="O11403" t="s">
        <v>111</v>
      </c>
      <c r="P11403" t="s">
        <v>142</v>
      </c>
      <c r="Q11403" t="s">
        <v>99</v>
      </c>
      <c r="R11403" t="s">
        <v>319</v>
      </c>
      <c r="S11403" t="s">
        <v>123</v>
      </c>
      <c r="T11403" t="s">
        <v>184</v>
      </c>
      <c r="U11403" t="s">
        <v>100</v>
      </c>
    </row>
    <row r="11404" spans="1:21" x14ac:dyDescent="0.3">
      <c r="A11404" t="s">
        <v>49</v>
      </c>
      <c r="B11404" t="s">
        <v>2621</v>
      </c>
      <c r="C11404">
        <v>558</v>
      </c>
      <c r="D11404" t="s">
        <v>769</v>
      </c>
      <c r="E11404" t="s">
        <v>108</v>
      </c>
      <c r="F11404" t="s">
        <v>126</v>
      </c>
      <c r="G11404" t="s">
        <v>207</v>
      </c>
      <c r="H11404" t="s">
        <v>151</v>
      </c>
      <c r="I11404" t="s">
        <v>141</v>
      </c>
      <c r="J11404" t="s">
        <v>115</v>
      </c>
      <c r="K11404" t="s">
        <v>117</v>
      </c>
      <c r="L11404" t="s">
        <v>132</v>
      </c>
      <c r="M11404" t="s">
        <v>132</v>
      </c>
      <c r="N11404" t="s">
        <v>99</v>
      </c>
      <c r="O11404" t="s">
        <v>207</v>
      </c>
      <c r="P11404" t="s">
        <v>113</v>
      </c>
      <c r="Q11404" t="s">
        <v>99</v>
      </c>
      <c r="R11404" t="s">
        <v>253</v>
      </c>
      <c r="S11404" t="s">
        <v>141</v>
      </c>
      <c r="T11404" t="s">
        <v>68</v>
      </c>
      <c r="U11404" t="s">
        <v>253</v>
      </c>
    </row>
    <row r="11405" spans="1:21" x14ac:dyDescent="0.3">
      <c r="A11405" t="s">
        <v>49</v>
      </c>
      <c r="B11405" t="s">
        <v>2622</v>
      </c>
      <c r="C11405">
        <v>373</v>
      </c>
      <c r="D11405" t="s">
        <v>189</v>
      </c>
      <c r="E11405" t="s">
        <v>138</v>
      </c>
      <c r="F11405" t="s">
        <v>268</v>
      </c>
      <c r="G11405" t="s">
        <v>127</v>
      </c>
      <c r="H11405" t="s">
        <v>154</v>
      </c>
      <c r="I11405" t="s">
        <v>138</v>
      </c>
      <c r="J11405" t="s">
        <v>141</v>
      </c>
      <c r="K11405" t="s">
        <v>123</v>
      </c>
      <c r="L11405" t="s">
        <v>123</v>
      </c>
      <c r="M11405" t="s">
        <v>712</v>
      </c>
      <c r="N11405" t="s">
        <v>136</v>
      </c>
      <c r="O11405" t="s">
        <v>316</v>
      </c>
      <c r="P11405" t="s">
        <v>468</v>
      </c>
      <c r="Q11405" t="s">
        <v>99</v>
      </c>
      <c r="R11405" t="s">
        <v>105</v>
      </c>
      <c r="S11405" t="s">
        <v>382</v>
      </c>
      <c r="T11405" t="s">
        <v>138</v>
      </c>
      <c r="U11405" t="s">
        <v>99</v>
      </c>
    </row>
    <row r="11406" spans="1:21" x14ac:dyDescent="0.3">
      <c r="A11406" t="s">
        <v>49</v>
      </c>
      <c r="B11406" t="s">
        <v>2623</v>
      </c>
      <c r="C11406">
        <v>1836</v>
      </c>
      <c r="D11406" t="s">
        <v>176</v>
      </c>
      <c r="E11406" t="s">
        <v>151</v>
      </c>
      <c r="F11406" t="s">
        <v>151</v>
      </c>
      <c r="G11406" t="s">
        <v>126</v>
      </c>
      <c r="H11406" t="s">
        <v>382</v>
      </c>
      <c r="I11406" t="s">
        <v>253</v>
      </c>
      <c r="J11406" t="s">
        <v>108</v>
      </c>
      <c r="K11406" t="s">
        <v>319</v>
      </c>
      <c r="L11406" t="s">
        <v>99</v>
      </c>
      <c r="M11406" t="s">
        <v>100</v>
      </c>
      <c r="N11406" t="s">
        <v>141</v>
      </c>
      <c r="O11406" t="s">
        <v>108</v>
      </c>
      <c r="P11406" t="s">
        <v>68</v>
      </c>
      <c r="Q11406" t="s">
        <v>99</v>
      </c>
      <c r="R11406" t="s">
        <v>253</v>
      </c>
      <c r="S11406" t="s">
        <v>100</v>
      </c>
      <c r="T11406" t="s">
        <v>120</v>
      </c>
      <c r="U11406" t="s">
        <v>253</v>
      </c>
    </row>
    <row r="11408" spans="1:21" x14ac:dyDescent="0.3">
      <c r="A11408" t="s">
        <v>2646</v>
      </c>
    </row>
    <row r="11409" spans="1:32" x14ac:dyDescent="0.3">
      <c r="A11409" t="s">
        <v>44</v>
      </c>
      <c r="B11409" t="s">
        <v>32</v>
      </c>
      <c r="C11409" t="s">
        <v>2647</v>
      </c>
      <c r="D11409" t="s">
        <v>2648</v>
      </c>
      <c r="E11409" t="s">
        <v>2649</v>
      </c>
      <c r="F11409" t="s">
        <v>2650</v>
      </c>
      <c r="G11409" t="s">
        <v>2651</v>
      </c>
      <c r="H11409" t="s">
        <v>2652</v>
      </c>
      <c r="I11409" t="s">
        <v>2653</v>
      </c>
      <c r="J11409" t="s">
        <v>2654</v>
      </c>
      <c r="K11409" t="s">
        <v>2655</v>
      </c>
      <c r="L11409" t="s">
        <v>2656</v>
      </c>
      <c r="M11409" t="s">
        <v>2657</v>
      </c>
      <c r="N11409" t="s">
        <v>2658</v>
      </c>
      <c r="O11409" t="s">
        <v>2659</v>
      </c>
      <c r="P11409" t="s">
        <v>2660</v>
      </c>
      <c r="Q11409" t="s">
        <v>2661</v>
      </c>
      <c r="R11409" t="s">
        <v>2662</v>
      </c>
      <c r="S11409" t="s">
        <v>2663</v>
      </c>
      <c r="T11409" t="s">
        <v>2664</v>
      </c>
      <c r="U11409" t="s">
        <v>2665</v>
      </c>
      <c r="V11409" t="s">
        <v>2666</v>
      </c>
      <c r="W11409" t="s">
        <v>2667</v>
      </c>
      <c r="X11409" t="s">
        <v>2668</v>
      </c>
      <c r="Y11409" t="s">
        <v>2669</v>
      </c>
      <c r="Z11409" t="s">
        <v>2670</v>
      </c>
      <c r="AA11409" t="s">
        <v>2671</v>
      </c>
      <c r="AB11409" t="s">
        <v>88</v>
      </c>
      <c r="AC11409" t="s">
        <v>83</v>
      </c>
      <c r="AD11409" t="s">
        <v>193</v>
      </c>
      <c r="AE11409" t="s">
        <v>1323</v>
      </c>
    </row>
    <row r="11410" spans="1:32" x14ac:dyDescent="0.3">
      <c r="A11410" t="s">
        <v>35</v>
      </c>
      <c r="B11410">
        <v>3140</v>
      </c>
      <c r="C11410" t="s">
        <v>701</v>
      </c>
      <c r="D11410" t="s">
        <v>831</v>
      </c>
      <c r="E11410" t="s">
        <v>474</v>
      </c>
      <c r="F11410" t="s">
        <v>157</v>
      </c>
      <c r="G11410" t="s">
        <v>138</v>
      </c>
      <c r="H11410" t="s">
        <v>675</v>
      </c>
      <c r="I11410" t="s">
        <v>920</v>
      </c>
      <c r="J11410" t="s">
        <v>963</v>
      </c>
      <c r="K11410" t="s">
        <v>672</v>
      </c>
      <c r="L11410" t="s">
        <v>120</v>
      </c>
      <c r="M11410" t="s">
        <v>126</v>
      </c>
      <c r="N11410" t="s">
        <v>420</v>
      </c>
      <c r="O11410" t="s">
        <v>117</v>
      </c>
      <c r="P11410" t="s">
        <v>179</v>
      </c>
      <c r="Q11410" t="s">
        <v>708</v>
      </c>
      <c r="R11410" t="s">
        <v>328</v>
      </c>
      <c r="S11410" t="s">
        <v>107</v>
      </c>
      <c r="T11410" t="s">
        <v>100</v>
      </c>
      <c r="U11410" t="s">
        <v>99</v>
      </c>
      <c r="V11410" t="s">
        <v>128</v>
      </c>
      <c r="W11410" t="s">
        <v>115</v>
      </c>
      <c r="X11410" t="s">
        <v>126</v>
      </c>
      <c r="Y11410" t="s">
        <v>215</v>
      </c>
      <c r="Z11410" t="s">
        <v>198</v>
      </c>
      <c r="AA11410" t="s">
        <v>104</v>
      </c>
      <c r="AB11410" t="s">
        <v>141</v>
      </c>
      <c r="AC11410" t="s">
        <v>292</v>
      </c>
      <c r="AD11410" t="s">
        <v>253</v>
      </c>
      <c r="AE11410" t="s">
        <v>702</v>
      </c>
    </row>
    <row r="11411" spans="1:32" x14ac:dyDescent="0.3">
      <c r="A11411" t="s">
        <v>37</v>
      </c>
      <c r="B11411">
        <v>3852</v>
      </c>
      <c r="C11411" t="s">
        <v>152</v>
      </c>
      <c r="D11411" t="s">
        <v>429</v>
      </c>
      <c r="E11411" t="s">
        <v>138</v>
      </c>
      <c r="F11411" t="s">
        <v>127</v>
      </c>
      <c r="G11411" t="s">
        <v>123</v>
      </c>
      <c r="H11411" t="s">
        <v>139</v>
      </c>
      <c r="I11411" t="s">
        <v>540</v>
      </c>
      <c r="J11411" t="s">
        <v>1115</v>
      </c>
      <c r="K11411" t="s">
        <v>315</v>
      </c>
      <c r="L11411" t="s">
        <v>110</v>
      </c>
      <c r="M11411" t="s">
        <v>127</v>
      </c>
      <c r="N11411" t="s">
        <v>299</v>
      </c>
      <c r="O11411" t="s">
        <v>316</v>
      </c>
      <c r="P11411" t="s">
        <v>807</v>
      </c>
      <c r="Q11411" t="s">
        <v>255</v>
      </c>
      <c r="R11411" t="s">
        <v>157</v>
      </c>
      <c r="S11411" t="s">
        <v>120</v>
      </c>
      <c r="T11411" t="s">
        <v>123</v>
      </c>
      <c r="U11411" t="s">
        <v>198</v>
      </c>
      <c r="V11411" t="s">
        <v>242</v>
      </c>
      <c r="W11411" t="s">
        <v>101</v>
      </c>
      <c r="X11411" t="s">
        <v>117</v>
      </c>
      <c r="Y11411" t="s">
        <v>126</v>
      </c>
      <c r="Z11411" t="s">
        <v>198</v>
      </c>
      <c r="AA11411" t="s">
        <v>99</v>
      </c>
      <c r="AB11411" t="s">
        <v>104</v>
      </c>
      <c r="AC11411" t="s">
        <v>128</v>
      </c>
      <c r="AD11411" t="s">
        <v>115</v>
      </c>
      <c r="AE11411" t="s">
        <v>148</v>
      </c>
    </row>
    <row r="11412" spans="1:32" x14ac:dyDescent="0.3">
      <c r="A11412" t="s">
        <v>36</v>
      </c>
      <c r="B11412">
        <v>2302</v>
      </c>
      <c r="C11412" t="s">
        <v>373</v>
      </c>
      <c r="D11412" t="s">
        <v>937</v>
      </c>
      <c r="E11412" t="s">
        <v>663</v>
      </c>
      <c r="F11412" t="s">
        <v>74</v>
      </c>
      <c r="G11412" t="s">
        <v>434</v>
      </c>
      <c r="H11412" t="s">
        <v>746</v>
      </c>
      <c r="I11412" t="s">
        <v>451</v>
      </c>
      <c r="J11412" t="s">
        <v>62</v>
      </c>
      <c r="K11412" t="s">
        <v>186</v>
      </c>
      <c r="L11412" t="s">
        <v>325</v>
      </c>
      <c r="M11412" t="s">
        <v>121</v>
      </c>
      <c r="N11412" t="s">
        <v>470</v>
      </c>
      <c r="O11412" t="s">
        <v>105</v>
      </c>
      <c r="P11412" t="s">
        <v>933</v>
      </c>
      <c r="Q11412" t="s">
        <v>440</v>
      </c>
      <c r="R11412" t="s">
        <v>305</v>
      </c>
      <c r="S11412" t="s">
        <v>110</v>
      </c>
      <c r="T11412" t="s">
        <v>100</v>
      </c>
      <c r="U11412" t="s">
        <v>99</v>
      </c>
      <c r="V11412" t="s">
        <v>215</v>
      </c>
      <c r="W11412" t="s">
        <v>108</v>
      </c>
      <c r="X11412" t="s">
        <v>101</v>
      </c>
      <c r="Y11412" t="s">
        <v>319</v>
      </c>
      <c r="Z11412" t="s">
        <v>141</v>
      </c>
      <c r="AA11412" t="s">
        <v>99</v>
      </c>
      <c r="AB11412" t="s">
        <v>121</v>
      </c>
      <c r="AC11412" t="s">
        <v>100</v>
      </c>
      <c r="AD11412" t="s">
        <v>115</v>
      </c>
      <c r="AE11412" t="s">
        <v>687</v>
      </c>
    </row>
    <row r="11413" spans="1:32" x14ac:dyDescent="0.3">
      <c r="A11413" t="s">
        <v>34</v>
      </c>
      <c r="B11413">
        <v>2074</v>
      </c>
      <c r="C11413" t="s">
        <v>264</v>
      </c>
      <c r="D11413" t="s">
        <v>699</v>
      </c>
      <c r="E11413" t="s">
        <v>120</v>
      </c>
      <c r="F11413" t="s">
        <v>268</v>
      </c>
      <c r="G11413" t="s">
        <v>105</v>
      </c>
      <c r="H11413" t="s">
        <v>708</v>
      </c>
      <c r="I11413" t="s">
        <v>432</v>
      </c>
      <c r="J11413" t="s">
        <v>116</v>
      </c>
      <c r="K11413" t="s">
        <v>678</v>
      </c>
      <c r="L11413" t="s">
        <v>103</v>
      </c>
      <c r="M11413" t="s">
        <v>382</v>
      </c>
      <c r="N11413" t="s">
        <v>287</v>
      </c>
      <c r="O11413" t="s">
        <v>150</v>
      </c>
      <c r="P11413" t="s">
        <v>482</v>
      </c>
      <c r="Q11413" t="s">
        <v>218</v>
      </c>
      <c r="R11413" t="s">
        <v>357</v>
      </c>
      <c r="S11413" t="s">
        <v>157</v>
      </c>
      <c r="T11413" t="s">
        <v>121</v>
      </c>
      <c r="U11413" t="s">
        <v>104</v>
      </c>
      <c r="V11413" t="s">
        <v>316</v>
      </c>
      <c r="W11413" t="s">
        <v>114</v>
      </c>
      <c r="X11413" t="s">
        <v>108</v>
      </c>
      <c r="Y11413" t="s">
        <v>114</v>
      </c>
      <c r="Z11413" t="s">
        <v>136</v>
      </c>
      <c r="AA11413" t="s">
        <v>132</v>
      </c>
      <c r="AB11413" t="s">
        <v>382</v>
      </c>
      <c r="AC11413" t="s">
        <v>319</v>
      </c>
      <c r="AD11413" t="s">
        <v>207</v>
      </c>
      <c r="AE11413" t="s">
        <v>894</v>
      </c>
    </row>
    <row r="11414" spans="1:32" x14ac:dyDescent="0.3">
      <c r="A11414" t="s">
        <v>33</v>
      </c>
      <c r="B11414">
        <v>1930</v>
      </c>
      <c r="C11414" t="s">
        <v>248</v>
      </c>
      <c r="D11414" t="s">
        <v>833</v>
      </c>
      <c r="E11414" t="s">
        <v>117</v>
      </c>
      <c r="F11414" t="s">
        <v>147</v>
      </c>
      <c r="G11414" t="s">
        <v>121</v>
      </c>
      <c r="H11414" t="s">
        <v>74</v>
      </c>
      <c r="I11414" t="s">
        <v>60</v>
      </c>
      <c r="J11414" t="s">
        <v>1252</v>
      </c>
      <c r="K11414" t="s">
        <v>248</v>
      </c>
      <c r="L11414" t="s">
        <v>124</v>
      </c>
      <c r="M11414" t="s">
        <v>319</v>
      </c>
      <c r="N11414" t="s">
        <v>135</v>
      </c>
      <c r="O11414" t="s">
        <v>121</v>
      </c>
      <c r="P11414" t="s">
        <v>440</v>
      </c>
      <c r="Q11414" t="s">
        <v>461</v>
      </c>
      <c r="R11414" t="s">
        <v>128</v>
      </c>
      <c r="S11414" t="s">
        <v>149</v>
      </c>
      <c r="T11414" t="s">
        <v>115</v>
      </c>
      <c r="U11414" t="s">
        <v>99</v>
      </c>
      <c r="V11414" t="s">
        <v>107</v>
      </c>
      <c r="W11414" t="s">
        <v>136</v>
      </c>
      <c r="X11414" t="s">
        <v>132</v>
      </c>
      <c r="Y11414" t="s">
        <v>136</v>
      </c>
      <c r="Z11414" t="s">
        <v>132</v>
      </c>
      <c r="AA11414" t="s">
        <v>136</v>
      </c>
      <c r="AB11414" t="s">
        <v>207</v>
      </c>
      <c r="AC11414" t="s">
        <v>292</v>
      </c>
      <c r="AD11414" t="s">
        <v>115</v>
      </c>
      <c r="AE11414" t="s">
        <v>719</v>
      </c>
    </row>
    <row r="11415" spans="1:32" x14ac:dyDescent="0.3">
      <c r="A11415" t="s">
        <v>49</v>
      </c>
      <c r="B11415">
        <v>13298</v>
      </c>
      <c r="C11415" t="s">
        <v>179</v>
      </c>
      <c r="D11415" t="s">
        <v>967</v>
      </c>
      <c r="E11415" t="s">
        <v>134</v>
      </c>
      <c r="F11415" t="s">
        <v>120</v>
      </c>
      <c r="G11415" t="s">
        <v>316</v>
      </c>
      <c r="H11415" t="s">
        <v>70</v>
      </c>
      <c r="I11415" t="s">
        <v>488</v>
      </c>
      <c r="J11415" t="s">
        <v>707</v>
      </c>
      <c r="K11415" t="s">
        <v>721</v>
      </c>
      <c r="L11415" t="s">
        <v>134</v>
      </c>
      <c r="M11415" t="s">
        <v>126</v>
      </c>
      <c r="N11415" t="s">
        <v>72</v>
      </c>
      <c r="O11415" t="s">
        <v>105</v>
      </c>
      <c r="P11415" t="s">
        <v>393</v>
      </c>
      <c r="Q11415" t="s">
        <v>746</v>
      </c>
      <c r="R11415" t="s">
        <v>109</v>
      </c>
      <c r="S11415" t="s">
        <v>138</v>
      </c>
      <c r="T11415" t="s">
        <v>101</v>
      </c>
      <c r="U11415" t="s">
        <v>104</v>
      </c>
      <c r="V11415" t="s">
        <v>138</v>
      </c>
      <c r="W11415" t="s">
        <v>108</v>
      </c>
      <c r="X11415" t="s">
        <v>126</v>
      </c>
      <c r="Y11415" t="s">
        <v>101</v>
      </c>
      <c r="Z11415" t="s">
        <v>136</v>
      </c>
      <c r="AA11415" t="s">
        <v>198</v>
      </c>
      <c r="AB11415" t="s">
        <v>253</v>
      </c>
      <c r="AC11415" t="s">
        <v>151</v>
      </c>
      <c r="AD11415" t="s">
        <v>253</v>
      </c>
      <c r="AE11415" t="s">
        <v>724</v>
      </c>
    </row>
    <row r="11417" spans="1:32" x14ac:dyDescent="0.3">
      <c r="A11417" t="s">
        <v>2672</v>
      </c>
    </row>
    <row r="11418" spans="1:32" x14ac:dyDescent="0.3">
      <c r="A11418" t="s">
        <v>44</v>
      </c>
      <c r="B11418" t="s">
        <v>361</v>
      </c>
      <c r="C11418" t="s">
        <v>32</v>
      </c>
      <c r="D11418" t="s">
        <v>2647</v>
      </c>
      <c r="E11418" t="s">
        <v>2648</v>
      </c>
      <c r="F11418" t="s">
        <v>2649</v>
      </c>
      <c r="G11418" t="s">
        <v>2650</v>
      </c>
      <c r="H11418" t="s">
        <v>2651</v>
      </c>
      <c r="I11418" t="s">
        <v>2652</v>
      </c>
      <c r="J11418" t="s">
        <v>2653</v>
      </c>
      <c r="K11418" t="s">
        <v>2654</v>
      </c>
      <c r="L11418" t="s">
        <v>2655</v>
      </c>
      <c r="M11418" t="s">
        <v>2656</v>
      </c>
      <c r="N11418" t="s">
        <v>2657</v>
      </c>
      <c r="O11418" t="s">
        <v>2658</v>
      </c>
      <c r="P11418" t="s">
        <v>2659</v>
      </c>
      <c r="Q11418" t="s">
        <v>2660</v>
      </c>
      <c r="R11418" t="s">
        <v>2661</v>
      </c>
      <c r="S11418" t="s">
        <v>2662</v>
      </c>
      <c r="T11418" t="s">
        <v>2663</v>
      </c>
      <c r="U11418" t="s">
        <v>2664</v>
      </c>
      <c r="V11418" t="s">
        <v>2665</v>
      </c>
      <c r="W11418" t="s">
        <v>2666</v>
      </c>
      <c r="X11418" t="s">
        <v>2667</v>
      </c>
      <c r="Y11418" t="s">
        <v>2668</v>
      </c>
      <c r="Z11418" t="s">
        <v>2669</v>
      </c>
      <c r="AA11418" t="s">
        <v>2670</v>
      </c>
      <c r="AB11418" t="s">
        <v>2671</v>
      </c>
      <c r="AC11418" t="s">
        <v>88</v>
      </c>
      <c r="AD11418" t="s">
        <v>83</v>
      </c>
      <c r="AE11418" t="s">
        <v>193</v>
      </c>
      <c r="AF11418" t="s">
        <v>1323</v>
      </c>
    </row>
    <row r="11419" spans="1:32" x14ac:dyDescent="0.3">
      <c r="A11419" t="s">
        <v>35</v>
      </c>
      <c r="B11419" t="s">
        <v>339</v>
      </c>
      <c r="C11419">
        <v>890</v>
      </c>
      <c r="D11419" t="s">
        <v>672</v>
      </c>
      <c r="E11419" t="s">
        <v>942</v>
      </c>
      <c r="F11419" t="s">
        <v>128</v>
      </c>
      <c r="G11419" t="s">
        <v>123</v>
      </c>
      <c r="H11419" t="s">
        <v>107</v>
      </c>
      <c r="I11419" t="s">
        <v>248</v>
      </c>
      <c r="J11419" t="s">
        <v>1043</v>
      </c>
      <c r="K11419" t="s">
        <v>1169</v>
      </c>
      <c r="L11419" t="s">
        <v>501</v>
      </c>
      <c r="M11419" t="s">
        <v>129</v>
      </c>
      <c r="N11419" t="s">
        <v>103</v>
      </c>
      <c r="O11419" t="s">
        <v>405</v>
      </c>
      <c r="P11419" t="s">
        <v>111</v>
      </c>
      <c r="Q11419" t="s">
        <v>264</v>
      </c>
      <c r="R11419" t="s">
        <v>746</v>
      </c>
      <c r="S11419" t="s">
        <v>363</v>
      </c>
      <c r="T11419" t="s">
        <v>215</v>
      </c>
      <c r="U11419" t="s">
        <v>121</v>
      </c>
      <c r="V11419" t="s">
        <v>99</v>
      </c>
      <c r="W11419" t="s">
        <v>474</v>
      </c>
      <c r="X11419" t="s">
        <v>268</v>
      </c>
      <c r="Y11419" t="s">
        <v>242</v>
      </c>
      <c r="Z11419" t="s">
        <v>114</v>
      </c>
      <c r="AA11419" t="s">
        <v>104</v>
      </c>
      <c r="AB11419" t="s">
        <v>104</v>
      </c>
      <c r="AC11419" t="s">
        <v>198</v>
      </c>
      <c r="AD11419" t="s">
        <v>319</v>
      </c>
      <c r="AE11419" t="s">
        <v>132</v>
      </c>
      <c r="AF11419" t="s">
        <v>171</v>
      </c>
    </row>
    <row r="11420" spans="1:32" x14ac:dyDescent="0.3">
      <c r="A11420" t="s">
        <v>35</v>
      </c>
      <c r="B11420" t="s">
        <v>340</v>
      </c>
      <c r="C11420">
        <v>2210</v>
      </c>
      <c r="D11420" t="s">
        <v>186</v>
      </c>
      <c r="E11420" t="s">
        <v>604</v>
      </c>
      <c r="F11420" t="s">
        <v>277</v>
      </c>
      <c r="G11420" t="s">
        <v>154</v>
      </c>
      <c r="H11420" t="s">
        <v>155</v>
      </c>
      <c r="I11420" t="s">
        <v>144</v>
      </c>
      <c r="J11420" t="s">
        <v>307</v>
      </c>
      <c r="K11420" t="s">
        <v>153</v>
      </c>
      <c r="L11420" t="s">
        <v>206</v>
      </c>
      <c r="M11420" t="s">
        <v>268</v>
      </c>
      <c r="N11420" t="s">
        <v>100</v>
      </c>
      <c r="O11420" t="s">
        <v>248</v>
      </c>
      <c r="P11420" t="s">
        <v>103</v>
      </c>
      <c r="Q11420" t="s">
        <v>287</v>
      </c>
      <c r="R11420" t="s">
        <v>737</v>
      </c>
      <c r="S11420" t="s">
        <v>149</v>
      </c>
      <c r="T11420" t="s">
        <v>154</v>
      </c>
      <c r="U11420" t="s">
        <v>100</v>
      </c>
      <c r="V11420" t="s">
        <v>99</v>
      </c>
      <c r="W11420" t="s">
        <v>292</v>
      </c>
      <c r="X11420" t="s">
        <v>99</v>
      </c>
      <c r="Y11420" t="s">
        <v>104</v>
      </c>
      <c r="Z11420" t="s">
        <v>151</v>
      </c>
      <c r="AA11420" t="s">
        <v>207</v>
      </c>
      <c r="AB11420" t="s">
        <v>104</v>
      </c>
      <c r="AC11420" t="s">
        <v>253</v>
      </c>
      <c r="AD11420" t="s">
        <v>292</v>
      </c>
      <c r="AE11420" t="s">
        <v>141</v>
      </c>
      <c r="AF11420" t="s">
        <v>342</v>
      </c>
    </row>
    <row r="11421" spans="1:32" x14ac:dyDescent="0.3">
      <c r="A11421" t="s">
        <v>35</v>
      </c>
      <c r="B11421" t="s">
        <v>365</v>
      </c>
      <c r="C11421">
        <v>40</v>
      </c>
      <c r="D11421" t="s">
        <v>98</v>
      </c>
      <c r="E11421" t="s">
        <v>2132</v>
      </c>
      <c r="F11421" t="s">
        <v>68</v>
      </c>
      <c r="G11421" t="s">
        <v>434</v>
      </c>
      <c r="H11421" t="s">
        <v>117</v>
      </c>
      <c r="I11421" t="s">
        <v>117</v>
      </c>
      <c r="J11421" t="s">
        <v>508</v>
      </c>
      <c r="K11421" t="s">
        <v>803</v>
      </c>
      <c r="L11421" t="s">
        <v>165</v>
      </c>
      <c r="M11421" t="s">
        <v>136</v>
      </c>
      <c r="N11421" t="s">
        <v>99</v>
      </c>
      <c r="O11421" t="s">
        <v>298</v>
      </c>
      <c r="P11421" t="s">
        <v>99</v>
      </c>
      <c r="Q11421" t="s">
        <v>38</v>
      </c>
      <c r="R11421" t="s">
        <v>68</v>
      </c>
      <c r="S11421" t="s">
        <v>105</v>
      </c>
      <c r="T11421" t="s">
        <v>434</v>
      </c>
      <c r="U11421" t="s">
        <v>99</v>
      </c>
      <c r="V11421" t="s">
        <v>99</v>
      </c>
      <c r="W11421" t="s">
        <v>99</v>
      </c>
      <c r="X11421" t="s">
        <v>99</v>
      </c>
      <c r="Y11421" t="s">
        <v>99</v>
      </c>
      <c r="Z11421" t="s">
        <v>332</v>
      </c>
      <c r="AA11421" t="s">
        <v>99</v>
      </c>
      <c r="AB11421" t="s">
        <v>99</v>
      </c>
      <c r="AC11421" t="s">
        <v>99</v>
      </c>
      <c r="AD11421" t="s">
        <v>373</v>
      </c>
      <c r="AE11421" t="s">
        <v>99</v>
      </c>
      <c r="AF11421" t="s">
        <v>508</v>
      </c>
    </row>
    <row r="11422" spans="1:32" x14ac:dyDescent="0.3">
      <c r="A11422" t="s">
        <v>37</v>
      </c>
      <c r="B11422" t="s">
        <v>339</v>
      </c>
      <c r="C11422">
        <v>1093</v>
      </c>
      <c r="D11422" t="s">
        <v>248</v>
      </c>
      <c r="E11422" t="s">
        <v>934</v>
      </c>
      <c r="F11422" t="s">
        <v>382</v>
      </c>
      <c r="G11422" t="s">
        <v>100</v>
      </c>
      <c r="H11422" t="s">
        <v>253</v>
      </c>
      <c r="I11422" t="s">
        <v>160</v>
      </c>
      <c r="J11422" t="s">
        <v>1252</v>
      </c>
      <c r="K11422" t="s">
        <v>958</v>
      </c>
      <c r="L11422" t="s">
        <v>694</v>
      </c>
      <c r="M11422" t="s">
        <v>204</v>
      </c>
      <c r="N11422" t="s">
        <v>111</v>
      </c>
      <c r="O11422" t="s">
        <v>722</v>
      </c>
      <c r="P11422" t="s">
        <v>138</v>
      </c>
      <c r="Q11422" t="s">
        <v>868</v>
      </c>
      <c r="R11422" t="s">
        <v>718</v>
      </c>
      <c r="S11422" t="s">
        <v>158</v>
      </c>
      <c r="T11422" t="s">
        <v>132</v>
      </c>
      <c r="U11422" t="s">
        <v>382</v>
      </c>
      <c r="V11422" t="s">
        <v>99</v>
      </c>
      <c r="W11422" t="s">
        <v>139</v>
      </c>
      <c r="X11422" t="s">
        <v>112</v>
      </c>
      <c r="Y11422" t="s">
        <v>325</v>
      </c>
      <c r="Z11422" t="s">
        <v>114</v>
      </c>
      <c r="AA11422" t="s">
        <v>104</v>
      </c>
      <c r="AB11422" t="s">
        <v>104</v>
      </c>
      <c r="AC11422" t="s">
        <v>198</v>
      </c>
      <c r="AD11422" t="s">
        <v>215</v>
      </c>
      <c r="AE11422" t="s">
        <v>136</v>
      </c>
      <c r="AF11422" t="s">
        <v>444</v>
      </c>
    </row>
    <row r="11423" spans="1:32" x14ac:dyDescent="0.3">
      <c r="A11423" t="s">
        <v>37</v>
      </c>
      <c r="B11423" t="s">
        <v>340</v>
      </c>
      <c r="C11423">
        <v>2718</v>
      </c>
      <c r="D11423" t="s">
        <v>663</v>
      </c>
      <c r="E11423" t="s">
        <v>347</v>
      </c>
      <c r="F11423" t="s">
        <v>110</v>
      </c>
      <c r="G11423" t="s">
        <v>151</v>
      </c>
      <c r="H11423" t="s">
        <v>117</v>
      </c>
      <c r="I11423" t="s">
        <v>155</v>
      </c>
      <c r="J11423" t="s">
        <v>686</v>
      </c>
      <c r="K11423" t="s">
        <v>715</v>
      </c>
      <c r="L11423" t="s">
        <v>470</v>
      </c>
      <c r="M11423" t="s">
        <v>107</v>
      </c>
      <c r="N11423" t="s">
        <v>382</v>
      </c>
      <c r="O11423" t="s">
        <v>70</v>
      </c>
      <c r="P11423" t="s">
        <v>117</v>
      </c>
      <c r="Q11423" t="s">
        <v>38</v>
      </c>
      <c r="R11423" t="s">
        <v>264</v>
      </c>
      <c r="S11423" t="s">
        <v>111</v>
      </c>
      <c r="T11423" t="s">
        <v>154</v>
      </c>
      <c r="U11423" t="s">
        <v>292</v>
      </c>
      <c r="V11423" t="s">
        <v>198</v>
      </c>
      <c r="W11423" t="s">
        <v>277</v>
      </c>
      <c r="X11423" t="s">
        <v>99</v>
      </c>
      <c r="Y11423" t="s">
        <v>100</v>
      </c>
      <c r="Z11423" t="s">
        <v>215</v>
      </c>
      <c r="AA11423" t="s">
        <v>207</v>
      </c>
      <c r="AB11423" t="s">
        <v>99</v>
      </c>
      <c r="AC11423" t="s">
        <v>99</v>
      </c>
      <c r="AD11423" t="s">
        <v>107</v>
      </c>
      <c r="AE11423" t="s">
        <v>132</v>
      </c>
      <c r="AF11423" t="s">
        <v>283</v>
      </c>
    </row>
    <row r="11424" spans="1:32" x14ac:dyDescent="0.3">
      <c r="A11424" t="s">
        <v>37</v>
      </c>
      <c r="B11424" t="s">
        <v>365</v>
      </c>
      <c r="C11424">
        <v>41</v>
      </c>
      <c r="D11424" t="s">
        <v>134</v>
      </c>
      <c r="E11424" t="s">
        <v>218</v>
      </c>
      <c r="F11424" t="s">
        <v>182</v>
      </c>
      <c r="G11424" t="s">
        <v>663</v>
      </c>
      <c r="H11424" t="s">
        <v>663</v>
      </c>
      <c r="I11424" t="s">
        <v>38</v>
      </c>
      <c r="J11424" t="s">
        <v>542</v>
      </c>
      <c r="K11424" t="s">
        <v>131</v>
      </c>
      <c r="L11424" t="s">
        <v>112</v>
      </c>
      <c r="M11424" t="s">
        <v>142</v>
      </c>
      <c r="N11424" t="s">
        <v>215</v>
      </c>
      <c r="O11424" t="s">
        <v>663</v>
      </c>
      <c r="P11424" t="s">
        <v>99</v>
      </c>
      <c r="Q11424" t="s">
        <v>204</v>
      </c>
      <c r="R11424" t="s">
        <v>222</v>
      </c>
      <c r="S11424" t="s">
        <v>143</v>
      </c>
      <c r="T11424" t="s">
        <v>129</v>
      </c>
      <c r="U11424" t="s">
        <v>99</v>
      </c>
      <c r="V11424" t="s">
        <v>99</v>
      </c>
      <c r="W11424" t="s">
        <v>128</v>
      </c>
      <c r="X11424" t="s">
        <v>99</v>
      </c>
      <c r="Y11424" t="s">
        <v>99</v>
      </c>
      <c r="Z11424" t="s">
        <v>99</v>
      </c>
      <c r="AA11424" t="s">
        <v>99</v>
      </c>
      <c r="AB11424" t="s">
        <v>99</v>
      </c>
      <c r="AC11424" t="s">
        <v>99</v>
      </c>
      <c r="AD11424" t="s">
        <v>671</v>
      </c>
      <c r="AE11424" t="s">
        <v>101</v>
      </c>
      <c r="AF11424" t="s">
        <v>840</v>
      </c>
    </row>
    <row r="11425" spans="1:32" x14ac:dyDescent="0.3">
      <c r="A11425" t="s">
        <v>36</v>
      </c>
      <c r="B11425" t="s">
        <v>339</v>
      </c>
      <c r="C11425">
        <v>770</v>
      </c>
      <c r="D11425" t="s">
        <v>188</v>
      </c>
      <c r="E11425" t="s">
        <v>228</v>
      </c>
      <c r="F11425" t="s">
        <v>155</v>
      </c>
      <c r="G11425" t="s">
        <v>158</v>
      </c>
      <c r="H11425" t="s">
        <v>434</v>
      </c>
      <c r="I11425" t="s">
        <v>175</v>
      </c>
      <c r="J11425" t="s">
        <v>214</v>
      </c>
      <c r="K11425" t="s">
        <v>927</v>
      </c>
      <c r="L11425" t="s">
        <v>814</v>
      </c>
      <c r="M11425" t="s">
        <v>145</v>
      </c>
      <c r="N11425" t="s">
        <v>253</v>
      </c>
      <c r="O11425" t="s">
        <v>70</v>
      </c>
      <c r="P11425" t="s">
        <v>155</v>
      </c>
      <c r="Q11425" t="s">
        <v>488</v>
      </c>
      <c r="R11425" t="s">
        <v>177</v>
      </c>
      <c r="S11425" t="s">
        <v>305</v>
      </c>
      <c r="T11425" t="s">
        <v>128</v>
      </c>
      <c r="U11425" t="s">
        <v>114</v>
      </c>
      <c r="V11425" t="s">
        <v>99</v>
      </c>
      <c r="W11425" t="s">
        <v>292</v>
      </c>
      <c r="X11425" t="s">
        <v>120</v>
      </c>
      <c r="Y11425" t="s">
        <v>134</v>
      </c>
      <c r="Z11425" t="s">
        <v>101</v>
      </c>
      <c r="AA11425" t="s">
        <v>104</v>
      </c>
      <c r="AB11425" t="s">
        <v>99</v>
      </c>
      <c r="AC11425" t="s">
        <v>319</v>
      </c>
      <c r="AD11425" t="s">
        <v>115</v>
      </c>
      <c r="AE11425" t="s">
        <v>114</v>
      </c>
      <c r="AF11425" t="s">
        <v>251</v>
      </c>
    </row>
    <row r="11426" spans="1:32" x14ac:dyDescent="0.3">
      <c r="A11426" t="s">
        <v>36</v>
      </c>
      <c r="B11426" t="s">
        <v>340</v>
      </c>
      <c r="C11426">
        <v>1469</v>
      </c>
      <c r="D11426" t="s">
        <v>395</v>
      </c>
      <c r="E11426" t="s">
        <v>615</v>
      </c>
      <c r="F11426" t="s">
        <v>305</v>
      </c>
      <c r="G11426" t="s">
        <v>109</v>
      </c>
      <c r="H11426" t="s">
        <v>712</v>
      </c>
      <c r="I11426" t="s">
        <v>688</v>
      </c>
      <c r="J11426" t="s">
        <v>741</v>
      </c>
      <c r="K11426" t="s">
        <v>697</v>
      </c>
      <c r="L11426" t="s">
        <v>373</v>
      </c>
      <c r="M11426" t="s">
        <v>468</v>
      </c>
      <c r="N11426" t="s">
        <v>126</v>
      </c>
      <c r="O11426" t="s">
        <v>165</v>
      </c>
      <c r="P11426" t="s">
        <v>105</v>
      </c>
      <c r="Q11426" t="s">
        <v>410</v>
      </c>
      <c r="R11426" t="s">
        <v>705</v>
      </c>
      <c r="S11426" t="s">
        <v>305</v>
      </c>
      <c r="T11426" t="s">
        <v>130</v>
      </c>
      <c r="U11426" t="s">
        <v>121</v>
      </c>
      <c r="V11426" t="s">
        <v>99</v>
      </c>
      <c r="W11426" t="s">
        <v>126</v>
      </c>
      <c r="X11426" t="s">
        <v>99</v>
      </c>
      <c r="Y11426" t="s">
        <v>104</v>
      </c>
      <c r="Z11426" t="s">
        <v>126</v>
      </c>
      <c r="AA11426" t="s">
        <v>132</v>
      </c>
      <c r="AB11426" t="s">
        <v>104</v>
      </c>
      <c r="AC11426" t="s">
        <v>100</v>
      </c>
      <c r="AD11426" t="s">
        <v>101</v>
      </c>
      <c r="AE11426" t="s">
        <v>253</v>
      </c>
      <c r="AF11426" t="s">
        <v>491</v>
      </c>
    </row>
    <row r="11427" spans="1:32" x14ac:dyDescent="0.3">
      <c r="A11427" t="s">
        <v>36</v>
      </c>
      <c r="B11427" t="s">
        <v>365</v>
      </c>
      <c r="C11427">
        <v>63</v>
      </c>
      <c r="D11427" t="s">
        <v>737</v>
      </c>
      <c r="E11427" t="s">
        <v>653</v>
      </c>
      <c r="F11427" t="s">
        <v>110</v>
      </c>
      <c r="G11427" t="s">
        <v>127</v>
      </c>
      <c r="H11427" t="s">
        <v>253</v>
      </c>
      <c r="I11427" t="s">
        <v>233</v>
      </c>
      <c r="J11427" t="s">
        <v>231</v>
      </c>
      <c r="K11427" t="s">
        <v>440</v>
      </c>
      <c r="L11427" t="s">
        <v>149</v>
      </c>
      <c r="M11427" t="s">
        <v>129</v>
      </c>
      <c r="N11427" t="s">
        <v>115</v>
      </c>
      <c r="O11427" t="s">
        <v>798</v>
      </c>
      <c r="P11427" t="s">
        <v>253</v>
      </c>
      <c r="Q11427" t="s">
        <v>831</v>
      </c>
      <c r="R11427" t="s">
        <v>468</v>
      </c>
      <c r="S11427" t="s">
        <v>679</v>
      </c>
      <c r="T11427" t="s">
        <v>355</v>
      </c>
      <c r="U11427" t="s">
        <v>99</v>
      </c>
      <c r="V11427" t="s">
        <v>99</v>
      </c>
      <c r="W11427" t="s">
        <v>100</v>
      </c>
      <c r="X11427" t="s">
        <v>99</v>
      </c>
      <c r="Y11427" t="s">
        <v>99</v>
      </c>
      <c r="Z11427" t="s">
        <v>99</v>
      </c>
      <c r="AA11427" t="s">
        <v>99</v>
      </c>
      <c r="AB11427" t="s">
        <v>99</v>
      </c>
      <c r="AC11427" t="s">
        <v>154</v>
      </c>
      <c r="AD11427" t="s">
        <v>99</v>
      </c>
      <c r="AE11427" t="s">
        <v>99</v>
      </c>
      <c r="AF11427" t="s">
        <v>665</v>
      </c>
    </row>
    <row r="11428" spans="1:32" x14ac:dyDescent="0.3">
      <c r="A11428" t="s">
        <v>34</v>
      </c>
      <c r="B11428" t="s">
        <v>339</v>
      </c>
      <c r="C11428">
        <v>554</v>
      </c>
      <c r="D11428" t="s">
        <v>294</v>
      </c>
      <c r="E11428" t="s">
        <v>456</v>
      </c>
      <c r="F11428" t="s">
        <v>121</v>
      </c>
      <c r="G11428" t="s">
        <v>292</v>
      </c>
      <c r="H11428" t="s">
        <v>147</v>
      </c>
      <c r="I11428" t="s">
        <v>700</v>
      </c>
      <c r="J11428" t="s">
        <v>739</v>
      </c>
      <c r="K11428" t="s">
        <v>816</v>
      </c>
      <c r="L11428" t="s">
        <v>501</v>
      </c>
      <c r="M11428" t="s">
        <v>128</v>
      </c>
      <c r="N11428" t="s">
        <v>103</v>
      </c>
      <c r="O11428" t="s">
        <v>368</v>
      </c>
      <c r="P11428" t="s">
        <v>313</v>
      </c>
      <c r="Q11428" t="s">
        <v>911</v>
      </c>
      <c r="R11428" t="s">
        <v>694</v>
      </c>
      <c r="S11428" t="s">
        <v>727</v>
      </c>
      <c r="T11428" t="s">
        <v>103</v>
      </c>
      <c r="U11428" t="s">
        <v>151</v>
      </c>
      <c r="V11428" t="s">
        <v>136</v>
      </c>
      <c r="W11428" t="s">
        <v>316</v>
      </c>
      <c r="X11428" t="s">
        <v>147</v>
      </c>
      <c r="Y11428" t="s">
        <v>123</v>
      </c>
      <c r="Z11428" t="s">
        <v>136</v>
      </c>
      <c r="AA11428" t="s">
        <v>99</v>
      </c>
      <c r="AB11428" t="s">
        <v>207</v>
      </c>
      <c r="AC11428" t="s">
        <v>268</v>
      </c>
      <c r="AD11428" t="s">
        <v>121</v>
      </c>
      <c r="AE11428" t="s">
        <v>136</v>
      </c>
      <c r="AF11428" t="s">
        <v>482</v>
      </c>
    </row>
    <row r="11429" spans="1:32" x14ac:dyDescent="0.3">
      <c r="A11429" t="s">
        <v>34</v>
      </c>
      <c r="B11429" t="s">
        <v>340</v>
      </c>
      <c r="C11429">
        <v>1492</v>
      </c>
      <c r="D11429" t="s">
        <v>701</v>
      </c>
      <c r="E11429" t="s">
        <v>153</v>
      </c>
      <c r="F11429" t="s">
        <v>154</v>
      </c>
      <c r="G11429" t="s">
        <v>111</v>
      </c>
      <c r="H11429" t="s">
        <v>155</v>
      </c>
      <c r="I11429" t="s">
        <v>470</v>
      </c>
      <c r="J11429" t="s">
        <v>807</v>
      </c>
      <c r="K11429" t="s">
        <v>1045</v>
      </c>
      <c r="L11429" t="s">
        <v>444</v>
      </c>
      <c r="M11429" t="s">
        <v>117</v>
      </c>
      <c r="N11429" t="s">
        <v>100</v>
      </c>
      <c r="O11429" t="s">
        <v>125</v>
      </c>
      <c r="P11429" t="s">
        <v>112</v>
      </c>
      <c r="Q11429" t="s">
        <v>708</v>
      </c>
      <c r="R11429" t="s">
        <v>449</v>
      </c>
      <c r="S11429" t="s">
        <v>255</v>
      </c>
      <c r="T11429" t="s">
        <v>155</v>
      </c>
      <c r="U11429" t="s">
        <v>108</v>
      </c>
      <c r="V11429" t="s">
        <v>99</v>
      </c>
      <c r="W11429" t="s">
        <v>103</v>
      </c>
      <c r="X11429" t="s">
        <v>99</v>
      </c>
      <c r="Y11429" t="s">
        <v>136</v>
      </c>
      <c r="Z11429" t="s">
        <v>121</v>
      </c>
      <c r="AA11429" t="s">
        <v>115</v>
      </c>
      <c r="AB11429" t="s">
        <v>114</v>
      </c>
      <c r="AC11429" t="s">
        <v>121</v>
      </c>
      <c r="AD11429" t="s">
        <v>126</v>
      </c>
      <c r="AE11429" t="s">
        <v>207</v>
      </c>
      <c r="AF11429" t="s">
        <v>513</v>
      </c>
    </row>
    <row r="11430" spans="1:32" x14ac:dyDescent="0.3">
      <c r="A11430" t="s">
        <v>34</v>
      </c>
      <c r="B11430" t="s">
        <v>365</v>
      </c>
      <c r="C11430">
        <v>28</v>
      </c>
      <c r="D11430" t="s">
        <v>499</v>
      </c>
      <c r="E11430" t="s">
        <v>626</v>
      </c>
      <c r="F11430" t="s">
        <v>204</v>
      </c>
      <c r="G11430" t="s">
        <v>291</v>
      </c>
      <c r="H11430" t="s">
        <v>138</v>
      </c>
      <c r="I11430" t="s">
        <v>429</v>
      </c>
      <c r="J11430" t="s">
        <v>802</v>
      </c>
      <c r="K11430" t="s">
        <v>459</v>
      </c>
      <c r="L11430" t="s">
        <v>920</v>
      </c>
      <c r="M11430" t="s">
        <v>207</v>
      </c>
      <c r="N11430" t="s">
        <v>99</v>
      </c>
      <c r="O11430" t="s">
        <v>309</v>
      </c>
      <c r="P11430" t="s">
        <v>446</v>
      </c>
      <c r="Q11430" t="s">
        <v>678</v>
      </c>
      <c r="R11430" t="s">
        <v>142</v>
      </c>
      <c r="S11430" t="s">
        <v>357</v>
      </c>
      <c r="T11430" t="s">
        <v>468</v>
      </c>
      <c r="U11430" t="s">
        <v>99</v>
      </c>
      <c r="V11430" t="s">
        <v>99</v>
      </c>
      <c r="W11430" t="s">
        <v>291</v>
      </c>
      <c r="X11430" t="s">
        <v>99</v>
      </c>
      <c r="Y11430" t="s">
        <v>99</v>
      </c>
      <c r="Z11430" t="s">
        <v>122</v>
      </c>
      <c r="AA11430" t="s">
        <v>99</v>
      </c>
      <c r="AB11430" t="s">
        <v>99</v>
      </c>
      <c r="AC11430" t="s">
        <v>99</v>
      </c>
      <c r="AD11430" t="s">
        <v>99</v>
      </c>
      <c r="AE11430" t="s">
        <v>99</v>
      </c>
      <c r="AF11430" t="s">
        <v>720</v>
      </c>
    </row>
    <row r="11431" spans="1:32" x14ac:dyDescent="0.3">
      <c r="A11431" t="s">
        <v>33</v>
      </c>
      <c r="B11431" t="s">
        <v>339</v>
      </c>
      <c r="C11431">
        <v>502</v>
      </c>
      <c r="D11431" t="s">
        <v>461</v>
      </c>
      <c r="E11431" t="s">
        <v>1107</v>
      </c>
      <c r="F11431" t="s">
        <v>215</v>
      </c>
      <c r="G11431" t="s">
        <v>215</v>
      </c>
      <c r="H11431" t="s">
        <v>136</v>
      </c>
      <c r="I11431" t="s">
        <v>163</v>
      </c>
      <c r="J11431" t="s">
        <v>856</v>
      </c>
      <c r="K11431" t="s">
        <v>951</v>
      </c>
      <c r="L11431" t="s">
        <v>313</v>
      </c>
      <c r="M11431" t="s">
        <v>41</v>
      </c>
      <c r="N11431" t="s">
        <v>127</v>
      </c>
      <c r="O11431" t="s">
        <v>220</v>
      </c>
      <c r="P11431" t="s">
        <v>126</v>
      </c>
      <c r="Q11431" t="s">
        <v>442</v>
      </c>
      <c r="R11431" t="s">
        <v>160</v>
      </c>
      <c r="S11431" t="s">
        <v>129</v>
      </c>
      <c r="T11431" t="s">
        <v>157</v>
      </c>
      <c r="U11431" t="s">
        <v>136</v>
      </c>
      <c r="V11431" t="s">
        <v>99</v>
      </c>
      <c r="W11431" t="s">
        <v>332</v>
      </c>
      <c r="X11431" t="s">
        <v>126</v>
      </c>
      <c r="Y11431" t="s">
        <v>117</v>
      </c>
      <c r="Z11431" t="s">
        <v>99</v>
      </c>
      <c r="AA11431" t="s">
        <v>114</v>
      </c>
      <c r="AB11431" t="s">
        <v>136</v>
      </c>
      <c r="AC11431" t="s">
        <v>136</v>
      </c>
      <c r="AD11431" t="s">
        <v>151</v>
      </c>
      <c r="AE11431" t="s">
        <v>136</v>
      </c>
      <c r="AF11431" t="s">
        <v>738</v>
      </c>
    </row>
    <row r="11432" spans="1:32" x14ac:dyDescent="0.3">
      <c r="A11432" t="s">
        <v>33</v>
      </c>
      <c r="B11432" t="s">
        <v>340</v>
      </c>
      <c r="C11432">
        <v>1409</v>
      </c>
      <c r="D11432" t="s">
        <v>184</v>
      </c>
      <c r="E11432" t="s">
        <v>749</v>
      </c>
      <c r="F11432" t="s">
        <v>316</v>
      </c>
      <c r="G11432" t="s">
        <v>138</v>
      </c>
      <c r="H11432" t="s">
        <v>126</v>
      </c>
      <c r="I11432" t="s">
        <v>112</v>
      </c>
      <c r="J11432" t="s">
        <v>1053</v>
      </c>
      <c r="K11432" t="s">
        <v>116</v>
      </c>
      <c r="L11432" t="s">
        <v>135</v>
      </c>
      <c r="M11432" t="s">
        <v>712</v>
      </c>
      <c r="N11432" t="s">
        <v>121</v>
      </c>
      <c r="O11432" t="s">
        <v>328</v>
      </c>
      <c r="P11432" t="s">
        <v>114</v>
      </c>
      <c r="Q11432" t="s">
        <v>38</v>
      </c>
      <c r="R11432" t="s">
        <v>671</v>
      </c>
      <c r="S11432" t="s">
        <v>268</v>
      </c>
      <c r="T11432" t="s">
        <v>98</v>
      </c>
      <c r="U11432" t="s">
        <v>132</v>
      </c>
      <c r="V11432" t="s">
        <v>99</v>
      </c>
      <c r="W11432" t="s">
        <v>128</v>
      </c>
      <c r="X11432" t="s">
        <v>99</v>
      </c>
      <c r="Y11432" t="s">
        <v>207</v>
      </c>
      <c r="Z11432" t="s">
        <v>253</v>
      </c>
      <c r="AA11432" t="s">
        <v>115</v>
      </c>
      <c r="AB11432" t="s">
        <v>136</v>
      </c>
      <c r="AC11432" t="s">
        <v>207</v>
      </c>
      <c r="AD11432" t="s">
        <v>151</v>
      </c>
      <c r="AE11432" t="s">
        <v>115</v>
      </c>
      <c r="AF11432" t="s">
        <v>822</v>
      </c>
    </row>
    <row r="11433" spans="1:32" x14ac:dyDescent="0.3">
      <c r="A11433" t="s">
        <v>33</v>
      </c>
      <c r="B11433" t="s">
        <v>365</v>
      </c>
      <c r="C11433">
        <v>19</v>
      </c>
      <c r="D11433" t="s">
        <v>328</v>
      </c>
      <c r="E11433" t="s">
        <v>804</v>
      </c>
      <c r="F11433" t="s">
        <v>99</v>
      </c>
      <c r="G11433" t="s">
        <v>74</v>
      </c>
      <c r="H11433" t="s">
        <v>99</v>
      </c>
      <c r="I11433" t="s">
        <v>99</v>
      </c>
      <c r="J11433" t="s">
        <v>804</v>
      </c>
      <c r="K11433" t="s">
        <v>328</v>
      </c>
      <c r="L11433" t="s">
        <v>74</v>
      </c>
      <c r="M11433" t="s">
        <v>99</v>
      </c>
      <c r="N11433" t="s">
        <v>99</v>
      </c>
      <c r="O11433" t="s">
        <v>74</v>
      </c>
      <c r="P11433" t="s">
        <v>328</v>
      </c>
      <c r="Q11433" t="s">
        <v>332</v>
      </c>
      <c r="R11433" t="s">
        <v>372</v>
      </c>
      <c r="S11433" t="s">
        <v>99</v>
      </c>
      <c r="T11433" t="s">
        <v>99</v>
      </c>
      <c r="U11433" t="s">
        <v>328</v>
      </c>
      <c r="V11433" t="s">
        <v>99</v>
      </c>
      <c r="W11433" t="s">
        <v>139</v>
      </c>
      <c r="X11433" t="s">
        <v>99</v>
      </c>
      <c r="Y11433" t="s">
        <v>99</v>
      </c>
      <c r="Z11433" t="s">
        <v>99</v>
      </c>
      <c r="AA11433" t="s">
        <v>99</v>
      </c>
      <c r="AB11433" t="s">
        <v>99</v>
      </c>
      <c r="AC11433" t="s">
        <v>99</v>
      </c>
      <c r="AD11433" t="s">
        <v>328</v>
      </c>
      <c r="AE11433" t="s">
        <v>74</v>
      </c>
      <c r="AF11433" t="s">
        <v>947</v>
      </c>
    </row>
    <row r="11434" spans="1:32" x14ac:dyDescent="0.3">
      <c r="A11434" t="s">
        <v>49</v>
      </c>
      <c r="B11434" t="s">
        <v>339</v>
      </c>
      <c r="C11434">
        <v>3809</v>
      </c>
      <c r="D11434" t="s">
        <v>289</v>
      </c>
      <c r="E11434" t="s">
        <v>645</v>
      </c>
      <c r="F11434" t="s">
        <v>151</v>
      </c>
      <c r="G11434" t="s">
        <v>151</v>
      </c>
      <c r="H11434" t="s">
        <v>292</v>
      </c>
      <c r="I11434" t="s">
        <v>287</v>
      </c>
      <c r="J11434" t="s">
        <v>662</v>
      </c>
      <c r="K11434" t="s">
        <v>1165</v>
      </c>
      <c r="L11434" t="s">
        <v>444</v>
      </c>
      <c r="M11434" t="s">
        <v>277</v>
      </c>
      <c r="N11434" t="s">
        <v>292</v>
      </c>
      <c r="O11434" t="s">
        <v>379</v>
      </c>
      <c r="P11434" t="s">
        <v>474</v>
      </c>
      <c r="Q11434" t="s">
        <v>499</v>
      </c>
      <c r="R11434" t="s">
        <v>76</v>
      </c>
      <c r="S11434" t="s">
        <v>722</v>
      </c>
      <c r="T11434" t="s">
        <v>123</v>
      </c>
      <c r="U11434" t="s">
        <v>101</v>
      </c>
      <c r="V11434" t="s">
        <v>104</v>
      </c>
      <c r="W11434" t="s">
        <v>134</v>
      </c>
      <c r="X11434" t="s">
        <v>147</v>
      </c>
      <c r="Y11434" t="s">
        <v>129</v>
      </c>
      <c r="Z11434" t="s">
        <v>115</v>
      </c>
      <c r="AA11434" t="s">
        <v>198</v>
      </c>
      <c r="AB11434" t="s">
        <v>198</v>
      </c>
      <c r="AC11434" t="s">
        <v>132</v>
      </c>
      <c r="AD11434" t="s">
        <v>319</v>
      </c>
      <c r="AE11434" t="s">
        <v>253</v>
      </c>
      <c r="AF11434" t="s">
        <v>175</v>
      </c>
    </row>
    <row r="11435" spans="1:32" x14ac:dyDescent="0.3">
      <c r="A11435" t="s">
        <v>49</v>
      </c>
      <c r="B11435" t="s">
        <v>340</v>
      </c>
      <c r="C11435">
        <v>9298</v>
      </c>
      <c r="D11435" t="s">
        <v>680</v>
      </c>
      <c r="E11435" t="s">
        <v>214</v>
      </c>
      <c r="F11435" t="s">
        <v>474</v>
      </c>
      <c r="G11435" t="s">
        <v>157</v>
      </c>
      <c r="H11435" t="s">
        <v>147</v>
      </c>
      <c r="I11435" t="s">
        <v>145</v>
      </c>
      <c r="J11435" t="s">
        <v>686</v>
      </c>
      <c r="K11435" t="s">
        <v>795</v>
      </c>
      <c r="L11435" t="s">
        <v>449</v>
      </c>
      <c r="M11435" t="s">
        <v>157</v>
      </c>
      <c r="N11435" t="s">
        <v>101</v>
      </c>
      <c r="O11435" t="s">
        <v>353</v>
      </c>
      <c r="P11435" t="s">
        <v>316</v>
      </c>
      <c r="Q11435" t="s">
        <v>672</v>
      </c>
      <c r="R11435" t="s">
        <v>688</v>
      </c>
      <c r="S11435" t="s">
        <v>328</v>
      </c>
      <c r="T11435" t="s">
        <v>110</v>
      </c>
      <c r="U11435" t="s">
        <v>101</v>
      </c>
      <c r="V11435" t="s">
        <v>104</v>
      </c>
      <c r="W11435" t="s">
        <v>157</v>
      </c>
      <c r="X11435" t="s">
        <v>99</v>
      </c>
      <c r="Y11435" t="s">
        <v>141</v>
      </c>
      <c r="Z11435" t="s">
        <v>126</v>
      </c>
      <c r="AA11435" t="s">
        <v>136</v>
      </c>
      <c r="AB11435" t="s">
        <v>207</v>
      </c>
      <c r="AC11435" t="s">
        <v>141</v>
      </c>
      <c r="AD11435" t="s">
        <v>111</v>
      </c>
      <c r="AE11435" t="s">
        <v>253</v>
      </c>
      <c r="AF11435" t="s">
        <v>809</v>
      </c>
    </row>
    <row r="11436" spans="1:32" x14ac:dyDescent="0.3">
      <c r="A11436" t="s">
        <v>49</v>
      </c>
      <c r="B11436" t="s">
        <v>365</v>
      </c>
      <c r="C11436">
        <v>191</v>
      </c>
      <c r="D11436" t="s">
        <v>804</v>
      </c>
      <c r="E11436" t="s">
        <v>1046</v>
      </c>
      <c r="F11436" t="s">
        <v>158</v>
      </c>
      <c r="G11436" t="s">
        <v>143</v>
      </c>
      <c r="H11436" t="s">
        <v>107</v>
      </c>
      <c r="I11436" t="s">
        <v>708</v>
      </c>
      <c r="J11436" t="s">
        <v>676</v>
      </c>
      <c r="K11436" t="s">
        <v>894</v>
      </c>
      <c r="L11436" t="s">
        <v>449</v>
      </c>
      <c r="M11436" t="s">
        <v>107</v>
      </c>
      <c r="N11436" t="s">
        <v>141</v>
      </c>
      <c r="O11436" t="s">
        <v>465</v>
      </c>
      <c r="P11436" t="s">
        <v>150</v>
      </c>
      <c r="Q11436" t="s">
        <v>678</v>
      </c>
      <c r="R11436" t="s">
        <v>125</v>
      </c>
      <c r="S11436" t="s">
        <v>122</v>
      </c>
      <c r="T11436" t="s">
        <v>124</v>
      </c>
      <c r="U11436" t="s">
        <v>115</v>
      </c>
      <c r="V11436" t="s">
        <v>99</v>
      </c>
      <c r="W11436" t="s">
        <v>118</v>
      </c>
      <c r="X11436" t="s">
        <v>99</v>
      </c>
      <c r="Y11436" t="s">
        <v>99</v>
      </c>
      <c r="Z11436" t="s">
        <v>103</v>
      </c>
      <c r="AA11436" t="s">
        <v>99</v>
      </c>
      <c r="AB11436" t="s">
        <v>99</v>
      </c>
      <c r="AC11436" t="s">
        <v>253</v>
      </c>
      <c r="AD11436" t="s">
        <v>664</v>
      </c>
      <c r="AE11436" t="s">
        <v>114</v>
      </c>
      <c r="AF11436" t="s">
        <v>732</v>
      </c>
    </row>
    <row r="11438" spans="1:32" x14ac:dyDescent="0.3">
      <c r="A11438" t="s">
        <v>2673</v>
      </c>
    </row>
    <row r="11439" spans="1:32" x14ac:dyDescent="0.3">
      <c r="A11439" t="s">
        <v>44</v>
      </c>
      <c r="B11439" t="s">
        <v>209</v>
      </c>
      <c r="C11439" t="s">
        <v>32</v>
      </c>
      <c r="D11439" t="s">
        <v>2647</v>
      </c>
      <c r="E11439" t="s">
        <v>2648</v>
      </c>
      <c r="F11439" t="s">
        <v>2649</v>
      </c>
      <c r="G11439" t="s">
        <v>2650</v>
      </c>
      <c r="H11439" t="s">
        <v>2651</v>
      </c>
      <c r="I11439" t="s">
        <v>2652</v>
      </c>
      <c r="J11439" t="s">
        <v>2653</v>
      </c>
      <c r="K11439" t="s">
        <v>2654</v>
      </c>
      <c r="L11439" t="s">
        <v>2655</v>
      </c>
      <c r="M11439" t="s">
        <v>2656</v>
      </c>
      <c r="N11439" t="s">
        <v>2657</v>
      </c>
      <c r="O11439" t="s">
        <v>2658</v>
      </c>
      <c r="P11439" t="s">
        <v>2659</v>
      </c>
      <c r="Q11439" t="s">
        <v>2660</v>
      </c>
      <c r="R11439" t="s">
        <v>2661</v>
      </c>
      <c r="S11439" t="s">
        <v>2662</v>
      </c>
      <c r="T11439" t="s">
        <v>2663</v>
      </c>
      <c r="U11439" t="s">
        <v>2664</v>
      </c>
      <c r="V11439" t="s">
        <v>2665</v>
      </c>
      <c r="W11439" t="s">
        <v>2666</v>
      </c>
      <c r="X11439" t="s">
        <v>2667</v>
      </c>
      <c r="Y11439" t="s">
        <v>2668</v>
      </c>
      <c r="Z11439" t="s">
        <v>2669</v>
      </c>
      <c r="AA11439" t="s">
        <v>2670</v>
      </c>
      <c r="AB11439" t="s">
        <v>2671</v>
      </c>
      <c r="AC11439" t="s">
        <v>88</v>
      </c>
      <c r="AD11439" t="s">
        <v>83</v>
      </c>
      <c r="AE11439" t="s">
        <v>193</v>
      </c>
      <c r="AF11439" t="s">
        <v>1323</v>
      </c>
    </row>
    <row r="11440" spans="1:32" x14ac:dyDescent="0.3">
      <c r="A11440" t="s">
        <v>35</v>
      </c>
      <c r="B11440" t="s">
        <v>210</v>
      </c>
      <c r="C11440">
        <v>136</v>
      </c>
      <c r="D11440" t="s">
        <v>129</v>
      </c>
      <c r="E11440" t="s">
        <v>1043</v>
      </c>
      <c r="F11440" t="s">
        <v>740</v>
      </c>
      <c r="G11440" t="s">
        <v>287</v>
      </c>
      <c r="H11440" t="s">
        <v>179</v>
      </c>
      <c r="I11440" t="s">
        <v>135</v>
      </c>
      <c r="J11440" t="s">
        <v>868</v>
      </c>
      <c r="K11440" t="s">
        <v>729</v>
      </c>
      <c r="L11440" t="s">
        <v>860</v>
      </c>
      <c r="M11440" t="s">
        <v>141</v>
      </c>
      <c r="N11440" t="s">
        <v>105</v>
      </c>
      <c r="O11440" t="s">
        <v>357</v>
      </c>
      <c r="P11440" t="s">
        <v>182</v>
      </c>
      <c r="Q11440" t="s">
        <v>70</v>
      </c>
      <c r="R11440" t="s">
        <v>740</v>
      </c>
      <c r="S11440" t="s">
        <v>151</v>
      </c>
      <c r="T11440" t="s">
        <v>117</v>
      </c>
      <c r="U11440" t="s">
        <v>154</v>
      </c>
      <c r="V11440" t="s">
        <v>136</v>
      </c>
      <c r="W11440" t="s">
        <v>112</v>
      </c>
      <c r="X11440" t="s">
        <v>253</v>
      </c>
      <c r="Y11440" t="s">
        <v>99</v>
      </c>
      <c r="Z11440" t="s">
        <v>215</v>
      </c>
      <c r="AA11440" t="s">
        <v>141</v>
      </c>
      <c r="AB11440" t="s">
        <v>99</v>
      </c>
      <c r="AC11440" t="s">
        <v>198</v>
      </c>
      <c r="AD11440" t="s">
        <v>100</v>
      </c>
      <c r="AE11440" t="s">
        <v>99</v>
      </c>
      <c r="AF11440" t="s">
        <v>746</v>
      </c>
    </row>
    <row r="11441" spans="1:32" x14ac:dyDescent="0.3">
      <c r="A11441" t="s">
        <v>35</v>
      </c>
      <c r="B11441" t="s">
        <v>212</v>
      </c>
      <c r="C11441">
        <v>2438</v>
      </c>
      <c r="D11441" t="s">
        <v>440</v>
      </c>
      <c r="E11441" t="s">
        <v>1326</v>
      </c>
      <c r="F11441" t="s">
        <v>120</v>
      </c>
      <c r="G11441" t="s">
        <v>151</v>
      </c>
      <c r="H11441" t="s">
        <v>151</v>
      </c>
      <c r="I11441" t="s">
        <v>135</v>
      </c>
      <c r="J11441" t="s">
        <v>916</v>
      </c>
      <c r="K11441" t="s">
        <v>570</v>
      </c>
      <c r="L11441" t="s">
        <v>231</v>
      </c>
      <c r="M11441" t="s">
        <v>155</v>
      </c>
      <c r="N11441" t="s">
        <v>215</v>
      </c>
      <c r="O11441" t="s">
        <v>299</v>
      </c>
      <c r="P11441" t="s">
        <v>151</v>
      </c>
      <c r="Q11441" t="s">
        <v>264</v>
      </c>
      <c r="R11441" t="s">
        <v>179</v>
      </c>
      <c r="S11441" t="s">
        <v>124</v>
      </c>
      <c r="T11441" t="s">
        <v>147</v>
      </c>
      <c r="U11441" t="s">
        <v>114</v>
      </c>
      <c r="V11441" t="s">
        <v>99</v>
      </c>
      <c r="W11441" t="s">
        <v>316</v>
      </c>
      <c r="X11441" t="s">
        <v>115</v>
      </c>
      <c r="Y11441" t="s">
        <v>292</v>
      </c>
      <c r="Z11441" t="s">
        <v>215</v>
      </c>
      <c r="AA11441" t="s">
        <v>198</v>
      </c>
      <c r="AB11441" t="s">
        <v>104</v>
      </c>
      <c r="AC11441" t="s">
        <v>198</v>
      </c>
      <c r="AD11441" t="s">
        <v>215</v>
      </c>
      <c r="AE11441" t="s">
        <v>115</v>
      </c>
      <c r="AF11441" t="s">
        <v>298</v>
      </c>
    </row>
    <row r="11442" spans="1:32" x14ac:dyDescent="0.3">
      <c r="A11442" t="s">
        <v>35</v>
      </c>
      <c r="B11442" t="s">
        <v>216</v>
      </c>
      <c r="C11442">
        <v>566</v>
      </c>
      <c r="D11442" t="s">
        <v>355</v>
      </c>
      <c r="E11442" t="s">
        <v>1068</v>
      </c>
      <c r="F11442" t="s">
        <v>158</v>
      </c>
      <c r="G11442" t="s">
        <v>112</v>
      </c>
      <c r="H11442" t="s">
        <v>242</v>
      </c>
      <c r="I11442" t="s">
        <v>143</v>
      </c>
      <c r="J11442" t="s">
        <v>692</v>
      </c>
      <c r="K11442" t="s">
        <v>224</v>
      </c>
      <c r="L11442" t="s">
        <v>671</v>
      </c>
      <c r="M11442" t="s">
        <v>382</v>
      </c>
      <c r="N11442" t="s">
        <v>253</v>
      </c>
      <c r="O11442" t="s">
        <v>248</v>
      </c>
      <c r="P11442" t="s">
        <v>123</v>
      </c>
      <c r="Q11442" t="s">
        <v>143</v>
      </c>
      <c r="R11442" t="s">
        <v>677</v>
      </c>
      <c r="S11442" t="s">
        <v>109</v>
      </c>
      <c r="T11442" t="s">
        <v>155</v>
      </c>
      <c r="U11442" t="s">
        <v>132</v>
      </c>
      <c r="V11442" t="s">
        <v>99</v>
      </c>
      <c r="W11442" t="s">
        <v>128</v>
      </c>
      <c r="X11442" t="s">
        <v>141</v>
      </c>
      <c r="Y11442" t="s">
        <v>207</v>
      </c>
      <c r="Z11442" t="s">
        <v>127</v>
      </c>
      <c r="AA11442" t="s">
        <v>104</v>
      </c>
      <c r="AB11442" t="s">
        <v>99</v>
      </c>
      <c r="AC11442" t="s">
        <v>100</v>
      </c>
      <c r="AD11442" t="s">
        <v>105</v>
      </c>
      <c r="AE11442" t="s">
        <v>136</v>
      </c>
      <c r="AF11442" t="s">
        <v>1209</v>
      </c>
    </row>
    <row r="11443" spans="1:32" x14ac:dyDescent="0.3">
      <c r="A11443" t="s">
        <v>37</v>
      </c>
      <c r="B11443" t="s">
        <v>210</v>
      </c>
      <c r="C11443">
        <v>138</v>
      </c>
      <c r="D11443" t="s">
        <v>268</v>
      </c>
      <c r="E11443" t="s">
        <v>156</v>
      </c>
      <c r="F11443" t="s">
        <v>98</v>
      </c>
      <c r="G11443" t="s">
        <v>218</v>
      </c>
      <c r="H11443" t="s">
        <v>682</v>
      </c>
      <c r="I11443" t="s">
        <v>134</v>
      </c>
      <c r="J11443" t="s">
        <v>688</v>
      </c>
      <c r="K11443" t="s">
        <v>425</v>
      </c>
      <c r="L11443" t="s">
        <v>410</v>
      </c>
      <c r="M11443" t="s">
        <v>139</v>
      </c>
      <c r="N11443" t="s">
        <v>139</v>
      </c>
      <c r="O11443" t="s">
        <v>798</v>
      </c>
      <c r="P11443" t="s">
        <v>133</v>
      </c>
      <c r="Q11443" t="s">
        <v>125</v>
      </c>
      <c r="R11443" t="s">
        <v>287</v>
      </c>
      <c r="S11443" t="s">
        <v>434</v>
      </c>
      <c r="T11443" t="s">
        <v>107</v>
      </c>
      <c r="U11443" t="s">
        <v>292</v>
      </c>
      <c r="V11443" t="s">
        <v>99</v>
      </c>
      <c r="W11443" t="s">
        <v>305</v>
      </c>
      <c r="X11443" t="s">
        <v>100</v>
      </c>
      <c r="Y11443" t="s">
        <v>141</v>
      </c>
      <c r="Z11443" t="s">
        <v>99</v>
      </c>
      <c r="AA11443" t="s">
        <v>100</v>
      </c>
      <c r="AB11443" t="s">
        <v>141</v>
      </c>
      <c r="AC11443" t="s">
        <v>99</v>
      </c>
      <c r="AD11443" t="s">
        <v>100</v>
      </c>
      <c r="AE11443" t="s">
        <v>99</v>
      </c>
      <c r="AF11443" t="s">
        <v>1046</v>
      </c>
    </row>
    <row r="11444" spans="1:32" x14ac:dyDescent="0.3">
      <c r="A11444" t="s">
        <v>37</v>
      </c>
      <c r="B11444" t="s">
        <v>212</v>
      </c>
      <c r="C11444">
        <v>3603</v>
      </c>
      <c r="D11444" t="s">
        <v>150</v>
      </c>
      <c r="E11444" t="s">
        <v>626</v>
      </c>
      <c r="F11444" t="s">
        <v>147</v>
      </c>
      <c r="G11444" t="s">
        <v>101</v>
      </c>
      <c r="H11444" t="s">
        <v>115</v>
      </c>
      <c r="I11444" t="s">
        <v>139</v>
      </c>
      <c r="J11444" t="s">
        <v>347</v>
      </c>
      <c r="K11444" t="s">
        <v>650</v>
      </c>
      <c r="L11444" t="s">
        <v>313</v>
      </c>
      <c r="M11444" t="s">
        <v>110</v>
      </c>
      <c r="N11444" t="s">
        <v>382</v>
      </c>
      <c r="O11444" t="s">
        <v>248</v>
      </c>
      <c r="P11444" t="s">
        <v>268</v>
      </c>
      <c r="Q11444" t="s">
        <v>463</v>
      </c>
      <c r="R11444" t="s">
        <v>701</v>
      </c>
      <c r="S11444" t="s">
        <v>107</v>
      </c>
      <c r="T11444" t="s">
        <v>316</v>
      </c>
      <c r="U11444" t="s">
        <v>123</v>
      </c>
      <c r="V11444" t="s">
        <v>198</v>
      </c>
      <c r="W11444" t="s">
        <v>68</v>
      </c>
      <c r="X11444" t="s">
        <v>101</v>
      </c>
      <c r="Y11444" t="s">
        <v>103</v>
      </c>
      <c r="Z11444" t="s">
        <v>382</v>
      </c>
      <c r="AA11444" t="s">
        <v>198</v>
      </c>
      <c r="AB11444" t="s">
        <v>99</v>
      </c>
      <c r="AC11444" t="s">
        <v>104</v>
      </c>
      <c r="AD11444" t="s">
        <v>128</v>
      </c>
      <c r="AE11444" t="s">
        <v>115</v>
      </c>
      <c r="AF11444" t="s">
        <v>1157</v>
      </c>
    </row>
    <row r="11445" spans="1:32" x14ac:dyDescent="0.3">
      <c r="A11445" t="s">
        <v>37</v>
      </c>
      <c r="B11445" t="s">
        <v>216</v>
      </c>
      <c r="C11445">
        <v>111</v>
      </c>
      <c r="D11445" t="s">
        <v>171</v>
      </c>
      <c r="E11445" t="s">
        <v>626</v>
      </c>
      <c r="F11445" t="s">
        <v>746</v>
      </c>
      <c r="G11445" t="s">
        <v>107</v>
      </c>
      <c r="H11445" t="s">
        <v>325</v>
      </c>
      <c r="I11445" t="s">
        <v>139</v>
      </c>
      <c r="J11445" t="s">
        <v>820</v>
      </c>
      <c r="K11445" t="s">
        <v>894</v>
      </c>
      <c r="L11445" t="s">
        <v>393</v>
      </c>
      <c r="M11445" t="s">
        <v>128</v>
      </c>
      <c r="N11445" t="s">
        <v>155</v>
      </c>
      <c r="O11445" t="s">
        <v>182</v>
      </c>
      <c r="P11445" t="s">
        <v>382</v>
      </c>
      <c r="Q11445" t="s">
        <v>72</v>
      </c>
      <c r="R11445" t="s">
        <v>688</v>
      </c>
      <c r="S11445" t="s">
        <v>130</v>
      </c>
      <c r="T11445" t="s">
        <v>251</v>
      </c>
      <c r="U11445" t="s">
        <v>151</v>
      </c>
      <c r="V11445" t="s">
        <v>99</v>
      </c>
      <c r="W11445" t="s">
        <v>111</v>
      </c>
      <c r="X11445" t="s">
        <v>319</v>
      </c>
      <c r="Y11445" t="s">
        <v>215</v>
      </c>
      <c r="Z11445" t="s">
        <v>99</v>
      </c>
      <c r="AA11445" t="s">
        <v>99</v>
      </c>
      <c r="AB11445" t="s">
        <v>99</v>
      </c>
      <c r="AC11445" t="s">
        <v>99</v>
      </c>
      <c r="AD11445" t="s">
        <v>332</v>
      </c>
      <c r="AE11445" t="s">
        <v>253</v>
      </c>
      <c r="AF11445" t="s">
        <v>960</v>
      </c>
    </row>
    <row r="11446" spans="1:32" x14ac:dyDescent="0.3">
      <c r="A11446" t="s">
        <v>36</v>
      </c>
      <c r="B11446" t="s">
        <v>210</v>
      </c>
      <c r="C11446">
        <v>165</v>
      </c>
      <c r="D11446" t="s">
        <v>705</v>
      </c>
      <c r="E11446" t="s">
        <v>527</v>
      </c>
      <c r="F11446" t="s">
        <v>393</v>
      </c>
      <c r="G11446" t="s">
        <v>916</v>
      </c>
      <c r="H11446" t="s">
        <v>676</v>
      </c>
      <c r="I11446" t="s">
        <v>144</v>
      </c>
      <c r="J11446" t="s">
        <v>1059</v>
      </c>
      <c r="K11446" t="s">
        <v>934</v>
      </c>
      <c r="L11446" t="s">
        <v>686</v>
      </c>
      <c r="M11446" t="s">
        <v>149</v>
      </c>
      <c r="N11446" t="s">
        <v>157</v>
      </c>
      <c r="O11446" t="s">
        <v>536</v>
      </c>
      <c r="P11446" t="s">
        <v>305</v>
      </c>
      <c r="Q11446" t="s">
        <v>737</v>
      </c>
      <c r="R11446" t="s">
        <v>106</v>
      </c>
      <c r="S11446" t="s">
        <v>708</v>
      </c>
      <c r="T11446" t="s">
        <v>684</v>
      </c>
      <c r="U11446" t="s">
        <v>112</v>
      </c>
      <c r="V11446" t="s">
        <v>99</v>
      </c>
      <c r="W11446" t="s">
        <v>111</v>
      </c>
      <c r="X11446" t="s">
        <v>198</v>
      </c>
      <c r="Y11446" t="s">
        <v>105</v>
      </c>
      <c r="Z11446" t="s">
        <v>198</v>
      </c>
      <c r="AA11446" t="s">
        <v>114</v>
      </c>
      <c r="AB11446" t="s">
        <v>99</v>
      </c>
      <c r="AC11446" t="s">
        <v>110</v>
      </c>
      <c r="AD11446" t="s">
        <v>99</v>
      </c>
      <c r="AE11446" t="s">
        <v>207</v>
      </c>
      <c r="AF11446" t="s">
        <v>369</v>
      </c>
    </row>
    <row r="11447" spans="1:32" x14ac:dyDescent="0.3">
      <c r="A11447" t="s">
        <v>36</v>
      </c>
      <c r="B11447" t="s">
        <v>212</v>
      </c>
      <c r="C11447">
        <v>1873</v>
      </c>
      <c r="D11447" t="s">
        <v>678</v>
      </c>
      <c r="E11447" t="s">
        <v>904</v>
      </c>
      <c r="F11447" t="s">
        <v>712</v>
      </c>
      <c r="G11447" t="s">
        <v>107</v>
      </c>
      <c r="H11447" t="s">
        <v>292</v>
      </c>
      <c r="I11447" t="s">
        <v>737</v>
      </c>
      <c r="J11447" t="s">
        <v>682</v>
      </c>
      <c r="K11447" t="s">
        <v>862</v>
      </c>
      <c r="L11447" t="s">
        <v>264</v>
      </c>
      <c r="M11447" t="s">
        <v>144</v>
      </c>
      <c r="N11447" t="s">
        <v>253</v>
      </c>
      <c r="O11447" t="s">
        <v>305</v>
      </c>
      <c r="P11447" t="s">
        <v>316</v>
      </c>
      <c r="Q11447" t="s">
        <v>742</v>
      </c>
      <c r="R11447" t="s">
        <v>687</v>
      </c>
      <c r="S11447" t="s">
        <v>122</v>
      </c>
      <c r="T11447" t="s">
        <v>157</v>
      </c>
      <c r="U11447" t="s">
        <v>136</v>
      </c>
      <c r="V11447" t="s">
        <v>99</v>
      </c>
      <c r="W11447" t="s">
        <v>101</v>
      </c>
      <c r="X11447" t="s">
        <v>100</v>
      </c>
      <c r="Y11447" t="s">
        <v>121</v>
      </c>
      <c r="Z11447" t="s">
        <v>101</v>
      </c>
      <c r="AA11447" t="s">
        <v>104</v>
      </c>
      <c r="AB11447" t="s">
        <v>99</v>
      </c>
      <c r="AC11447" t="s">
        <v>132</v>
      </c>
      <c r="AD11447" t="s">
        <v>253</v>
      </c>
      <c r="AE11447" t="s">
        <v>108</v>
      </c>
      <c r="AF11447" t="s">
        <v>700</v>
      </c>
    </row>
    <row r="11448" spans="1:32" x14ac:dyDescent="0.3">
      <c r="A11448" t="s">
        <v>36</v>
      </c>
      <c r="B11448" t="s">
        <v>216</v>
      </c>
      <c r="C11448">
        <v>264</v>
      </c>
      <c r="D11448" t="s">
        <v>691</v>
      </c>
      <c r="E11448" t="s">
        <v>667</v>
      </c>
      <c r="F11448" t="s">
        <v>222</v>
      </c>
      <c r="G11448" t="s">
        <v>118</v>
      </c>
      <c r="H11448" t="s">
        <v>242</v>
      </c>
      <c r="I11448" t="s">
        <v>276</v>
      </c>
      <c r="J11448" t="s">
        <v>701</v>
      </c>
      <c r="K11448" t="s">
        <v>177</v>
      </c>
      <c r="L11448" t="s">
        <v>370</v>
      </c>
      <c r="M11448" t="s">
        <v>98</v>
      </c>
      <c r="N11448" t="s">
        <v>107</v>
      </c>
      <c r="O11448" t="s">
        <v>465</v>
      </c>
      <c r="P11448" t="s">
        <v>151</v>
      </c>
      <c r="Q11448" t="s">
        <v>798</v>
      </c>
      <c r="R11448" t="s">
        <v>218</v>
      </c>
      <c r="S11448" t="s">
        <v>408</v>
      </c>
      <c r="T11448" t="s">
        <v>248</v>
      </c>
      <c r="U11448" t="s">
        <v>292</v>
      </c>
      <c r="V11448" t="s">
        <v>99</v>
      </c>
      <c r="W11448" t="s">
        <v>110</v>
      </c>
      <c r="X11448" t="s">
        <v>99</v>
      </c>
      <c r="Y11448" t="s">
        <v>99</v>
      </c>
      <c r="Z11448" t="s">
        <v>107</v>
      </c>
      <c r="AA11448" t="s">
        <v>120</v>
      </c>
      <c r="AB11448" t="s">
        <v>104</v>
      </c>
      <c r="AC11448" t="s">
        <v>126</v>
      </c>
      <c r="AD11448" t="s">
        <v>412</v>
      </c>
      <c r="AE11448" t="s">
        <v>104</v>
      </c>
      <c r="AF11448" t="s">
        <v>309</v>
      </c>
    </row>
    <row r="11449" spans="1:32" x14ac:dyDescent="0.3">
      <c r="A11449" t="s">
        <v>34</v>
      </c>
      <c r="B11449" t="s">
        <v>210</v>
      </c>
      <c r="C11449">
        <v>255</v>
      </c>
      <c r="D11449" t="s">
        <v>672</v>
      </c>
      <c r="E11449" t="s">
        <v>897</v>
      </c>
      <c r="F11449" t="s">
        <v>147</v>
      </c>
      <c r="G11449" t="s">
        <v>671</v>
      </c>
      <c r="H11449" t="s">
        <v>710</v>
      </c>
      <c r="I11449" t="s">
        <v>76</v>
      </c>
      <c r="J11449" t="s">
        <v>714</v>
      </c>
      <c r="K11449" t="s">
        <v>1057</v>
      </c>
      <c r="L11449" t="s">
        <v>697</v>
      </c>
      <c r="M11449" t="s">
        <v>712</v>
      </c>
      <c r="N11449" t="s">
        <v>103</v>
      </c>
      <c r="O11449" t="s">
        <v>432</v>
      </c>
      <c r="P11449" t="s">
        <v>746</v>
      </c>
      <c r="Q11449" t="s">
        <v>133</v>
      </c>
      <c r="R11449" t="s">
        <v>465</v>
      </c>
      <c r="S11449" t="s">
        <v>706</v>
      </c>
      <c r="T11449" t="s">
        <v>401</v>
      </c>
      <c r="U11449" t="s">
        <v>253</v>
      </c>
      <c r="V11449" t="s">
        <v>99</v>
      </c>
      <c r="W11449" t="s">
        <v>118</v>
      </c>
      <c r="X11449" t="s">
        <v>128</v>
      </c>
      <c r="Y11449" t="s">
        <v>132</v>
      </c>
      <c r="Z11449" t="s">
        <v>132</v>
      </c>
      <c r="AA11449" t="s">
        <v>99</v>
      </c>
      <c r="AB11449" t="s">
        <v>198</v>
      </c>
      <c r="AC11449" t="s">
        <v>117</v>
      </c>
      <c r="AD11449" t="s">
        <v>151</v>
      </c>
      <c r="AE11449" t="s">
        <v>99</v>
      </c>
      <c r="AF11449" t="s">
        <v>444</v>
      </c>
    </row>
    <row r="11450" spans="1:32" x14ac:dyDescent="0.3">
      <c r="A11450" t="s">
        <v>34</v>
      </c>
      <c r="B11450" t="s">
        <v>212</v>
      </c>
      <c r="C11450">
        <v>1579</v>
      </c>
      <c r="D11450" t="s">
        <v>321</v>
      </c>
      <c r="E11450" t="s">
        <v>828</v>
      </c>
      <c r="F11450" t="s">
        <v>103</v>
      </c>
      <c r="G11450" t="s">
        <v>100</v>
      </c>
      <c r="H11450" t="s">
        <v>132</v>
      </c>
      <c r="I11450" t="s">
        <v>72</v>
      </c>
      <c r="J11450" t="s">
        <v>683</v>
      </c>
      <c r="K11450" t="s">
        <v>1107</v>
      </c>
      <c r="L11450" t="s">
        <v>175</v>
      </c>
      <c r="M11450" t="s">
        <v>319</v>
      </c>
      <c r="N11450" t="s">
        <v>319</v>
      </c>
      <c r="O11450" t="s">
        <v>353</v>
      </c>
      <c r="P11450" t="s">
        <v>277</v>
      </c>
      <c r="Q11450" t="s">
        <v>718</v>
      </c>
      <c r="R11450" t="s">
        <v>289</v>
      </c>
      <c r="S11450" t="s">
        <v>244</v>
      </c>
      <c r="T11450" t="s">
        <v>101</v>
      </c>
      <c r="U11450" t="s">
        <v>126</v>
      </c>
      <c r="V11450" t="s">
        <v>198</v>
      </c>
      <c r="W11450" t="s">
        <v>268</v>
      </c>
      <c r="X11450" t="s">
        <v>141</v>
      </c>
      <c r="Y11450" t="s">
        <v>108</v>
      </c>
      <c r="Z11450" t="s">
        <v>114</v>
      </c>
      <c r="AA11450" t="s">
        <v>99</v>
      </c>
      <c r="AB11450" t="s">
        <v>108</v>
      </c>
      <c r="AC11450" t="s">
        <v>108</v>
      </c>
      <c r="AD11450" t="s">
        <v>121</v>
      </c>
      <c r="AE11450" t="s">
        <v>136</v>
      </c>
      <c r="AF11450" t="s">
        <v>1057</v>
      </c>
    </row>
    <row r="11451" spans="1:32" x14ac:dyDescent="0.3">
      <c r="A11451" t="s">
        <v>34</v>
      </c>
      <c r="B11451" t="s">
        <v>216</v>
      </c>
      <c r="C11451">
        <v>240</v>
      </c>
      <c r="D11451" t="s">
        <v>705</v>
      </c>
      <c r="E11451" t="s">
        <v>1102</v>
      </c>
      <c r="F11451" t="s">
        <v>129</v>
      </c>
      <c r="G11451" t="s">
        <v>141</v>
      </c>
      <c r="H11451" t="s">
        <v>68</v>
      </c>
      <c r="I11451" t="s">
        <v>723</v>
      </c>
      <c r="J11451" t="s">
        <v>313</v>
      </c>
      <c r="K11451" t="s">
        <v>696</v>
      </c>
      <c r="L11451" t="s">
        <v>437</v>
      </c>
      <c r="M11451" t="s">
        <v>277</v>
      </c>
      <c r="N11451" t="s">
        <v>382</v>
      </c>
      <c r="O11451" t="s">
        <v>406</v>
      </c>
      <c r="P11451" t="s">
        <v>405</v>
      </c>
      <c r="Q11451" t="s">
        <v>718</v>
      </c>
      <c r="R11451" t="s">
        <v>700</v>
      </c>
      <c r="S11451" t="s">
        <v>342</v>
      </c>
      <c r="T11451" t="s">
        <v>143</v>
      </c>
      <c r="U11451" t="s">
        <v>114</v>
      </c>
      <c r="V11451" t="s">
        <v>99</v>
      </c>
      <c r="W11451" t="s">
        <v>107</v>
      </c>
      <c r="X11451" t="s">
        <v>101</v>
      </c>
      <c r="Y11451" t="s">
        <v>114</v>
      </c>
      <c r="Z11451" t="s">
        <v>100</v>
      </c>
      <c r="AA11451" t="s">
        <v>128</v>
      </c>
      <c r="AB11451" t="s">
        <v>100</v>
      </c>
      <c r="AC11451" t="s">
        <v>118</v>
      </c>
      <c r="AD11451" t="s">
        <v>101</v>
      </c>
      <c r="AE11451" t="s">
        <v>207</v>
      </c>
      <c r="AF11451" t="s">
        <v>700</v>
      </c>
    </row>
    <row r="11452" spans="1:32" x14ac:dyDescent="0.3">
      <c r="A11452" t="s">
        <v>33</v>
      </c>
      <c r="B11452" t="s">
        <v>210</v>
      </c>
      <c r="C11452">
        <v>67</v>
      </c>
      <c r="D11452" t="s">
        <v>149</v>
      </c>
      <c r="E11452" t="s">
        <v>638</v>
      </c>
      <c r="F11452" t="s">
        <v>74</v>
      </c>
      <c r="G11452" t="s">
        <v>680</v>
      </c>
      <c r="H11452" t="s">
        <v>700</v>
      </c>
      <c r="I11452" t="s">
        <v>294</v>
      </c>
      <c r="J11452" t="s">
        <v>812</v>
      </c>
      <c r="K11452" t="s">
        <v>695</v>
      </c>
      <c r="L11452" t="s">
        <v>116</v>
      </c>
      <c r="M11452" t="s">
        <v>746</v>
      </c>
      <c r="N11452" t="s">
        <v>363</v>
      </c>
      <c r="O11452" t="s">
        <v>463</v>
      </c>
      <c r="P11452" t="s">
        <v>311</v>
      </c>
      <c r="Q11452" t="s">
        <v>737</v>
      </c>
      <c r="R11452" t="s">
        <v>692</v>
      </c>
      <c r="S11452" t="s">
        <v>305</v>
      </c>
      <c r="T11452" t="s">
        <v>328</v>
      </c>
      <c r="U11452" t="s">
        <v>99</v>
      </c>
      <c r="V11452" t="s">
        <v>99</v>
      </c>
      <c r="W11452" t="s">
        <v>98</v>
      </c>
      <c r="X11452" t="s">
        <v>316</v>
      </c>
      <c r="Y11452" t="s">
        <v>121</v>
      </c>
      <c r="Z11452" t="s">
        <v>215</v>
      </c>
      <c r="AA11452" t="s">
        <v>99</v>
      </c>
      <c r="AB11452" t="s">
        <v>100</v>
      </c>
      <c r="AC11452" t="s">
        <v>99</v>
      </c>
      <c r="AD11452" t="s">
        <v>99</v>
      </c>
      <c r="AE11452" t="s">
        <v>99</v>
      </c>
      <c r="AF11452" t="s">
        <v>672</v>
      </c>
    </row>
    <row r="11453" spans="1:32" x14ac:dyDescent="0.3">
      <c r="A11453" t="s">
        <v>33</v>
      </c>
      <c r="B11453" t="s">
        <v>212</v>
      </c>
      <c r="C11453">
        <v>1794</v>
      </c>
      <c r="D11453" t="s">
        <v>78</v>
      </c>
      <c r="E11453" t="s">
        <v>1059</v>
      </c>
      <c r="F11453" t="s">
        <v>292</v>
      </c>
      <c r="G11453" t="s">
        <v>117</v>
      </c>
      <c r="H11453" t="s">
        <v>136</v>
      </c>
      <c r="I11453" t="s">
        <v>143</v>
      </c>
      <c r="J11453" t="s">
        <v>119</v>
      </c>
      <c r="K11453" t="s">
        <v>2115</v>
      </c>
      <c r="L11453" t="s">
        <v>664</v>
      </c>
      <c r="M11453" t="s">
        <v>684</v>
      </c>
      <c r="N11453" t="s">
        <v>121</v>
      </c>
      <c r="O11453" t="s">
        <v>145</v>
      </c>
      <c r="P11453" t="s">
        <v>132</v>
      </c>
      <c r="Q11453" t="s">
        <v>177</v>
      </c>
      <c r="R11453" t="s">
        <v>401</v>
      </c>
      <c r="S11453" t="s">
        <v>268</v>
      </c>
      <c r="T11453" t="s">
        <v>474</v>
      </c>
      <c r="U11453" t="s">
        <v>253</v>
      </c>
      <c r="V11453" t="s">
        <v>99</v>
      </c>
      <c r="W11453" t="s">
        <v>128</v>
      </c>
      <c r="X11453" t="s">
        <v>207</v>
      </c>
      <c r="Y11453" t="s">
        <v>108</v>
      </c>
      <c r="Z11453" t="s">
        <v>207</v>
      </c>
      <c r="AA11453" t="s">
        <v>115</v>
      </c>
      <c r="AB11453" t="s">
        <v>136</v>
      </c>
      <c r="AC11453" t="s">
        <v>207</v>
      </c>
      <c r="AD11453" t="s">
        <v>292</v>
      </c>
      <c r="AE11453" t="s">
        <v>115</v>
      </c>
      <c r="AF11453" t="s">
        <v>1115</v>
      </c>
    </row>
    <row r="11454" spans="1:32" x14ac:dyDescent="0.3">
      <c r="A11454" t="s">
        <v>33</v>
      </c>
      <c r="B11454" t="s">
        <v>216</v>
      </c>
      <c r="C11454">
        <v>69</v>
      </c>
      <c r="D11454" t="s">
        <v>416</v>
      </c>
      <c r="E11454" t="s">
        <v>186</v>
      </c>
      <c r="F11454" t="s">
        <v>684</v>
      </c>
      <c r="G11454" t="s">
        <v>684</v>
      </c>
      <c r="H11454" t="s">
        <v>149</v>
      </c>
      <c r="I11454" t="s">
        <v>316</v>
      </c>
      <c r="J11454" t="s">
        <v>1008</v>
      </c>
      <c r="K11454" t="s">
        <v>529</v>
      </c>
      <c r="L11454" t="s">
        <v>120</v>
      </c>
      <c r="M11454" t="s">
        <v>144</v>
      </c>
      <c r="N11454" t="s">
        <v>99</v>
      </c>
      <c r="O11454" t="s">
        <v>112</v>
      </c>
      <c r="P11454" t="s">
        <v>319</v>
      </c>
      <c r="Q11454" t="s">
        <v>664</v>
      </c>
      <c r="R11454" t="s">
        <v>291</v>
      </c>
      <c r="S11454" t="s">
        <v>135</v>
      </c>
      <c r="T11454" t="s">
        <v>708</v>
      </c>
      <c r="U11454" t="s">
        <v>144</v>
      </c>
      <c r="V11454" t="s">
        <v>99</v>
      </c>
      <c r="W11454" t="s">
        <v>160</v>
      </c>
      <c r="X11454" t="s">
        <v>99</v>
      </c>
      <c r="Y11454" t="s">
        <v>99</v>
      </c>
      <c r="Z11454" t="s">
        <v>382</v>
      </c>
      <c r="AA11454" t="s">
        <v>127</v>
      </c>
      <c r="AB11454" t="s">
        <v>99</v>
      </c>
      <c r="AC11454" t="s">
        <v>99</v>
      </c>
      <c r="AD11454" t="s">
        <v>129</v>
      </c>
      <c r="AE11454" t="s">
        <v>99</v>
      </c>
      <c r="AF11454" t="s">
        <v>745</v>
      </c>
    </row>
    <row r="11455" spans="1:32" x14ac:dyDescent="0.3">
      <c r="A11455" t="s">
        <v>49</v>
      </c>
      <c r="B11455" t="s">
        <v>210</v>
      </c>
      <c r="C11455">
        <v>761</v>
      </c>
      <c r="D11455" t="s">
        <v>804</v>
      </c>
      <c r="E11455" t="s">
        <v>669</v>
      </c>
      <c r="F11455" t="s">
        <v>41</v>
      </c>
      <c r="G11455" t="s">
        <v>731</v>
      </c>
      <c r="H11455" t="s">
        <v>173</v>
      </c>
      <c r="I11455" t="s">
        <v>220</v>
      </c>
      <c r="J11455" t="s">
        <v>188</v>
      </c>
      <c r="K11455" t="s">
        <v>429</v>
      </c>
      <c r="L11455" t="s">
        <v>742</v>
      </c>
      <c r="M11455" t="s">
        <v>712</v>
      </c>
      <c r="N11455" t="s">
        <v>332</v>
      </c>
      <c r="O11455" t="s">
        <v>357</v>
      </c>
      <c r="P11455" t="s">
        <v>313</v>
      </c>
      <c r="Q11455" t="s">
        <v>220</v>
      </c>
      <c r="R11455" t="s">
        <v>357</v>
      </c>
      <c r="S11455" t="s">
        <v>206</v>
      </c>
      <c r="T11455" t="s">
        <v>98</v>
      </c>
      <c r="U11455" t="s">
        <v>151</v>
      </c>
      <c r="V11455" t="s">
        <v>104</v>
      </c>
      <c r="W11455" t="s">
        <v>139</v>
      </c>
      <c r="X11455" t="s">
        <v>215</v>
      </c>
      <c r="Y11455" t="s">
        <v>108</v>
      </c>
      <c r="Z11455" t="s">
        <v>108</v>
      </c>
      <c r="AA11455" t="s">
        <v>136</v>
      </c>
      <c r="AB11455" t="s">
        <v>198</v>
      </c>
      <c r="AC11455" t="s">
        <v>382</v>
      </c>
      <c r="AD11455" t="s">
        <v>121</v>
      </c>
      <c r="AE11455" t="s">
        <v>99</v>
      </c>
      <c r="AF11455" t="s">
        <v>357</v>
      </c>
    </row>
    <row r="11456" spans="1:32" x14ac:dyDescent="0.3">
      <c r="A11456" t="s">
        <v>49</v>
      </c>
      <c r="B11456" t="s">
        <v>212</v>
      </c>
      <c r="C11456">
        <v>11287</v>
      </c>
      <c r="D11456" t="s">
        <v>416</v>
      </c>
      <c r="E11456" t="s">
        <v>967</v>
      </c>
      <c r="F11456" t="s">
        <v>120</v>
      </c>
      <c r="G11456" t="s">
        <v>127</v>
      </c>
      <c r="H11456" t="s">
        <v>100</v>
      </c>
      <c r="I11456" t="s">
        <v>135</v>
      </c>
      <c r="J11456" t="s">
        <v>1105</v>
      </c>
      <c r="K11456" t="s">
        <v>1232</v>
      </c>
      <c r="L11456" t="s">
        <v>710</v>
      </c>
      <c r="M11456" t="s">
        <v>118</v>
      </c>
      <c r="N11456" t="s">
        <v>319</v>
      </c>
      <c r="O11456" t="s">
        <v>70</v>
      </c>
      <c r="P11456" t="s">
        <v>117</v>
      </c>
      <c r="Q11456" t="s">
        <v>811</v>
      </c>
      <c r="R11456" t="s">
        <v>222</v>
      </c>
      <c r="S11456" t="s">
        <v>468</v>
      </c>
      <c r="T11456" t="s">
        <v>120</v>
      </c>
      <c r="U11456" t="s">
        <v>121</v>
      </c>
      <c r="V11456" t="s">
        <v>104</v>
      </c>
      <c r="W11456" t="s">
        <v>105</v>
      </c>
      <c r="X11456" t="s">
        <v>132</v>
      </c>
      <c r="Y11456" t="s">
        <v>215</v>
      </c>
      <c r="Z11456" t="s">
        <v>101</v>
      </c>
      <c r="AA11456" t="s">
        <v>207</v>
      </c>
      <c r="AB11456" t="s">
        <v>198</v>
      </c>
      <c r="AC11456" t="s">
        <v>136</v>
      </c>
      <c r="AD11456" t="s">
        <v>123</v>
      </c>
      <c r="AE11456" t="s">
        <v>115</v>
      </c>
      <c r="AF11456" t="s">
        <v>697</v>
      </c>
    </row>
    <row r="11457" spans="1:32" x14ac:dyDescent="0.3">
      <c r="A11457" t="s">
        <v>49</v>
      </c>
      <c r="B11457" t="s">
        <v>216</v>
      </c>
      <c r="C11457">
        <v>1250</v>
      </c>
      <c r="D11457" t="s">
        <v>264</v>
      </c>
      <c r="E11457" t="s">
        <v>929</v>
      </c>
      <c r="F11457" t="s">
        <v>143</v>
      </c>
      <c r="G11457" t="s">
        <v>332</v>
      </c>
      <c r="H11457" t="s">
        <v>242</v>
      </c>
      <c r="I11457" t="s">
        <v>294</v>
      </c>
      <c r="J11457" t="s">
        <v>425</v>
      </c>
      <c r="K11457" t="s">
        <v>1105</v>
      </c>
      <c r="L11457" t="s">
        <v>218</v>
      </c>
      <c r="M11457" t="s">
        <v>107</v>
      </c>
      <c r="N11457" t="s">
        <v>121</v>
      </c>
      <c r="O11457" t="s">
        <v>369</v>
      </c>
      <c r="P11457" t="s">
        <v>332</v>
      </c>
      <c r="Q11457" t="s">
        <v>133</v>
      </c>
      <c r="R11457" t="s">
        <v>244</v>
      </c>
      <c r="S11457" t="s">
        <v>289</v>
      </c>
      <c r="T11457" t="s">
        <v>684</v>
      </c>
      <c r="U11457" t="s">
        <v>101</v>
      </c>
      <c r="V11457" t="s">
        <v>99</v>
      </c>
      <c r="W11457" t="s">
        <v>107</v>
      </c>
      <c r="X11457" t="s">
        <v>115</v>
      </c>
      <c r="Y11457" t="s">
        <v>141</v>
      </c>
      <c r="Z11457" t="s">
        <v>382</v>
      </c>
      <c r="AA11457" t="s">
        <v>114</v>
      </c>
      <c r="AB11457" t="s">
        <v>198</v>
      </c>
      <c r="AC11457" t="s">
        <v>382</v>
      </c>
      <c r="AD11457" t="s">
        <v>107</v>
      </c>
      <c r="AE11457" t="s">
        <v>136</v>
      </c>
      <c r="AF11457" t="s">
        <v>668</v>
      </c>
    </row>
    <row r="11459" spans="1:32" x14ac:dyDescent="0.3">
      <c r="A11459" t="s">
        <v>2674</v>
      </c>
    </row>
    <row r="11460" spans="1:32" x14ac:dyDescent="0.3">
      <c r="A11460" t="s">
        <v>44</v>
      </c>
      <c r="B11460" t="s">
        <v>388</v>
      </c>
      <c r="C11460" t="s">
        <v>32</v>
      </c>
      <c r="D11460" t="s">
        <v>2647</v>
      </c>
      <c r="E11460" t="s">
        <v>2648</v>
      </c>
      <c r="F11460" t="s">
        <v>2649</v>
      </c>
      <c r="G11460" t="s">
        <v>2650</v>
      </c>
      <c r="H11460" t="s">
        <v>2651</v>
      </c>
      <c r="I11460" t="s">
        <v>2652</v>
      </c>
      <c r="J11460" t="s">
        <v>2653</v>
      </c>
      <c r="K11460" t="s">
        <v>2654</v>
      </c>
      <c r="L11460" t="s">
        <v>2655</v>
      </c>
      <c r="M11460" t="s">
        <v>2656</v>
      </c>
      <c r="N11460" t="s">
        <v>2657</v>
      </c>
      <c r="O11460" t="s">
        <v>2658</v>
      </c>
      <c r="P11460" t="s">
        <v>2659</v>
      </c>
      <c r="Q11460" t="s">
        <v>2660</v>
      </c>
      <c r="R11460" t="s">
        <v>2661</v>
      </c>
      <c r="S11460" t="s">
        <v>2662</v>
      </c>
      <c r="T11460" t="s">
        <v>2663</v>
      </c>
      <c r="U11460" t="s">
        <v>2664</v>
      </c>
      <c r="V11460" t="s">
        <v>2665</v>
      </c>
      <c r="W11460" t="s">
        <v>2666</v>
      </c>
      <c r="X11460" t="s">
        <v>2667</v>
      </c>
      <c r="Y11460" t="s">
        <v>2668</v>
      </c>
      <c r="Z11460" t="s">
        <v>2669</v>
      </c>
      <c r="AA11460" t="s">
        <v>2670</v>
      </c>
      <c r="AB11460" t="s">
        <v>2671</v>
      </c>
      <c r="AC11460" t="s">
        <v>88</v>
      </c>
      <c r="AD11460" t="s">
        <v>83</v>
      </c>
      <c r="AE11460" t="s">
        <v>193</v>
      </c>
      <c r="AF11460" t="s">
        <v>1323</v>
      </c>
    </row>
    <row r="11461" spans="1:32" x14ac:dyDescent="0.3">
      <c r="A11461" t="s">
        <v>35</v>
      </c>
      <c r="B11461" t="s">
        <v>389</v>
      </c>
      <c r="C11461">
        <v>2138</v>
      </c>
      <c r="D11461" t="s">
        <v>798</v>
      </c>
      <c r="E11461" t="s">
        <v>906</v>
      </c>
      <c r="F11461" t="s">
        <v>277</v>
      </c>
      <c r="G11461" t="s">
        <v>123</v>
      </c>
      <c r="H11461" t="s">
        <v>105</v>
      </c>
      <c r="I11461" t="s">
        <v>144</v>
      </c>
      <c r="J11461" t="s">
        <v>736</v>
      </c>
      <c r="K11461" t="s">
        <v>631</v>
      </c>
      <c r="L11461" t="s">
        <v>318</v>
      </c>
      <c r="M11461" t="s">
        <v>316</v>
      </c>
      <c r="N11461" t="s">
        <v>382</v>
      </c>
      <c r="O11461" t="s">
        <v>133</v>
      </c>
      <c r="P11461" t="s">
        <v>120</v>
      </c>
      <c r="Q11461" t="s">
        <v>737</v>
      </c>
      <c r="R11461" t="s">
        <v>315</v>
      </c>
      <c r="S11461" t="s">
        <v>663</v>
      </c>
      <c r="T11461" t="s">
        <v>332</v>
      </c>
      <c r="U11461" t="s">
        <v>121</v>
      </c>
      <c r="V11461" t="s">
        <v>99</v>
      </c>
      <c r="W11461" t="s">
        <v>147</v>
      </c>
      <c r="X11461" t="s">
        <v>253</v>
      </c>
      <c r="Y11461" t="s">
        <v>127</v>
      </c>
      <c r="Z11461" t="s">
        <v>382</v>
      </c>
      <c r="AA11461" t="s">
        <v>207</v>
      </c>
      <c r="AB11461" t="s">
        <v>104</v>
      </c>
      <c r="AC11461" t="s">
        <v>141</v>
      </c>
      <c r="AD11461" t="s">
        <v>292</v>
      </c>
      <c r="AE11461" t="s">
        <v>136</v>
      </c>
      <c r="AF11461" t="s">
        <v>508</v>
      </c>
    </row>
    <row r="11462" spans="1:32" x14ac:dyDescent="0.3">
      <c r="A11462" t="s">
        <v>35</v>
      </c>
      <c r="B11462" t="s">
        <v>390</v>
      </c>
      <c r="C11462">
        <v>873</v>
      </c>
      <c r="D11462" t="s">
        <v>303</v>
      </c>
      <c r="E11462" t="s">
        <v>826</v>
      </c>
      <c r="F11462" t="s">
        <v>215</v>
      </c>
      <c r="G11462" t="s">
        <v>135</v>
      </c>
      <c r="H11462" t="s">
        <v>110</v>
      </c>
      <c r="I11462" t="s">
        <v>401</v>
      </c>
      <c r="J11462" t="s">
        <v>696</v>
      </c>
      <c r="K11462" t="s">
        <v>797</v>
      </c>
      <c r="L11462" t="s">
        <v>218</v>
      </c>
      <c r="M11462" t="s">
        <v>138</v>
      </c>
      <c r="N11462" t="s">
        <v>319</v>
      </c>
      <c r="O11462" t="s">
        <v>152</v>
      </c>
      <c r="P11462" t="s">
        <v>127</v>
      </c>
      <c r="Q11462" t="s">
        <v>311</v>
      </c>
      <c r="R11462" t="s">
        <v>704</v>
      </c>
      <c r="S11462" t="s">
        <v>332</v>
      </c>
      <c r="T11462" t="s">
        <v>126</v>
      </c>
      <c r="U11462" t="s">
        <v>115</v>
      </c>
      <c r="V11462" t="s">
        <v>104</v>
      </c>
      <c r="W11462" t="s">
        <v>292</v>
      </c>
      <c r="X11462" t="s">
        <v>108</v>
      </c>
      <c r="Y11462" t="s">
        <v>132</v>
      </c>
      <c r="Z11462" t="s">
        <v>111</v>
      </c>
      <c r="AA11462" t="s">
        <v>99</v>
      </c>
      <c r="AB11462" t="s">
        <v>99</v>
      </c>
      <c r="AC11462" t="s">
        <v>136</v>
      </c>
      <c r="AD11462" t="s">
        <v>123</v>
      </c>
      <c r="AE11462" t="s">
        <v>121</v>
      </c>
      <c r="AF11462" t="s">
        <v>276</v>
      </c>
    </row>
    <row r="11463" spans="1:32" x14ac:dyDescent="0.3">
      <c r="A11463" t="s">
        <v>35</v>
      </c>
      <c r="B11463" t="s">
        <v>365</v>
      </c>
      <c r="C11463">
        <v>129</v>
      </c>
      <c r="D11463" t="s">
        <v>103</v>
      </c>
      <c r="E11463" t="s">
        <v>1044</v>
      </c>
      <c r="F11463" t="s">
        <v>405</v>
      </c>
      <c r="G11463" t="s">
        <v>100</v>
      </c>
      <c r="H11463" t="s">
        <v>253</v>
      </c>
      <c r="I11463" t="s">
        <v>412</v>
      </c>
      <c r="J11463" t="s">
        <v>150</v>
      </c>
      <c r="K11463" t="s">
        <v>393</v>
      </c>
      <c r="L11463" t="s">
        <v>363</v>
      </c>
      <c r="M11463" t="s">
        <v>382</v>
      </c>
      <c r="N11463" t="s">
        <v>99</v>
      </c>
      <c r="O11463" t="s">
        <v>118</v>
      </c>
      <c r="P11463" t="s">
        <v>99</v>
      </c>
      <c r="Q11463" t="s">
        <v>158</v>
      </c>
      <c r="R11463" t="s">
        <v>255</v>
      </c>
      <c r="S11463" t="s">
        <v>332</v>
      </c>
      <c r="T11463" t="s">
        <v>130</v>
      </c>
      <c r="U11463" t="s">
        <v>292</v>
      </c>
      <c r="V11463" t="s">
        <v>99</v>
      </c>
      <c r="W11463" t="s">
        <v>118</v>
      </c>
      <c r="X11463" t="s">
        <v>198</v>
      </c>
      <c r="Y11463" t="s">
        <v>207</v>
      </c>
      <c r="Z11463" t="s">
        <v>111</v>
      </c>
      <c r="AA11463" t="s">
        <v>99</v>
      </c>
      <c r="AB11463" t="s">
        <v>99</v>
      </c>
      <c r="AC11463" t="s">
        <v>136</v>
      </c>
      <c r="AD11463" t="s">
        <v>332</v>
      </c>
      <c r="AE11463" t="s">
        <v>115</v>
      </c>
      <c r="AF11463" t="s">
        <v>793</v>
      </c>
    </row>
    <row r="11464" spans="1:32" x14ac:dyDescent="0.3">
      <c r="A11464" t="s">
        <v>37</v>
      </c>
      <c r="B11464" t="s">
        <v>389</v>
      </c>
      <c r="C11464">
        <v>2302</v>
      </c>
      <c r="D11464" t="s">
        <v>152</v>
      </c>
      <c r="E11464" t="s">
        <v>812</v>
      </c>
      <c r="F11464" t="s">
        <v>134</v>
      </c>
      <c r="G11464" t="s">
        <v>319</v>
      </c>
      <c r="H11464" t="s">
        <v>382</v>
      </c>
      <c r="I11464" t="s">
        <v>139</v>
      </c>
      <c r="J11464" t="s">
        <v>920</v>
      </c>
      <c r="K11464" t="s">
        <v>1185</v>
      </c>
      <c r="L11464" t="s">
        <v>814</v>
      </c>
      <c r="M11464" t="s">
        <v>434</v>
      </c>
      <c r="N11464" t="s">
        <v>319</v>
      </c>
      <c r="O11464" t="s">
        <v>248</v>
      </c>
      <c r="P11464" t="s">
        <v>107</v>
      </c>
      <c r="Q11464" t="s">
        <v>39</v>
      </c>
      <c r="R11464" t="s">
        <v>704</v>
      </c>
      <c r="S11464" t="s">
        <v>332</v>
      </c>
      <c r="T11464" t="s">
        <v>107</v>
      </c>
      <c r="U11464" t="s">
        <v>123</v>
      </c>
      <c r="V11464" t="s">
        <v>198</v>
      </c>
      <c r="W11464" t="s">
        <v>118</v>
      </c>
      <c r="X11464" t="s">
        <v>100</v>
      </c>
      <c r="Y11464" t="s">
        <v>117</v>
      </c>
      <c r="Z11464" t="s">
        <v>101</v>
      </c>
      <c r="AA11464" t="s">
        <v>207</v>
      </c>
      <c r="AB11464" t="s">
        <v>99</v>
      </c>
      <c r="AC11464" t="s">
        <v>104</v>
      </c>
      <c r="AD11464" t="s">
        <v>147</v>
      </c>
      <c r="AE11464" t="s">
        <v>253</v>
      </c>
      <c r="AF11464" t="s">
        <v>1167</v>
      </c>
    </row>
    <row r="11465" spans="1:32" x14ac:dyDescent="0.3">
      <c r="A11465" t="s">
        <v>37</v>
      </c>
      <c r="B11465" t="s">
        <v>390</v>
      </c>
      <c r="C11465">
        <v>1309</v>
      </c>
      <c r="D11465" t="s">
        <v>663</v>
      </c>
      <c r="E11465" t="s">
        <v>156</v>
      </c>
      <c r="F11465" t="s">
        <v>111</v>
      </c>
      <c r="G11465" t="s">
        <v>268</v>
      </c>
      <c r="H11465" t="s">
        <v>120</v>
      </c>
      <c r="I11465" t="s">
        <v>149</v>
      </c>
      <c r="J11465" t="s">
        <v>240</v>
      </c>
      <c r="K11465" t="s">
        <v>485</v>
      </c>
      <c r="L11465" t="s">
        <v>248</v>
      </c>
      <c r="M11465" t="s">
        <v>134</v>
      </c>
      <c r="N11465" t="s">
        <v>292</v>
      </c>
      <c r="O11465" t="s">
        <v>184</v>
      </c>
      <c r="P11465" t="s">
        <v>123</v>
      </c>
      <c r="Q11465" t="s">
        <v>691</v>
      </c>
      <c r="R11465" t="s">
        <v>355</v>
      </c>
      <c r="S11465" t="s">
        <v>151</v>
      </c>
      <c r="T11465" t="s">
        <v>151</v>
      </c>
      <c r="U11465" t="s">
        <v>123</v>
      </c>
      <c r="V11465" t="s">
        <v>198</v>
      </c>
      <c r="W11465" t="s">
        <v>145</v>
      </c>
      <c r="X11465" t="s">
        <v>319</v>
      </c>
      <c r="Y11465" t="s">
        <v>316</v>
      </c>
      <c r="Z11465" t="s">
        <v>123</v>
      </c>
      <c r="AA11465" t="s">
        <v>104</v>
      </c>
      <c r="AB11465" t="s">
        <v>99</v>
      </c>
      <c r="AC11465" t="s">
        <v>99</v>
      </c>
      <c r="AD11465" t="s">
        <v>292</v>
      </c>
      <c r="AE11465" t="s">
        <v>115</v>
      </c>
      <c r="AF11465" t="s">
        <v>719</v>
      </c>
    </row>
    <row r="11466" spans="1:32" x14ac:dyDescent="0.3">
      <c r="A11466" t="s">
        <v>37</v>
      </c>
      <c r="B11466" t="s">
        <v>365</v>
      </c>
      <c r="C11466">
        <v>241</v>
      </c>
      <c r="D11466" t="s">
        <v>41</v>
      </c>
      <c r="E11466" t="s">
        <v>451</v>
      </c>
      <c r="F11466" t="s">
        <v>144</v>
      </c>
      <c r="G11466" t="s">
        <v>111</v>
      </c>
      <c r="H11466" t="s">
        <v>99</v>
      </c>
      <c r="I11466" t="s">
        <v>155</v>
      </c>
      <c r="J11466" t="s">
        <v>309</v>
      </c>
      <c r="K11466" t="s">
        <v>246</v>
      </c>
      <c r="L11466" t="s">
        <v>722</v>
      </c>
      <c r="M11466" t="s">
        <v>103</v>
      </c>
      <c r="N11466" t="s">
        <v>105</v>
      </c>
      <c r="O11466" t="s">
        <v>264</v>
      </c>
      <c r="P11466" t="s">
        <v>120</v>
      </c>
      <c r="Q11466" t="s">
        <v>186</v>
      </c>
      <c r="R11466" t="s">
        <v>1008</v>
      </c>
      <c r="S11466" t="s">
        <v>143</v>
      </c>
      <c r="T11466" t="s">
        <v>412</v>
      </c>
      <c r="U11466" t="s">
        <v>316</v>
      </c>
      <c r="V11466" t="s">
        <v>99</v>
      </c>
      <c r="W11466" t="s">
        <v>150</v>
      </c>
      <c r="X11466" t="s">
        <v>101</v>
      </c>
      <c r="Y11466" t="s">
        <v>101</v>
      </c>
      <c r="Z11466" t="s">
        <v>132</v>
      </c>
      <c r="AA11466" t="s">
        <v>99</v>
      </c>
      <c r="AB11466" t="s">
        <v>99</v>
      </c>
      <c r="AC11466" t="s">
        <v>99</v>
      </c>
      <c r="AD11466" t="s">
        <v>155</v>
      </c>
      <c r="AE11466" t="s">
        <v>319</v>
      </c>
      <c r="AF11466" t="s">
        <v>481</v>
      </c>
    </row>
    <row r="11467" spans="1:32" x14ac:dyDescent="0.3">
      <c r="A11467" t="s">
        <v>36</v>
      </c>
      <c r="B11467" t="s">
        <v>389</v>
      </c>
      <c r="C11467">
        <v>1576</v>
      </c>
      <c r="D11467" t="s">
        <v>357</v>
      </c>
      <c r="E11467" t="s">
        <v>1051</v>
      </c>
      <c r="F11467" t="s">
        <v>70</v>
      </c>
      <c r="G11467" t="s">
        <v>74</v>
      </c>
      <c r="H11467" t="s">
        <v>332</v>
      </c>
      <c r="I11467" t="s">
        <v>393</v>
      </c>
      <c r="J11467" t="s">
        <v>519</v>
      </c>
      <c r="K11467" t="s">
        <v>725</v>
      </c>
      <c r="L11467" t="s">
        <v>676</v>
      </c>
      <c r="M11467" t="s">
        <v>74</v>
      </c>
      <c r="N11467" t="s">
        <v>100</v>
      </c>
      <c r="O11467" t="s">
        <v>379</v>
      </c>
      <c r="P11467" t="s">
        <v>128</v>
      </c>
      <c r="Q11467" t="s">
        <v>240</v>
      </c>
      <c r="R11467" t="s">
        <v>440</v>
      </c>
      <c r="S11467" t="s">
        <v>142</v>
      </c>
      <c r="T11467" t="s">
        <v>130</v>
      </c>
      <c r="U11467" t="s">
        <v>101</v>
      </c>
      <c r="V11467" t="s">
        <v>99</v>
      </c>
      <c r="W11467" t="s">
        <v>151</v>
      </c>
      <c r="X11467" t="s">
        <v>121</v>
      </c>
      <c r="Y11467" t="s">
        <v>114</v>
      </c>
      <c r="Z11467" t="s">
        <v>127</v>
      </c>
      <c r="AA11467" t="s">
        <v>115</v>
      </c>
      <c r="AB11467" t="s">
        <v>99</v>
      </c>
      <c r="AC11467" t="s">
        <v>121</v>
      </c>
      <c r="AD11467" t="s">
        <v>108</v>
      </c>
      <c r="AE11467" t="s">
        <v>253</v>
      </c>
      <c r="AF11467" t="s">
        <v>814</v>
      </c>
    </row>
    <row r="11468" spans="1:32" x14ac:dyDescent="0.3">
      <c r="A11468" t="s">
        <v>36</v>
      </c>
      <c r="B11468" t="s">
        <v>390</v>
      </c>
      <c r="C11468">
        <v>626</v>
      </c>
      <c r="D11468" t="s">
        <v>39</v>
      </c>
      <c r="E11468" t="s">
        <v>818</v>
      </c>
      <c r="F11468" t="s">
        <v>154</v>
      </c>
      <c r="G11468" t="s">
        <v>112</v>
      </c>
      <c r="H11468" t="s">
        <v>68</v>
      </c>
      <c r="I11468" t="s">
        <v>150</v>
      </c>
      <c r="J11468" t="s">
        <v>523</v>
      </c>
      <c r="K11468" t="s">
        <v>681</v>
      </c>
      <c r="L11468" t="s">
        <v>291</v>
      </c>
      <c r="M11468" t="s">
        <v>158</v>
      </c>
      <c r="N11468" t="s">
        <v>382</v>
      </c>
      <c r="O11468" t="s">
        <v>405</v>
      </c>
      <c r="P11468" t="s">
        <v>110</v>
      </c>
      <c r="Q11468" t="s">
        <v>39</v>
      </c>
      <c r="R11468" t="s">
        <v>536</v>
      </c>
      <c r="S11468" t="s">
        <v>98</v>
      </c>
      <c r="T11468" t="s">
        <v>127</v>
      </c>
      <c r="U11468" t="s">
        <v>115</v>
      </c>
      <c r="V11468" t="s">
        <v>99</v>
      </c>
      <c r="W11468" t="s">
        <v>114</v>
      </c>
      <c r="X11468" t="s">
        <v>136</v>
      </c>
      <c r="Y11468" t="s">
        <v>117</v>
      </c>
      <c r="Z11468" t="s">
        <v>253</v>
      </c>
      <c r="AA11468" t="s">
        <v>198</v>
      </c>
      <c r="AB11468" t="s">
        <v>104</v>
      </c>
      <c r="AC11468" t="s">
        <v>100</v>
      </c>
      <c r="AD11468" t="s">
        <v>104</v>
      </c>
      <c r="AE11468" t="s">
        <v>121</v>
      </c>
      <c r="AF11468" t="s">
        <v>735</v>
      </c>
    </row>
    <row r="11469" spans="1:32" x14ac:dyDescent="0.3">
      <c r="A11469" t="s">
        <v>36</v>
      </c>
      <c r="B11469" t="s">
        <v>365</v>
      </c>
      <c r="C11469">
        <v>100</v>
      </c>
      <c r="D11469" t="s">
        <v>701</v>
      </c>
      <c r="E11469" t="s">
        <v>831</v>
      </c>
      <c r="F11469" t="s">
        <v>182</v>
      </c>
      <c r="G11469" t="s">
        <v>368</v>
      </c>
      <c r="H11469" t="s">
        <v>363</v>
      </c>
      <c r="I11469" t="s">
        <v>133</v>
      </c>
      <c r="J11469" t="s">
        <v>224</v>
      </c>
      <c r="K11469" t="s">
        <v>932</v>
      </c>
      <c r="L11469" t="s">
        <v>177</v>
      </c>
      <c r="M11469" t="s">
        <v>154</v>
      </c>
      <c r="N11469" t="s">
        <v>99</v>
      </c>
      <c r="O11469" t="s">
        <v>679</v>
      </c>
      <c r="P11469" t="s">
        <v>98</v>
      </c>
      <c r="Q11469" t="s">
        <v>672</v>
      </c>
      <c r="R11469" t="s">
        <v>747</v>
      </c>
      <c r="S11469" t="s">
        <v>262</v>
      </c>
      <c r="T11469" t="s">
        <v>165</v>
      </c>
      <c r="U11469" t="s">
        <v>198</v>
      </c>
      <c r="V11469" t="s">
        <v>198</v>
      </c>
      <c r="W11469" t="s">
        <v>382</v>
      </c>
      <c r="X11469" t="s">
        <v>99</v>
      </c>
      <c r="Y11469" t="s">
        <v>207</v>
      </c>
      <c r="Z11469" t="s">
        <v>99</v>
      </c>
      <c r="AA11469" t="s">
        <v>99</v>
      </c>
      <c r="AB11469" t="s">
        <v>99</v>
      </c>
      <c r="AC11469" t="s">
        <v>103</v>
      </c>
      <c r="AD11469" t="s">
        <v>675</v>
      </c>
      <c r="AE11469" t="s">
        <v>136</v>
      </c>
      <c r="AF11469" t="s">
        <v>173</v>
      </c>
    </row>
    <row r="11470" spans="1:32" x14ac:dyDescent="0.3">
      <c r="A11470" t="s">
        <v>34</v>
      </c>
      <c r="B11470" t="s">
        <v>389</v>
      </c>
      <c r="C11470">
        <v>1382</v>
      </c>
      <c r="D11470" t="s">
        <v>267</v>
      </c>
      <c r="E11470" t="s">
        <v>699</v>
      </c>
      <c r="F11470" t="s">
        <v>155</v>
      </c>
      <c r="G11470" t="s">
        <v>123</v>
      </c>
      <c r="H11470" t="s">
        <v>110</v>
      </c>
      <c r="I11470" t="s">
        <v>244</v>
      </c>
      <c r="J11470" t="s">
        <v>691</v>
      </c>
      <c r="K11470" t="s">
        <v>809</v>
      </c>
      <c r="L11470" t="s">
        <v>309</v>
      </c>
      <c r="M11470" t="s">
        <v>128</v>
      </c>
      <c r="N11470" t="s">
        <v>215</v>
      </c>
      <c r="O11470" t="s">
        <v>677</v>
      </c>
      <c r="P11470" t="s">
        <v>125</v>
      </c>
      <c r="Q11470" t="s">
        <v>406</v>
      </c>
      <c r="R11470" t="s">
        <v>267</v>
      </c>
      <c r="S11470" t="s">
        <v>811</v>
      </c>
      <c r="T11470" t="s">
        <v>332</v>
      </c>
      <c r="U11470" t="s">
        <v>101</v>
      </c>
      <c r="V11470" t="s">
        <v>198</v>
      </c>
      <c r="W11470" t="s">
        <v>316</v>
      </c>
      <c r="X11470" t="s">
        <v>100</v>
      </c>
      <c r="Y11470" t="s">
        <v>114</v>
      </c>
      <c r="Z11470" t="s">
        <v>114</v>
      </c>
      <c r="AA11470" t="s">
        <v>136</v>
      </c>
      <c r="AB11470" t="s">
        <v>114</v>
      </c>
      <c r="AC11470" t="s">
        <v>215</v>
      </c>
      <c r="AD11470" t="s">
        <v>215</v>
      </c>
      <c r="AE11470" t="s">
        <v>136</v>
      </c>
      <c r="AF11470" t="s">
        <v>298</v>
      </c>
    </row>
    <row r="11471" spans="1:32" x14ac:dyDescent="0.3">
      <c r="A11471" t="s">
        <v>34</v>
      </c>
      <c r="B11471" t="s">
        <v>390</v>
      </c>
      <c r="C11471">
        <v>613</v>
      </c>
      <c r="D11471" t="s">
        <v>739</v>
      </c>
      <c r="E11471" t="s">
        <v>481</v>
      </c>
      <c r="F11471" t="s">
        <v>382</v>
      </c>
      <c r="G11471" t="s">
        <v>105</v>
      </c>
      <c r="H11471" t="s">
        <v>127</v>
      </c>
      <c r="I11471" t="s">
        <v>315</v>
      </c>
      <c r="J11471" t="s">
        <v>738</v>
      </c>
      <c r="K11471" t="s">
        <v>735</v>
      </c>
      <c r="L11471" t="s">
        <v>461</v>
      </c>
      <c r="M11471" t="s">
        <v>123</v>
      </c>
      <c r="N11471" t="s">
        <v>100</v>
      </c>
      <c r="O11471" t="s">
        <v>124</v>
      </c>
      <c r="P11471" t="s">
        <v>292</v>
      </c>
      <c r="Q11471" t="s">
        <v>175</v>
      </c>
      <c r="R11471" t="s">
        <v>289</v>
      </c>
      <c r="S11471" t="s">
        <v>482</v>
      </c>
      <c r="T11471" t="s">
        <v>103</v>
      </c>
      <c r="U11471" t="s">
        <v>100</v>
      </c>
      <c r="V11471" t="s">
        <v>99</v>
      </c>
      <c r="W11471" t="s">
        <v>268</v>
      </c>
      <c r="X11471" t="s">
        <v>108</v>
      </c>
      <c r="Y11471" t="s">
        <v>132</v>
      </c>
      <c r="Z11471" t="s">
        <v>114</v>
      </c>
      <c r="AA11471" t="s">
        <v>141</v>
      </c>
      <c r="AB11471" t="s">
        <v>207</v>
      </c>
      <c r="AC11471" t="s">
        <v>121</v>
      </c>
      <c r="AD11471" t="s">
        <v>115</v>
      </c>
      <c r="AE11471" t="s">
        <v>198</v>
      </c>
      <c r="AF11471" t="s">
        <v>840</v>
      </c>
    </row>
    <row r="11472" spans="1:32" x14ac:dyDescent="0.3">
      <c r="A11472" t="s">
        <v>34</v>
      </c>
      <c r="B11472" t="s">
        <v>365</v>
      </c>
      <c r="C11472">
        <v>79</v>
      </c>
      <c r="D11472" t="s">
        <v>179</v>
      </c>
      <c r="E11472" t="s">
        <v>967</v>
      </c>
      <c r="F11472" t="s">
        <v>132</v>
      </c>
      <c r="G11472" t="s">
        <v>128</v>
      </c>
      <c r="H11472" t="s">
        <v>121</v>
      </c>
      <c r="I11472" t="s">
        <v>157</v>
      </c>
      <c r="J11472" t="s">
        <v>112</v>
      </c>
      <c r="K11472" t="s">
        <v>489</v>
      </c>
      <c r="L11472" t="s">
        <v>342</v>
      </c>
      <c r="M11472" t="s">
        <v>151</v>
      </c>
      <c r="N11472" t="s">
        <v>128</v>
      </c>
      <c r="O11472" t="s">
        <v>416</v>
      </c>
      <c r="P11472" t="s">
        <v>369</v>
      </c>
      <c r="Q11472" t="s">
        <v>482</v>
      </c>
      <c r="R11472" t="s">
        <v>313</v>
      </c>
      <c r="S11472" t="s">
        <v>76</v>
      </c>
      <c r="T11472" t="s">
        <v>114</v>
      </c>
      <c r="U11472" t="s">
        <v>151</v>
      </c>
      <c r="V11472" t="s">
        <v>99</v>
      </c>
      <c r="W11472" t="s">
        <v>143</v>
      </c>
      <c r="X11472" t="s">
        <v>99</v>
      </c>
      <c r="Y11472" t="s">
        <v>99</v>
      </c>
      <c r="Z11472" t="s">
        <v>121</v>
      </c>
      <c r="AA11472" t="s">
        <v>99</v>
      </c>
      <c r="AB11472" t="s">
        <v>136</v>
      </c>
      <c r="AC11472" t="s">
        <v>151</v>
      </c>
      <c r="AD11472" t="s">
        <v>99</v>
      </c>
      <c r="AE11472" t="s">
        <v>99</v>
      </c>
      <c r="AF11472" t="s">
        <v>967</v>
      </c>
    </row>
    <row r="11473" spans="1:32" x14ac:dyDescent="0.3">
      <c r="A11473" t="s">
        <v>33</v>
      </c>
      <c r="B11473" t="s">
        <v>389</v>
      </c>
      <c r="C11473">
        <v>1088</v>
      </c>
      <c r="D11473" t="s">
        <v>363</v>
      </c>
      <c r="E11473" t="s">
        <v>795</v>
      </c>
      <c r="F11473" t="s">
        <v>120</v>
      </c>
      <c r="G11473" t="s">
        <v>147</v>
      </c>
      <c r="H11473" t="s">
        <v>382</v>
      </c>
      <c r="I11473" t="s">
        <v>679</v>
      </c>
      <c r="J11473" t="s">
        <v>666</v>
      </c>
      <c r="K11473" t="s">
        <v>1120</v>
      </c>
      <c r="L11473" t="s">
        <v>142</v>
      </c>
      <c r="M11473" t="s">
        <v>248</v>
      </c>
      <c r="N11473" t="s">
        <v>215</v>
      </c>
      <c r="O11473" t="s">
        <v>70</v>
      </c>
      <c r="P11473" t="s">
        <v>126</v>
      </c>
      <c r="Q11473" t="s">
        <v>691</v>
      </c>
      <c r="R11473" t="s">
        <v>461</v>
      </c>
      <c r="S11473" t="s">
        <v>147</v>
      </c>
      <c r="T11473" t="s">
        <v>474</v>
      </c>
      <c r="U11473" t="s">
        <v>108</v>
      </c>
      <c r="V11473" t="s">
        <v>99</v>
      </c>
      <c r="W11473" t="s">
        <v>147</v>
      </c>
      <c r="X11473" t="s">
        <v>136</v>
      </c>
      <c r="Y11473" t="s">
        <v>121</v>
      </c>
      <c r="Z11473" t="s">
        <v>136</v>
      </c>
      <c r="AA11473" t="s">
        <v>108</v>
      </c>
      <c r="AB11473" t="s">
        <v>136</v>
      </c>
      <c r="AC11473" t="s">
        <v>207</v>
      </c>
      <c r="AD11473" t="s">
        <v>215</v>
      </c>
      <c r="AE11473" t="s">
        <v>207</v>
      </c>
      <c r="AF11473" t="s">
        <v>341</v>
      </c>
    </row>
    <row r="11474" spans="1:32" x14ac:dyDescent="0.3">
      <c r="A11474" t="s">
        <v>33</v>
      </c>
      <c r="B11474" t="s">
        <v>390</v>
      </c>
      <c r="C11474">
        <v>706</v>
      </c>
      <c r="D11474" t="s">
        <v>248</v>
      </c>
      <c r="E11474" t="s">
        <v>370</v>
      </c>
      <c r="F11474" t="s">
        <v>126</v>
      </c>
      <c r="G11474" t="s">
        <v>105</v>
      </c>
      <c r="H11474" t="s">
        <v>132</v>
      </c>
      <c r="I11474" t="s">
        <v>684</v>
      </c>
      <c r="J11474" t="s">
        <v>137</v>
      </c>
      <c r="K11474" t="s">
        <v>456</v>
      </c>
      <c r="L11474" t="s">
        <v>68</v>
      </c>
      <c r="M11474" t="s">
        <v>147</v>
      </c>
      <c r="N11474" t="s">
        <v>114</v>
      </c>
      <c r="O11474" t="s">
        <v>124</v>
      </c>
      <c r="P11474" t="s">
        <v>132</v>
      </c>
      <c r="Q11474" t="s">
        <v>694</v>
      </c>
      <c r="R11474" t="s">
        <v>72</v>
      </c>
      <c r="S11474" t="s">
        <v>147</v>
      </c>
      <c r="T11474" t="s">
        <v>474</v>
      </c>
      <c r="U11474" t="s">
        <v>253</v>
      </c>
      <c r="V11474" t="s">
        <v>99</v>
      </c>
      <c r="W11474" t="s">
        <v>138</v>
      </c>
      <c r="X11474" t="s">
        <v>207</v>
      </c>
      <c r="Y11474" t="s">
        <v>136</v>
      </c>
      <c r="Z11474" t="s">
        <v>136</v>
      </c>
      <c r="AA11474" t="s">
        <v>115</v>
      </c>
      <c r="AB11474" t="s">
        <v>141</v>
      </c>
      <c r="AC11474" t="s">
        <v>207</v>
      </c>
      <c r="AD11474" t="s">
        <v>117</v>
      </c>
      <c r="AE11474" t="s">
        <v>121</v>
      </c>
      <c r="AF11474" t="s">
        <v>913</v>
      </c>
    </row>
    <row r="11475" spans="1:32" x14ac:dyDescent="0.3">
      <c r="A11475" t="s">
        <v>33</v>
      </c>
      <c r="B11475" t="s">
        <v>365</v>
      </c>
      <c r="C11475">
        <v>136</v>
      </c>
      <c r="D11475" t="s">
        <v>332</v>
      </c>
      <c r="E11475" t="s">
        <v>244</v>
      </c>
      <c r="F11475" t="s">
        <v>332</v>
      </c>
      <c r="G11475" t="s">
        <v>108</v>
      </c>
      <c r="H11475" t="s">
        <v>99</v>
      </c>
      <c r="I11475" t="s">
        <v>382</v>
      </c>
      <c r="J11475" t="s">
        <v>309</v>
      </c>
      <c r="K11475" t="s">
        <v>592</v>
      </c>
      <c r="L11475" t="s">
        <v>291</v>
      </c>
      <c r="M11475" t="s">
        <v>108</v>
      </c>
      <c r="N11475" t="s">
        <v>253</v>
      </c>
      <c r="O11475" t="s">
        <v>675</v>
      </c>
      <c r="P11475" t="s">
        <v>141</v>
      </c>
      <c r="Q11475" t="s">
        <v>393</v>
      </c>
      <c r="R11475" t="s">
        <v>671</v>
      </c>
      <c r="S11475" t="s">
        <v>253</v>
      </c>
      <c r="T11475" t="s">
        <v>142</v>
      </c>
      <c r="U11475" t="s">
        <v>99</v>
      </c>
      <c r="V11475" t="s">
        <v>99</v>
      </c>
      <c r="W11475" t="s">
        <v>126</v>
      </c>
      <c r="X11475" t="s">
        <v>108</v>
      </c>
      <c r="Y11475" t="s">
        <v>99</v>
      </c>
      <c r="Z11475" t="s">
        <v>108</v>
      </c>
      <c r="AA11475" t="s">
        <v>99</v>
      </c>
      <c r="AB11475" t="s">
        <v>99</v>
      </c>
      <c r="AC11475" t="s">
        <v>99</v>
      </c>
      <c r="AD11475" t="s">
        <v>120</v>
      </c>
      <c r="AE11475" t="s">
        <v>108</v>
      </c>
      <c r="AF11475" t="s">
        <v>613</v>
      </c>
    </row>
    <row r="11476" spans="1:32" x14ac:dyDescent="0.3">
      <c r="A11476" t="s">
        <v>49</v>
      </c>
      <c r="B11476" t="s">
        <v>389</v>
      </c>
      <c r="C11476">
        <v>8486</v>
      </c>
      <c r="D11476" t="s">
        <v>179</v>
      </c>
      <c r="E11476" t="s">
        <v>801</v>
      </c>
      <c r="F11476" t="s">
        <v>474</v>
      </c>
      <c r="G11476" t="s">
        <v>268</v>
      </c>
      <c r="H11476" t="s">
        <v>120</v>
      </c>
      <c r="I11476" t="s">
        <v>113</v>
      </c>
      <c r="J11476" t="s">
        <v>795</v>
      </c>
      <c r="K11476" t="s">
        <v>930</v>
      </c>
      <c r="L11476" t="s">
        <v>694</v>
      </c>
      <c r="M11476" t="s">
        <v>130</v>
      </c>
      <c r="N11476" t="s">
        <v>382</v>
      </c>
      <c r="O11476" t="s">
        <v>722</v>
      </c>
      <c r="P11476" t="s">
        <v>110</v>
      </c>
      <c r="Q11476" t="s">
        <v>700</v>
      </c>
      <c r="R11476" t="s">
        <v>677</v>
      </c>
      <c r="S11476" t="s">
        <v>78</v>
      </c>
      <c r="T11476" t="s">
        <v>154</v>
      </c>
      <c r="U11476" t="s">
        <v>319</v>
      </c>
      <c r="V11476" t="s">
        <v>104</v>
      </c>
      <c r="W11476" t="s">
        <v>107</v>
      </c>
      <c r="X11476" t="s">
        <v>108</v>
      </c>
      <c r="Y11476" t="s">
        <v>382</v>
      </c>
      <c r="Z11476" t="s">
        <v>121</v>
      </c>
      <c r="AA11476" t="s">
        <v>141</v>
      </c>
      <c r="AB11476" t="s">
        <v>207</v>
      </c>
      <c r="AC11476" t="s">
        <v>115</v>
      </c>
      <c r="AD11476" t="s">
        <v>292</v>
      </c>
      <c r="AE11476" t="s">
        <v>136</v>
      </c>
      <c r="AF11476" t="s">
        <v>423</v>
      </c>
    </row>
    <row r="11477" spans="1:32" x14ac:dyDescent="0.3">
      <c r="A11477" t="s">
        <v>49</v>
      </c>
      <c r="B11477" t="s">
        <v>390</v>
      </c>
      <c r="C11477">
        <v>4127</v>
      </c>
      <c r="D11477" t="s">
        <v>294</v>
      </c>
      <c r="E11477" t="s">
        <v>214</v>
      </c>
      <c r="F11477" t="s">
        <v>123</v>
      </c>
      <c r="G11477" t="s">
        <v>110</v>
      </c>
      <c r="H11477" t="s">
        <v>128</v>
      </c>
      <c r="I11477" t="s">
        <v>152</v>
      </c>
      <c r="J11477" t="s">
        <v>473</v>
      </c>
      <c r="K11477" t="s">
        <v>481</v>
      </c>
      <c r="L11477" t="s">
        <v>296</v>
      </c>
      <c r="M11477" t="s">
        <v>138</v>
      </c>
      <c r="N11477" t="s">
        <v>126</v>
      </c>
      <c r="O11477" t="s">
        <v>109</v>
      </c>
      <c r="P11477" t="s">
        <v>123</v>
      </c>
      <c r="Q11477" t="s">
        <v>704</v>
      </c>
      <c r="R11477" t="s">
        <v>218</v>
      </c>
      <c r="S11477" t="s">
        <v>684</v>
      </c>
      <c r="T11477" t="s">
        <v>117</v>
      </c>
      <c r="U11477" t="s">
        <v>100</v>
      </c>
      <c r="V11477" t="s">
        <v>104</v>
      </c>
      <c r="W11477" t="s">
        <v>154</v>
      </c>
      <c r="X11477" t="s">
        <v>108</v>
      </c>
      <c r="Y11477" t="s">
        <v>319</v>
      </c>
      <c r="Z11477" t="s">
        <v>126</v>
      </c>
      <c r="AA11477" t="s">
        <v>207</v>
      </c>
      <c r="AB11477" t="s">
        <v>104</v>
      </c>
      <c r="AC11477" t="s">
        <v>141</v>
      </c>
      <c r="AD11477" t="s">
        <v>215</v>
      </c>
      <c r="AE11477" t="s">
        <v>108</v>
      </c>
      <c r="AF11477" t="s">
        <v>153</v>
      </c>
    </row>
    <row r="11478" spans="1:32" x14ac:dyDescent="0.3">
      <c r="A11478" t="s">
        <v>49</v>
      </c>
      <c r="B11478" t="s">
        <v>365</v>
      </c>
      <c r="C11478">
        <v>685</v>
      </c>
      <c r="D11478" t="s">
        <v>78</v>
      </c>
      <c r="E11478" t="s">
        <v>715</v>
      </c>
      <c r="F11478" t="s">
        <v>204</v>
      </c>
      <c r="G11478" t="s">
        <v>107</v>
      </c>
      <c r="H11478" t="s">
        <v>121</v>
      </c>
      <c r="I11478" t="s">
        <v>129</v>
      </c>
      <c r="J11478" t="s">
        <v>167</v>
      </c>
      <c r="K11478" t="s">
        <v>347</v>
      </c>
      <c r="L11478" t="s">
        <v>731</v>
      </c>
      <c r="M11478" t="s">
        <v>151</v>
      </c>
      <c r="N11478" t="s">
        <v>382</v>
      </c>
      <c r="O11478" t="s">
        <v>722</v>
      </c>
      <c r="P11478" t="s">
        <v>157</v>
      </c>
      <c r="Q11478" t="s">
        <v>267</v>
      </c>
      <c r="R11478" t="s">
        <v>739</v>
      </c>
      <c r="S11478" t="s">
        <v>74</v>
      </c>
      <c r="T11478" t="s">
        <v>328</v>
      </c>
      <c r="U11478" t="s">
        <v>215</v>
      </c>
      <c r="V11478" t="s">
        <v>99</v>
      </c>
      <c r="W11478" t="s">
        <v>139</v>
      </c>
      <c r="X11478" t="s">
        <v>115</v>
      </c>
      <c r="Y11478" t="s">
        <v>141</v>
      </c>
      <c r="Z11478" t="s">
        <v>100</v>
      </c>
      <c r="AA11478" t="s">
        <v>99</v>
      </c>
      <c r="AB11478" t="s">
        <v>104</v>
      </c>
      <c r="AC11478" t="s">
        <v>253</v>
      </c>
      <c r="AD11478" t="s">
        <v>105</v>
      </c>
      <c r="AE11478" t="s">
        <v>108</v>
      </c>
      <c r="AF11478" t="s">
        <v>650</v>
      </c>
    </row>
    <row r="11480" spans="1:32" x14ac:dyDescent="0.3">
      <c r="A11480" t="s">
        <v>2675</v>
      </c>
    </row>
    <row r="11481" spans="1:32" x14ac:dyDescent="0.3">
      <c r="A11481" t="s">
        <v>44</v>
      </c>
      <c r="B11481" t="s">
        <v>235</v>
      </c>
      <c r="C11481" t="s">
        <v>32</v>
      </c>
      <c r="D11481" t="s">
        <v>2647</v>
      </c>
      <c r="E11481" t="s">
        <v>2648</v>
      </c>
      <c r="F11481" t="s">
        <v>2649</v>
      </c>
      <c r="G11481" t="s">
        <v>2650</v>
      </c>
      <c r="H11481" t="s">
        <v>2651</v>
      </c>
      <c r="I11481" t="s">
        <v>2652</v>
      </c>
      <c r="J11481" t="s">
        <v>2653</v>
      </c>
      <c r="K11481" t="s">
        <v>2654</v>
      </c>
      <c r="L11481" t="s">
        <v>2655</v>
      </c>
      <c r="M11481" t="s">
        <v>2656</v>
      </c>
      <c r="N11481" t="s">
        <v>2657</v>
      </c>
      <c r="O11481" t="s">
        <v>2658</v>
      </c>
      <c r="P11481" t="s">
        <v>2659</v>
      </c>
      <c r="Q11481" t="s">
        <v>2660</v>
      </c>
      <c r="R11481" t="s">
        <v>2661</v>
      </c>
      <c r="S11481" t="s">
        <v>2662</v>
      </c>
      <c r="T11481" t="s">
        <v>2663</v>
      </c>
      <c r="U11481" t="s">
        <v>2664</v>
      </c>
      <c r="V11481" t="s">
        <v>2665</v>
      </c>
      <c r="W11481" t="s">
        <v>2666</v>
      </c>
      <c r="X11481" t="s">
        <v>2667</v>
      </c>
      <c r="Y11481" t="s">
        <v>2668</v>
      </c>
      <c r="Z11481" t="s">
        <v>2669</v>
      </c>
      <c r="AA11481" t="s">
        <v>2670</v>
      </c>
      <c r="AB11481" t="s">
        <v>2671</v>
      </c>
      <c r="AC11481" t="s">
        <v>88</v>
      </c>
      <c r="AD11481" t="s">
        <v>83</v>
      </c>
      <c r="AE11481" t="s">
        <v>193</v>
      </c>
      <c r="AF11481" t="s">
        <v>1323</v>
      </c>
    </row>
    <row r="11482" spans="1:32" x14ac:dyDescent="0.3">
      <c r="A11482" t="s">
        <v>35</v>
      </c>
      <c r="B11482" t="s">
        <v>236</v>
      </c>
      <c r="C11482">
        <v>1608</v>
      </c>
      <c r="D11482" t="s">
        <v>72</v>
      </c>
      <c r="E11482" t="s">
        <v>1156</v>
      </c>
      <c r="F11482" t="s">
        <v>332</v>
      </c>
      <c r="G11482" t="s">
        <v>319</v>
      </c>
      <c r="H11482" t="s">
        <v>127</v>
      </c>
      <c r="I11482" t="s">
        <v>184</v>
      </c>
      <c r="J11482" t="s">
        <v>730</v>
      </c>
      <c r="K11482" t="s">
        <v>1285</v>
      </c>
      <c r="L11482" t="s">
        <v>708</v>
      </c>
      <c r="M11482" t="s">
        <v>155</v>
      </c>
      <c r="N11482" t="s">
        <v>127</v>
      </c>
      <c r="O11482" t="s">
        <v>363</v>
      </c>
      <c r="P11482" t="s">
        <v>154</v>
      </c>
      <c r="Q11482" t="s">
        <v>281</v>
      </c>
      <c r="R11482" t="s">
        <v>722</v>
      </c>
      <c r="S11482" t="s">
        <v>130</v>
      </c>
      <c r="T11482" t="s">
        <v>138</v>
      </c>
      <c r="U11482" t="s">
        <v>132</v>
      </c>
      <c r="V11482" t="s">
        <v>104</v>
      </c>
      <c r="W11482" t="s">
        <v>157</v>
      </c>
      <c r="X11482" t="s">
        <v>108</v>
      </c>
      <c r="Y11482" t="s">
        <v>100</v>
      </c>
      <c r="Z11482" t="s">
        <v>215</v>
      </c>
      <c r="AA11482" t="s">
        <v>141</v>
      </c>
      <c r="AB11482" t="s">
        <v>104</v>
      </c>
      <c r="AC11482" t="s">
        <v>141</v>
      </c>
      <c r="AD11482" t="s">
        <v>111</v>
      </c>
      <c r="AE11482" t="s">
        <v>253</v>
      </c>
      <c r="AF11482" t="s">
        <v>307</v>
      </c>
    </row>
    <row r="11483" spans="1:32" x14ac:dyDescent="0.3">
      <c r="A11483" t="s">
        <v>35</v>
      </c>
      <c r="B11483" t="s">
        <v>238</v>
      </c>
      <c r="C11483">
        <v>1532</v>
      </c>
      <c r="D11483" t="s">
        <v>990</v>
      </c>
      <c r="E11483" t="s">
        <v>1118</v>
      </c>
      <c r="F11483" t="s">
        <v>68</v>
      </c>
      <c r="G11483" t="s">
        <v>118</v>
      </c>
      <c r="H11483" t="s">
        <v>110</v>
      </c>
      <c r="I11483" t="s">
        <v>143</v>
      </c>
      <c r="J11483" t="s">
        <v>736</v>
      </c>
      <c r="K11483" t="s">
        <v>837</v>
      </c>
      <c r="L11483" t="s">
        <v>726</v>
      </c>
      <c r="M11483" t="s">
        <v>103</v>
      </c>
      <c r="N11483" t="s">
        <v>319</v>
      </c>
      <c r="O11483" t="s">
        <v>72</v>
      </c>
      <c r="P11483" t="s">
        <v>123</v>
      </c>
      <c r="Q11483" t="s">
        <v>150</v>
      </c>
      <c r="R11483" t="s">
        <v>321</v>
      </c>
      <c r="S11483" t="s">
        <v>254</v>
      </c>
      <c r="T11483" t="s">
        <v>147</v>
      </c>
      <c r="U11483" t="s">
        <v>121</v>
      </c>
      <c r="V11483" t="s">
        <v>99</v>
      </c>
      <c r="W11483" t="s">
        <v>316</v>
      </c>
      <c r="X11483" t="s">
        <v>253</v>
      </c>
      <c r="Y11483" t="s">
        <v>215</v>
      </c>
      <c r="Z11483" t="s">
        <v>127</v>
      </c>
      <c r="AA11483" t="s">
        <v>104</v>
      </c>
      <c r="AB11483" t="s">
        <v>104</v>
      </c>
      <c r="AC11483" t="s">
        <v>136</v>
      </c>
      <c r="AD11483" t="s">
        <v>151</v>
      </c>
      <c r="AE11483" t="s">
        <v>253</v>
      </c>
      <c r="AF11483" t="s">
        <v>423</v>
      </c>
    </row>
    <row r="11484" spans="1:32" x14ac:dyDescent="0.3">
      <c r="A11484" t="s">
        <v>37</v>
      </c>
      <c r="B11484" t="s">
        <v>236</v>
      </c>
      <c r="C11484">
        <v>2210</v>
      </c>
      <c r="D11484" t="s">
        <v>248</v>
      </c>
      <c r="E11484" t="s">
        <v>119</v>
      </c>
      <c r="F11484" t="s">
        <v>128</v>
      </c>
      <c r="G11484" t="s">
        <v>100</v>
      </c>
      <c r="H11484" t="s">
        <v>136</v>
      </c>
      <c r="I11484" t="s">
        <v>468</v>
      </c>
      <c r="J11484" t="s">
        <v>40</v>
      </c>
      <c r="K11484" t="s">
        <v>459</v>
      </c>
      <c r="L11484" t="s">
        <v>708</v>
      </c>
      <c r="M11484" t="s">
        <v>242</v>
      </c>
      <c r="N11484" t="s">
        <v>127</v>
      </c>
      <c r="O11484" t="s">
        <v>401</v>
      </c>
      <c r="P11484" t="s">
        <v>111</v>
      </c>
      <c r="Q11484" t="s">
        <v>697</v>
      </c>
      <c r="R11484" t="s">
        <v>440</v>
      </c>
      <c r="S11484" t="s">
        <v>157</v>
      </c>
      <c r="T11484" t="s">
        <v>268</v>
      </c>
      <c r="U11484" t="s">
        <v>382</v>
      </c>
      <c r="V11484" t="s">
        <v>104</v>
      </c>
      <c r="W11484" t="s">
        <v>149</v>
      </c>
      <c r="X11484" t="s">
        <v>382</v>
      </c>
      <c r="Y11484" t="s">
        <v>268</v>
      </c>
      <c r="Z11484" t="s">
        <v>127</v>
      </c>
      <c r="AA11484" t="s">
        <v>104</v>
      </c>
      <c r="AB11484" t="s">
        <v>99</v>
      </c>
      <c r="AC11484" t="s">
        <v>99</v>
      </c>
      <c r="AD11484" t="s">
        <v>107</v>
      </c>
      <c r="AE11484" t="s">
        <v>132</v>
      </c>
      <c r="AF11484" t="s">
        <v>517</v>
      </c>
    </row>
    <row r="11485" spans="1:32" x14ac:dyDescent="0.3">
      <c r="A11485" t="s">
        <v>37</v>
      </c>
      <c r="B11485" t="s">
        <v>238</v>
      </c>
      <c r="C11485">
        <v>1642</v>
      </c>
      <c r="D11485" t="s">
        <v>328</v>
      </c>
      <c r="E11485" t="s">
        <v>446</v>
      </c>
      <c r="F11485" t="s">
        <v>434</v>
      </c>
      <c r="G11485" t="s">
        <v>128</v>
      </c>
      <c r="H11485" t="s">
        <v>129</v>
      </c>
      <c r="I11485" t="s">
        <v>138</v>
      </c>
      <c r="J11485" t="s">
        <v>735</v>
      </c>
      <c r="K11485" t="s">
        <v>920</v>
      </c>
      <c r="L11485" t="s">
        <v>405</v>
      </c>
      <c r="M11485" t="s">
        <v>316</v>
      </c>
      <c r="N11485" t="s">
        <v>215</v>
      </c>
      <c r="O11485" t="s">
        <v>363</v>
      </c>
      <c r="P11485" t="s">
        <v>157</v>
      </c>
      <c r="Q11485" t="s">
        <v>78</v>
      </c>
      <c r="R11485" t="s">
        <v>737</v>
      </c>
      <c r="S11485" t="s">
        <v>105</v>
      </c>
      <c r="T11485" t="s">
        <v>332</v>
      </c>
      <c r="U11485" t="s">
        <v>268</v>
      </c>
      <c r="V11485" t="s">
        <v>198</v>
      </c>
      <c r="W11485" t="s">
        <v>684</v>
      </c>
      <c r="X11485" t="s">
        <v>108</v>
      </c>
      <c r="Y11485" t="s">
        <v>117</v>
      </c>
      <c r="Z11485" t="s">
        <v>100</v>
      </c>
      <c r="AA11485" t="s">
        <v>136</v>
      </c>
      <c r="AB11485" t="s">
        <v>99</v>
      </c>
      <c r="AC11485" t="s">
        <v>104</v>
      </c>
      <c r="AD11485" t="s">
        <v>268</v>
      </c>
      <c r="AE11485" t="s">
        <v>253</v>
      </c>
      <c r="AF11485" t="s">
        <v>1156</v>
      </c>
    </row>
    <row r="11486" spans="1:32" x14ac:dyDescent="0.3">
      <c r="A11486" t="s">
        <v>36</v>
      </c>
      <c r="B11486" t="s">
        <v>236</v>
      </c>
      <c r="C11486">
        <v>1564</v>
      </c>
      <c r="D11486" t="s">
        <v>231</v>
      </c>
      <c r="E11486" t="s">
        <v>1494</v>
      </c>
      <c r="F11486" t="s">
        <v>158</v>
      </c>
      <c r="G11486" t="s">
        <v>117</v>
      </c>
      <c r="H11486" t="s">
        <v>127</v>
      </c>
      <c r="I11486" t="s">
        <v>482</v>
      </c>
      <c r="J11486" t="s">
        <v>116</v>
      </c>
      <c r="K11486" t="s">
        <v>952</v>
      </c>
      <c r="L11486" t="s">
        <v>244</v>
      </c>
      <c r="M11486" t="s">
        <v>113</v>
      </c>
      <c r="N11486" t="s">
        <v>101</v>
      </c>
      <c r="O11486" t="s">
        <v>804</v>
      </c>
      <c r="P11486" t="s">
        <v>105</v>
      </c>
      <c r="Q11486" t="s">
        <v>822</v>
      </c>
      <c r="R11486" t="s">
        <v>373</v>
      </c>
      <c r="S11486" t="s">
        <v>664</v>
      </c>
      <c r="T11486" t="s">
        <v>157</v>
      </c>
      <c r="U11486" t="s">
        <v>253</v>
      </c>
      <c r="V11486" t="s">
        <v>99</v>
      </c>
      <c r="W11486" t="s">
        <v>127</v>
      </c>
      <c r="X11486" t="s">
        <v>115</v>
      </c>
      <c r="Y11486" t="s">
        <v>101</v>
      </c>
      <c r="Z11486" t="s">
        <v>104</v>
      </c>
      <c r="AA11486" t="s">
        <v>207</v>
      </c>
      <c r="AB11486" t="s">
        <v>99</v>
      </c>
      <c r="AC11486" t="s">
        <v>132</v>
      </c>
      <c r="AD11486" t="s">
        <v>114</v>
      </c>
      <c r="AE11486" t="s">
        <v>207</v>
      </c>
      <c r="AF11486" t="s">
        <v>406</v>
      </c>
    </row>
    <row r="11487" spans="1:32" x14ac:dyDescent="0.3">
      <c r="A11487" t="s">
        <v>36</v>
      </c>
      <c r="B11487" t="s">
        <v>238</v>
      </c>
      <c r="C11487">
        <v>738</v>
      </c>
      <c r="D11487" t="s">
        <v>463</v>
      </c>
      <c r="E11487" t="s">
        <v>1061</v>
      </c>
      <c r="F11487" t="s">
        <v>70</v>
      </c>
      <c r="G11487" t="s">
        <v>41</v>
      </c>
      <c r="H11487" t="s">
        <v>204</v>
      </c>
      <c r="I11487" t="s">
        <v>408</v>
      </c>
      <c r="J11487" t="s">
        <v>670</v>
      </c>
      <c r="K11487" t="s">
        <v>821</v>
      </c>
      <c r="L11487" t="s">
        <v>676</v>
      </c>
      <c r="M11487" t="s">
        <v>129</v>
      </c>
      <c r="N11487" t="s">
        <v>100</v>
      </c>
      <c r="O11487" t="s">
        <v>369</v>
      </c>
      <c r="P11487" t="s">
        <v>105</v>
      </c>
      <c r="Q11487" t="s">
        <v>369</v>
      </c>
      <c r="R11487" t="s">
        <v>542</v>
      </c>
      <c r="S11487" t="s">
        <v>671</v>
      </c>
      <c r="T11487" t="s">
        <v>112</v>
      </c>
      <c r="U11487" t="s">
        <v>319</v>
      </c>
      <c r="V11487" t="s">
        <v>99</v>
      </c>
      <c r="W11487" t="s">
        <v>382</v>
      </c>
      <c r="X11487" t="s">
        <v>100</v>
      </c>
      <c r="Y11487" t="s">
        <v>101</v>
      </c>
      <c r="Z11487" t="s">
        <v>268</v>
      </c>
      <c r="AA11487" t="s">
        <v>115</v>
      </c>
      <c r="AB11487" t="s">
        <v>99</v>
      </c>
      <c r="AC11487" t="s">
        <v>382</v>
      </c>
      <c r="AD11487" t="s">
        <v>100</v>
      </c>
      <c r="AE11487" t="s">
        <v>114</v>
      </c>
      <c r="AF11487" t="s">
        <v>739</v>
      </c>
    </row>
    <row r="11488" spans="1:32" x14ac:dyDescent="0.3">
      <c r="A11488" t="s">
        <v>34</v>
      </c>
      <c r="B11488" t="s">
        <v>236</v>
      </c>
      <c r="C11488">
        <v>717</v>
      </c>
      <c r="D11488" t="s">
        <v>684</v>
      </c>
      <c r="E11488" t="s">
        <v>692</v>
      </c>
      <c r="F11488" t="s">
        <v>100</v>
      </c>
      <c r="G11488" t="s">
        <v>141</v>
      </c>
      <c r="H11488" t="s">
        <v>99</v>
      </c>
      <c r="I11488" t="s">
        <v>738</v>
      </c>
      <c r="J11488" t="s">
        <v>688</v>
      </c>
      <c r="K11488" t="s">
        <v>513</v>
      </c>
      <c r="L11488" t="s">
        <v>739</v>
      </c>
      <c r="M11488" t="s">
        <v>157</v>
      </c>
      <c r="N11488" t="s">
        <v>107</v>
      </c>
      <c r="O11488" t="s">
        <v>710</v>
      </c>
      <c r="P11488" t="s">
        <v>160</v>
      </c>
      <c r="Q11488" t="s">
        <v>446</v>
      </c>
      <c r="R11488" t="s">
        <v>672</v>
      </c>
      <c r="S11488" t="s">
        <v>197</v>
      </c>
      <c r="T11488" t="s">
        <v>111</v>
      </c>
      <c r="U11488" t="s">
        <v>132</v>
      </c>
      <c r="V11488" t="s">
        <v>136</v>
      </c>
      <c r="W11488" t="s">
        <v>332</v>
      </c>
      <c r="X11488" t="s">
        <v>121</v>
      </c>
      <c r="Y11488" t="s">
        <v>141</v>
      </c>
      <c r="Z11488" t="s">
        <v>141</v>
      </c>
      <c r="AA11488" t="s">
        <v>141</v>
      </c>
      <c r="AB11488" t="s">
        <v>115</v>
      </c>
      <c r="AC11488" t="s">
        <v>382</v>
      </c>
      <c r="AD11488" t="s">
        <v>151</v>
      </c>
      <c r="AE11488" t="s">
        <v>104</v>
      </c>
      <c r="AF11488" t="s">
        <v>131</v>
      </c>
    </row>
    <row r="11489" spans="1:32" x14ac:dyDescent="0.3">
      <c r="A11489" t="s">
        <v>34</v>
      </c>
      <c r="B11489" t="s">
        <v>238</v>
      </c>
      <c r="C11489">
        <v>1357</v>
      </c>
      <c r="D11489" t="s">
        <v>478</v>
      </c>
      <c r="E11489" t="s">
        <v>283</v>
      </c>
      <c r="F11489" t="s">
        <v>332</v>
      </c>
      <c r="G11489" t="s">
        <v>157</v>
      </c>
      <c r="H11489" t="s">
        <v>139</v>
      </c>
      <c r="I11489" t="s">
        <v>804</v>
      </c>
      <c r="J11489" t="s">
        <v>743</v>
      </c>
      <c r="K11489" t="s">
        <v>626</v>
      </c>
      <c r="L11489" t="s">
        <v>676</v>
      </c>
      <c r="M11489" t="s">
        <v>111</v>
      </c>
      <c r="N11489" t="s">
        <v>108</v>
      </c>
      <c r="O11489" t="s">
        <v>369</v>
      </c>
      <c r="P11489" t="s">
        <v>150</v>
      </c>
      <c r="Q11489" t="s">
        <v>369</v>
      </c>
      <c r="R11489" t="s">
        <v>294</v>
      </c>
      <c r="S11489" t="s">
        <v>482</v>
      </c>
      <c r="T11489" t="s">
        <v>332</v>
      </c>
      <c r="U11489" t="s">
        <v>319</v>
      </c>
      <c r="V11489" t="s">
        <v>99</v>
      </c>
      <c r="W11489" t="s">
        <v>111</v>
      </c>
      <c r="X11489" t="s">
        <v>108</v>
      </c>
      <c r="Y11489" t="s">
        <v>114</v>
      </c>
      <c r="Z11489" t="s">
        <v>121</v>
      </c>
      <c r="AA11489" t="s">
        <v>136</v>
      </c>
      <c r="AB11489" t="s">
        <v>132</v>
      </c>
      <c r="AC11489" t="s">
        <v>382</v>
      </c>
      <c r="AD11489" t="s">
        <v>100</v>
      </c>
      <c r="AE11489" t="s">
        <v>136</v>
      </c>
      <c r="AF11489" t="s">
        <v>696</v>
      </c>
    </row>
    <row r="11490" spans="1:32" x14ac:dyDescent="0.3">
      <c r="A11490" t="s">
        <v>33</v>
      </c>
      <c r="B11490" t="s">
        <v>236</v>
      </c>
      <c r="C11490">
        <v>1114</v>
      </c>
      <c r="D11490" t="s">
        <v>70</v>
      </c>
      <c r="E11490" t="s">
        <v>842</v>
      </c>
      <c r="F11490" t="s">
        <v>117</v>
      </c>
      <c r="G11490" t="s">
        <v>126</v>
      </c>
      <c r="H11490" t="s">
        <v>198</v>
      </c>
      <c r="I11490" t="s">
        <v>675</v>
      </c>
      <c r="J11490" t="s">
        <v>723</v>
      </c>
      <c r="K11490" t="s">
        <v>1098</v>
      </c>
      <c r="L11490" t="s">
        <v>125</v>
      </c>
      <c r="M11490" t="s">
        <v>401</v>
      </c>
      <c r="N11490" t="s">
        <v>292</v>
      </c>
      <c r="O11490" t="s">
        <v>679</v>
      </c>
      <c r="P11490" t="s">
        <v>319</v>
      </c>
      <c r="Q11490" t="s">
        <v>1057</v>
      </c>
      <c r="R11490" t="s">
        <v>125</v>
      </c>
      <c r="S11490" t="s">
        <v>128</v>
      </c>
      <c r="T11490" t="s">
        <v>134</v>
      </c>
      <c r="U11490" t="s">
        <v>136</v>
      </c>
      <c r="V11490" t="s">
        <v>99</v>
      </c>
      <c r="W11490" t="s">
        <v>147</v>
      </c>
      <c r="X11490" t="s">
        <v>141</v>
      </c>
      <c r="Y11490" t="s">
        <v>132</v>
      </c>
      <c r="Z11490" t="s">
        <v>136</v>
      </c>
      <c r="AA11490" t="s">
        <v>104</v>
      </c>
      <c r="AB11490" t="s">
        <v>141</v>
      </c>
      <c r="AC11490" t="s">
        <v>136</v>
      </c>
      <c r="AD11490" t="s">
        <v>292</v>
      </c>
      <c r="AE11490" t="s">
        <v>115</v>
      </c>
      <c r="AF11490" t="s">
        <v>681</v>
      </c>
    </row>
    <row r="11491" spans="1:32" x14ac:dyDescent="0.3">
      <c r="A11491" t="s">
        <v>33</v>
      </c>
      <c r="B11491" t="s">
        <v>238</v>
      </c>
      <c r="C11491">
        <v>816</v>
      </c>
      <c r="D11491" t="s">
        <v>353</v>
      </c>
      <c r="E11491" t="s">
        <v>281</v>
      </c>
      <c r="F11491" t="s">
        <v>117</v>
      </c>
      <c r="G11491" t="s">
        <v>712</v>
      </c>
      <c r="H11491" t="s">
        <v>111</v>
      </c>
      <c r="I11491" t="s">
        <v>144</v>
      </c>
      <c r="J11491" t="s">
        <v>525</v>
      </c>
      <c r="K11491" t="s">
        <v>903</v>
      </c>
      <c r="L11491" t="s">
        <v>663</v>
      </c>
      <c r="M11491" t="s">
        <v>107</v>
      </c>
      <c r="N11491" t="s">
        <v>115</v>
      </c>
      <c r="O11491" t="s">
        <v>144</v>
      </c>
      <c r="P11491" t="s">
        <v>114</v>
      </c>
      <c r="Q11491" t="s">
        <v>144</v>
      </c>
      <c r="R11491" t="s">
        <v>305</v>
      </c>
      <c r="S11491" t="s">
        <v>120</v>
      </c>
      <c r="T11491" t="s">
        <v>325</v>
      </c>
      <c r="U11491" t="s">
        <v>100</v>
      </c>
      <c r="V11491" t="s">
        <v>99</v>
      </c>
      <c r="W11491" t="s">
        <v>157</v>
      </c>
      <c r="X11491" t="s">
        <v>207</v>
      </c>
      <c r="Y11491" t="s">
        <v>108</v>
      </c>
      <c r="Z11491" t="s">
        <v>141</v>
      </c>
      <c r="AA11491" t="s">
        <v>126</v>
      </c>
      <c r="AB11491" t="s">
        <v>207</v>
      </c>
      <c r="AC11491" t="s">
        <v>198</v>
      </c>
      <c r="AD11491" t="s">
        <v>151</v>
      </c>
      <c r="AE11491" t="s">
        <v>253</v>
      </c>
      <c r="AF11491" t="s">
        <v>1232</v>
      </c>
    </row>
    <row r="11492" spans="1:32" x14ac:dyDescent="0.3">
      <c r="A11492" t="s">
        <v>49</v>
      </c>
      <c r="B11492" t="s">
        <v>236</v>
      </c>
      <c r="C11492">
        <v>7213</v>
      </c>
      <c r="D11492" t="s">
        <v>363</v>
      </c>
      <c r="E11492" t="s">
        <v>481</v>
      </c>
      <c r="F11492" t="s">
        <v>120</v>
      </c>
      <c r="G11492" t="s">
        <v>101</v>
      </c>
      <c r="H11492" t="s">
        <v>115</v>
      </c>
      <c r="I11492" t="s">
        <v>41</v>
      </c>
      <c r="J11492" t="s">
        <v>715</v>
      </c>
      <c r="K11492" t="s">
        <v>1148</v>
      </c>
      <c r="L11492" t="s">
        <v>708</v>
      </c>
      <c r="M11492" t="s">
        <v>684</v>
      </c>
      <c r="N11492" t="s">
        <v>151</v>
      </c>
      <c r="O11492" t="s">
        <v>461</v>
      </c>
      <c r="P11492" t="s">
        <v>157</v>
      </c>
      <c r="Q11492" t="s">
        <v>682</v>
      </c>
      <c r="R11492" t="s">
        <v>244</v>
      </c>
      <c r="S11492" t="s">
        <v>204</v>
      </c>
      <c r="T11492" t="s">
        <v>120</v>
      </c>
      <c r="U11492" t="s">
        <v>114</v>
      </c>
      <c r="V11492" t="s">
        <v>104</v>
      </c>
      <c r="W11492" t="s">
        <v>154</v>
      </c>
      <c r="X11492" t="s">
        <v>100</v>
      </c>
      <c r="Y11492" t="s">
        <v>319</v>
      </c>
      <c r="Z11492" t="s">
        <v>121</v>
      </c>
      <c r="AA11492" t="s">
        <v>207</v>
      </c>
      <c r="AB11492" t="s">
        <v>198</v>
      </c>
      <c r="AC11492" t="s">
        <v>141</v>
      </c>
      <c r="AD11492" t="s">
        <v>268</v>
      </c>
      <c r="AE11492" t="s">
        <v>253</v>
      </c>
      <c r="AF11492" t="s">
        <v>833</v>
      </c>
    </row>
    <row r="11493" spans="1:32" x14ac:dyDescent="0.3">
      <c r="A11493" t="s">
        <v>49</v>
      </c>
      <c r="B11493" t="s">
        <v>238</v>
      </c>
      <c r="C11493">
        <v>6085</v>
      </c>
      <c r="D11493" t="s">
        <v>264</v>
      </c>
      <c r="E11493" t="s">
        <v>944</v>
      </c>
      <c r="F11493" t="s">
        <v>712</v>
      </c>
      <c r="G11493" t="s">
        <v>129</v>
      </c>
      <c r="H11493" t="s">
        <v>129</v>
      </c>
      <c r="I11493" t="s">
        <v>109</v>
      </c>
      <c r="J11493" t="s">
        <v>137</v>
      </c>
      <c r="K11493" t="s">
        <v>695</v>
      </c>
      <c r="L11493" t="s">
        <v>267</v>
      </c>
      <c r="M11493" t="s">
        <v>316</v>
      </c>
      <c r="N11493" t="s">
        <v>121</v>
      </c>
      <c r="O11493" t="s">
        <v>72</v>
      </c>
      <c r="P11493" t="s">
        <v>138</v>
      </c>
      <c r="Q11493" t="s">
        <v>401</v>
      </c>
      <c r="R11493" t="s">
        <v>688</v>
      </c>
      <c r="S11493" t="s">
        <v>679</v>
      </c>
      <c r="T11493" t="s">
        <v>134</v>
      </c>
      <c r="U11493" t="s">
        <v>126</v>
      </c>
      <c r="V11493" t="s">
        <v>99</v>
      </c>
      <c r="W11493" t="s">
        <v>107</v>
      </c>
      <c r="X11493" t="s">
        <v>115</v>
      </c>
      <c r="Y11493" t="s">
        <v>126</v>
      </c>
      <c r="Z11493" t="s">
        <v>319</v>
      </c>
      <c r="AA11493" t="s">
        <v>141</v>
      </c>
      <c r="AB11493" t="s">
        <v>198</v>
      </c>
      <c r="AC11493" t="s">
        <v>115</v>
      </c>
      <c r="AD11493" t="s">
        <v>127</v>
      </c>
      <c r="AE11493" t="s">
        <v>253</v>
      </c>
      <c r="AF11493" t="s">
        <v>1414</v>
      </c>
    </row>
    <row r="11495" spans="1:32" x14ac:dyDescent="0.3">
      <c r="A11495" t="s">
        <v>2676</v>
      </c>
    </row>
    <row r="11496" spans="1:32" x14ac:dyDescent="0.3">
      <c r="A11496" t="s">
        <v>44</v>
      </c>
      <c r="B11496" t="s">
        <v>1756</v>
      </c>
      <c r="C11496" t="s">
        <v>32</v>
      </c>
      <c r="D11496" t="s">
        <v>2647</v>
      </c>
      <c r="E11496" t="s">
        <v>2648</v>
      </c>
      <c r="F11496" t="s">
        <v>2649</v>
      </c>
      <c r="G11496" t="s">
        <v>2650</v>
      </c>
      <c r="H11496" t="s">
        <v>2651</v>
      </c>
      <c r="I11496" t="s">
        <v>2652</v>
      </c>
      <c r="J11496" t="s">
        <v>2653</v>
      </c>
      <c r="K11496" t="s">
        <v>2654</v>
      </c>
      <c r="L11496" t="s">
        <v>2655</v>
      </c>
      <c r="M11496" t="s">
        <v>2656</v>
      </c>
      <c r="N11496" t="s">
        <v>2657</v>
      </c>
      <c r="O11496" t="s">
        <v>2658</v>
      </c>
      <c r="P11496" t="s">
        <v>2659</v>
      </c>
      <c r="Q11496" t="s">
        <v>2660</v>
      </c>
      <c r="R11496" t="s">
        <v>2661</v>
      </c>
      <c r="S11496" t="s">
        <v>2662</v>
      </c>
      <c r="T11496" t="s">
        <v>2663</v>
      </c>
      <c r="U11496" t="s">
        <v>2664</v>
      </c>
      <c r="V11496" t="s">
        <v>2665</v>
      </c>
      <c r="W11496" t="s">
        <v>2666</v>
      </c>
      <c r="X11496" t="s">
        <v>2667</v>
      </c>
      <c r="Y11496" t="s">
        <v>2668</v>
      </c>
      <c r="Z11496" t="s">
        <v>2669</v>
      </c>
      <c r="AA11496" t="s">
        <v>2670</v>
      </c>
      <c r="AB11496" t="s">
        <v>2671</v>
      </c>
      <c r="AC11496" t="s">
        <v>88</v>
      </c>
      <c r="AD11496" t="s">
        <v>83</v>
      </c>
      <c r="AE11496" t="s">
        <v>193</v>
      </c>
      <c r="AF11496" t="s">
        <v>1323</v>
      </c>
    </row>
    <row r="11497" spans="1:32" x14ac:dyDescent="0.3">
      <c r="A11497" t="s">
        <v>35</v>
      </c>
      <c r="B11497" t="s">
        <v>1757</v>
      </c>
      <c r="C11497">
        <v>2768</v>
      </c>
      <c r="D11497" t="s">
        <v>357</v>
      </c>
      <c r="E11497" t="s">
        <v>555</v>
      </c>
      <c r="F11497" t="s">
        <v>154</v>
      </c>
      <c r="G11497" t="s">
        <v>316</v>
      </c>
      <c r="H11497" t="s">
        <v>316</v>
      </c>
      <c r="I11497" t="s">
        <v>325</v>
      </c>
      <c r="J11497" t="s">
        <v>1105</v>
      </c>
      <c r="K11497" t="s">
        <v>597</v>
      </c>
      <c r="L11497" t="s">
        <v>714</v>
      </c>
      <c r="M11497" t="s">
        <v>316</v>
      </c>
      <c r="N11497" t="s">
        <v>319</v>
      </c>
      <c r="O11497" t="s">
        <v>353</v>
      </c>
      <c r="P11497" t="s">
        <v>292</v>
      </c>
      <c r="Q11497" t="s">
        <v>163</v>
      </c>
      <c r="R11497" t="s">
        <v>294</v>
      </c>
      <c r="S11497" t="s">
        <v>149</v>
      </c>
      <c r="T11497" t="s">
        <v>147</v>
      </c>
      <c r="U11497" t="s">
        <v>108</v>
      </c>
      <c r="V11497" t="s">
        <v>99</v>
      </c>
      <c r="W11497" t="s">
        <v>123</v>
      </c>
      <c r="X11497" t="s">
        <v>253</v>
      </c>
      <c r="Y11497" t="s">
        <v>121</v>
      </c>
      <c r="Z11497" t="s">
        <v>127</v>
      </c>
      <c r="AA11497" t="s">
        <v>198</v>
      </c>
      <c r="AB11497" t="s">
        <v>104</v>
      </c>
      <c r="AC11497" t="s">
        <v>136</v>
      </c>
      <c r="AD11497" t="s">
        <v>292</v>
      </c>
      <c r="AE11497" t="s">
        <v>115</v>
      </c>
      <c r="AF11497" t="s">
        <v>246</v>
      </c>
    </row>
    <row r="11498" spans="1:32" x14ac:dyDescent="0.3">
      <c r="A11498" t="s">
        <v>35</v>
      </c>
      <c r="B11498" t="s">
        <v>1758</v>
      </c>
      <c r="C11498">
        <v>370</v>
      </c>
      <c r="D11498" t="s">
        <v>130</v>
      </c>
      <c r="E11498" t="s">
        <v>955</v>
      </c>
      <c r="F11498" t="s">
        <v>804</v>
      </c>
      <c r="G11498" t="s">
        <v>663</v>
      </c>
      <c r="H11498" t="s">
        <v>353</v>
      </c>
      <c r="I11498" t="s">
        <v>165</v>
      </c>
      <c r="J11498" t="s">
        <v>902</v>
      </c>
      <c r="K11498" t="s">
        <v>557</v>
      </c>
      <c r="L11498" t="s">
        <v>860</v>
      </c>
      <c r="M11498" t="s">
        <v>129</v>
      </c>
      <c r="N11498" t="s">
        <v>123</v>
      </c>
      <c r="O11498" t="s">
        <v>714</v>
      </c>
      <c r="P11498" t="s">
        <v>130</v>
      </c>
      <c r="Q11498" t="s">
        <v>406</v>
      </c>
      <c r="R11498" t="s">
        <v>672</v>
      </c>
      <c r="S11498" t="s">
        <v>294</v>
      </c>
      <c r="T11498" t="s">
        <v>154</v>
      </c>
      <c r="U11498" t="s">
        <v>117</v>
      </c>
      <c r="V11498" t="s">
        <v>99</v>
      </c>
      <c r="W11498" t="s">
        <v>113</v>
      </c>
      <c r="X11498" t="s">
        <v>132</v>
      </c>
      <c r="Y11498" t="s">
        <v>105</v>
      </c>
      <c r="Z11498" t="s">
        <v>126</v>
      </c>
      <c r="AA11498" t="s">
        <v>198</v>
      </c>
      <c r="AB11498" t="s">
        <v>99</v>
      </c>
      <c r="AC11498" t="s">
        <v>108</v>
      </c>
      <c r="AD11498" t="s">
        <v>123</v>
      </c>
      <c r="AE11498" t="s">
        <v>99</v>
      </c>
      <c r="AF11498" t="s">
        <v>737</v>
      </c>
    </row>
    <row r="11499" spans="1:32" x14ac:dyDescent="0.3">
      <c r="A11499" t="s">
        <v>35</v>
      </c>
      <c r="B11499" t="s">
        <v>365</v>
      </c>
      <c r="C11499">
        <v>2</v>
      </c>
      <c r="D11499" t="s">
        <v>99</v>
      </c>
      <c r="E11499" t="s">
        <v>959</v>
      </c>
      <c r="F11499" t="s">
        <v>99</v>
      </c>
      <c r="G11499" t="s">
        <v>99</v>
      </c>
      <c r="H11499" t="s">
        <v>99</v>
      </c>
      <c r="I11499" t="s">
        <v>99</v>
      </c>
      <c r="J11499" t="s">
        <v>959</v>
      </c>
      <c r="K11499" t="s">
        <v>959</v>
      </c>
      <c r="L11499" t="s">
        <v>99</v>
      </c>
      <c r="M11499" t="s">
        <v>99</v>
      </c>
      <c r="N11499" t="s">
        <v>99</v>
      </c>
      <c r="O11499" t="s">
        <v>99</v>
      </c>
      <c r="P11499" t="s">
        <v>99</v>
      </c>
      <c r="Q11499" t="s">
        <v>99</v>
      </c>
      <c r="R11499" t="s">
        <v>99</v>
      </c>
      <c r="S11499" t="s">
        <v>959</v>
      </c>
      <c r="T11499" t="s">
        <v>99</v>
      </c>
      <c r="U11499" t="s">
        <v>99</v>
      </c>
      <c r="V11499" t="s">
        <v>99</v>
      </c>
      <c r="W11499" t="s">
        <v>99</v>
      </c>
      <c r="X11499" t="s">
        <v>99</v>
      </c>
      <c r="Y11499" t="s">
        <v>99</v>
      </c>
      <c r="Z11499" t="s">
        <v>99</v>
      </c>
      <c r="AA11499" t="s">
        <v>99</v>
      </c>
      <c r="AB11499" t="s">
        <v>99</v>
      </c>
      <c r="AC11499" t="s">
        <v>99</v>
      </c>
      <c r="AD11499" t="s">
        <v>99</v>
      </c>
      <c r="AE11499" t="s">
        <v>939</v>
      </c>
      <c r="AF11499" t="s">
        <v>99</v>
      </c>
    </row>
    <row r="11500" spans="1:32" x14ac:dyDescent="0.3">
      <c r="A11500" t="s">
        <v>37</v>
      </c>
      <c r="B11500" t="s">
        <v>1757</v>
      </c>
      <c r="C11500">
        <v>3619</v>
      </c>
      <c r="D11500" t="s">
        <v>109</v>
      </c>
      <c r="E11500" t="s">
        <v>513</v>
      </c>
      <c r="F11500" t="s">
        <v>147</v>
      </c>
      <c r="G11500" t="s">
        <v>101</v>
      </c>
      <c r="H11500" t="s">
        <v>114</v>
      </c>
      <c r="I11500" t="s">
        <v>112</v>
      </c>
      <c r="J11500" t="s">
        <v>540</v>
      </c>
      <c r="K11500" t="s">
        <v>729</v>
      </c>
      <c r="L11500" t="s">
        <v>716</v>
      </c>
      <c r="M11500" t="s">
        <v>134</v>
      </c>
      <c r="N11500" t="s">
        <v>382</v>
      </c>
      <c r="O11500" t="s">
        <v>184</v>
      </c>
      <c r="P11500" t="s">
        <v>111</v>
      </c>
      <c r="Q11500" t="s">
        <v>523</v>
      </c>
      <c r="R11500" t="s">
        <v>231</v>
      </c>
      <c r="S11500" t="s">
        <v>107</v>
      </c>
      <c r="T11500" t="s">
        <v>128</v>
      </c>
      <c r="U11500" t="s">
        <v>215</v>
      </c>
      <c r="V11500" t="s">
        <v>198</v>
      </c>
      <c r="W11500" t="s">
        <v>149</v>
      </c>
      <c r="X11500" t="s">
        <v>121</v>
      </c>
      <c r="Y11500" t="s">
        <v>103</v>
      </c>
      <c r="Z11500" t="s">
        <v>126</v>
      </c>
      <c r="AA11500" t="s">
        <v>198</v>
      </c>
      <c r="AB11500" t="s">
        <v>99</v>
      </c>
      <c r="AC11500" t="s">
        <v>99</v>
      </c>
      <c r="AD11500" t="s">
        <v>128</v>
      </c>
      <c r="AE11500" t="s">
        <v>115</v>
      </c>
      <c r="AF11500" t="s">
        <v>456</v>
      </c>
    </row>
    <row r="11501" spans="1:32" x14ac:dyDescent="0.3">
      <c r="A11501" t="s">
        <v>37</v>
      </c>
      <c r="B11501" t="s">
        <v>1758</v>
      </c>
      <c r="C11501">
        <v>227</v>
      </c>
      <c r="D11501" t="s">
        <v>133</v>
      </c>
      <c r="E11501" t="s">
        <v>1185</v>
      </c>
      <c r="F11501" t="s">
        <v>461</v>
      </c>
      <c r="G11501" t="s">
        <v>125</v>
      </c>
      <c r="H11501" t="s">
        <v>739</v>
      </c>
      <c r="I11501" t="s">
        <v>325</v>
      </c>
      <c r="J11501" t="s">
        <v>1057</v>
      </c>
      <c r="K11501" t="s">
        <v>1154</v>
      </c>
      <c r="L11501" t="s">
        <v>437</v>
      </c>
      <c r="M11501" t="s">
        <v>145</v>
      </c>
      <c r="N11501" t="s">
        <v>129</v>
      </c>
      <c r="O11501" t="s">
        <v>673</v>
      </c>
      <c r="P11501" t="s">
        <v>296</v>
      </c>
      <c r="Q11501" t="s">
        <v>465</v>
      </c>
      <c r="R11501" t="s">
        <v>444</v>
      </c>
      <c r="S11501" t="s">
        <v>139</v>
      </c>
      <c r="T11501" t="s">
        <v>118</v>
      </c>
      <c r="U11501" t="s">
        <v>412</v>
      </c>
      <c r="V11501" t="s">
        <v>99</v>
      </c>
      <c r="W11501" t="s">
        <v>299</v>
      </c>
      <c r="X11501" t="s">
        <v>103</v>
      </c>
      <c r="Y11501" t="s">
        <v>132</v>
      </c>
      <c r="Z11501" t="s">
        <v>114</v>
      </c>
      <c r="AA11501" t="s">
        <v>115</v>
      </c>
      <c r="AB11501" t="s">
        <v>207</v>
      </c>
      <c r="AC11501" t="s">
        <v>207</v>
      </c>
      <c r="AD11501" t="s">
        <v>126</v>
      </c>
      <c r="AE11501" t="s">
        <v>136</v>
      </c>
      <c r="AF11501" t="s">
        <v>171</v>
      </c>
    </row>
    <row r="11502" spans="1:32" x14ac:dyDescent="0.3">
      <c r="A11502" t="s">
        <v>37</v>
      </c>
      <c r="B11502" t="s">
        <v>365</v>
      </c>
      <c r="C11502">
        <v>6</v>
      </c>
      <c r="D11502" t="s">
        <v>99</v>
      </c>
      <c r="E11502" t="s">
        <v>473</v>
      </c>
      <c r="F11502" t="s">
        <v>222</v>
      </c>
      <c r="G11502" t="s">
        <v>99</v>
      </c>
      <c r="H11502" t="s">
        <v>99</v>
      </c>
      <c r="I11502" t="s">
        <v>313</v>
      </c>
      <c r="J11502" t="s">
        <v>444</v>
      </c>
      <c r="K11502" t="s">
        <v>732</v>
      </c>
      <c r="L11502" t="s">
        <v>732</v>
      </c>
      <c r="M11502" t="s">
        <v>99</v>
      </c>
      <c r="N11502" t="s">
        <v>99</v>
      </c>
      <c r="O11502" t="s">
        <v>222</v>
      </c>
      <c r="P11502" t="s">
        <v>99</v>
      </c>
      <c r="Q11502" t="s">
        <v>313</v>
      </c>
      <c r="R11502" t="s">
        <v>444</v>
      </c>
      <c r="S11502" t="s">
        <v>99</v>
      </c>
      <c r="T11502" t="s">
        <v>99</v>
      </c>
      <c r="U11502" t="s">
        <v>99</v>
      </c>
      <c r="V11502" t="s">
        <v>99</v>
      </c>
      <c r="W11502" t="s">
        <v>99</v>
      </c>
      <c r="X11502" t="s">
        <v>99</v>
      </c>
      <c r="Y11502" t="s">
        <v>99</v>
      </c>
      <c r="Z11502" t="s">
        <v>99</v>
      </c>
      <c r="AA11502" t="s">
        <v>99</v>
      </c>
      <c r="AB11502" t="s">
        <v>99</v>
      </c>
      <c r="AC11502" t="s">
        <v>99</v>
      </c>
      <c r="AD11502" t="s">
        <v>1498</v>
      </c>
      <c r="AE11502" t="s">
        <v>99</v>
      </c>
      <c r="AF11502" t="s">
        <v>313</v>
      </c>
    </row>
    <row r="11503" spans="1:32" x14ac:dyDescent="0.3">
      <c r="A11503" t="s">
        <v>36</v>
      </c>
      <c r="B11503" t="s">
        <v>1757</v>
      </c>
      <c r="C11503">
        <v>1420</v>
      </c>
      <c r="D11503" t="s">
        <v>807</v>
      </c>
      <c r="E11503" t="s">
        <v>1386</v>
      </c>
      <c r="F11503" t="s">
        <v>150</v>
      </c>
      <c r="G11503" t="s">
        <v>68</v>
      </c>
      <c r="H11503" t="s">
        <v>157</v>
      </c>
      <c r="I11503" t="s">
        <v>220</v>
      </c>
      <c r="J11503" t="s">
        <v>54</v>
      </c>
      <c r="K11503" t="s">
        <v>816</v>
      </c>
      <c r="L11503" t="s">
        <v>372</v>
      </c>
      <c r="M11503" t="s">
        <v>158</v>
      </c>
      <c r="N11503" t="s">
        <v>114</v>
      </c>
      <c r="O11503" t="s">
        <v>133</v>
      </c>
      <c r="P11503" t="s">
        <v>111</v>
      </c>
      <c r="Q11503" t="s">
        <v>410</v>
      </c>
      <c r="R11503" t="s">
        <v>188</v>
      </c>
      <c r="S11503" t="s">
        <v>135</v>
      </c>
      <c r="T11503" t="s">
        <v>118</v>
      </c>
      <c r="U11503" t="s">
        <v>132</v>
      </c>
      <c r="V11503" t="s">
        <v>99</v>
      </c>
      <c r="W11503" t="s">
        <v>121</v>
      </c>
      <c r="X11503" t="s">
        <v>253</v>
      </c>
      <c r="Y11503" t="s">
        <v>319</v>
      </c>
      <c r="Z11503" t="s">
        <v>114</v>
      </c>
      <c r="AA11503" t="s">
        <v>253</v>
      </c>
      <c r="AB11503" t="s">
        <v>99</v>
      </c>
      <c r="AC11503" t="s">
        <v>132</v>
      </c>
      <c r="AD11503" t="s">
        <v>114</v>
      </c>
      <c r="AE11503" t="s">
        <v>253</v>
      </c>
      <c r="AF11503" t="s">
        <v>738</v>
      </c>
    </row>
    <row r="11504" spans="1:32" x14ac:dyDescent="0.3">
      <c r="A11504" t="s">
        <v>36</v>
      </c>
      <c r="B11504" t="s">
        <v>1758</v>
      </c>
      <c r="C11504">
        <v>877</v>
      </c>
      <c r="D11504" t="s">
        <v>482</v>
      </c>
      <c r="E11504" t="s">
        <v>624</v>
      </c>
      <c r="F11504" t="s">
        <v>143</v>
      </c>
      <c r="G11504" t="s">
        <v>125</v>
      </c>
      <c r="H11504" t="s">
        <v>254</v>
      </c>
      <c r="I11504" t="s">
        <v>720</v>
      </c>
      <c r="J11504" t="s">
        <v>665</v>
      </c>
      <c r="K11504" t="s">
        <v>532</v>
      </c>
      <c r="L11504" t="s">
        <v>718</v>
      </c>
      <c r="M11504" t="s">
        <v>152</v>
      </c>
      <c r="N11504" t="s">
        <v>126</v>
      </c>
      <c r="O11504" t="s">
        <v>315</v>
      </c>
      <c r="P11504" t="s">
        <v>412</v>
      </c>
      <c r="Q11504" t="s">
        <v>1105</v>
      </c>
      <c r="R11504" t="s">
        <v>76</v>
      </c>
      <c r="S11504" t="s">
        <v>416</v>
      </c>
      <c r="T11504" t="s">
        <v>130</v>
      </c>
      <c r="U11504" t="s">
        <v>215</v>
      </c>
      <c r="V11504" t="s">
        <v>99</v>
      </c>
      <c r="W11504" t="s">
        <v>103</v>
      </c>
      <c r="X11504" t="s">
        <v>126</v>
      </c>
      <c r="Y11504" t="s">
        <v>100</v>
      </c>
      <c r="Z11504" t="s">
        <v>111</v>
      </c>
      <c r="AA11504" t="s">
        <v>207</v>
      </c>
      <c r="AB11504" t="s">
        <v>104</v>
      </c>
      <c r="AC11504" t="s">
        <v>151</v>
      </c>
      <c r="AD11504" t="s">
        <v>101</v>
      </c>
      <c r="AE11504" t="s">
        <v>114</v>
      </c>
      <c r="AF11504" t="s">
        <v>408</v>
      </c>
    </row>
    <row r="11505" spans="1:32" x14ac:dyDescent="0.3">
      <c r="A11505" t="s">
        <v>36</v>
      </c>
      <c r="B11505" t="s">
        <v>365</v>
      </c>
      <c r="C11505">
        <v>5</v>
      </c>
      <c r="D11505" t="s">
        <v>99</v>
      </c>
      <c r="E11505" t="s">
        <v>738</v>
      </c>
      <c r="F11505" t="s">
        <v>99</v>
      </c>
      <c r="G11505" t="s">
        <v>99</v>
      </c>
      <c r="H11505" t="s">
        <v>99</v>
      </c>
      <c r="I11505" t="s">
        <v>108</v>
      </c>
      <c r="J11505" t="s">
        <v>99</v>
      </c>
      <c r="K11505" t="s">
        <v>1748</v>
      </c>
      <c r="L11505" t="s">
        <v>738</v>
      </c>
      <c r="M11505" t="s">
        <v>99</v>
      </c>
      <c r="N11505" t="s">
        <v>108</v>
      </c>
      <c r="O11505" t="s">
        <v>99</v>
      </c>
      <c r="P11505" t="s">
        <v>99</v>
      </c>
      <c r="Q11505" t="s">
        <v>370</v>
      </c>
      <c r="R11505" t="s">
        <v>1748</v>
      </c>
      <c r="S11505" t="s">
        <v>370</v>
      </c>
      <c r="T11505" t="s">
        <v>99</v>
      </c>
      <c r="U11505" t="s">
        <v>99</v>
      </c>
      <c r="V11505" t="s">
        <v>99</v>
      </c>
      <c r="W11505" t="s">
        <v>99</v>
      </c>
      <c r="X11505" t="s">
        <v>99</v>
      </c>
      <c r="Y11505" t="s">
        <v>99</v>
      </c>
      <c r="Z11505" t="s">
        <v>108</v>
      </c>
      <c r="AA11505" t="s">
        <v>99</v>
      </c>
      <c r="AB11505" t="s">
        <v>99</v>
      </c>
      <c r="AC11505" t="s">
        <v>99</v>
      </c>
      <c r="AD11505" t="s">
        <v>99</v>
      </c>
      <c r="AE11505" t="s">
        <v>99</v>
      </c>
      <c r="AF11505" t="s">
        <v>738</v>
      </c>
    </row>
    <row r="11506" spans="1:32" x14ac:dyDescent="0.3">
      <c r="A11506" t="s">
        <v>34</v>
      </c>
      <c r="B11506" t="s">
        <v>1757</v>
      </c>
      <c r="C11506">
        <v>1329</v>
      </c>
      <c r="D11506" t="s">
        <v>294</v>
      </c>
      <c r="E11506" t="s">
        <v>902</v>
      </c>
      <c r="F11506" t="s">
        <v>154</v>
      </c>
      <c r="G11506" t="s">
        <v>215</v>
      </c>
      <c r="H11506" t="s">
        <v>120</v>
      </c>
      <c r="I11506" t="s">
        <v>152</v>
      </c>
      <c r="J11506" t="s">
        <v>751</v>
      </c>
      <c r="K11506" t="s">
        <v>224</v>
      </c>
      <c r="L11506" t="s">
        <v>798</v>
      </c>
      <c r="M11506" t="s">
        <v>126</v>
      </c>
      <c r="N11506" t="s">
        <v>115</v>
      </c>
      <c r="O11506" t="s">
        <v>679</v>
      </c>
      <c r="P11506" t="s">
        <v>110</v>
      </c>
      <c r="Q11506" t="s">
        <v>363</v>
      </c>
      <c r="R11506" t="s">
        <v>408</v>
      </c>
      <c r="S11506" t="s">
        <v>41</v>
      </c>
      <c r="T11506" t="s">
        <v>268</v>
      </c>
      <c r="U11506" t="s">
        <v>108</v>
      </c>
      <c r="V11506" t="s">
        <v>99</v>
      </c>
      <c r="W11506" t="s">
        <v>101</v>
      </c>
      <c r="X11506" t="s">
        <v>198</v>
      </c>
      <c r="Y11506" t="s">
        <v>115</v>
      </c>
      <c r="Z11506" t="s">
        <v>114</v>
      </c>
      <c r="AA11506" t="s">
        <v>141</v>
      </c>
      <c r="AB11506" t="s">
        <v>114</v>
      </c>
      <c r="AC11506" t="s">
        <v>253</v>
      </c>
      <c r="AD11506" t="s">
        <v>127</v>
      </c>
      <c r="AE11506" t="s">
        <v>198</v>
      </c>
      <c r="AF11506" t="s">
        <v>810</v>
      </c>
    </row>
    <row r="11507" spans="1:32" x14ac:dyDescent="0.3">
      <c r="A11507" t="s">
        <v>34</v>
      </c>
      <c r="B11507" t="s">
        <v>1758</v>
      </c>
      <c r="C11507">
        <v>742</v>
      </c>
      <c r="D11507" t="s">
        <v>440</v>
      </c>
      <c r="E11507" t="s">
        <v>711</v>
      </c>
      <c r="F11507" t="s">
        <v>123</v>
      </c>
      <c r="G11507" t="s">
        <v>157</v>
      </c>
      <c r="H11507" t="s">
        <v>134</v>
      </c>
      <c r="I11507" t="s">
        <v>425</v>
      </c>
      <c r="J11507" t="s">
        <v>814</v>
      </c>
      <c r="K11507" t="s">
        <v>156</v>
      </c>
      <c r="L11507" t="s">
        <v>748</v>
      </c>
      <c r="M11507" t="s">
        <v>154</v>
      </c>
      <c r="N11507" t="s">
        <v>120</v>
      </c>
      <c r="O11507" t="s">
        <v>318</v>
      </c>
      <c r="P11507" t="s">
        <v>163</v>
      </c>
      <c r="Q11507" t="s">
        <v>696</v>
      </c>
      <c r="R11507" t="s">
        <v>318</v>
      </c>
      <c r="S11507" t="s">
        <v>347</v>
      </c>
      <c r="T11507" t="s">
        <v>130</v>
      </c>
      <c r="U11507" t="s">
        <v>215</v>
      </c>
      <c r="V11507" t="s">
        <v>207</v>
      </c>
      <c r="W11507" t="s">
        <v>474</v>
      </c>
      <c r="X11507" t="s">
        <v>151</v>
      </c>
      <c r="Y11507" t="s">
        <v>100</v>
      </c>
      <c r="Z11507" t="s">
        <v>114</v>
      </c>
      <c r="AA11507" t="s">
        <v>207</v>
      </c>
      <c r="AB11507" t="s">
        <v>141</v>
      </c>
      <c r="AC11507" t="s">
        <v>120</v>
      </c>
      <c r="AD11507" t="s">
        <v>132</v>
      </c>
      <c r="AE11507" t="s">
        <v>207</v>
      </c>
      <c r="AF11507" t="s">
        <v>746</v>
      </c>
    </row>
    <row r="11508" spans="1:32" x14ac:dyDescent="0.3">
      <c r="A11508" t="s">
        <v>34</v>
      </c>
      <c r="B11508" t="s">
        <v>365</v>
      </c>
      <c r="C11508">
        <v>3</v>
      </c>
      <c r="D11508" t="s">
        <v>705</v>
      </c>
      <c r="E11508" t="s">
        <v>705</v>
      </c>
      <c r="F11508" t="s">
        <v>99</v>
      </c>
      <c r="G11508" t="s">
        <v>99</v>
      </c>
      <c r="H11508" t="s">
        <v>99</v>
      </c>
      <c r="I11508" t="s">
        <v>99</v>
      </c>
      <c r="J11508" t="s">
        <v>705</v>
      </c>
      <c r="K11508" t="s">
        <v>705</v>
      </c>
      <c r="L11508" t="s">
        <v>99</v>
      </c>
      <c r="M11508" t="s">
        <v>99</v>
      </c>
      <c r="N11508" t="s">
        <v>99</v>
      </c>
      <c r="O11508" t="s">
        <v>99</v>
      </c>
      <c r="P11508" t="s">
        <v>99</v>
      </c>
      <c r="Q11508" t="s">
        <v>99</v>
      </c>
      <c r="R11508" t="s">
        <v>99</v>
      </c>
      <c r="S11508" t="s">
        <v>99</v>
      </c>
      <c r="T11508" t="s">
        <v>99</v>
      </c>
      <c r="U11508" t="s">
        <v>99</v>
      </c>
      <c r="V11508" t="s">
        <v>99</v>
      </c>
      <c r="W11508" t="s">
        <v>99</v>
      </c>
      <c r="X11508" t="s">
        <v>99</v>
      </c>
      <c r="Y11508" t="s">
        <v>99</v>
      </c>
      <c r="Z11508" t="s">
        <v>99</v>
      </c>
      <c r="AA11508" t="s">
        <v>99</v>
      </c>
      <c r="AB11508" t="s">
        <v>99</v>
      </c>
      <c r="AC11508" t="s">
        <v>99</v>
      </c>
      <c r="AD11508" t="s">
        <v>99</v>
      </c>
      <c r="AE11508" t="s">
        <v>495</v>
      </c>
      <c r="AF11508" t="s">
        <v>1053</v>
      </c>
    </row>
    <row r="11509" spans="1:32" x14ac:dyDescent="0.3">
      <c r="A11509" t="s">
        <v>33</v>
      </c>
      <c r="B11509" t="s">
        <v>1757</v>
      </c>
      <c r="C11509">
        <v>1836</v>
      </c>
      <c r="D11509" t="s">
        <v>70</v>
      </c>
      <c r="E11509" t="s">
        <v>670</v>
      </c>
      <c r="F11509" t="s">
        <v>292</v>
      </c>
      <c r="G11509" t="s">
        <v>120</v>
      </c>
      <c r="H11509" t="s">
        <v>132</v>
      </c>
      <c r="I11509" t="s">
        <v>325</v>
      </c>
      <c r="J11509" t="s">
        <v>429</v>
      </c>
      <c r="K11509" t="s">
        <v>62</v>
      </c>
      <c r="L11509" t="s">
        <v>160</v>
      </c>
      <c r="M11509" t="s">
        <v>684</v>
      </c>
      <c r="N11509" t="s">
        <v>121</v>
      </c>
      <c r="O11509" t="s">
        <v>74</v>
      </c>
      <c r="P11509" t="s">
        <v>132</v>
      </c>
      <c r="Q11509" t="s">
        <v>395</v>
      </c>
      <c r="R11509" t="s">
        <v>72</v>
      </c>
      <c r="S11509" t="s">
        <v>316</v>
      </c>
      <c r="T11509" t="s">
        <v>68</v>
      </c>
      <c r="U11509" t="s">
        <v>253</v>
      </c>
      <c r="V11509" t="s">
        <v>99</v>
      </c>
      <c r="W11509" t="s">
        <v>120</v>
      </c>
      <c r="X11509" t="s">
        <v>207</v>
      </c>
      <c r="Y11509" t="s">
        <v>132</v>
      </c>
      <c r="Z11509" t="s">
        <v>141</v>
      </c>
      <c r="AA11509" t="s">
        <v>115</v>
      </c>
      <c r="AB11509" t="s">
        <v>207</v>
      </c>
      <c r="AC11509" t="s">
        <v>207</v>
      </c>
      <c r="AD11509" t="s">
        <v>292</v>
      </c>
      <c r="AE11509" t="s">
        <v>115</v>
      </c>
      <c r="AF11509" t="s">
        <v>816</v>
      </c>
    </row>
    <row r="11510" spans="1:32" x14ac:dyDescent="0.3">
      <c r="A11510" t="s">
        <v>33</v>
      </c>
      <c r="B11510" t="s">
        <v>1758</v>
      </c>
      <c r="C11510">
        <v>91</v>
      </c>
      <c r="D11510" t="s">
        <v>289</v>
      </c>
      <c r="E11510" t="s">
        <v>582</v>
      </c>
      <c r="F11510" t="s">
        <v>401</v>
      </c>
      <c r="G11510" t="s">
        <v>68</v>
      </c>
      <c r="H11510" t="s">
        <v>461</v>
      </c>
      <c r="I11510" t="s">
        <v>672</v>
      </c>
      <c r="J11510" t="s">
        <v>636</v>
      </c>
      <c r="K11510" t="s">
        <v>632</v>
      </c>
      <c r="L11510" t="s">
        <v>734</v>
      </c>
      <c r="M11510" t="s">
        <v>449</v>
      </c>
      <c r="N11510" t="s">
        <v>474</v>
      </c>
      <c r="O11510" t="s">
        <v>691</v>
      </c>
      <c r="P11510" t="s">
        <v>299</v>
      </c>
      <c r="Q11510" t="s">
        <v>708</v>
      </c>
      <c r="R11510" t="s">
        <v>289</v>
      </c>
      <c r="S11510" t="s">
        <v>139</v>
      </c>
      <c r="T11510" t="s">
        <v>110</v>
      </c>
      <c r="U11510" t="s">
        <v>138</v>
      </c>
      <c r="V11510" t="s">
        <v>99</v>
      </c>
      <c r="W11510" t="s">
        <v>204</v>
      </c>
      <c r="X11510" t="s">
        <v>123</v>
      </c>
      <c r="Y11510" t="s">
        <v>151</v>
      </c>
      <c r="Z11510" t="s">
        <v>99</v>
      </c>
      <c r="AA11510" t="s">
        <v>121</v>
      </c>
      <c r="AB11510" t="s">
        <v>121</v>
      </c>
      <c r="AC11510" t="s">
        <v>121</v>
      </c>
      <c r="AD11510" t="s">
        <v>121</v>
      </c>
      <c r="AE11510" t="s">
        <v>99</v>
      </c>
      <c r="AF11510" t="s">
        <v>113</v>
      </c>
    </row>
    <row r="11511" spans="1:32" x14ac:dyDescent="0.3">
      <c r="A11511" t="s">
        <v>33</v>
      </c>
      <c r="B11511" t="s">
        <v>365</v>
      </c>
      <c r="C11511">
        <v>3</v>
      </c>
      <c r="D11511" t="s">
        <v>99</v>
      </c>
      <c r="E11511" t="s">
        <v>99</v>
      </c>
      <c r="F11511" t="s">
        <v>99</v>
      </c>
      <c r="G11511" t="s">
        <v>99</v>
      </c>
      <c r="H11511" t="s">
        <v>99</v>
      </c>
      <c r="I11511" t="s">
        <v>99</v>
      </c>
      <c r="J11511" t="s">
        <v>99</v>
      </c>
      <c r="K11511" t="s">
        <v>99</v>
      </c>
      <c r="L11511" t="s">
        <v>99</v>
      </c>
      <c r="M11511" t="s">
        <v>99</v>
      </c>
      <c r="N11511" t="s">
        <v>99</v>
      </c>
      <c r="O11511" t="s">
        <v>99</v>
      </c>
      <c r="P11511" t="s">
        <v>99</v>
      </c>
      <c r="Q11511" t="s">
        <v>99</v>
      </c>
      <c r="R11511" t="s">
        <v>99</v>
      </c>
      <c r="S11511" t="s">
        <v>99</v>
      </c>
      <c r="T11511" t="s">
        <v>99</v>
      </c>
      <c r="U11511" t="s">
        <v>99</v>
      </c>
      <c r="V11511" t="s">
        <v>99</v>
      </c>
      <c r="W11511" t="s">
        <v>99</v>
      </c>
      <c r="X11511" t="s">
        <v>99</v>
      </c>
      <c r="Y11511" t="s">
        <v>99</v>
      </c>
      <c r="Z11511" t="s">
        <v>99</v>
      </c>
      <c r="AA11511" t="s">
        <v>99</v>
      </c>
      <c r="AB11511" t="s">
        <v>99</v>
      </c>
      <c r="AC11511" t="s">
        <v>99</v>
      </c>
      <c r="AD11511" t="s">
        <v>99</v>
      </c>
      <c r="AE11511" t="s">
        <v>817</v>
      </c>
      <c r="AF11511" t="s">
        <v>951</v>
      </c>
    </row>
    <row r="11512" spans="1:32" x14ac:dyDescent="0.3">
      <c r="A11512" t="s">
        <v>49</v>
      </c>
      <c r="B11512" t="s">
        <v>1757</v>
      </c>
      <c r="C11512">
        <v>10972</v>
      </c>
      <c r="D11512" t="s">
        <v>416</v>
      </c>
      <c r="E11512" t="s">
        <v>816</v>
      </c>
      <c r="F11512" t="s">
        <v>138</v>
      </c>
      <c r="G11512" t="s">
        <v>268</v>
      </c>
      <c r="H11512" t="s">
        <v>127</v>
      </c>
      <c r="I11512" t="s">
        <v>325</v>
      </c>
      <c r="J11512" t="s">
        <v>697</v>
      </c>
      <c r="K11512" t="s">
        <v>669</v>
      </c>
      <c r="L11512" t="s">
        <v>315</v>
      </c>
      <c r="M11512" t="s">
        <v>332</v>
      </c>
      <c r="N11512" t="s">
        <v>101</v>
      </c>
      <c r="O11512" t="s">
        <v>679</v>
      </c>
      <c r="P11512" t="s">
        <v>111</v>
      </c>
      <c r="Q11512" t="s">
        <v>798</v>
      </c>
      <c r="R11512" t="s">
        <v>688</v>
      </c>
      <c r="S11512" t="s">
        <v>112</v>
      </c>
      <c r="T11512" t="s">
        <v>105</v>
      </c>
      <c r="U11512" t="s">
        <v>100</v>
      </c>
      <c r="V11512" t="s">
        <v>104</v>
      </c>
      <c r="W11512" t="s">
        <v>120</v>
      </c>
      <c r="X11512" t="s">
        <v>115</v>
      </c>
      <c r="Y11512" t="s">
        <v>126</v>
      </c>
      <c r="Z11512" t="s">
        <v>101</v>
      </c>
      <c r="AA11512" t="s">
        <v>136</v>
      </c>
      <c r="AB11512" t="s">
        <v>198</v>
      </c>
      <c r="AC11512" t="s">
        <v>207</v>
      </c>
      <c r="AD11512" t="s">
        <v>111</v>
      </c>
      <c r="AE11512" t="s">
        <v>253</v>
      </c>
      <c r="AF11512" t="s">
        <v>429</v>
      </c>
    </row>
    <row r="11513" spans="1:32" x14ac:dyDescent="0.3">
      <c r="A11513" t="s">
        <v>49</v>
      </c>
      <c r="B11513" t="s">
        <v>1758</v>
      </c>
      <c r="C11513">
        <v>2307</v>
      </c>
      <c r="D11513" t="s">
        <v>677</v>
      </c>
      <c r="E11513" t="s">
        <v>669</v>
      </c>
      <c r="F11513" t="s">
        <v>684</v>
      </c>
      <c r="G11513" t="s">
        <v>124</v>
      </c>
      <c r="H11513" t="s">
        <v>675</v>
      </c>
      <c r="I11513" t="s">
        <v>444</v>
      </c>
      <c r="J11513" t="s">
        <v>730</v>
      </c>
      <c r="K11513" t="s">
        <v>821</v>
      </c>
      <c r="L11513" t="s">
        <v>706</v>
      </c>
      <c r="M11513" t="s">
        <v>242</v>
      </c>
      <c r="N11513" t="s">
        <v>103</v>
      </c>
      <c r="O11513" t="s">
        <v>175</v>
      </c>
      <c r="P11513" t="s">
        <v>363</v>
      </c>
      <c r="Q11513" t="s">
        <v>1008</v>
      </c>
      <c r="R11513" t="s">
        <v>201</v>
      </c>
      <c r="S11513" t="s">
        <v>188</v>
      </c>
      <c r="T11513" t="s">
        <v>129</v>
      </c>
      <c r="U11513" t="s">
        <v>111</v>
      </c>
      <c r="V11513" t="s">
        <v>104</v>
      </c>
      <c r="W11513" t="s">
        <v>158</v>
      </c>
      <c r="X11513" t="s">
        <v>215</v>
      </c>
      <c r="Y11513" t="s">
        <v>382</v>
      </c>
      <c r="Z11513" t="s">
        <v>101</v>
      </c>
      <c r="AA11513" t="s">
        <v>136</v>
      </c>
      <c r="AB11513" t="s">
        <v>207</v>
      </c>
      <c r="AC11513" t="s">
        <v>123</v>
      </c>
      <c r="AD11513" t="s">
        <v>121</v>
      </c>
      <c r="AE11513" t="s">
        <v>136</v>
      </c>
      <c r="AF11513" t="s">
        <v>714</v>
      </c>
    </row>
    <row r="11514" spans="1:32" x14ac:dyDescent="0.3">
      <c r="A11514" t="s">
        <v>49</v>
      </c>
      <c r="B11514" t="s">
        <v>365</v>
      </c>
      <c r="C11514">
        <v>19</v>
      </c>
      <c r="D11514" t="s">
        <v>151</v>
      </c>
      <c r="E11514" t="s">
        <v>432</v>
      </c>
      <c r="F11514" t="s">
        <v>149</v>
      </c>
      <c r="G11514" t="s">
        <v>99</v>
      </c>
      <c r="H11514" t="s">
        <v>99</v>
      </c>
      <c r="I11514" t="s">
        <v>712</v>
      </c>
      <c r="J11514" t="s">
        <v>251</v>
      </c>
      <c r="K11514" t="s">
        <v>481</v>
      </c>
      <c r="L11514" t="s">
        <v>694</v>
      </c>
      <c r="M11514" t="s">
        <v>99</v>
      </c>
      <c r="N11514" t="s">
        <v>207</v>
      </c>
      <c r="O11514" t="s">
        <v>149</v>
      </c>
      <c r="P11514" t="s">
        <v>99</v>
      </c>
      <c r="Q11514" t="s">
        <v>142</v>
      </c>
      <c r="R11514" t="s">
        <v>690</v>
      </c>
      <c r="S11514" t="s">
        <v>184</v>
      </c>
      <c r="T11514" t="s">
        <v>99</v>
      </c>
      <c r="U11514" t="s">
        <v>99</v>
      </c>
      <c r="V11514" t="s">
        <v>99</v>
      </c>
      <c r="W11514" t="s">
        <v>99</v>
      </c>
      <c r="X11514" t="s">
        <v>99</v>
      </c>
      <c r="Y11514" t="s">
        <v>99</v>
      </c>
      <c r="Z11514" t="s">
        <v>207</v>
      </c>
      <c r="AA11514" t="s">
        <v>99</v>
      </c>
      <c r="AB11514" t="s">
        <v>99</v>
      </c>
      <c r="AC11514" t="s">
        <v>99</v>
      </c>
      <c r="AD11514" t="s">
        <v>478</v>
      </c>
      <c r="AE11514" t="s">
        <v>491</v>
      </c>
      <c r="AF11514" t="s">
        <v>437</v>
      </c>
    </row>
    <row r="11516" spans="1:32" x14ac:dyDescent="0.3">
      <c r="A11516" t="s">
        <v>2677</v>
      </c>
    </row>
    <row r="11517" spans="1:32" x14ac:dyDescent="0.3">
      <c r="A11517" t="s">
        <v>44</v>
      </c>
      <c r="B11517" t="s">
        <v>1590</v>
      </c>
      <c r="C11517" t="s">
        <v>32</v>
      </c>
      <c r="D11517" t="s">
        <v>2647</v>
      </c>
      <c r="E11517" t="s">
        <v>2648</v>
      </c>
      <c r="F11517" t="s">
        <v>2649</v>
      </c>
      <c r="G11517" t="s">
        <v>2650</v>
      </c>
      <c r="H11517" t="s">
        <v>2651</v>
      </c>
      <c r="I11517" t="s">
        <v>2652</v>
      </c>
      <c r="J11517" t="s">
        <v>2653</v>
      </c>
      <c r="K11517" t="s">
        <v>2654</v>
      </c>
      <c r="L11517" t="s">
        <v>2655</v>
      </c>
      <c r="M11517" t="s">
        <v>2656</v>
      </c>
      <c r="N11517" t="s">
        <v>2657</v>
      </c>
      <c r="O11517" t="s">
        <v>2658</v>
      </c>
      <c r="P11517" t="s">
        <v>2659</v>
      </c>
      <c r="Q11517" t="s">
        <v>2660</v>
      </c>
      <c r="R11517" t="s">
        <v>2661</v>
      </c>
      <c r="S11517" t="s">
        <v>2662</v>
      </c>
      <c r="T11517" t="s">
        <v>2663</v>
      </c>
      <c r="U11517" t="s">
        <v>2664</v>
      </c>
      <c r="V11517" t="s">
        <v>2665</v>
      </c>
      <c r="W11517" t="s">
        <v>2666</v>
      </c>
      <c r="X11517" t="s">
        <v>2667</v>
      </c>
      <c r="Y11517" t="s">
        <v>2668</v>
      </c>
      <c r="Z11517" t="s">
        <v>2669</v>
      </c>
      <c r="AA11517" t="s">
        <v>2670</v>
      </c>
      <c r="AB11517" t="s">
        <v>2671</v>
      </c>
      <c r="AC11517" t="s">
        <v>88</v>
      </c>
      <c r="AD11517" t="s">
        <v>83</v>
      </c>
      <c r="AE11517" t="s">
        <v>193</v>
      </c>
      <c r="AF11517" t="s">
        <v>1323</v>
      </c>
    </row>
    <row r="11518" spans="1:32" x14ac:dyDescent="0.3">
      <c r="A11518" t="s">
        <v>35</v>
      </c>
      <c r="B11518" t="s">
        <v>1591</v>
      </c>
      <c r="C11518">
        <v>1459</v>
      </c>
      <c r="D11518" t="s">
        <v>353</v>
      </c>
      <c r="E11518" t="s">
        <v>1184</v>
      </c>
      <c r="F11518" t="s">
        <v>144</v>
      </c>
      <c r="G11518" t="s">
        <v>712</v>
      </c>
      <c r="H11518" t="s">
        <v>154</v>
      </c>
      <c r="I11518" t="s">
        <v>72</v>
      </c>
      <c r="J11518" t="s">
        <v>862</v>
      </c>
      <c r="K11518" t="s">
        <v>1061</v>
      </c>
      <c r="L11518" t="s">
        <v>1044</v>
      </c>
      <c r="M11518" t="s">
        <v>154</v>
      </c>
      <c r="N11518" t="s">
        <v>268</v>
      </c>
      <c r="O11518" t="s">
        <v>408</v>
      </c>
      <c r="P11518" t="s">
        <v>138</v>
      </c>
      <c r="Q11518" t="s">
        <v>694</v>
      </c>
      <c r="R11518" t="s">
        <v>738</v>
      </c>
      <c r="S11518" t="s">
        <v>287</v>
      </c>
      <c r="T11518" t="s">
        <v>110</v>
      </c>
      <c r="U11518" t="s">
        <v>108</v>
      </c>
      <c r="V11518" t="s">
        <v>104</v>
      </c>
      <c r="W11518" t="s">
        <v>129</v>
      </c>
      <c r="X11518" t="s">
        <v>114</v>
      </c>
      <c r="Y11518" t="s">
        <v>117</v>
      </c>
      <c r="Z11518" t="s">
        <v>132</v>
      </c>
      <c r="AA11518" t="s">
        <v>198</v>
      </c>
      <c r="AB11518" t="s">
        <v>198</v>
      </c>
      <c r="AC11518" t="s">
        <v>207</v>
      </c>
      <c r="AD11518" t="s">
        <v>101</v>
      </c>
      <c r="AE11518" t="s">
        <v>198</v>
      </c>
      <c r="AF11518" t="s">
        <v>142</v>
      </c>
    </row>
    <row r="11519" spans="1:32" x14ac:dyDescent="0.3">
      <c r="A11519" t="s">
        <v>35</v>
      </c>
      <c r="B11519" t="s">
        <v>1592</v>
      </c>
      <c r="C11519">
        <v>1642</v>
      </c>
      <c r="D11519" t="s">
        <v>437</v>
      </c>
      <c r="E11519" t="s">
        <v>459</v>
      </c>
      <c r="F11519" t="s">
        <v>157</v>
      </c>
      <c r="G11519" t="s">
        <v>111</v>
      </c>
      <c r="H11519" t="s">
        <v>107</v>
      </c>
      <c r="I11519" t="s">
        <v>149</v>
      </c>
      <c r="J11519" t="s">
        <v>740</v>
      </c>
      <c r="K11519" t="s">
        <v>681</v>
      </c>
      <c r="L11519" t="s">
        <v>182</v>
      </c>
      <c r="M11519" t="s">
        <v>292</v>
      </c>
      <c r="N11519" t="s">
        <v>132</v>
      </c>
      <c r="O11519" t="s">
        <v>143</v>
      </c>
      <c r="P11519" t="s">
        <v>382</v>
      </c>
      <c r="Q11519" t="s">
        <v>461</v>
      </c>
      <c r="R11519" t="s">
        <v>150</v>
      </c>
      <c r="S11519" t="s">
        <v>319</v>
      </c>
      <c r="T11519" t="s">
        <v>111</v>
      </c>
      <c r="U11519" t="s">
        <v>101</v>
      </c>
      <c r="V11519" t="s">
        <v>99</v>
      </c>
      <c r="W11519" t="s">
        <v>215</v>
      </c>
      <c r="X11519" t="s">
        <v>136</v>
      </c>
      <c r="Y11519" t="s">
        <v>132</v>
      </c>
      <c r="Z11519" t="s">
        <v>316</v>
      </c>
      <c r="AA11519" t="s">
        <v>198</v>
      </c>
      <c r="AB11519" t="s">
        <v>99</v>
      </c>
      <c r="AC11519" t="s">
        <v>253</v>
      </c>
      <c r="AD11519" t="s">
        <v>128</v>
      </c>
      <c r="AE11519" t="s">
        <v>108</v>
      </c>
      <c r="AF11519" t="s">
        <v>1115</v>
      </c>
    </row>
    <row r="11520" spans="1:32" x14ac:dyDescent="0.3">
      <c r="A11520" t="s">
        <v>35</v>
      </c>
      <c r="B11520" t="s">
        <v>365</v>
      </c>
      <c r="C11520">
        <v>39</v>
      </c>
      <c r="D11520" t="s">
        <v>149</v>
      </c>
      <c r="E11520" t="s">
        <v>806</v>
      </c>
      <c r="F11520" t="s">
        <v>127</v>
      </c>
      <c r="G11520" t="s">
        <v>99</v>
      </c>
      <c r="H11520" t="s">
        <v>128</v>
      </c>
      <c r="I11520" t="s">
        <v>369</v>
      </c>
      <c r="J11520" t="s">
        <v>39</v>
      </c>
      <c r="K11520" t="s">
        <v>137</v>
      </c>
      <c r="L11520" t="s">
        <v>932</v>
      </c>
      <c r="M11520" t="s">
        <v>127</v>
      </c>
      <c r="N11520" t="s">
        <v>99</v>
      </c>
      <c r="O11520" t="s">
        <v>145</v>
      </c>
      <c r="P11520" t="s">
        <v>675</v>
      </c>
      <c r="Q11520" t="s">
        <v>534</v>
      </c>
      <c r="R11520" t="s">
        <v>432</v>
      </c>
      <c r="S11520" t="s">
        <v>369</v>
      </c>
      <c r="T11520" t="s">
        <v>149</v>
      </c>
      <c r="U11520" t="s">
        <v>99</v>
      </c>
      <c r="V11520" t="s">
        <v>99</v>
      </c>
      <c r="W11520" t="s">
        <v>128</v>
      </c>
      <c r="X11520" t="s">
        <v>99</v>
      </c>
      <c r="Y11520" t="s">
        <v>99</v>
      </c>
      <c r="Z11520" t="s">
        <v>108</v>
      </c>
      <c r="AA11520" t="s">
        <v>99</v>
      </c>
      <c r="AB11520" t="s">
        <v>99</v>
      </c>
      <c r="AC11520" t="s">
        <v>99</v>
      </c>
      <c r="AD11520" t="s">
        <v>144</v>
      </c>
      <c r="AE11520" t="s">
        <v>114</v>
      </c>
      <c r="AF11520" t="s">
        <v>959</v>
      </c>
    </row>
    <row r="11521" spans="1:32" x14ac:dyDescent="0.3">
      <c r="A11521" t="s">
        <v>37</v>
      </c>
      <c r="B11521" t="s">
        <v>1591</v>
      </c>
      <c r="C11521">
        <v>1700</v>
      </c>
      <c r="D11521" t="s">
        <v>664</v>
      </c>
      <c r="E11521" t="s">
        <v>801</v>
      </c>
      <c r="F11521" t="s">
        <v>155</v>
      </c>
      <c r="G11521" t="s">
        <v>123</v>
      </c>
      <c r="H11521" t="s">
        <v>103</v>
      </c>
      <c r="I11521" t="s">
        <v>150</v>
      </c>
      <c r="J11521" t="s">
        <v>674</v>
      </c>
      <c r="K11521" t="s">
        <v>1149</v>
      </c>
      <c r="L11521" t="s">
        <v>395</v>
      </c>
      <c r="M11521" t="s">
        <v>143</v>
      </c>
      <c r="N11521" t="s">
        <v>120</v>
      </c>
      <c r="O11521" t="s">
        <v>262</v>
      </c>
      <c r="P11521" t="s">
        <v>134</v>
      </c>
      <c r="Q11521" t="s">
        <v>1045</v>
      </c>
      <c r="R11521" t="s">
        <v>423</v>
      </c>
      <c r="S11521" t="s">
        <v>325</v>
      </c>
      <c r="T11521" t="s">
        <v>128</v>
      </c>
      <c r="U11521" t="s">
        <v>151</v>
      </c>
      <c r="V11521" t="s">
        <v>207</v>
      </c>
      <c r="W11521" t="s">
        <v>254</v>
      </c>
      <c r="X11521" t="s">
        <v>127</v>
      </c>
      <c r="Y11521" t="s">
        <v>157</v>
      </c>
      <c r="Z11521" t="s">
        <v>382</v>
      </c>
      <c r="AA11521" t="s">
        <v>99</v>
      </c>
      <c r="AB11521" t="s">
        <v>99</v>
      </c>
      <c r="AC11521" t="s">
        <v>99</v>
      </c>
      <c r="AD11521" t="s">
        <v>123</v>
      </c>
      <c r="AE11521" t="s">
        <v>141</v>
      </c>
      <c r="AF11521" t="s">
        <v>685</v>
      </c>
    </row>
    <row r="11522" spans="1:32" x14ac:dyDescent="0.3">
      <c r="A11522" t="s">
        <v>37</v>
      </c>
      <c r="B11522" t="s">
        <v>1592</v>
      </c>
      <c r="C11522">
        <v>2089</v>
      </c>
      <c r="D11522" t="s">
        <v>135</v>
      </c>
      <c r="E11522" t="s">
        <v>1059</v>
      </c>
      <c r="F11522" t="s">
        <v>138</v>
      </c>
      <c r="G11522" t="s">
        <v>215</v>
      </c>
      <c r="H11522" t="s">
        <v>126</v>
      </c>
      <c r="I11522" t="s">
        <v>120</v>
      </c>
      <c r="J11522" t="s">
        <v>734</v>
      </c>
      <c r="K11522" t="s">
        <v>246</v>
      </c>
      <c r="L11522" t="s">
        <v>109</v>
      </c>
      <c r="M11522" t="s">
        <v>292</v>
      </c>
      <c r="N11522" t="s">
        <v>114</v>
      </c>
      <c r="O11522" t="s">
        <v>675</v>
      </c>
      <c r="P11522" t="s">
        <v>127</v>
      </c>
      <c r="Q11522" t="s">
        <v>677</v>
      </c>
      <c r="R11522" t="s">
        <v>182</v>
      </c>
      <c r="S11522" t="s">
        <v>100</v>
      </c>
      <c r="T11522" t="s">
        <v>120</v>
      </c>
      <c r="U11522" t="s">
        <v>123</v>
      </c>
      <c r="V11522" t="s">
        <v>104</v>
      </c>
      <c r="W11522" t="s">
        <v>110</v>
      </c>
      <c r="X11522" t="s">
        <v>132</v>
      </c>
      <c r="Y11522" t="s">
        <v>127</v>
      </c>
      <c r="Z11522" t="s">
        <v>319</v>
      </c>
      <c r="AA11522" t="s">
        <v>136</v>
      </c>
      <c r="AB11522" t="s">
        <v>99</v>
      </c>
      <c r="AC11522" t="s">
        <v>104</v>
      </c>
      <c r="AD11522" t="s">
        <v>157</v>
      </c>
      <c r="AE11522" t="s">
        <v>132</v>
      </c>
      <c r="AF11522" t="s">
        <v>636</v>
      </c>
    </row>
    <row r="11523" spans="1:32" x14ac:dyDescent="0.3">
      <c r="A11523" t="s">
        <v>37</v>
      </c>
      <c r="B11523" t="s">
        <v>365</v>
      </c>
      <c r="C11523">
        <v>63</v>
      </c>
      <c r="D11523" t="s">
        <v>72</v>
      </c>
      <c r="E11523" t="s">
        <v>542</v>
      </c>
      <c r="F11523" t="s">
        <v>316</v>
      </c>
      <c r="G11523" t="s">
        <v>434</v>
      </c>
      <c r="H11523" t="s">
        <v>154</v>
      </c>
      <c r="I11523" t="s">
        <v>134</v>
      </c>
      <c r="J11523" t="s">
        <v>730</v>
      </c>
      <c r="K11523" t="s">
        <v>574</v>
      </c>
      <c r="L11523" t="s">
        <v>470</v>
      </c>
      <c r="M11523" t="s">
        <v>675</v>
      </c>
      <c r="N11523" t="s">
        <v>292</v>
      </c>
      <c r="O11523" t="s">
        <v>712</v>
      </c>
      <c r="P11523" t="s">
        <v>114</v>
      </c>
      <c r="Q11523" t="s">
        <v>305</v>
      </c>
      <c r="R11523" t="s">
        <v>716</v>
      </c>
      <c r="S11523" t="s">
        <v>118</v>
      </c>
      <c r="T11523" t="s">
        <v>139</v>
      </c>
      <c r="U11523" t="s">
        <v>99</v>
      </c>
      <c r="V11523" t="s">
        <v>99</v>
      </c>
      <c r="W11523" t="s">
        <v>114</v>
      </c>
      <c r="X11523" t="s">
        <v>99</v>
      </c>
      <c r="Y11523" t="s">
        <v>114</v>
      </c>
      <c r="Z11523" t="s">
        <v>114</v>
      </c>
      <c r="AA11523" t="s">
        <v>99</v>
      </c>
      <c r="AB11523" t="s">
        <v>99</v>
      </c>
      <c r="AC11523" t="s">
        <v>99</v>
      </c>
      <c r="AD11523" t="s">
        <v>737</v>
      </c>
      <c r="AE11523" t="s">
        <v>382</v>
      </c>
      <c r="AF11523" t="s">
        <v>64</v>
      </c>
    </row>
    <row r="11524" spans="1:32" x14ac:dyDescent="0.3">
      <c r="A11524" t="s">
        <v>36</v>
      </c>
      <c r="B11524" t="s">
        <v>1591</v>
      </c>
      <c r="C11524">
        <v>1525</v>
      </c>
      <c r="D11524" t="s">
        <v>705</v>
      </c>
      <c r="E11524" t="s">
        <v>1101</v>
      </c>
      <c r="F11524" t="s">
        <v>152</v>
      </c>
      <c r="G11524" t="s">
        <v>74</v>
      </c>
      <c r="H11524" t="s">
        <v>242</v>
      </c>
      <c r="I11524" t="s">
        <v>542</v>
      </c>
      <c r="J11524" t="s">
        <v>40</v>
      </c>
      <c r="K11524" t="s">
        <v>549</v>
      </c>
      <c r="L11524" t="s">
        <v>393</v>
      </c>
      <c r="M11524" t="s">
        <v>152</v>
      </c>
      <c r="N11524" t="s">
        <v>123</v>
      </c>
      <c r="O11524" t="s">
        <v>179</v>
      </c>
      <c r="P11524" t="s">
        <v>139</v>
      </c>
      <c r="Q11524" t="s">
        <v>140</v>
      </c>
      <c r="R11524" t="s">
        <v>665</v>
      </c>
      <c r="S11524" t="s">
        <v>287</v>
      </c>
      <c r="T11524" t="s">
        <v>129</v>
      </c>
      <c r="U11524" t="s">
        <v>115</v>
      </c>
      <c r="V11524" t="s">
        <v>99</v>
      </c>
      <c r="W11524" t="s">
        <v>127</v>
      </c>
      <c r="X11524" t="s">
        <v>132</v>
      </c>
      <c r="Y11524" t="s">
        <v>319</v>
      </c>
      <c r="Z11524" t="s">
        <v>126</v>
      </c>
      <c r="AA11524" t="s">
        <v>132</v>
      </c>
      <c r="AB11524" t="s">
        <v>104</v>
      </c>
      <c r="AC11524" t="s">
        <v>132</v>
      </c>
      <c r="AD11524" t="s">
        <v>207</v>
      </c>
      <c r="AE11524" t="s">
        <v>100</v>
      </c>
      <c r="AF11524" t="s">
        <v>184</v>
      </c>
    </row>
    <row r="11525" spans="1:32" x14ac:dyDescent="0.3">
      <c r="A11525" t="s">
        <v>36</v>
      </c>
      <c r="B11525" t="s">
        <v>1592</v>
      </c>
      <c r="C11525">
        <v>754</v>
      </c>
      <c r="D11525" t="s">
        <v>990</v>
      </c>
      <c r="E11525" t="s">
        <v>837</v>
      </c>
      <c r="F11525" t="s">
        <v>74</v>
      </c>
      <c r="G11525" t="s">
        <v>145</v>
      </c>
      <c r="H11525" t="s">
        <v>157</v>
      </c>
      <c r="I11525" t="s">
        <v>248</v>
      </c>
      <c r="J11525" t="s">
        <v>499</v>
      </c>
      <c r="K11525" t="s">
        <v>868</v>
      </c>
      <c r="L11525" t="s">
        <v>173</v>
      </c>
      <c r="M11525" t="s">
        <v>129</v>
      </c>
      <c r="N11525" t="s">
        <v>198</v>
      </c>
      <c r="O11525" t="s">
        <v>150</v>
      </c>
      <c r="P11525" t="s">
        <v>100</v>
      </c>
      <c r="Q11525" t="s">
        <v>372</v>
      </c>
      <c r="R11525" t="s">
        <v>468</v>
      </c>
      <c r="S11525" t="s">
        <v>474</v>
      </c>
      <c r="T11525" t="s">
        <v>154</v>
      </c>
      <c r="U11525" t="s">
        <v>215</v>
      </c>
      <c r="V11525" t="s">
        <v>99</v>
      </c>
      <c r="W11525" t="s">
        <v>101</v>
      </c>
      <c r="X11525" t="s">
        <v>108</v>
      </c>
      <c r="Y11525" t="s">
        <v>121</v>
      </c>
      <c r="Z11525" t="s">
        <v>121</v>
      </c>
      <c r="AA11525" t="s">
        <v>104</v>
      </c>
      <c r="AB11525" t="s">
        <v>99</v>
      </c>
      <c r="AC11525" t="s">
        <v>123</v>
      </c>
      <c r="AD11525" t="s">
        <v>111</v>
      </c>
      <c r="AE11525" t="s">
        <v>198</v>
      </c>
      <c r="AF11525" t="s">
        <v>1107</v>
      </c>
    </row>
    <row r="11526" spans="1:32" x14ac:dyDescent="0.3">
      <c r="A11526" t="s">
        <v>36</v>
      </c>
      <c r="B11526" t="s">
        <v>365</v>
      </c>
      <c r="C11526">
        <v>23</v>
      </c>
      <c r="D11526" t="s">
        <v>313</v>
      </c>
      <c r="E11526" t="s">
        <v>175</v>
      </c>
      <c r="F11526" t="s">
        <v>262</v>
      </c>
      <c r="G11526" t="s">
        <v>99</v>
      </c>
      <c r="H11526" t="s">
        <v>99</v>
      </c>
      <c r="I11526" t="s">
        <v>740</v>
      </c>
      <c r="J11526" t="s">
        <v>163</v>
      </c>
      <c r="K11526" t="s">
        <v>809</v>
      </c>
      <c r="L11526" t="s">
        <v>959</v>
      </c>
      <c r="M11526" t="s">
        <v>401</v>
      </c>
      <c r="N11526" t="s">
        <v>136</v>
      </c>
      <c r="O11526" t="s">
        <v>296</v>
      </c>
      <c r="P11526" t="s">
        <v>132</v>
      </c>
      <c r="Q11526" t="s">
        <v>301</v>
      </c>
      <c r="R11526" t="s">
        <v>175</v>
      </c>
      <c r="S11526" t="s">
        <v>724</v>
      </c>
      <c r="T11526" t="s">
        <v>305</v>
      </c>
      <c r="U11526" t="s">
        <v>99</v>
      </c>
      <c r="V11526" t="s">
        <v>99</v>
      </c>
      <c r="W11526" t="s">
        <v>401</v>
      </c>
      <c r="X11526" t="s">
        <v>401</v>
      </c>
      <c r="Y11526" t="s">
        <v>99</v>
      </c>
      <c r="Z11526" t="s">
        <v>99</v>
      </c>
      <c r="AA11526" t="s">
        <v>99</v>
      </c>
      <c r="AB11526" t="s">
        <v>136</v>
      </c>
      <c r="AC11526" t="s">
        <v>132</v>
      </c>
      <c r="AD11526" t="s">
        <v>99</v>
      </c>
      <c r="AE11526" t="s">
        <v>99</v>
      </c>
      <c r="AF11526" t="s">
        <v>287</v>
      </c>
    </row>
    <row r="11527" spans="1:32" x14ac:dyDescent="0.3">
      <c r="A11527" t="s">
        <v>34</v>
      </c>
      <c r="B11527" t="s">
        <v>1591</v>
      </c>
      <c r="C11527">
        <v>967</v>
      </c>
      <c r="D11527" t="s">
        <v>721</v>
      </c>
      <c r="E11527" t="s">
        <v>952</v>
      </c>
      <c r="F11527" t="s">
        <v>138</v>
      </c>
      <c r="G11527" t="s">
        <v>316</v>
      </c>
      <c r="H11527" t="s">
        <v>98</v>
      </c>
      <c r="I11527" t="s">
        <v>687</v>
      </c>
      <c r="J11527" t="s">
        <v>678</v>
      </c>
      <c r="K11527" t="s">
        <v>821</v>
      </c>
      <c r="L11527" t="s">
        <v>842</v>
      </c>
      <c r="M11527" t="s">
        <v>154</v>
      </c>
      <c r="N11527" t="s">
        <v>292</v>
      </c>
      <c r="O11527" t="s">
        <v>687</v>
      </c>
      <c r="P11527" t="s">
        <v>142</v>
      </c>
      <c r="Q11527" t="s">
        <v>309</v>
      </c>
      <c r="R11527" t="s">
        <v>425</v>
      </c>
      <c r="S11527" t="s">
        <v>1167</v>
      </c>
      <c r="T11527" t="s">
        <v>712</v>
      </c>
      <c r="U11527" t="s">
        <v>123</v>
      </c>
      <c r="V11527" t="s">
        <v>99</v>
      </c>
      <c r="W11527" t="s">
        <v>103</v>
      </c>
      <c r="X11527" t="s">
        <v>319</v>
      </c>
      <c r="Y11527" t="s">
        <v>141</v>
      </c>
      <c r="Z11527" t="s">
        <v>253</v>
      </c>
      <c r="AA11527" t="s">
        <v>108</v>
      </c>
      <c r="AB11527" t="s">
        <v>141</v>
      </c>
      <c r="AC11527" t="s">
        <v>316</v>
      </c>
      <c r="AD11527" t="s">
        <v>319</v>
      </c>
      <c r="AE11527" t="s">
        <v>136</v>
      </c>
      <c r="AF11527" t="s">
        <v>296</v>
      </c>
    </row>
    <row r="11528" spans="1:32" x14ac:dyDescent="0.3">
      <c r="A11528" t="s">
        <v>34</v>
      </c>
      <c r="B11528" t="s">
        <v>1592</v>
      </c>
      <c r="C11528">
        <v>1042</v>
      </c>
      <c r="D11528" t="s">
        <v>201</v>
      </c>
      <c r="E11528" t="s">
        <v>805</v>
      </c>
      <c r="F11528" t="s">
        <v>292</v>
      </c>
      <c r="G11528" t="s">
        <v>292</v>
      </c>
      <c r="H11528" t="s">
        <v>114</v>
      </c>
      <c r="I11528" t="s">
        <v>41</v>
      </c>
      <c r="J11528" t="s">
        <v>177</v>
      </c>
      <c r="K11528" t="s">
        <v>670</v>
      </c>
      <c r="L11528" t="s">
        <v>251</v>
      </c>
      <c r="M11528" t="s">
        <v>100</v>
      </c>
      <c r="N11528" t="s">
        <v>114</v>
      </c>
      <c r="O11528" t="s">
        <v>277</v>
      </c>
      <c r="P11528" t="s">
        <v>474</v>
      </c>
      <c r="Q11528" t="s">
        <v>163</v>
      </c>
      <c r="R11528" t="s">
        <v>144</v>
      </c>
      <c r="S11528" t="s">
        <v>122</v>
      </c>
      <c r="T11528" t="s">
        <v>123</v>
      </c>
      <c r="U11528" t="s">
        <v>115</v>
      </c>
      <c r="V11528" t="s">
        <v>207</v>
      </c>
      <c r="W11528" t="s">
        <v>128</v>
      </c>
      <c r="X11528" t="s">
        <v>141</v>
      </c>
      <c r="Y11528" t="s">
        <v>100</v>
      </c>
      <c r="Z11528" t="s">
        <v>126</v>
      </c>
      <c r="AA11528" t="s">
        <v>99</v>
      </c>
      <c r="AB11528" t="s">
        <v>108</v>
      </c>
      <c r="AC11528" t="s">
        <v>115</v>
      </c>
      <c r="AD11528" t="s">
        <v>101</v>
      </c>
      <c r="AE11528" t="s">
        <v>207</v>
      </c>
      <c r="AF11528" t="s">
        <v>725</v>
      </c>
    </row>
    <row r="11529" spans="1:32" x14ac:dyDescent="0.3">
      <c r="A11529" t="s">
        <v>34</v>
      </c>
      <c r="B11529" t="s">
        <v>365</v>
      </c>
      <c r="C11529">
        <v>65</v>
      </c>
      <c r="D11529" t="s">
        <v>574</v>
      </c>
      <c r="E11529" t="s">
        <v>597</v>
      </c>
      <c r="F11529" t="s">
        <v>122</v>
      </c>
      <c r="G11529" t="s">
        <v>268</v>
      </c>
      <c r="H11529" t="s">
        <v>474</v>
      </c>
      <c r="I11529" t="s">
        <v>804</v>
      </c>
      <c r="J11529" t="s">
        <v>456</v>
      </c>
      <c r="K11529" t="s">
        <v>650</v>
      </c>
      <c r="L11529" t="s">
        <v>741</v>
      </c>
      <c r="M11529" t="s">
        <v>401</v>
      </c>
      <c r="N11529" t="s">
        <v>107</v>
      </c>
      <c r="O11529" t="s">
        <v>222</v>
      </c>
      <c r="P11529" t="s">
        <v>685</v>
      </c>
      <c r="Q11529" t="s">
        <v>814</v>
      </c>
      <c r="R11529" t="s">
        <v>542</v>
      </c>
      <c r="S11529" t="s">
        <v>807</v>
      </c>
      <c r="T11529" t="s">
        <v>474</v>
      </c>
      <c r="U11529" t="s">
        <v>104</v>
      </c>
      <c r="V11529" t="s">
        <v>99</v>
      </c>
      <c r="W11529" t="s">
        <v>120</v>
      </c>
      <c r="X11529" t="s">
        <v>215</v>
      </c>
      <c r="Y11529" t="s">
        <v>120</v>
      </c>
      <c r="Z11529" t="s">
        <v>99</v>
      </c>
      <c r="AA11529" t="s">
        <v>99</v>
      </c>
      <c r="AB11529" t="s">
        <v>120</v>
      </c>
      <c r="AC11529" t="s">
        <v>99</v>
      </c>
      <c r="AD11529" t="s">
        <v>123</v>
      </c>
      <c r="AE11529" t="s">
        <v>99</v>
      </c>
      <c r="AF11529" t="s">
        <v>705</v>
      </c>
    </row>
    <row r="11530" spans="1:32" x14ac:dyDescent="0.3">
      <c r="A11530" t="s">
        <v>33</v>
      </c>
      <c r="B11530" t="s">
        <v>1591</v>
      </c>
      <c r="C11530">
        <v>586</v>
      </c>
      <c r="D11530" t="s">
        <v>152</v>
      </c>
      <c r="E11530" t="s">
        <v>344</v>
      </c>
      <c r="F11530" t="s">
        <v>474</v>
      </c>
      <c r="G11530" t="s">
        <v>319</v>
      </c>
      <c r="H11530" t="s">
        <v>114</v>
      </c>
      <c r="I11530" t="s">
        <v>379</v>
      </c>
      <c r="J11530" t="s">
        <v>856</v>
      </c>
      <c r="K11530" t="s">
        <v>567</v>
      </c>
      <c r="L11530" t="s">
        <v>746</v>
      </c>
      <c r="M11530" t="s">
        <v>251</v>
      </c>
      <c r="N11530" t="s">
        <v>316</v>
      </c>
      <c r="O11530" t="s">
        <v>76</v>
      </c>
      <c r="P11530" t="s">
        <v>111</v>
      </c>
      <c r="Q11530" t="s">
        <v>347</v>
      </c>
      <c r="R11530" t="s">
        <v>177</v>
      </c>
      <c r="S11530" t="s">
        <v>152</v>
      </c>
      <c r="T11530" t="s">
        <v>155</v>
      </c>
      <c r="U11530" t="s">
        <v>115</v>
      </c>
      <c r="V11530" t="s">
        <v>99</v>
      </c>
      <c r="W11530" t="s">
        <v>158</v>
      </c>
      <c r="X11530" t="s">
        <v>115</v>
      </c>
      <c r="Y11530" t="s">
        <v>382</v>
      </c>
      <c r="Z11530" t="s">
        <v>136</v>
      </c>
      <c r="AA11530" t="s">
        <v>108</v>
      </c>
      <c r="AB11530" t="s">
        <v>253</v>
      </c>
      <c r="AC11530" t="s">
        <v>132</v>
      </c>
      <c r="AD11530" t="s">
        <v>215</v>
      </c>
      <c r="AE11530" t="s">
        <v>141</v>
      </c>
      <c r="AF11530" t="s">
        <v>201</v>
      </c>
    </row>
    <row r="11531" spans="1:32" x14ac:dyDescent="0.3">
      <c r="A11531" t="s">
        <v>33</v>
      </c>
      <c r="B11531" t="s">
        <v>1592</v>
      </c>
      <c r="C11531">
        <v>1328</v>
      </c>
      <c r="D11531" t="s">
        <v>299</v>
      </c>
      <c r="E11531" t="s">
        <v>740</v>
      </c>
      <c r="F11531" t="s">
        <v>126</v>
      </c>
      <c r="G11531" t="s">
        <v>154</v>
      </c>
      <c r="H11531" t="s">
        <v>101</v>
      </c>
      <c r="I11531" t="s">
        <v>712</v>
      </c>
      <c r="J11531" t="s">
        <v>473</v>
      </c>
      <c r="K11531" t="s">
        <v>342</v>
      </c>
      <c r="L11531" t="s">
        <v>158</v>
      </c>
      <c r="M11531" t="s">
        <v>332</v>
      </c>
      <c r="N11531" t="s">
        <v>132</v>
      </c>
      <c r="O11531" t="s">
        <v>138</v>
      </c>
      <c r="P11531" t="s">
        <v>132</v>
      </c>
      <c r="Q11531" t="s">
        <v>714</v>
      </c>
      <c r="R11531" t="s">
        <v>68</v>
      </c>
      <c r="S11531" t="s">
        <v>132</v>
      </c>
      <c r="T11531" t="s">
        <v>684</v>
      </c>
      <c r="U11531" t="s">
        <v>132</v>
      </c>
      <c r="V11531" t="s">
        <v>99</v>
      </c>
      <c r="W11531" t="s">
        <v>123</v>
      </c>
      <c r="X11531" t="s">
        <v>207</v>
      </c>
      <c r="Y11531" t="s">
        <v>141</v>
      </c>
      <c r="Z11531" t="s">
        <v>136</v>
      </c>
      <c r="AA11531" t="s">
        <v>115</v>
      </c>
      <c r="AB11531" t="s">
        <v>207</v>
      </c>
      <c r="AC11531" t="s">
        <v>104</v>
      </c>
      <c r="AD11531" t="s">
        <v>151</v>
      </c>
      <c r="AE11531" t="s">
        <v>115</v>
      </c>
      <c r="AF11531" t="s">
        <v>824</v>
      </c>
    </row>
    <row r="11532" spans="1:32" x14ac:dyDescent="0.3">
      <c r="A11532" t="s">
        <v>33</v>
      </c>
      <c r="B11532" t="s">
        <v>365</v>
      </c>
      <c r="C11532">
        <v>16</v>
      </c>
      <c r="D11532" t="s">
        <v>291</v>
      </c>
      <c r="E11532" t="s">
        <v>740</v>
      </c>
      <c r="F11532" t="s">
        <v>99</v>
      </c>
      <c r="G11532" t="s">
        <v>99</v>
      </c>
      <c r="H11532" t="s">
        <v>99</v>
      </c>
      <c r="I11532" t="s">
        <v>372</v>
      </c>
      <c r="J11532" t="s">
        <v>702</v>
      </c>
      <c r="K11532" t="s">
        <v>519</v>
      </c>
      <c r="L11532" t="s">
        <v>254</v>
      </c>
      <c r="M11532" t="s">
        <v>99</v>
      </c>
      <c r="N11532" t="s">
        <v>99</v>
      </c>
      <c r="O11532" t="s">
        <v>113</v>
      </c>
      <c r="P11532" t="s">
        <v>99</v>
      </c>
      <c r="Q11532" t="s">
        <v>175</v>
      </c>
      <c r="R11532" t="s">
        <v>99</v>
      </c>
      <c r="S11532" t="s">
        <v>99</v>
      </c>
      <c r="T11532" t="s">
        <v>76</v>
      </c>
      <c r="U11532" t="s">
        <v>99</v>
      </c>
      <c r="V11532" t="s">
        <v>99</v>
      </c>
      <c r="W11532" t="s">
        <v>99</v>
      </c>
      <c r="X11532" t="s">
        <v>99</v>
      </c>
      <c r="Y11532" t="s">
        <v>99</v>
      </c>
      <c r="Z11532" t="s">
        <v>150</v>
      </c>
      <c r="AA11532" t="s">
        <v>99</v>
      </c>
      <c r="AB11532" t="s">
        <v>99</v>
      </c>
      <c r="AC11532" t="s">
        <v>99</v>
      </c>
      <c r="AD11532" t="s">
        <v>442</v>
      </c>
      <c r="AE11532" t="s">
        <v>99</v>
      </c>
      <c r="AF11532" t="s">
        <v>246</v>
      </c>
    </row>
    <row r="11533" spans="1:32" x14ac:dyDescent="0.3">
      <c r="A11533" t="s">
        <v>49</v>
      </c>
      <c r="B11533" t="s">
        <v>1591</v>
      </c>
      <c r="C11533">
        <v>6237</v>
      </c>
      <c r="D11533" t="s">
        <v>804</v>
      </c>
      <c r="E11533" t="s">
        <v>642</v>
      </c>
      <c r="F11533" t="s">
        <v>149</v>
      </c>
      <c r="G11533" t="s">
        <v>105</v>
      </c>
      <c r="H11533" t="s">
        <v>154</v>
      </c>
      <c r="I11533" t="s">
        <v>165</v>
      </c>
      <c r="J11533" t="s">
        <v>960</v>
      </c>
      <c r="K11533" t="s">
        <v>938</v>
      </c>
      <c r="L11533" t="s">
        <v>39</v>
      </c>
      <c r="M11533" t="s">
        <v>98</v>
      </c>
      <c r="N11533" t="s">
        <v>117</v>
      </c>
      <c r="O11533" t="s">
        <v>708</v>
      </c>
      <c r="P11533" t="s">
        <v>149</v>
      </c>
      <c r="Q11533" t="s">
        <v>749</v>
      </c>
      <c r="R11533" t="s">
        <v>683</v>
      </c>
      <c r="S11533" t="s">
        <v>714</v>
      </c>
      <c r="T11533" t="s">
        <v>154</v>
      </c>
      <c r="U11533" t="s">
        <v>319</v>
      </c>
      <c r="V11533" t="s">
        <v>104</v>
      </c>
      <c r="W11533" t="s">
        <v>434</v>
      </c>
      <c r="X11533" t="s">
        <v>101</v>
      </c>
      <c r="Y11533" t="s">
        <v>151</v>
      </c>
      <c r="Z11533" t="s">
        <v>114</v>
      </c>
      <c r="AA11533" t="s">
        <v>141</v>
      </c>
      <c r="AB11533" t="s">
        <v>198</v>
      </c>
      <c r="AC11533" t="s">
        <v>132</v>
      </c>
      <c r="AD11533" t="s">
        <v>319</v>
      </c>
      <c r="AE11533" t="s">
        <v>141</v>
      </c>
      <c r="AF11533" t="s">
        <v>313</v>
      </c>
    </row>
    <row r="11534" spans="1:32" x14ac:dyDescent="0.3">
      <c r="A11534" t="s">
        <v>49</v>
      </c>
      <c r="B11534" t="s">
        <v>1592</v>
      </c>
      <c r="C11534">
        <v>6855</v>
      </c>
      <c r="D11534" t="s">
        <v>368</v>
      </c>
      <c r="E11534" t="s">
        <v>342</v>
      </c>
      <c r="F11534" t="s">
        <v>147</v>
      </c>
      <c r="G11534" t="s">
        <v>316</v>
      </c>
      <c r="H11534" t="s">
        <v>123</v>
      </c>
      <c r="I11534" t="s">
        <v>412</v>
      </c>
      <c r="J11534" t="s">
        <v>683</v>
      </c>
      <c r="K11534" t="s">
        <v>697</v>
      </c>
      <c r="L11534" t="s">
        <v>113</v>
      </c>
      <c r="M11534" t="s">
        <v>268</v>
      </c>
      <c r="N11534" t="s">
        <v>108</v>
      </c>
      <c r="O11534" t="s">
        <v>468</v>
      </c>
      <c r="P11534" t="s">
        <v>123</v>
      </c>
      <c r="Q11534" t="s">
        <v>408</v>
      </c>
      <c r="R11534" t="s">
        <v>152</v>
      </c>
      <c r="S11534" t="s">
        <v>117</v>
      </c>
      <c r="T11534" t="s">
        <v>107</v>
      </c>
      <c r="U11534" t="s">
        <v>101</v>
      </c>
      <c r="V11534" t="s">
        <v>104</v>
      </c>
      <c r="W11534" t="s">
        <v>103</v>
      </c>
      <c r="X11534" t="s">
        <v>141</v>
      </c>
      <c r="Y11534" t="s">
        <v>100</v>
      </c>
      <c r="Z11534" t="s">
        <v>126</v>
      </c>
      <c r="AA11534" t="s">
        <v>207</v>
      </c>
      <c r="AB11534" t="s">
        <v>198</v>
      </c>
      <c r="AC11534" t="s">
        <v>141</v>
      </c>
      <c r="AD11534" t="s">
        <v>117</v>
      </c>
      <c r="AE11534" t="s">
        <v>115</v>
      </c>
      <c r="AF11534" t="s">
        <v>1415</v>
      </c>
    </row>
    <row r="11535" spans="1:32" x14ac:dyDescent="0.3">
      <c r="A11535" t="s">
        <v>49</v>
      </c>
      <c r="B11535" t="s">
        <v>365</v>
      </c>
      <c r="C11535">
        <v>206</v>
      </c>
      <c r="D11535" t="s">
        <v>357</v>
      </c>
      <c r="E11535" t="s">
        <v>812</v>
      </c>
      <c r="F11535" t="s">
        <v>474</v>
      </c>
      <c r="G11535" t="s">
        <v>151</v>
      </c>
      <c r="H11535" t="s">
        <v>105</v>
      </c>
      <c r="I11535" t="s">
        <v>133</v>
      </c>
      <c r="J11535" t="s">
        <v>529</v>
      </c>
      <c r="K11535" t="s">
        <v>1046</v>
      </c>
      <c r="L11535" t="s">
        <v>499</v>
      </c>
      <c r="M11535" t="s">
        <v>468</v>
      </c>
      <c r="N11535" t="s">
        <v>215</v>
      </c>
      <c r="O11535" t="s">
        <v>420</v>
      </c>
      <c r="P11535" t="s">
        <v>150</v>
      </c>
      <c r="Q11535" t="s">
        <v>231</v>
      </c>
      <c r="R11535" t="s">
        <v>244</v>
      </c>
      <c r="S11535" t="s">
        <v>289</v>
      </c>
      <c r="T11535" t="s">
        <v>468</v>
      </c>
      <c r="U11535" t="s">
        <v>104</v>
      </c>
      <c r="V11535" t="s">
        <v>99</v>
      </c>
      <c r="W11535" t="s">
        <v>117</v>
      </c>
      <c r="X11535" t="s">
        <v>100</v>
      </c>
      <c r="Y11535" t="s">
        <v>101</v>
      </c>
      <c r="Z11535" t="s">
        <v>100</v>
      </c>
      <c r="AA11535" t="s">
        <v>99</v>
      </c>
      <c r="AB11535" t="s">
        <v>100</v>
      </c>
      <c r="AC11535" t="s">
        <v>99</v>
      </c>
      <c r="AD11535" t="s">
        <v>160</v>
      </c>
      <c r="AE11535" t="s">
        <v>253</v>
      </c>
      <c r="AF11535" t="s">
        <v>457</v>
      </c>
    </row>
    <row r="11537" spans="1:32" x14ac:dyDescent="0.3">
      <c r="A11537" t="s">
        <v>2678</v>
      </c>
    </row>
    <row r="11538" spans="1:32" x14ac:dyDescent="0.3">
      <c r="A11538" t="s">
        <v>44</v>
      </c>
      <c r="B11538" t="s">
        <v>257</v>
      </c>
      <c r="C11538" t="s">
        <v>32</v>
      </c>
      <c r="D11538" t="s">
        <v>2647</v>
      </c>
      <c r="E11538" t="s">
        <v>2648</v>
      </c>
      <c r="F11538" t="s">
        <v>2649</v>
      </c>
      <c r="G11538" t="s">
        <v>2650</v>
      </c>
      <c r="H11538" t="s">
        <v>2651</v>
      </c>
      <c r="I11538" t="s">
        <v>2652</v>
      </c>
      <c r="J11538" t="s">
        <v>2653</v>
      </c>
      <c r="K11538" t="s">
        <v>2654</v>
      </c>
      <c r="L11538" t="s">
        <v>2655</v>
      </c>
      <c r="M11538" t="s">
        <v>2656</v>
      </c>
      <c r="N11538" t="s">
        <v>2657</v>
      </c>
      <c r="O11538" t="s">
        <v>2658</v>
      </c>
      <c r="P11538" t="s">
        <v>2659</v>
      </c>
      <c r="Q11538" t="s">
        <v>2660</v>
      </c>
      <c r="R11538" t="s">
        <v>2661</v>
      </c>
      <c r="S11538" t="s">
        <v>2662</v>
      </c>
      <c r="T11538" t="s">
        <v>2663</v>
      </c>
      <c r="U11538" t="s">
        <v>2664</v>
      </c>
      <c r="V11538" t="s">
        <v>2665</v>
      </c>
      <c r="W11538" t="s">
        <v>2666</v>
      </c>
      <c r="X11538" t="s">
        <v>2667</v>
      </c>
      <c r="Y11538" t="s">
        <v>2668</v>
      </c>
      <c r="Z11538" t="s">
        <v>2669</v>
      </c>
      <c r="AA11538" t="s">
        <v>2670</v>
      </c>
      <c r="AB11538" t="s">
        <v>2671</v>
      </c>
      <c r="AC11538" t="s">
        <v>88</v>
      </c>
      <c r="AD11538" t="s">
        <v>83</v>
      </c>
      <c r="AE11538" t="s">
        <v>193</v>
      </c>
      <c r="AF11538" t="s">
        <v>1323</v>
      </c>
    </row>
    <row r="11539" spans="1:32" x14ac:dyDescent="0.3">
      <c r="A11539" t="s">
        <v>35</v>
      </c>
      <c r="B11539" t="s">
        <v>258</v>
      </c>
      <c r="C11539">
        <v>2869</v>
      </c>
      <c r="D11539" t="s">
        <v>542</v>
      </c>
      <c r="E11539" t="s">
        <v>905</v>
      </c>
      <c r="F11539" t="s">
        <v>149</v>
      </c>
      <c r="G11539" t="s">
        <v>155</v>
      </c>
      <c r="H11539" t="s">
        <v>155</v>
      </c>
      <c r="I11539" t="s">
        <v>468</v>
      </c>
      <c r="J11539" t="s">
        <v>834</v>
      </c>
      <c r="K11539" t="s">
        <v>1120</v>
      </c>
      <c r="L11539" t="s">
        <v>814</v>
      </c>
      <c r="M11539" t="s">
        <v>120</v>
      </c>
      <c r="N11539" t="s">
        <v>126</v>
      </c>
      <c r="O11539" t="s">
        <v>70</v>
      </c>
      <c r="P11539" t="s">
        <v>123</v>
      </c>
      <c r="Q11539" t="s">
        <v>804</v>
      </c>
      <c r="R11539" t="s">
        <v>688</v>
      </c>
      <c r="S11539" t="s">
        <v>118</v>
      </c>
      <c r="T11539" t="s">
        <v>107</v>
      </c>
      <c r="U11539" t="s">
        <v>114</v>
      </c>
      <c r="V11539" t="s">
        <v>99</v>
      </c>
      <c r="W11539" t="s">
        <v>128</v>
      </c>
      <c r="X11539" t="s">
        <v>115</v>
      </c>
      <c r="Y11539" t="s">
        <v>126</v>
      </c>
      <c r="Z11539" t="s">
        <v>215</v>
      </c>
      <c r="AA11539" t="s">
        <v>198</v>
      </c>
      <c r="AB11539" t="s">
        <v>99</v>
      </c>
      <c r="AC11539" t="s">
        <v>141</v>
      </c>
      <c r="AD11539" t="s">
        <v>292</v>
      </c>
      <c r="AE11539" t="s">
        <v>115</v>
      </c>
      <c r="AF11539" t="s">
        <v>423</v>
      </c>
    </row>
    <row r="11540" spans="1:32" x14ac:dyDescent="0.3">
      <c r="A11540" t="s">
        <v>35</v>
      </c>
      <c r="B11540" t="s">
        <v>260</v>
      </c>
      <c r="C11540">
        <v>271</v>
      </c>
      <c r="D11540" t="s">
        <v>154</v>
      </c>
      <c r="E11540" t="s">
        <v>309</v>
      </c>
      <c r="F11540" t="s">
        <v>268</v>
      </c>
      <c r="G11540" t="s">
        <v>115</v>
      </c>
      <c r="H11540" t="s">
        <v>111</v>
      </c>
      <c r="I11540" t="s">
        <v>76</v>
      </c>
      <c r="J11540" t="s">
        <v>355</v>
      </c>
      <c r="K11540" t="s">
        <v>682</v>
      </c>
      <c r="L11540" t="s">
        <v>393</v>
      </c>
      <c r="M11540" t="s">
        <v>157</v>
      </c>
      <c r="N11540" t="s">
        <v>382</v>
      </c>
      <c r="O11540" t="s">
        <v>444</v>
      </c>
      <c r="P11540" t="s">
        <v>675</v>
      </c>
      <c r="Q11540" t="s">
        <v>681</v>
      </c>
      <c r="R11540" t="s">
        <v>163</v>
      </c>
      <c r="S11540" t="s">
        <v>741</v>
      </c>
      <c r="T11540" t="s">
        <v>155</v>
      </c>
      <c r="U11540" t="s">
        <v>151</v>
      </c>
      <c r="V11540" t="s">
        <v>99</v>
      </c>
      <c r="W11540" t="s">
        <v>120</v>
      </c>
      <c r="X11540" t="s">
        <v>207</v>
      </c>
      <c r="Y11540" t="s">
        <v>382</v>
      </c>
      <c r="Z11540" t="s">
        <v>151</v>
      </c>
      <c r="AA11540" t="s">
        <v>115</v>
      </c>
      <c r="AB11540" t="s">
        <v>115</v>
      </c>
      <c r="AC11540" t="s">
        <v>136</v>
      </c>
      <c r="AD11540" t="s">
        <v>127</v>
      </c>
      <c r="AE11540" t="s">
        <v>99</v>
      </c>
      <c r="AF11540" t="s">
        <v>106</v>
      </c>
    </row>
    <row r="11541" spans="1:32" x14ac:dyDescent="0.3">
      <c r="A11541" t="s">
        <v>37</v>
      </c>
      <c r="B11541" t="s">
        <v>258</v>
      </c>
      <c r="C11541">
        <v>3852</v>
      </c>
      <c r="D11541" t="s">
        <v>152</v>
      </c>
      <c r="E11541" t="s">
        <v>429</v>
      </c>
      <c r="F11541" t="s">
        <v>138</v>
      </c>
      <c r="G11541" t="s">
        <v>127</v>
      </c>
      <c r="H11541" t="s">
        <v>123</v>
      </c>
      <c r="I11541" t="s">
        <v>139</v>
      </c>
      <c r="J11541" t="s">
        <v>540</v>
      </c>
      <c r="K11541" t="s">
        <v>1115</v>
      </c>
      <c r="L11541" t="s">
        <v>315</v>
      </c>
      <c r="M11541" t="s">
        <v>110</v>
      </c>
      <c r="N11541" t="s">
        <v>127</v>
      </c>
      <c r="O11541" t="s">
        <v>299</v>
      </c>
      <c r="P11541" t="s">
        <v>316</v>
      </c>
      <c r="Q11541" t="s">
        <v>807</v>
      </c>
      <c r="R11541" t="s">
        <v>255</v>
      </c>
      <c r="S11541" t="s">
        <v>157</v>
      </c>
      <c r="T11541" t="s">
        <v>120</v>
      </c>
      <c r="U11541" t="s">
        <v>123</v>
      </c>
      <c r="V11541" t="s">
        <v>198</v>
      </c>
      <c r="W11541" t="s">
        <v>242</v>
      </c>
      <c r="X11541" t="s">
        <v>101</v>
      </c>
      <c r="Y11541" t="s">
        <v>117</v>
      </c>
      <c r="Z11541" t="s">
        <v>126</v>
      </c>
      <c r="AA11541" t="s">
        <v>198</v>
      </c>
      <c r="AB11541" t="s">
        <v>99</v>
      </c>
      <c r="AC11541" t="s">
        <v>104</v>
      </c>
      <c r="AD11541" t="s">
        <v>128</v>
      </c>
      <c r="AE11541" t="s">
        <v>115</v>
      </c>
      <c r="AF11541" t="s">
        <v>148</v>
      </c>
    </row>
    <row r="11542" spans="1:32" x14ac:dyDescent="0.3">
      <c r="A11542" t="s">
        <v>36</v>
      </c>
      <c r="B11542" t="s">
        <v>258</v>
      </c>
      <c r="C11542">
        <v>2098</v>
      </c>
      <c r="D11542" t="s">
        <v>373</v>
      </c>
      <c r="E11542" t="s">
        <v>1576</v>
      </c>
      <c r="F11542" t="s">
        <v>135</v>
      </c>
      <c r="G11542" t="s">
        <v>74</v>
      </c>
      <c r="H11542" t="s">
        <v>434</v>
      </c>
      <c r="I11542" t="s">
        <v>218</v>
      </c>
      <c r="J11542" t="s">
        <v>868</v>
      </c>
      <c r="K11542" t="s">
        <v>56</v>
      </c>
      <c r="L11542" t="s">
        <v>186</v>
      </c>
      <c r="M11542" t="s">
        <v>325</v>
      </c>
      <c r="N11542" t="s">
        <v>121</v>
      </c>
      <c r="O11542" t="s">
        <v>470</v>
      </c>
      <c r="P11542" t="s">
        <v>157</v>
      </c>
      <c r="Q11542" t="s">
        <v>749</v>
      </c>
      <c r="R11542" t="s">
        <v>440</v>
      </c>
      <c r="S11542" t="s">
        <v>113</v>
      </c>
      <c r="T11542" t="s">
        <v>110</v>
      </c>
      <c r="U11542" t="s">
        <v>100</v>
      </c>
      <c r="V11542" t="s">
        <v>99</v>
      </c>
      <c r="W11542" t="s">
        <v>382</v>
      </c>
      <c r="X11542" t="s">
        <v>108</v>
      </c>
      <c r="Y11542" t="s">
        <v>101</v>
      </c>
      <c r="Z11542" t="s">
        <v>319</v>
      </c>
      <c r="AA11542" t="s">
        <v>141</v>
      </c>
      <c r="AB11542" t="s">
        <v>99</v>
      </c>
      <c r="AC11542" t="s">
        <v>121</v>
      </c>
      <c r="AD11542" t="s">
        <v>100</v>
      </c>
      <c r="AE11542" t="s">
        <v>115</v>
      </c>
      <c r="AF11542" t="s">
        <v>687</v>
      </c>
    </row>
    <row r="11543" spans="1:32" x14ac:dyDescent="0.3">
      <c r="A11543" t="s">
        <v>36</v>
      </c>
      <c r="B11543" t="s">
        <v>260</v>
      </c>
      <c r="C11543">
        <v>204</v>
      </c>
      <c r="D11543" t="s">
        <v>175</v>
      </c>
      <c r="E11543" t="s">
        <v>296</v>
      </c>
      <c r="F11543" t="s">
        <v>126</v>
      </c>
      <c r="G11543" t="s">
        <v>126</v>
      </c>
      <c r="H11543" t="s">
        <v>126</v>
      </c>
      <c r="I11543" t="s">
        <v>909</v>
      </c>
      <c r="J11543" t="s">
        <v>731</v>
      </c>
      <c r="K11543" t="s">
        <v>724</v>
      </c>
      <c r="L11543" t="s">
        <v>262</v>
      </c>
      <c r="M11543" t="s">
        <v>204</v>
      </c>
      <c r="N11543" t="s">
        <v>103</v>
      </c>
      <c r="O11543" t="s">
        <v>315</v>
      </c>
      <c r="P11543" t="s">
        <v>248</v>
      </c>
      <c r="Q11543" t="s">
        <v>559</v>
      </c>
      <c r="R11543" t="s">
        <v>444</v>
      </c>
      <c r="S11543" t="s">
        <v>301</v>
      </c>
      <c r="T11543" t="s">
        <v>242</v>
      </c>
      <c r="U11543" t="s">
        <v>141</v>
      </c>
      <c r="V11543" t="s">
        <v>99</v>
      </c>
      <c r="W11543" t="s">
        <v>204</v>
      </c>
      <c r="X11543" t="s">
        <v>114</v>
      </c>
      <c r="Y11543" t="s">
        <v>114</v>
      </c>
      <c r="Z11543" t="s">
        <v>126</v>
      </c>
      <c r="AA11543" t="s">
        <v>141</v>
      </c>
      <c r="AB11543" t="s">
        <v>103</v>
      </c>
      <c r="AC11543" t="s">
        <v>103</v>
      </c>
      <c r="AD11543" t="s">
        <v>114</v>
      </c>
      <c r="AE11543" t="s">
        <v>141</v>
      </c>
      <c r="AF11543" t="s">
        <v>254</v>
      </c>
    </row>
    <row r="11544" spans="1:32" x14ac:dyDescent="0.3">
      <c r="A11544" t="s">
        <v>34</v>
      </c>
      <c r="B11544" t="s">
        <v>258</v>
      </c>
      <c r="C11544">
        <v>1221</v>
      </c>
      <c r="D11544" t="s">
        <v>231</v>
      </c>
      <c r="E11544" t="s">
        <v>506</v>
      </c>
      <c r="F11544" t="s">
        <v>105</v>
      </c>
      <c r="G11544" t="s">
        <v>128</v>
      </c>
      <c r="H11544" t="s">
        <v>114</v>
      </c>
      <c r="I11544" t="s">
        <v>111</v>
      </c>
      <c r="J11544" t="s">
        <v>525</v>
      </c>
      <c r="K11544" t="s">
        <v>956</v>
      </c>
      <c r="L11544" t="s">
        <v>721</v>
      </c>
      <c r="M11544" t="s">
        <v>136</v>
      </c>
      <c r="N11544" t="s">
        <v>141</v>
      </c>
      <c r="O11544" t="s">
        <v>134</v>
      </c>
      <c r="P11544" t="s">
        <v>114</v>
      </c>
      <c r="Q11544" t="s">
        <v>242</v>
      </c>
      <c r="R11544" t="s">
        <v>677</v>
      </c>
      <c r="S11544" t="s">
        <v>101</v>
      </c>
      <c r="T11544" t="s">
        <v>108</v>
      </c>
      <c r="U11544" t="s">
        <v>253</v>
      </c>
      <c r="V11544" t="s">
        <v>99</v>
      </c>
      <c r="W11544" t="s">
        <v>104</v>
      </c>
      <c r="X11544" t="s">
        <v>207</v>
      </c>
      <c r="Y11544" t="s">
        <v>114</v>
      </c>
      <c r="Z11544" t="s">
        <v>319</v>
      </c>
      <c r="AA11544" t="s">
        <v>104</v>
      </c>
      <c r="AB11544" t="s">
        <v>114</v>
      </c>
      <c r="AC11544" t="s">
        <v>104</v>
      </c>
      <c r="AD11544" t="s">
        <v>104</v>
      </c>
      <c r="AE11544" t="s">
        <v>136</v>
      </c>
      <c r="AF11544" t="s">
        <v>1115</v>
      </c>
    </row>
    <row r="11545" spans="1:32" x14ac:dyDescent="0.3">
      <c r="A11545" t="s">
        <v>34</v>
      </c>
      <c r="B11545" t="s">
        <v>260</v>
      </c>
      <c r="C11545">
        <v>853</v>
      </c>
      <c r="D11545" t="s">
        <v>685</v>
      </c>
      <c r="E11545" t="s">
        <v>276</v>
      </c>
      <c r="F11545" t="s">
        <v>316</v>
      </c>
      <c r="G11545" t="s">
        <v>292</v>
      </c>
      <c r="H11545" t="s">
        <v>112</v>
      </c>
      <c r="I11545" t="s">
        <v>501</v>
      </c>
      <c r="J11545" t="s">
        <v>233</v>
      </c>
      <c r="K11545" t="s">
        <v>735</v>
      </c>
      <c r="L11545" t="s">
        <v>298</v>
      </c>
      <c r="M11545" t="s">
        <v>134</v>
      </c>
      <c r="N11545" t="s">
        <v>111</v>
      </c>
      <c r="O11545" t="s">
        <v>231</v>
      </c>
      <c r="P11545" t="s">
        <v>287</v>
      </c>
      <c r="Q11545" t="s">
        <v>864</v>
      </c>
      <c r="R11545" t="s">
        <v>218</v>
      </c>
      <c r="S11545" t="s">
        <v>540</v>
      </c>
      <c r="T11545" t="s">
        <v>112</v>
      </c>
      <c r="U11545" t="s">
        <v>382</v>
      </c>
      <c r="V11545" t="s">
        <v>198</v>
      </c>
      <c r="W11545" t="s">
        <v>434</v>
      </c>
      <c r="X11545" t="s">
        <v>319</v>
      </c>
      <c r="Y11545" t="s">
        <v>132</v>
      </c>
      <c r="Z11545" t="s">
        <v>132</v>
      </c>
      <c r="AA11545" t="s">
        <v>253</v>
      </c>
      <c r="AB11545" t="s">
        <v>115</v>
      </c>
      <c r="AC11545" t="s">
        <v>103</v>
      </c>
      <c r="AD11545" t="s">
        <v>292</v>
      </c>
      <c r="AE11545" t="s">
        <v>207</v>
      </c>
      <c r="AF11545" t="s">
        <v>432</v>
      </c>
    </row>
    <row r="11546" spans="1:32" x14ac:dyDescent="0.3">
      <c r="A11546" t="s">
        <v>33</v>
      </c>
      <c r="B11546" t="s">
        <v>258</v>
      </c>
      <c r="C11546">
        <v>1930</v>
      </c>
      <c r="D11546" t="s">
        <v>248</v>
      </c>
      <c r="E11546" t="s">
        <v>833</v>
      </c>
      <c r="F11546" t="s">
        <v>117</v>
      </c>
      <c r="G11546" t="s">
        <v>147</v>
      </c>
      <c r="H11546" t="s">
        <v>121</v>
      </c>
      <c r="I11546" t="s">
        <v>74</v>
      </c>
      <c r="J11546" t="s">
        <v>60</v>
      </c>
      <c r="K11546" t="s">
        <v>1252</v>
      </c>
      <c r="L11546" t="s">
        <v>248</v>
      </c>
      <c r="M11546" t="s">
        <v>124</v>
      </c>
      <c r="N11546" t="s">
        <v>319</v>
      </c>
      <c r="O11546" t="s">
        <v>135</v>
      </c>
      <c r="P11546" t="s">
        <v>121</v>
      </c>
      <c r="Q11546" t="s">
        <v>440</v>
      </c>
      <c r="R11546" t="s">
        <v>461</v>
      </c>
      <c r="S11546" t="s">
        <v>128</v>
      </c>
      <c r="T11546" t="s">
        <v>149</v>
      </c>
      <c r="U11546" t="s">
        <v>115</v>
      </c>
      <c r="V11546" t="s">
        <v>99</v>
      </c>
      <c r="W11546" t="s">
        <v>107</v>
      </c>
      <c r="X11546" t="s">
        <v>136</v>
      </c>
      <c r="Y11546" t="s">
        <v>132</v>
      </c>
      <c r="Z11546" t="s">
        <v>136</v>
      </c>
      <c r="AA11546" t="s">
        <v>132</v>
      </c>
      <c r="AB11546" t="s">
        <v>136</v>
      </c>
      <c r="AC11546" t="s">
        <v>207</v>
      </c>
      <c r="AD11546" t="s">
        <v>292</v>
      </c>
      <c r="AE11546" t="s">
        <v>115</v>
      </c>
      <c r="AF11546" t="s">
        <v>719</v>
      </c>
    </row>
    <row r="11547" spans="1:32" x14ac:dyDescent="0.3">
      <c r="A11547" t="s">
        <v>49</v>
      </c>
      <c r="B11547" t="s">
        <v>258</v>
      </c>
      <c r="C11547">
        <v>11970</v>
      </c>
      <c r="D11547" t="s">
        <v>449</v>
      </c>
      <c r="E11547" t="s">
        <v>797</v>
      </c>
      <c r="F11547" t="s">
        <v>110</v>
      </c>
      <c r="G11547" t="s">
        <v>107</v>
      </c>
      <c r="H11547" t="s">
        <v>117</v>
      </c>
      <c r="I11547" t="s">
        <v>204</v>
      </c>
      <c r="J11547" t="s">
        <v>668</v>
      </c>
      <c r="K11547" t="s">
        <v>1232</v>
      </c>
      <c r="L11547" t="s">
        <v>710</v>
      </c>
      <c r="M11547" t="s">
        <v>134</v>
      </c>
      <c r="N11547" t="s">
        <v>319</v>
      </c>
      <c r="O11547" t="s">
        <v>679</v>
      </c>
      <c r="P11547" t="s">
        <v>292</v>
      </c>
      <c r="Q11547" t="s">
        <v>318</v>
      </c>
      <c r="R11547" t="s">
        <v>731</v>
      </c>
      <c r="S11547" t="s">
        <v>154</v>
      </c>
      <c r="T11547" t="s">
        <v>105</v>
      </c>
      <c r="U11547" t="s">
        <v>121</v>
      </c>
      <c r="V11547" t="s">
        <v>104</v>
      </c>
      <c r="W11547" t="s">
        <v>105</v>
      </c>
      <c r="X11547" t="s">
        <v>132</v>
      </c>
      <c r="Y11547" t="s">
        <v>382</v>
      </c>
      <c r="Z11547" t="s">
        <v>101</v>
      </c>
      <c r="AA11547" t="s">
        <v>207</v>
      </c>
      <c r="AB11547" t="s">
        <v>198</v>
      </c>
      <c r="AC11547" t="s">
        <v>136</v>
      </c>
      <c r="AD11547" t="s">
        <v>151</v>
      </c>
      <c r="AE11547" t="s">
        <v>115</v>
      </c>
      <c r="AF11547" t="s">
        <v>347</v>
      </c>
    </row>
    <row r="11548" spans="1:32" x14ac:dyDescent="0.3">
      <c r="A11548" t="s">
        <v>49</v>
      </c>
      <c r="B11548" t="s">
        <v>260</v>
      </c>
      <c r="C11548">
        <v>1328</v>
      </c>
      <c r="D11548" t="s">
        <v>680</v>
      </c>
      <c r="E11548" t="s">
        <v>833</v>
      </c>
      <c r="F11548" t="s">
        <v>103</v>
      </c>
      <c r="G11548" t="s">
        <v>127</v>
      </c>
      <c r="H11548" t="s">
        <v>129</v>
      </c>
      <c r="I11548" t="s">
        <v>990</v>
      </c>
      <c r="J11548" t="s">
        <v>163</v>
      </c>
      <c r="K11548" t="s">
        <v>534</v>
      </c>
      <c r="L11548" t="s">
        <v>673</v>
      </c>
      <c r="M11548" t="s">
        <v>154</v>
      </c>
      <c r="N11548" t="s">
        <v>292</v>
      </c>
      <c r="O11548" t="s">
        <v>704</v>
      </c>
      <c r="P11548" t="s">
        <v>405</v>
      </c>
      <c r="Q11548" t="s">
        <v>805</v>
      </c>
      <c r="R11548" t="s">
        <v>708</v>
      </c>
      <c r="S11548" t="s">
        <v>868</v>
      </c>
      <c r="T11548" t="s">
        <v>712</v>
      </c>
      <c r="U11548" t="s">
        <v>215</v>
      </c>
      <c r="V11548" t="s">
        <v>198</v>
      </c>
      <c r="W11548" t="s">
        <v>110</v>
      </c>
      <c r="X11548" t="s">
        <v>121</v>
      </c>
      <c r="Y11548" t="s">
        <v>114</v>
      </c>
      <c r="Z11548" t="s">
        <v>114</v>
      </c>
      <c r="AA11548" t="s">
        <v>115</v>
      </c>
      <c r="AB11548" t="s">
        <v>115</v>
      </c>
      <c r="AC11548" t="s">
        <v>292</v>
      </c>
      <c r="AD11548" t="s">
        <v>151</v>
      </c>
      <c r="AE11548" t="s">
        <v>198</v>
      </c>
      <c r="AF11548" t="s">
        <v>491</v>
      </c>
    </row>
    <row r="11550" spans="1:32" x14ac:dyDescent="0.3">
      <c r="A11550" t="s">
        <v>2679</v>
      </c>
    </row>
    <row r="11551" spans="1:32" x14ac:dyDescent="0.3">
      <c r="A11551" t="s">
        <v>44</v>
      </c>
      <c r="B11551" t="s">
        <v>2680</v>
      </c>
      <c r="C11551" t="s">
        <v>32</v>
      </c>
      <c r="D11551" t="s">
        <v>2647</v>
      </c>
      <c r="E11551" t="s">
        <v>2648</v>
      </c>
      <c r="F11551" t="s">
        <v>2649</v>
      </c>
      <c r="G11551" t="s">
        <v>2650</v>
      </c>
      <c r="H11551" t="s">
        <v>2651</v>
      </c>
      <c r="I11551" t="s">
        <v>2652</v>
      </c>
      <c r="J11551" t="s">
        <v>2653</v>
      </c>
      <c r="K11551" t="s">
        <v>2654</v>
      </c>
      <c r="L11551" t="s">
        <v>2655</v>
      </c>
      <c r="M11551" t="s">
        <v>2656</v>
      </c>
      <c r="N11551" t="s">
        <v>2657</v>
      </c>
      <c r="O11551" t="s">
        <v>2658</v>
      </c>
      <c r="P11551" t="s">
        <v>2659</v>
      </c>
      <c r="Q11551" t="s">
        <v>2660</v>
      </c>
      <c r="R11551" t="s">
        <v>2661</v>
      </c>
      <c r="S11551" t="s">
        <v>2662</v>
      </c>
      <c r="T11551" t="s">
        <v>2663</v>
      </c>
      <c r="U11551" t="s">
        <v>2664</v>
      </c>
      <c r="V11551" t="s">
        <v>2665</v>
      </c>
      <c r="W11551" t="s">
        <v>2666</v>
      </c>
      <c r="X11551" t="s">
        <v>2667</v>
      </c>
      <c r="Y11551" t="s">
        <v>2668</v>
      </c>
      <c r="Z11551" t="s">
        <v>2669</v>
      </c>
      <c r="AA11551" t="s">
        <v>2670</v>
      </c>
      <c r="AB11551" t="s">
        <v>2671</v>
      </c>
      <c r="AC11551" t="s">
        <v>88</v>
      </c>
      <c r="AD11551" t="s">
        <v>83</v>
      </c>
      <c r="AE11551" t="s">
        <v>193</v>
      </c>
      <c r="AF11551" t="s">
        <v>1323</v>
      </c>
    </row>
    <row r="11552" spans="1:32" x14ac:dyDescent="0.3">
      <c r="A11552" t="s">
        <v>35</v>
      </c>
      <c r="B11552" t="s">
        <v>2681</v>
      </c>
      <c r="C11552">
        <v>599</v>
      </c>
      <c r="D11552" t="s">
        <v>110</v>
      </c>
      <c r="E11552" t="s">
        <v>1055</v>
      </c>
      <c r="F11552" t="s">
        <v>412</v>
      </c>
      <c r="G11552" t="s">
        <v>138</v>
      </c>
      <c r="H11552" t="s">
        <v>105</v>
      </c>
      <c r="I11552" t="s">
        <v>296</v>
      </c>
      <c r="J11552" t="s">
        <v>1576</v>
      </c>
      <c r="K11552" t="s">
        <v>573</v>
      </c>
      <c r="L11552" t="s">
        <v>990</v>
      </c>
      <c r="M11552" t="s">
        <v>155</v>
      </c>
      <c r="N11552" t="s">
        <v>100</v>
      </c>
      <c r="O11552" t="s">
        <v>416</v>
      </c>
      <c r="P11552" t="s">
        <v>155</v>
      </c>
      <c r="Q11552" t="s">
        <v>746</v>
      </c>
      <c r="R11552" t="s">
        <v>523</v>
      </c>
      <c r="S11552" t="s">
        <v>163</v>
      </c>
      <c r="T11552" t="s">
        <v>332</v>
      </c>
      <c r="U11552" t="s">
        <v>108</v>
      </c>
      <c r="V11552" t="s">
        <v>99</v>
      </c>
      <c r="W11552" t="s">
        <v>268</v>
      </c>
      <c r="X11552" t="s">
        <v>253</v>
      </c>
      <c r="Y11552" t="s">
        <v>128</v>
      </c>
      <c r="Z11552" t="s">
        <v>114</v>
      </c>
      <c r="AA11552" t="s">
        <v>207</v>
      </c>
      <c r="AB11552" t="s">
        <v>207</v>
      </c>
      <c r="AC11552" t="s">
        <v>104</v>
      </c>
      <c r="AD11552" t="s">
        <v>117</v>
      </c>
      <c r="AE11552" t="s">
        <v>104</v>
      </c>
      <c r="AF11552" t="s">
        <v>248</v>
      </c>
    </row>
    <row r="11553" spans="1:32" x14ac:dyDescent="0.3">
      <c r="A11553" t="s">
        <v>35</v>
      </c>
      <c r="B11553" t="s">
        <v>2682</v>
      </c>
      <c r="C11553">
        <v>171</v>
      </c>
      <c r="D11553" t="s">
        <v>157</v>
      </c>
      <c r="E11553" t="s">
        <v>1236</v>
      </c>
      <c r="F11553" t="s">
        <v>109</v>
      </c>
      <c r="G11553" t="s">
        <v>701</v>
      </c>
      <c r="H11553" t="s">
        <v>70</v>
      </c>
      <c r="I11553" t="s">
        <v>165</v>
      </c>
      <c r="J11553" t="s">
        <v>146</v>
      </c>
      <c r="K11553" t="s">
        <v>570</v>
      </c>
      <c r="L11553" t="s">
        <v>40</v>
      </c>
      <c r="M11553" t="s">
        <v>68</v>
      </c>
      <c r="N11553" t="s">
        <v>125</v>
      </c>
      <c r="O11553" t="s">
        <v>499</v>
      </c>
      <c r="P11553" t="s">
        <v>143</v>
      </c>
      <c r="Q11553" t="s">
        <v>410</v>
      </c>
      <c r="R11553" t="s">
        <v>298</v>
      </c>
      <c r="S11553" t="s">
        <v>710</v>
      </c>
      <c r="T11553" t="s">
        <v>154</v>
      </c>
      <c r="U11553" t="s">
        <v>141</v>
      </c>
      <c r="V11553" t="s">
        <v>99</v>
      </c>
      <c r="W11553" t="s">
        <v>401</v>
      </c>
      <c r="X11553" t="s">
        <v>292</v>
      </c>
      <c r="Y11553" t="s">
        <v>132</v>
      </c>
      <c r="Z11553" t="s">
        <v>99</v>
      </c>
      <c r="AA11553" t="s">
        <v>99</v>
      </c>
      <c r="AB11553" t="s">
        <v>99</v>
      </c>
      <c r="AC11553" t="s">
        <v>132</v>
      </c>
      <c r="AD11553" t="s">
        <v>136</v>
      </c>
      <c r="AE11553" t="s">
        <v>198</v>
      </c>
      <c r="AF11553" t="s">
        <v>291</v>
      </c>
    </row>
    <row r="11554" spans="1:32" x14ac:dyDescent="0.3">
      <c r="A11554" t="s">
        <v>35</v>
      </c>
      <c r="B11554" t="s">
        <v>2683</v>
      </c>
      <c r="C11554">
        <v>386</v>
      </c>
      <c r="D11554" t="s">
        <v>112</v>
      </c>
      <c r="E11554" t="s">
        <v>592</v>
      </c>
      <c r="F11554" t="s">
        <v>124</v>
      </c>
      <c r="G11554" t="s">
        <v>154</v>
      </c>
      <c r="H11554" t="s">
        <v>242</v>
      </c>
      <c r="I11554" t="s">
        <v>405</v>
      </c>
      <c r="J11554" t="s">
        <v>820</v>
      </c>
      <c r="K11554" t="s">
        <v>801</v>
      </c>
      <c r="L11554" t="s">
        <v>718</v>
      </c>
      <c r="M11554" t="s">
        <v>120</v>
      </c>
      <c r="N11554" t="s">
        <v>319</v>
      </c>
      <c r="O11554" t="s">
        <v>401</v>
      </c>
      <c r="P11554" t="s">
        <v>112</v>
      </c>
      <c r="Q11554" t="s">
        <v>444</v>
      </c>
      <c r="R11554" t="s">
        <v>231</v>
      </c>
      <c r="S11554" t="s">
        <v>461</v>
      </c>
      <c r="T11554" t="s">
        <v>663</v>
      </c>
      <c r="U11554" t="s">
        <v>107</v>
      </c>
      <c r="V11554" t="s">
        <v>198</v>
      </c>
      <c r="W11554" t="s">
        <v>684</v>
      </c>
      <c r="X11554" t="s">
        <v>121</v>
      </c>
      <c r="Y11554" t="s">
        <v>132</v>
      </c>
      <c r="Z11554" t="s">
        <v>316</v>
      </c>
      <c r="AA11554" t="s">
        <v>108</v>
      </c>
      <c r="AB11554" t="s">
        <v>99</v>
      </c>
      <c r="AC11554" t="s">
        <v>136</v>
      </c>
      <c r="AD11554" t="s">
        <v>103</v>
      </c>
      <c r="AE11554" t="s">
        <v>382</v>
      </c>
      <c r="AF11554" t="s">
        <v>303</v>
      </c>
    </row>
    <row r="11555" spans="1:32" x14ac:dyDescent="0.3">
      <c r="A11555" t="s">
        <v>35</v>
      </c>
      <c r="B11555" t="s">
        <v>2684</v>
      </c>
      <c r="C11555">
        <v>1984</v>
      </c>
      <c r="D11555" t="s">
        <v>735</v>
      </c>
      <c r="E11555" t="s">
        <v>549</v>
      </c>
      <c r="F11555" t="s">
        <v>134</v>
      </c>
      <c r="G11555" t="s">
        <v>215</v>
      </c>
      <c r="H11555" t="s">
        <v>316</v>
      </c>
      <c r="I11555" t="s">
        <v>112</v>
      </c>
      <c r="J11555" t="s">
        <v>197</v>
      </c>
      <c r="K11555" t="s">
        <v>674</v>
      </c>
      <c r="L11555" t="s">
        <v>379</v>
      </c>
      <c r="M11555" t="s">
        <v>268</v>
      </c>
      <c r="N11555" t="s">
        <v>108</v>
      </c>
      <c r="O11555" t="s">
        <v>144</v>
      </c>
      <c r="P11555" t="s">
        <v>121</v>
      </c>
      <c r="Q11555" t="s">
        <v>220</v>
      </c>
      <c r="R11555" t="s">
        <v>461</v>
      </c>
      <c r="S11555" t="s">
        <v>111</v>
      </c>
      <c r="T11555" t="s">
        <v>292</v>
      </c>
      <c r="U11555" t="s">
        <v>108</v>
      </c>
      <c r="V11555" t="s">
        <v>99</v>
      </c>
      <c r="W11555" t="s">
        <v>123</v>
      </c>
      <c r="X11555" t="s">
        <v>136</v>
      </c>
      <c r="Y11555" t="s">
        <v>100</v>
      </c>
      <c r="Z11555" t="s">
        <v>292</v>
      </c>
      <c r="AA11555" t="s">
        <v>104</v>
      </c>
      <c r="AB11555" t="s">
        <v>99</v>
      </c>
      <c r="AC11555" t="s">
        <v>253</v>
      </c>
      <c r="AD11555" t="s">
        <v>292</v>
      </c>
      <c r="AE11555" t="s">
        <v>115</v>
      </c>
      <c r="AF11555" t="s">
        <v>1046</v>
      </c>
    </row>
    <row r="11556" spans="1:32" x14ac:dyDescent="0.3">
      <c r="A11556" t="s">
        <v>37</v>
      </c>
      <c r="B11556" t="s">
        <v>2681</v>
      </c>
      <c r="C11556">
        <v>605</v>
      </c>
      <c r="D11556" t="s">
        <v>434</v>
      </c>
      <c r="E11556" t="s">
        <v>64</v>
      </c>
      <c r="F11556" t="s">
        <v>130</v>
      </c>
      <c r="G11556" t="s">
        <v>382</v>
      </c>
      <c r="H11556" t="s">
        <v>117</v>
      </c>
      <c r="I11556" t="s">
        <v>150</v>
      </c>
      <c r="J11556" t="s">
        <v>840</v>
      </c>
      <c r="K11556" t="s">
        <v>1055</v>
      </c>
      <c r="L11556" t="s">
        <v>188</v>
      </c>
      <c r="M11556" t="s">
        <v>254</v>
      </c>
      <c r="N11556" t="s">
        <v>138</v>
      </c>
      <c r="O11556" t="s">
        <v>133</v>
      </c>
      <c r="P11556" t="s">
        <v>474</v>
      </c>
      <c r="Q11556" t="s">
        <v>868</v>
      </c>
      <c r="R11556" t="s">
        <v>54</v>
      </c>
      <c r="S11556" t="s">
        <v>184</v>
      </c>
      <c r="T11556" t="s">
        <v>151</v>
      </c>
      <c r="U11556" t="s">
        <v>111</v>
      </c>
      <c r="V11556" t="s">
        <v>104</v>
      </c>
      <c r="W11556" t="s">
        <v>474</v>
      </c>
      <c r="X11556" t="s">
        <v>292</v>
      </c>
      <c r="Y11556" t="s">
        <v>105</v>
      </c>
      <c r="Z11556" t="s">
        <v>128</v>
      </c>
      <c r="AA11556" t="s">
        <v>99</v>
      </c>
      <c r="AB11556" t="s">
        <v>99</v>
      </c>
      <c r="AC11556" t="s">
        <v>104</v>
      </c>
      <c r="AD11556" t="s">
        <v>108</v>
      </c>
      <c r="AE11556" t="s">
        <v>141</v>
      </c>
      <c r="AF11556" t="s">
        <v>267</v>
      </c>
    </row>
    <row r="11557" spans="1:32" x14ac:dyDescent="0.3">
      <c r="A11557" t="s">
        <v>37</v>
      </c>
      <c r="B11557" t="s">
        <v>2682</v>
      </c>
      <c r="C11557">
        <v>172</v>
      </c>
      <c r="D11557" t="s">
        <v>130</v>
      </c>
      <c r="E11557" t="s">
        <v>497</v>
      </c>
      <c r="F11557" t="s">
        <v>215</v>
      </c>
      <c r="G11557" t="s">
        <v>98</v>
      </c>
      <c r="H11557" t="s">
        <v>138</v>
      </c>
      <c r="I11557" t="s">
        <v>175</v>
      </c>
      <c r="J11557" t="s">
        <v>682</v>
      </c>
      <c r="K11557" t="s">
        <v>887</v>
      </c>
      <c r="L11557" t="s">
        <v>687</v>
      </c>
      <c r="M11557" t="s">
        <v>201</v>
      </c>
      <c r="N11557" t="s">
        <v>382</v>
      </c>
      <c r="O11557" t="s">
        <v>714</v>
      </c>
      <c r="P11557" t="s">
        <v>139</v>
      </c>
      <c r="Q11557" t="s">
        <v>276</v>
      </c>
      <c r="R11557" t="s">
        <v>821</v>
      </c>
      <c r="S11557" t="s">
        <v>708</v>
      </c>
      <c r="T11557" t="s">
        <v>316</v>
      </c>
      <c r="U11557" t="s">
        <v>154</v>
      </c>
      <c r="V11557" t="s">
        <v>253</v>
      </c>
      <c r="W11557" t="s">
        <v>139</v>
      </c>
      <c r="X11557" t="s">
        <v>123</v>
      </c>
      <c r="Y11557" t="s">
        <v>151</v>
      </c>
      <c r="Z11557" t="s">
        <v>253</v>
      </c>
      <c r="AA11557" t="s">
        <v>141</v>
      </c>
      <c r="AB11557" t="s">
        <v>99</v>
      </c>
      <c r="AC11557" t="s">
        <v>99</v>
      </c>
      <c r="AD11557" t="s">
        <v>151</v>
      </c>
      <c r="AE11557" t="s">
        <v>99</v>
      </c>
      <c r="AF11557" t="s">
        <v>287</v>
      </c>
    </row>
    <row r="11558" spans="1:32" x14ac:dyDescent="0.3">
      <c r="A11558" t="s">
        <v>37</v>
      </c>
      <c r="B11558" t="s">
        <v>2683</v>
      </c>
      <c r="C11558">
        <v>551</v>
      </c>
      <c r="D11558" t="s">
        <v>122</v>
      </c>
      <c r="E11558" t="s">
        <v>843</v>
      </c>
      <c r="F11558" t="s">
        <v>157</v>
      </c>
      <c r="G11558" t="s">
        <v>151</v>
      </c>
      <c r="H11558" t="s">
        <v>105</v>
      </c>
      <c r="I11558" t="s">
        <v>124</v>
      </c>
      <c r="J11558" t="s">
        <v>1107</v>
      </c>
      <c r="K11558" t="s">
        <v>555</v>
      </c>
      <c r="L11558" t="s">
        <v>691</v>
      </c>
      <c r="M11558" t="s">
        <v>155</v>
      </c>
      <c r="N11558" t="s">
        <v>107</v>
      </c>
      <c r="O11558" t="s">
        <v>267</v>
      </c>
      <c r="P11558" t="s">
        <v>139</v>
      </c>
      <c r="Q11558" t="s">
        <v>42</v>
      </c>
      <c r="R11558" t="s">
        <v>478</v>
      </c>
      <c r="S11558" t="s">
        <v>139</v>
      </c>
      <c r="T11558" t="s">
        <v>111</v>
      </c>
      <c r="U11558" t="s">
        <v>129</v>
      </c>
      <c r="V11558" t="s">
        <v>99</v>
      </c>
      <c r="W11558" t="s">
        <v>688</v>
      </c>
      <c r="X11558" t="s">
        <v>117</v>
      </c>
      <c r="Y11558" t="s">
        <v>111</v>
      </c>
      <c r="Z11558" t="s">
        <v>316</v>
      </c>
      <c r="AA11558" t="s">
        <v>99</v>
      </c>
      <c r="AB11558" t="s">
        <v>104</v>
      </c>
      <c r="AC11558" t="s">
        <v>99</v>
      </c>
      <c r="AD11558" t="s">
        <v>101</v>
      </c>
      <c r="AE11558" t="s">
        <v>253</v>
      </c>
      <c r="AF11558" t="s">
        <v>406</v>
      </c>
    </row>
    <row r="11559" spans="1:32" x14ac:dyDescent="0.3">
      <c r="A11559" t="s">
        <v>37</v>
      </c>
      <c r="B11559" t="s">
        <v>2684</v>
      </c>
      <c r="C11559">
        <v>2524</v>
      </c>
      <c r="D11559" t="s">
        <v>70</v>
      </c>
      <c r="E11559" t="s">
        <v>503</v>
      </c>
      <c r="F11559" t="s">
        <v>138</v>
      </c>
      <c r="G11559" t="s">
        <v>382</v>
      </c>
      <c r="H11559" t="s">
        <v>319</v>
      </c>
      <c r="I11559" t="s">
        <v>105</v>
      </c>
      <c r="J11559" t="s">
        <v>665</v>
      </c>
      <c r="K11559" t="s">
        <v>42</v>
      </c>
      <c r="L11559" t="s">
        <v>401</v>
      </c>
      <c r="M11559" t="s">
        <v>128</v>
      </c>
      <c r="N11559" t="s">
        <v>121</v>
      </c>
      <c r="O11559" t="s">
        <v>254</v>
      </c>
      <c r="P11559" t="s">
        <v>382</v>
      </c>
      <c r="Q11559" t="s">
        <v>175</v>
      </c>
      <c r="R11559" t="s">
        <v>233</v>
      </c>
      <c r="S11559" t="s">
        <v>121</v>
      </c>
      <c r="T11559" t="s">
        <v>157</v>
      </c>
      <c r="U11559" t="s">
        <v>101</v>
      </c>
      <c r="V11559" t="s">
        <v>198</v>
      </c>
      <c r="W11559" t="s">
        <v>138</v>
      </c>
      <c r="X11559" t="s">
        <v>132</v>
      </c>
      <c r="Y11559" t="s">
        <v>268</v>
      </c>
      <c r="Z11559" t="s">
        <v>114</v>
      </c>
      <c r="AA11559" t="s">
        <v>207</v>
      </c>
      <c r="AB11559" t="s">
        <v>99</v>
      </c>
      <c r="AC11559" t="s">
        <v>104</v>
      </c>
      <c r="AD11559" t="s">
        <v>155</v>
      </c>
      <c r="AE11559" t="s">
        <v>132</v>
      </c>
      <c r="AF11559" t="s">
        <v>1222</v>
      </c>
    </row>
    <row r="11560" spans="1:32" x14ac:dyDescent="0.3">
      <c r="A11560" t="s">
        <v>36</v>
      </c>
      <c r="B11560" t="s">
        <v>2681</v>
      </c>
      <c r="C11560">
        <v>370</v>
      </c>
      <c r="D11560" t="s">
        <v>482</v>
      </c>
      <c r="E11560" t="s">
        <v>603</v>
      </c>
      <c r="F11560" t="s">
        <v>401</v>
      </c>
      <c r="G11560" t="s">
        <v>130</v>
      </c>
      <c r="H11560" t="s">
        <v>332</v>
      </c>
      <c r="I11560" t="s">
        <v>473</v>
      </c>
      <c r="J11560" t="s">
        <v>717</v>
      </c>
      <c r="K11560" t="s">
        <v>941</v>
      </c>
      <c r="L11560" t="s">
        <v>482</v>
      </c>
      <c r="M11560" t="s">
        <v>78</v>
      </c>
      <c r="N11560" t="s">
        <v>126</v>
      </c>
      <c r="O11560" t="s">
        <v>173</v>
      </c>
      <c r="P11560" t="s">
        <v>248</v>
      </c>
      <c r="Q11560" t="s">
        <v>697</v>
      </c>
      <c r="R11560" t="s">
        <v>920</v>
      </c>
      <c r="S11560" t="s">
        <v>444</v>
      </c>
      <c r="T11560" t="s">
        <v>138</v>
      </c>
      <c r="U11560" t="s">
        <v>121</v>
      </c>
      <c r="V11560" t="s">
        <v>99</v>
      </c>
      <c r="W11560" t="s">
        <v>117</v>
      </c>
      <c r="X11560" t="s">
        <v>268</v>
      </c>
      <c r="Y11560" t="s">
        <v>268</v>
      </c>
      <c r="Z11560" t="s">
        <v>99</v>
      </c>
      <c r="AA11560" t="s">
        <v>253</v>
      </c>
      <c r="AB11560" t="s">
        <v>99</v>
      </c>
      <c r="AC11560" t="s">
        <v>151</v>
      </c>
      <c r="AD11560" t="s">
        <v>141</v>
      </c>
      <c r="AE11560" t="s">
        <v>99</v>
      </c>
      <c r="AF11560" t="s">
        <v>152</v>
      </c>
    </row>
    <row r="11561" spans="1:32" x14ac:dyDescent="0.3">
      <c r="A11561" t="s">
        <v>36</v>
      </c>
      <c r="B11561" t="s">
        <v>2682</v>
      </c>
      <c r="C11561">
        <v>157</v>
      </c>
      <c r="D11561" t="s">
        <v>137</v>
      </c>
      <c r="E11561" t="s">
        <v>546</v>
      </c>
      <c r="F11561" t="s">
        <v>74</v>
      </c>
      <c r="G11561" t="s">
        <v>201</v>
      </c>
      <c r="H11561" t="s">
        <v>408</v>
      </c>
      <c r="I11561" t="s">
        <v>1167</v>
      </c>
      <c r="J11561" t="s">
        <v>696</v>
      </c>
      <c r="K11561" t="s">
        <v>574</v>
      </c>
      <c r="L11561" t="s">
        <v>1414</v>
      </c>
      <c r="M11561" t="s">
        <v>798</v>
      </c>
      <c r="N11561" t="s">
        <v>154</v>
      </c>
      <c r="O11561" t="s">
        <v>1059</v>
      </c>
      <c r="P11561" t="s">
        <v>70</v>
      </c>
      <c r="Q11561" t="s">
        <v>820</v>
      </c>
      <c r="R11561" t="s">
        <v>597</v>
      </c>
      <c r="S11561" t="s">
        <v>478</v>
      </c>
      <c r="T11561" t="s">
        <v>111</v>
      </c>
      <c r="U11561" t="s">
        <v>99</v>
      </c>
      <c r="V11561" t="s">
        <v>99</v>
      </c>
      <c r="W11561" t="s">
        <v>328</v>
      </c>
      <c r="X11561" t="s">
        <v>198</v>
      </c>
      <c r="Y11561" t="s">
        <v>198</v>
      </c>
      <c r="Z11561" t="s">
        <v>207</v>
      </c>
      <c r="AA11561" t="s">
        <v>104</v>
      </c>
      <c r="AB11561" t="s">
        <v>104</v>
      </c>
      <c r="AC11561" t="s">
        <v>100</v>
      </c>
      <c r="AD11561" t="s">
        <v>99</v>
      </c>
      <c r="AE11561" t="s">
        <v>99</v>
      </c>
      <c r="AF11561" t="s">
        <v>124</v>
      </c>
    </row>
    <row r="11562" spans="1:32" x14ac:dyDescent="0.3">
      <c r="A11562" t="s">
        <v>36</v>
      </c>
      <c r="B11562" t="s">
        <v>2683</v>
      </c>
      <c r="C11562">
        <v>343</v>
      </c>
      <c r="D11562" t="s">
        <v>393</v>
      </c>
      <c r="E11562" t="s">
        <v>618</v>
      </c>
      <c r="F11562" t="s">
        <v>315</v>
      </c>
      <c r="G11562" t="s">
        <v>158</v>
      </c>
      <c r="H11562" t="s">
        <v>70</v>
      </c>
      <c r="I11562" t="s">
        <v>714</v>
      </c>
      <c r="J11562" t="s">
        <v>347</v>
      </c>
      <c r="K11562" t="s">
        <v>1110</v>
      </c>
      <c r="L11562" t="s">
        <v>188</v>
      </c>
      <c r="M11562" t="s">
        <v>143</v>
      </c>
      <c r="N11562" t="s">
        <v>128</v>
      </c>
      <c r="O11562" t="s">
        <v>248</v>
      </c>
      <c r="P11562" t="s">
        <v>434</v>
      </c>
      <c r="Q11562" t="s">
        <v>39</v>
      </c>
      <c r="R11562" t="s">
        <v>188</v>
      </c>
      <c r="S11562" t="s">
        <v>449</v>
      </c>
      <c r="T11562" t="s">
        <v>325</v>
      </c>
      <c r="U11562" t="s">
        <v>141</v>
      </c>
      <c r="V11562" t="s">
        <v>99</v>
      </c>
      <c r="W11562" t="s">
        <v>127</v>
      </c>
      <c r="X11562" t="s">
        <v>198</v>
      </c>
      <c r="Y11562" t="s">
        <v>132</v>
      </c>
      <c r="Z11562" t="s">
        <v>101</v>
      </c>
      <c r="AA11562" t="s">
        <v>104</v>
      </c>
      <c r="AB11562" t="s">
        <v>99</v>
      </c>
      <c r="AC11562" t="s">
        <v>121</v>
      </c>
      <c r="AD11562" t="s">
        <v>382</v>
      </c>
      <c r="AE11562" t="s">
        <v>123</v>
      </c>
      <c r="AF11562" t="s">
        <v>122</v>
      </c>
    </row>
    <row r="11563" spans="1:32" x14ac:dyDescent="0.3">
      <c r="A11563" t="s">
        <v>36</v>
      </c>
      <c r="B11563" t="s">
        <v>2684</v>
      </c>
      <c r="C11563">
        <v>1432</v>
      </c>
      <c r="D11563" t="s">
        <v>705</v>
      </c>
      <c r="E11563" t="s">
        <v>549</v>
      </c>
      <c r="F11563" t="s">
        <v>412</v>
      </c>
      <c r="G11563" t="s">
        <v>204</v>
      </c>
      <c r="H11563" t="s">
        <v>103</v>
      </c>
      <c r="I11563" t="s">
        <v>420</v>
      </c>
      <c r="J11563" t="s">
        <v>1053</v>
      </c>
      <c r="K11563" t="s">
        <v>592</v>
      </c>
      <c r="L11563" t="s">
        <v>321</v>
      </c>
      <c r="M11563" t="s">
        <v>129</v>
      </c>
      <c r="N11563" t="s">
        <v>136</v>
      </c>
      <c r="O11563" t="s">
        <v>160</v>
      </c>
      <c r="P11563" t="s">
        <v>114</v>
      </c>
      <c r="Q11563" t="s">
        <v>1008</v>
      </c>
      <c r="R11563" t="s">
        <v>379</v>
      </c>
      <c r="S11563" t="s">
        <v>110</v>
      </c>
      <c r="T11563" t="s">
        <v>118</v>
      </c>
      <c r="U11563" t="s">
        <v>101</v>
      </c>
      <c r="V11563" t="s">
        <v>99</v>
      </c>
      <c r="W11563" t="s">
        <v>108</v>
      </c>
      <c r="X11563" t="s">
        <v>132</v>
      </c>
      <c r="Y11563" t="s">
        <v>101</v>
      </c>
      <c r="Z11563" t="s">
        <v>151</v>
      </c>
      <c r="AA11563" t="s">
        <v>115</v>
      </c>
      <c r="AB11563" t="s">
        <v>99</v>
      </c>
      <c r="AC11563" t="s">
        <v>114</v>
      </c>
      <c r="AD11563" t="s">
        <v>121</v>
      </c>
      <c r="AE11563" t="s">
        <v>115</v>
      </c>
      <c r="AF11563" t="s">
        <v>702</v>
      </c>
    </row>
    <row r="11564" spans="1:32" x14ac:dyDescent="0.3">
      <c r="A11564" t="s">
        <v>34</v>
      </c>
      <c r="B11564" t="s">
        <v>2681</v>
      </c>
      <c r="C11564">
        <v>449</v>
      </c>
      <c r="D11564" t="s">
        <v>395</v>
      </c>
      <c r="E11564" t="s">
        <v>600</v>
      </c>
      <c r="F11564" t="s">
        <v>103</v>
      </c>
      <c r="G11564" t="s">
        <v>157</v>
      </c>
      <c r="H11564" t="s">
        <v>98</v>
      </c>
      <c r="I11564" t="s">
        <v>687</v>
      </c>
      <c r="J11564" t="s">
        <v>807</v>
      </c>
      <c r="K11564" t="s">
        <v>650</v>
      </c>
      <c r="L11564" t="s">
        <v>131</v>
      </c>
      <c r="M11564" t="s">
        <v>434</v>
      </c>
      <c r="N11564" t="s">
        <v>120</v>
      </c>
      <c r="O11564" t="s">
        <v>536</v>
      </c>
      <c r="P11564" t="s">
        <v>470</v>
      </c>
      <c r="Q11564" t="s">
        <v>911</v>
      </c>
      <c r="R11564" t="s">
        <v>739</v>
      </c>
      <c r="S11564" t="s">
        <v>897</v>
      </c>
      <c r="T11564" t="s">
        <v>712</v>
      </c>
      <c r="U11564" t="s">
        <v>126</v>
      </c>
      <c r="V11564" t="s">
        <v>99</v>
      </c>
      <c r="W11564" t="s">
        <v>105</v>
      </c>
      <c r="X11564" t="s">
        <v>114</v>
      </c>
      <c r="Y11564" t="s">
        <v>253</v>
      </c>
      <c r="Z11564" t="s">
        <v>108</v>
      </c>
      <c r="AA11564" t="s">
        <v>319</v>
      </c>
      <c r="AB11564" t="s">
        <v>136</v>
      </c>
      <c r="AC11564" t="s">
        <v>128</v>
      </c>
      <c r="AD11564" t="s">
        <v>147</v>
      </c>
      <c r="AE11564" t="s">
        <v>198</v>
      </c>
      <c r="AF11564" t="s">
        <v>109</v>
      </c>
    </row>
    <row r="11565" spans="1:32" x14ac:dyDescent="0.3">
      <c r="A11565" t="s">
        <v>34</v>
      </c>
      <c r="B11565" t="s">
        <v>2682</v>
      </c>
      <c r="C11565">
        <v>112</v>
      </c>
      <c r="D11565" t="s">
        <v>201</v>
      </c>
      <c r="E11565" t="s">
        <v>604</v>
      </c>
      <c r="F11565" t="s">
        <v>123</v>
      </c>
      <c r="G11565" t="s">
        <v>292</v>
      </c>
      <c r="H11565" t="s">
        <v>254</v>
      </c>
      <c r="I11565" t="s">
        <v>668</v>
      </c>
      <c r="J11565" t="s">
        <v>372</v>
      </c>
      <c r="K11565" t="s">
        <v>342</v>
      </c>
      <c r="L11565" t="s">
        <v>42</v>
      </c>
      <c r="M11565" t="s">
        <v>147</v>
      </c>
      <c r="N11565" t="s">
        <v>277</v>
      </c>
      <c r="O11565" t="s">
        <v>911</v>
      </c>
      <c r="P11565" t="s">
        <v>737</v>
      </c>
      <c r="Q11565" t="s">
        <v>140</v>
      </c>
      <c r="R11565" t="s">
        <v>706</v>
      </c>
      <c r="S11565" t="s">
        <v>828</v>
      </c>
      <c r="T11565" t="s">
        <v>184</v>
      </c>
      <c r="U11565" t="s">
        <v>292</v>
      </c>
      <c r="V11565" t="s">
        <v>99</v>
      </c>
      <c r="W11565" t="s">
        <v>325</v>
      </c>
      <c r="X11565" t="s">
        <v>382</v>
      </c>
      <c r="Y11565" t="s">
        <v>132</v>
      </c>
      <c r="Z11565" t="s">
        <v>382</v>
      </c>
      <c r="AA11565" t="s">
        <v>99</v>
      </c>
      <c r="AB11565" t="s">
        <v>382</v>
      </c>
      <c r="AC11565" t="s">
        <v>99</v>
      </c>
      <c r="AD11565" t="s">
        <v>99</v>
      </c>
      <c r="AE11565" t="s">
        <v>99</v>
      </c>
      <c r="AF11565" t="s">
        <v>363</v>
      </c>
    </row>
    <row r="11566" spans="1:32" x14ac:dyDescent="0.3">
      <c r="A11566" t="s">
        <v>34</v>
      </c>
      <c r="B11566" t="s">
        <v>2683</v>
      </c>
      <c r="C11566">
        <v>269</v>
      </c>
      <c r="D11566" t="s">
        <v>802</v>
      </c>
      <c r="E11566" t="s">
        <v>1102</v>
      </c>
      <c r="F11566" t="s">
        <v>468</v>
      </c>
      <c r="G11566" t="s">
        <v>134</v>
      </c>
      <c r="H11566" t="s">
        <v>139</v>
      </c>
      <c r="I11566" t="s">
        <v>688</v>
      </c>
      <c r="J11566" t="s">
        <v>231</v>
      </c>
      <c r="K11566" t="s">
        <v>473</v>
      </c>
      <c r="L11566" t="s">
        <v>802</v>
      </c>
      <c r="M11566" t="s">
        <v>712</v>
      </c>
      <c r="N11566" t="s">
        <v>132</v>
      </c>
      <c r="O11566" t="s">
        <v>710</v>
      </c>
      <c r="P11566" t="s">
        <v>184</v>
      </c>
      <c r="Q11566" t="s">
        <v>704</v>
      </c>
      <c r="R11566" t="s">
        <v>672</v>
      </c>
      <c r="S11566" t="s">
        <v>700</v>
      </c>
      <c r="T11566" t="s">
        <v>107</v>
      </c>
      <c r="U11566" t="s">
        <v>147</v>
      </c>
      <c r="V11566" t="s">
        <v>114</v>
      </c>
      <c r="W11566" t="s">
        <v>292</v>
      </c>
      <c r="X11566" t="s">
        <v>155</v>
      </c>
      <c r="Y11566" t="s">
        <v>151</v>
      </c>
      <c r="Z11566" t="s">
        <v>114</v>
      </c>
      <c r="AA11566" t="s">
        <v>99</v>
      </c>
      <c r="AB11566" t="s">
        <v>115</v>
      </c>
      <c r="AC11566" t="s">
        <v>434</v>
      </c>
      <c r="AD11566" t="s">
        <v>114</v>
      </c>
      <c r="AE11566" t="s">
        <v>136</v>
      </c>
      <c r="AF11566" t="s">
        <v>177</v>
      </c>
    </row>
    <row r="11567" spans="1:32" x14ac:dyDescent="0.3">
      <c r="A11567" t="s">
        <v>34</v>
      </c>
      <c r="B11567" t="s">
        <v>2684</v>
      </c>
      <c r="C11567">
        <v>1244</v>
      </c>
      <c r="D11567" t="s">
        <v>287</v>
      </c>
      <c r="E11567" t="s">
        <v>137</v>
      </c>
      <c r="F11567" t="s">
        <v>117</v>
      </c>
      <c r="G11567" t="s">
        <v>126</v>
      </c>
      <c r="H11567" t="s">
        <v>114</v>
      </c>
      <c r="I11567" t="s">
        <v>70</v>
      </c>
      <c r="J11567" t="s">
        <v>39</v>
      </c>
      <c r="K11567" t="s">
        <v>156</v>
      </c>
      <c r="L11567" t="s">
        <v>179</v>
      </c>
      <c r="M11567" t="s">
        <v>108</v>
      </c>
      <c r="N11567" t="s">
        <v>253</v>
      </c>
      <c r="O11567" t="s">
        <v>468</v>
      </c>
      <c r="P11567" t="s">
        <v>474</v>
      </c>
      <c r="Q11567" t="s">
        <v>716</v>
      </c>
      <c r="R11567" t="s">
        <v>125</v>
      </c>
      <c r="S11567" t="s">
        <v>328</v>
      </c>
      <c r="T11567" t="s">
        <v>127</v>
      </c>
      <c r="U11567" t="s">
        <v>141</v>
      </c>
      <c r="V11567" t="s">
        <v>99</v>
      </c>
      <c r="W11567" t="s">
        <v>151</v>
      </c>
      <c r="X11567" t="s">
        <v>198</v>
      </c>
      <c r="Y11567" t="s">
        <v>115</v>
      </c>
      <c r="Z11567" t="s">
        <v>114</v>
      </c>
      <c r="AA11567" t="s">
        <v>99</v>
      </c>
      <c r="AB11567" t="s">
        <v>108</v>
      </c>
      <c r="AC11567" t="s">
        <v>141</v>
      </c>
      <c r="AD11567" t="s">
        <v>132</v>
      </c>
      <c r="AE11567" t="s">
        <v>141</v>
      </c>
      <c r="AF11567" t="s">
        <v>952</v>
      </c>
    </row>
    <row r="11568" spans="1:32" x14ac:dyDescent="0.3">
      <c r="A11568" t="s">
        <v>33</v>
      </c>
      <c r="B11568" t="s">
        <v>2681</v>
      </c>
      <c r="C11568">
        <v>209</v>
      </c>
      <c r="D11568" t="s">
        <v>144</v>
      </c>
      <c r="E11568" t="s">
        <v>914</v>
      </c>
      <c r="F11568" t="s">
        <v>124</v>
      </c>
      <c r="G11568" t="s">
        <v>215</v>
      </c>
      <c r="H11568" t="s">
        <v>100</v>
      </c>
      <c r="I11568" t="s">
        <v>167</v>
      </c>
      <c r="J11568" t="s">
        <v>558</v>
      </c>
      <c r="K11568" t="s">
        <v>278</v>
      </c>
      <c r="L11568" t="s">
        <v>416</v>
      </c>
      <c r="M11568" t="s">
        <v>76</v>
      </c>
      <c r="N11568" t="s">
        <v>120</v>
      </c>
      <c r="O11568" t="s">
        <v>406</v>
      </c>
      <c r="P11568" t="s">
        <v>316</v>
      </c>
      <c r="Q11568" t="s">
        <v>699</v>
      </c>
      <c r="R11568" t="s">
        <v>131</v>
      </c>
      <c r="S11568" t="s">
        <v>133</v>
      </c>
      <c r="T11568" t="s">
        <v>120</v>
      </c>
      <c r="U11568" t="s">
        <v>100</v>
      </c>
      <c r="V11568" t="s">
        <v>99</v>
      </c>
      <c r="W11568" t="s">
        <v>254</v>
      </c>
      <c r="X11568" t="s">
        <v>108</v>
      </c>
      <c r="Y11568" t="s">
        <v>117</v>
      </c>
      <c r="Z11568" t="s">
        <v>99</v>
      </c>
      <c r="AA11568" t="s">
        <v>100</v>
      </c>
      <c r="AB11568" t="s">
        <v>108</v>
      </c>
      <c r="AC11568" t="s">
        <v>141</v>
      </c>
      <c r="AD11568" t="s">
        <v>99</v>
      </c>
      <c r="AE11568" t="s">
        <v>136</v>
      </c>
      <c r="AF11568" t="s">
        <v>135</v>
      </c>
    </row>
    <row r="11569" spans="1:32" x14ac:dyDescent="0.3">
      <c r="A11569" t="s">
        <v>33</v>
      </c>
      <c r="B11569" t="s">
        <v>2682</v>
      </c>
      <c r="C11569">
        <v>37</v>
      </c>
      <c r="D11569" t="s">
        <v>718</v>
      </c>
      <c r="E11569" t="s">
        <v>907</v>
      </c>
      <c r="F11569" t="s">
        <v>313</v>
      </c>
      <c r="G11569" t="s">
        <v>277</v>
      </c>
      <c r="H11569" t="s">
        <v>99</v>
      </c>
      <c r="I11569" t="s">
        <v>687</v>
      </c>
      <c r="J11569" t="s">
        <v>827</v>
      </c>
      <c r="K11569" t="s">
        <v>641</v>
      </c>
      <c r="L11569" t="s">
        <v>246</v>
      </c>
      <c r="M11569" t="s">
        <v>405</v>
      </c>
      <c r="N11569" t="s">
        <v>112</v>
      </c>
      <c r="O11569" t="s">
        <v>154</v>
      </c>
      <c r="P11569" t="s">
        <v>242</v>
      </c>
      <c r="Q11569" t="s">
        <v>1059</v>
      </c>
      <c r="R11569" t="s">
        <v>842</v>
      </c>
      <c r="S11569" t="s">
        <v>311</v>
      </c>
      <c r="T11569" t="s">
        <v>99</v>
      </c>
      <c r="U11569" t="s">
        <v>99</v>
      </c>
      <c r="V11569" t="s">
        <v>99</v>
      </c>
      <c r="W11569" t="s">
        <v>420</v>
      </c>
      <c r="X11569" t="s">
        <v>99</v>
      </c>
      <c r="Y11569" t="s">
        <v>99</v>
      </c>
      <c r="Z11569" t="s">
        <v>99</v>
      </c>
      <c r="AA11569" t="s">
        <v>154</v>
      </c>
      <c r="AB11569" t="s">
        <v>117</v>
      </c>
      <c r="AC11569" t="s">
        <v>277</v>
      </c>
      <c r="AD11569" t="s">
        <v>99</v>
      </c>
      <c r="AE11569" t="s">
        <v>99</v>
      </c>
      <c r="AF11569" t="s">
        <v>151</v>
      </c>
    </row>
    <row r="11570" spans="1:32" x14ac:dyDescent="0.3">
      <c r="A11570" t="s">
        <v>33</v>
      </c>
      <c r="B11570" t="s">
        <v>2683</v>
      </c>
      <c r="C11570">
        <v>186</v>
      </c>
      <c r="D11570" t="s">
        <v>144</v>
      </c>
      <c r="E11570" t="s">
        <v>153</v>
      </c>
      <c r="F11570" t="s">
        <v>215</v>
      </c>
      <c r="G11570" t="s">
        <v>101</v>
      </c>
      <c r="H11570" t="s">
        <v>316</v>
      </c>
      <c r="I11570" t="s">
        <v>296</v>
      </c>
      <c r="J11570" t="s">
        <v>459</v>
      </c>
      <c r="K11570" t="s">
        <v>602</v>
      </c>
      <c r="L11570" t="s">
        <v>311</v>
      </c>
      <c r="M11570" t="s">
        <v>305</v>
      </c>
      <c r="N11570" t="s">
        <v>292</v>
      </c>
      <c r="O11570" t="s">
        <v>165</v>
      </c>
      <c r="P11570" t="s">
        <v>147</v>
      </c>
      <c r="Q11570" t="s">
        <v>864</v>
      </c>
      <c r="R11570" t="s">
        <v>482</v>
      </c>
      <c r="S11570" t="s">
        <v>242</v>
      </c>
      <c r="T11570" t="s">
        <v>325</v>
      </c>
      <c r="U11570" t="s">
        <v>100</v>
      </c>
      <c r="V11570" t="s">
        <v>99</v>
      </c>
      <c r="W11570" t="s">
        <v>112</v>
      </c>
      <c r="X11570" t="s">
        <v>114</v>
      </c>
      <c r="Y11570" t="s">
        <v>100</v>
      </c>
      <c r="Z11570" t="s">
        <v>121</v>
      </c>
      <c r="AA11570" t="s">
        <v>115</v>
      </c>
      <c r="AB11570" t="s">
        <v>99</v>
      </c>
      <c r="AC11570" t="s">
        <v>141</v>
      </c>
      <c r="AD11570" t="s">
        <v>99</v>
      </c>
      <c r="AE11570" t="s">
        <v>99</v>
      </c>
      <c r="AF11570" t="s">
        <v>720</v>
      </c>
    </row>
    <row r="11571" spans="1:32" x14ac:dyDescent="0.3">
      <c r="A11571" t="s">
        <v>33</v>
      </c>
      <c r="B11571" t="s">
        <v>2684</v>
      </c>
      <c r="C11571">
        <v>1498</v>
      </c>
      <c r="D11571" t="s">
        <v>401</v>
      </c>
      <c r="E11571" t="s">
        <v>298</v>
      </c>
      <c r="F11571" t="s">
        <v>127</v>
      </c>
      <c r="G11571" t="s">
        <v>105</v>
      </c>
      <c r="H11571" t="s">
        <v>100</v>
      </c>
      <c r="I11571" t="s">
        <v>130</v>
      </c>
      <c r="J11571" t="s">
        <v>833</v>
      </c>
      <c r="K11571" t="s">
        <v>828</v>
      </c>
      <c r="L11571" t="s">
        <v>145</v>
      </c>
      <c r="M11571" t="s">
        <v>134</v>
      </c>
      <c r="N11571" t="s">
        <v>114</v>
      </c>
      <c r="O11571" t="s">
        <v>68</v>
      </c>
      <c r="P11571" t="s">
        <v>253</v>
      </c>
      <c r="Q11571" t="s">
        <v>685</v>
      </c>
      <c r="R11571" t="s">
        <v>98</v>
      </c>
      <c r="S11571" t="s">
        <v>121</v>
      </c>
      <c r="T11571" t="s">
        <v>412</v>
      </c>
      <c r="U11571" t="s">
        <v>115</v>
      </c>
      <c r="V11571" t="s">
        <v>99</v>
      </c>
      <c r="W11571" t="s">
        <v>292</v>
      </c>
      <c r="X11571" t="s">
        <v>198</v>
      </c>
      <c r="Y11571" t="s">
        <v>253</v>
      </c>
      <c r="Z11571" t="s">
        <v>136</v>
      </c>
      <c r="AA11571" t="s">
        <v>253</v>
      </c>
      <c r="AB11571" t="s">
        <v>207</v>
      </c>
      <c r="AC11571" t="s">
        <v>104</v>
      </c>
      <c r="AD11571" t="s">
        <v>128</v>
      </c>
      <c r="AE11571" t="s">
        <v>132</v>
      </c>
      <c r="AF11571" t="s">
        <v>919</v>
      </c>
    </row>
    <row r="11572" spans="1:32" x14ac:dyDescent="0.3">
      <c r="A11572" t="s">
        <v>49</v>
      </c>
      <c r="B11572" t="s">
        <v>2681</v>
      </c>
      <c r="C11572">
        <v>2232</v>
      </c>
      <c r="D11572" t="s">
        <v>420</v>
      </c>
      <c r="E11572" t="s">
        <v>899</v>
      </c>
      <c r="F11572" t="s">
        <v>474</v>
      </c>
      <c r="G11572" t="s">
        <v>120</v>
      </c>
      <c r="H11572" t="s">
        <v>155</v>
      </c>
      <c r="I11572" t="s">
        <v>714</v>
      </c>
      <c r="J11572" t="s">
        <v>1214</v>
      </c>
      <c r="K11572" t="s">
        <v>632</v>
      </c>
      <c r="L11572" t="s">
        <v>691</v>
      </c>
      <c r="M11572" t="s">
        <v>468</v>
      </c>
      <c r="N11572" t="s">
        <v>111</v>
      </c>
      <c r="O11572" t="s">
        <v>677</v>
      </c>
      <c r="P11572" t="s">
        <v>468</v>
      </c>
      <c r="Q11572" t="s">
        <v>442</v>
      </c>
      <c r="R11572" t="s">
        <v>683</v>
      </c>
      <c r="S11572" t="s">
        <v>687</v>
      </c>
      <c r="T11572" t="s">
        <v>138</v>
      </c>
      <c r="U11572" t="s">
        <v>319</v>
      </c>
      <c r="V11572" t="s">
        <v>99</v>
      </c>
      <c r="W11572" t="s">
        <v>138</v>
      </c>
      <c r="X11572" t="s">
        <v>121</v>
      </c>
      <c r="Y11572" t="s">
        <v>111</v>
      </c>
      <c r="Z11572" t="s">
        <v>121</v>
      </c>
      <c r="AA11572" t="s">
        <v>253</v>
      </c>
      <c r="AB11572" t="s">
        <v>207</v>
      </c>
      <c r="AC11572" t="s">
        <v>114</v>
      </c>
      <c r="AD11572" t="s">
        <v>123</v>
      </c>
      <c r="AE11572" t="s">
        <v>198</v>
      </c>
      <c r="AF11572" t="s">
        <v>420</v>
      </c>
    </row>
    <row r="11573" spans="1:32" x14ac:dyDescent="0.3">
      <c r="A11573" t="s">
        <v>49</v>
      </c>
      <c r="B11573" t="s">
        <v>2682</v>
      </c>
      <c r="C11573">
        <v>649</v>
      </c>
      <c r="D11573" t="s">
        <v>369</v>
      </c>
      <c r="E11573" t="s">
        <v>1097</v>
      </c>
      <c r="F11573" t="s">
        <v>474</v>
      </c>
      <c r="G11573" t="s">
        <v>461</v>
      </c>
      <c r="H11573" t="s">
        <v>254</v>
      </c>
      <c r="I11573" t="s">
        <v>501</v>
      </c>
      <c r="J11573" t="s">
        <v>732</v>
      </c>
      <c r="K11573" t="s">
        <v>645</v>
      </c>
      <c r="L11573" t="s">
        <v>715</v>
      </c>
      <c r="M11573" t="s">
        <v>401</v>
      </c>
      <c r="N11573" t="s">
        <v>158</v>
      </c>
      <c r="O11573" t="s">
        <v>807</v>
      </c>
      <c r="P11573" t="s">
        <v>70</v>
      </c>
      <c r="Q11573" t="s">
        <v>692</v>
      </c>
      <c r="R11573" t="s">
        <v>717</v>
      </c>
      <c r="S11573" t="s">
        <v>689</v>
      </c>
      <c r="T11573" t="s">
        <v>129</v>
      </c>
      <c r="U11573" t="s">
        <v>126</v>
      </c>
      <c r="V11573" t="s">
        <v>104</v>
      </c>
      <c r="W11573" t="s">
        <v>254</v>
      </c>
      <c r="X11573" t="s">
        <v>382</v>
      </c>
      <c r="Y11573" t="s">
        <v>108</v>
      </c>
      <c r="Z11573" t="s">
        <v>253</v>
      </c>
      <c r="AA11573" t="s">
        <v>207</v>
      </c>
      <c r="AB11573" t="s">
        <v>253</v>
      </c>
      <c r="AC11573" t="s">
        <v>115</v>
      </c>
      <c r="AD11573" t="s">
        <v>253</v>
      </c>
      <c r="AE11573" t="s">
        <v>104</v>
      </c>
      <c r="AF11573" t="s">
        <v>125</v>
      </c>
    </row>
    <row r="11574" spans="1:32" x14ac:dyDescent="0.3">
      <c r="A11574" t="s">
        <v>49</v>
      </c>
      <c r="B11574" t="s">
        <v>2683</v>
      </c>
      <c r="C11574">
        <v>1735</v>
      </c>
      <c r="D11574" t="s">
        <v>171</v>
      </c>
      <c r="E11574" t="s">
        <v>600</v>
      </c>
      <c r="F11574" t="s">
        <v>242</v>
      </c>
      <c r="G11574" t="s">
        <v>107</v>
      </c>
      <c r="H11574" t="s">
        <v>712</v>
      </c>
      <c r="I11574" t="s">
        <v>182</v>
      </c>
      <c r="J11574" t="s">
        <v>1045</v>
      </c>
      <c r="K11574" t="s">
        <v>1067</v>
      </c>
      <c r="L11574" t="s">
        <v>676</v>
      </c>
      <c r="M11574" t="s">
        <v>474</v>
      </c>
      <c r="N11574" t="s">
        <v>151</v>
      </c>
      <c r="O11574" t="s">
        <v>311</v>
      </c>
      <c r="P11574" t="s">
        <v>242</v>
      </c>
      <c r="Q11574" t="s">
        <v>508</v>
      </c>
      <c r="R11574" t="s">
        <v>167</v>
      </c>
      <c r="S11574" t="s">
        <v>41</v>
      </c>
      <c r="T11574" t="s">
        <v>434</v>
      </c>
      <c r="U11574" t="s">
        <v>120</v>
      </c>
      <c r="V11574" t="s">
        <v>207</v>
      </c>
      <c r="W11574" t="s">
        <v>663</v>
      </c>
      <c r="X11574" t="s">
        <v>123</v>
      </c>
      <c r="Y11574" t="s">
        <v>126</v>
      </c>
      <c r="Z11574" t="s">
        <v>123</v>
      </c>
      <c r="AA11574" t="s">
        <v>207</v>
      </c>
      <c r="AB11574" t="s">
        <v>198</v>
      </c>
      <c r="AC11574" t="s">
        <v>121</v>
      </c>
      <c r="AD11574" t="s">
        <v>319</v>
      </c>
      <c r="AE11574" t="s">
        <v>132</v>
      </c>
      <c r="AF11574" t="s">
        <v>739</v>
      </c>
    </row>
    <row r="11575" spans="1:32" x14ac:dyDescent="0.3">
      <c r="A11575" t="s">
        <v>49</v>
      </c>
      <c r="B11575" t="s">
        <v>2684</v>
      </c>
      <c r="C11575">
        <v>8682</v>
      </c>
      <c r="D11575" t="s">
        <v>731</v>
      </c>
      <c r="E11575" t="s">
        <v>699</v>
      </c>
      <c r="F11575" t="s">
        <v>157</v>
      </c>
      <c r="G11575" t="s">
        <v>268</v>
      </c>
      <c r="H11575" t="s">
        <v>215</v>
      </c>
      <c r="I11575" t="s">
        <v>242</v>
      </c>
      <c r="J11575" t="s">
        <v>747</v>
      </c>
      <c r="K11575" t="s">
        <v>525</v>
      </c>
      <c r="L11575" t="s">
        <v>133</v>
      </c>
      <c r="M11575" t="s">
        <v>316</v>
      </c>
      <c r="N11575" t="s">
        <v>108</v>
      </c>
      <c r="O11575" t="s">
        <v>204</v>
      </c>
      <c r="P11575" t="s">
        <v>215</v>
      </c>
      <c r="Q11575" t="s">
        <v>721</v>
      </c>
      <c r="R11575" t="s">
        <v>296</v>
      </c>
      <c r="S11575" t="s">
        <v>117</v>
      </c>
      <c r="T11575" t="s">
        <v>157</v>
      </c>
      <c r="U11575" t="s">
        <v>114</v>
      </c>
      <c r="V11575" t="s">
        <v>104</v>
      </c>
      <c r="W11575" t="s">
        <v>268</v>
      </c>
      <c r="X11575" t="s">
        <v>141</v>
      </c>
      <c r="Y11575" t="s">
        <v>101</v>
      </c>
      <c r="Z11575" t="s">
        <v>101</v>
      </c>
      <c r="AA11575" t="s">
        <v>207</v>
      </c>
      <c r="AB11575" t="s">
        <v>198</v>
      </c>
      <c r="AC11575" t="s">
        <v>136</v>
      </c>
      <c r="AD11575" t="s">
        <v>268</v>
      </c>
      <c r="AE11575" t="s">
        <v>115</v>
      </c>
      <c r="AF11575" t="s">
        <v>940</v>
      </c>
    </row>
    <row r="11577" spans="1:32" x14ac:dyDescent="0.3">
      <c r="A11577" t="s">
        <v>2685</v>
      </c>
    </row>
    <row r="11578" spans="1:32" x14ac:dyDescent="0.3">
      <c r="A11578" t="s">
        <v>44</v>
      </c>
      <c r="B11578" t="s">
        <v>32</v>
      </c>
      <c r="C11578" t="s">
        <v>2686</v>
      </c>
      <c r="D11578" t="s">
        <v>2687</v>
      </c>
      <c r="E11578" t="s">
        <v>2688</v>
      </c>
      <c r="F11578" t="s">
        <v>2689</v>
      </c>
      <c r="G11578" t="s">
        <v>1275</v>
      </c>
      <c r="H11578" t="s">
        <v>83</v>
      </c>
      <c r="I11578" t="s">
        <v>193</v>
      </c>
    </row>
    <row r="11579" spans="1:32" x14ac:dyDescent="0.3">
      <c r="A11579" t="s">
        <v>35</v>
      </c>
      <c r="B11579">
        <v>3144</v>
      </c>
      <c r="C11579" t="s">
        <v>702</v>
      </c>
      <c r="D11579" t="s">
        <v>856</v>
      </c>
      <c r="E11579" t="s">
        <v>953</v>
      </c>
      <c r="F11579" t="s">
        <v>809</v>
      </c>
      <c r="G11579" t="s">
        <v>198</v>
      </c>
      <c r="H11579" t="s">
        <v>101</v>
      </c>
      <c r="I11579" t="s">
        <v>207</v>
      </c>
    </row>
    <row r="11580" spans="1:32" x14ac:dyDescent="0.3">
      <c r="A11580" t="s">
        <v>37</v>
      </c>
      <c r="B11580">
        <v>3854</v>
      </c>
      <c r="C11580" t="s">
        <v>574</v>
      </c>
      <c r="D11580" t="s">
        <v>828</v>
      </c>
      <c r="E11580" t="s">
        <v>900</v>
      </c>
      <c r="F11580" t="s">
        <v>341</v>
      </c>
      <c r="G11580" t="s">
        <v>99</v>
      </c>
      <c r="H11580" t="s">
        <v>382</v>
      </c>
      <c r="I11580" t="s">
        <v>207</v>
      </c>
    </row>
    <row r="11581" spans="1:32" x14ac:dyDescent="0.3">
      <c r="A11581" t="s">
        <v>36</v>
      </c>
      <c r="B11581">
        <v>2303</v>
      </c>
      <c r="C11581" t="s">
        <v>740</v>
      </c>
      <c r="D11581" t="s">
        <v>1149</v>
      </c>
      <c r="E11581" t="s">
        <v>997</v>
      </c>
      <c r="F11581" t="s">
        <v>276</v>
      </c>
      <c r="G11581" t="s">
        <v>99</v>
      </c>
      <c r="H11581" t="s">
        <v>319</v>
      </c>
      <c r="I11581" t="s">
        <v>104</v>
      </c>
    </row>
    <row r="11582" spans="1:32" x14ac:dyDescent="0.3">
      <c r="A11582" t="s">
        <v>34</v>
      </c>
      <c r="B11582">
        <v>2078</v>
      </c>
      <c r="C11582" t="s">
        <v>685</v>
      </c>
      <c r="D11582" t="s">
        <v>645</v>
      </c>
      <c r="E11582" t="s">
        <v>280</v>
      </c>
      <c r="F11582" t="s">
        <v>959</v>
      </c>
      <c r="G11582" t="s">
        <v>104</v>
      </c>
      <c r="H11582" t="s">
        <v>292</v>
      </c>
      <c r="I11582" t="s">
        <v>136</v>
      </c>
    </row>
    <row r="11583" spans="1:32" x14ac:dyDescent="0.3">
      <c r="A11583" t="s">
        <v>33</v>
      </c>
      <c r="B11583">
        <v>1937</v>
      </c>
      <c r="C11583" t="s">
        <v>695</v>
      </c>
      <c r="D11583" t="s">
        <v>42</v>
      </c>
      <c r="E11583" t="s">
        <v>1704</v>
      </c>
      <c r="F11583" t="s">
        <v>833</v>
      </c>
      <c r="G11583" t="s">
        <v>99</v>
      </c>
      <c r="H11583" t="s">
        <v>253</v>
      </c>
      <c r="I11583" t="s">
        <v>198</v>
      </c>
    </row>
    <row r="11584" spans="1:32" x14ac:dyDescent="0.3">
      <c r="A11584" t="s">
        <v>49</v>
      </c>
      <c r="B11584">
        <v>13316</v>
      </c>
      <c r="C11584" t="s">
        <v>106</v>
      </c>
      <c r="D11584" t="s">
        <v>102</v>
      </c>
      <c r="E11584" t="s">
        <v>935</v>
      </c>
      <c r="F11584" t="s">
        <v>1414</v>
      </c>
      <c r="G11584" t="s">
        <v>104</v>
      </c>
      <c r="H11584" t="s">
        <v>319</v>
      </c>
      <c r="I11584" t="s">
        <v>207</v>
      </c>
    </row>
    <row r="11586" spans="1:10" x14ac:dyDescent="0.3">
      <c r="A11586" t="s">
        <v>2690</v>
      </c>
    </row>
    <row r="11587" spans="1:10" x14ac:dyDescent="0.3">
      <c r="A11587" t="s">
        <v>44</v>
      </c>
      <c r="B11587" t="s">
        <v>361</v>
      </c>
      <c r="C11587" t="s">
        <v>32</v>
      </c>
      <c r="D11587" t="s">
        <v>2686</v>
      </c>
      <c r="E11587" t="s">
        <v>2687</v>
      </c>
      <c r="F11587" t="s">
        <v>2688</v>
      </c>
      <c r="G11587" t="s">
        <v>2689</v>
      </c>
      <c r="H11587" t="s">
        <v>1275</v>
      </c>
      <c r="I11587" t="s">
        <v>83</v>
      </c>
      <c r="J11587" t="s">
        <v>193</v>
      </c>
    </row>
    <row r="11588" spans="1:10" x14ac:dyDescent="0.3">
      <c r="A11588" t="s">
        <v>35</v>
      </c>
      <c r="B11588" t="s">
        <v>339</v>
      </c>
      <c r="C11588">
        <v>890</v>
      </c>
      <c r="D11588" t="s">
        <v>804</v>
      </c>
      <c r="E11588" t="s">
        <v>1386</v>
      </c>
      <c r="F11588" t="s">
        <v>530</v>
      </c>
      <c r="G11588" t="s">
        <v>614</v>
      </c>
      <c r="H11588" t="s">
        <v>104</v>
      </c>
      <c r="I11588" t="s">
        <v>253</v>
      </c>
      <c r="J11588" t="s">
        <v>136</v>
      </c>
    </row>
    <row r="11589" spans="1:10" x14ac:dyDescent="0.3">
      <c r="A11589" t="s">
        <v>35</v>
      </c>
      <c r="B11589" t="s">
        <v>340</v>
      </c>
      <c r="C11589">
        <v>2214</v>
      </c>
      <c r="D11589" t="s">
        <v>42</v>
      </c>
      <c r="E11589" t="s">
        <v>553</v>
      </c>
      <c r="F11589" t="s">
        <v>585</v>
      </c>
      <c r="G11589" t="s">
        <v>724</v>
      </c>
      <c r="H11589" t="s">
        <v>207</v>
      </c>
      <c r="I11589" t="s">
        <v>382</v>
      </c>
      <c r="J11589" t="s">
        <v>198</v>
      </c>
    </row>
    <row r="11590" spans="1:10" x14ac:dyDescent="0.3">
      <c r="A11590" t="s">
        <v>35</v>
      </c>
      <c r="B11590" t="s">
        <v>365</v>
      </c>
      <c r="C11590">
        <v>40</v>
      </c>
      <c r="D11590" t="s">
        <v>907</v>
      </c>
      <c r="E11590" t="s">
        <v>805</v>
      </c>
      <c r="F11590" t="s">
        <v>1077</v>
      </c>
      <c r="G11590" t="s">
        <v>135</v>
      </c>
      <c r="H11590" t="s">
        <v>99</v>
      </c>
      <c r="I11590" t="s">
        <v>99</v>
      </c>
      <c r="J11590" t="s">
        <v>99</v>
      </c>
    </row>
    <row r="11591" spans="1:10" x14ac:dyDescent="0.3">
      <c r="A11591" t="s">
        <v>37</v>
      </c>
      <c r="B11591" t="s">
        <v>339</v>
      </c>
      <c r="C11591">
        <v>1092</v>
      </c>
      <c r="D11591" t="s">
        <v>542</v>
      </c>
      <c r="E11591" t="s">
        <v>806</v>
      </c>
      <c r="F11591" t="s">
        <v>541</v>
      </c>
      <c r="G11591" t="s">
        <v>827</v>
      </c>
      <c r="H11591" t="s">
        <v>99</v>
      </c>
      <c r="I11591" t="s">
        <v>319</v>
      </c>
      <c r="J11591" t="s">
        <v>198</v>
      </c>
    </row>
    <row r="11592" spans="1:10" x14ac:dyDescent="0.3">
      <c r="A11592" t="s">
        <v>37</v>
      </c>
      <c r="B11592" t="s">
        <v>340</v>
      </c>
      <c r="C11592">
        <v>2721</v>
      </c>
      <c r="D11592" t="s">
        <v>1067</v>
      </c>
      <c r="E11592" t="s">
        <v>724</v>
      </c>
      <c r="F11592" t="s">
        <v>630</v>
      </c>
      <c r="G11592" t="s">
        <v>665</v>
      </c>
      <c r="H11592" t="s">
        <v>99</v>
      </c>
      <c r="I11592" t="s">
        <v>382</v>
      </c>
      <c r="J11592" t="s">
        <v>207</v>
      </c>
    </row>
    <row r="11593" spans="1:10" x14ac:dyDescent="0.3">
      <c r="A11593" t="s">
        <v>37</v>
      </c>
      <c r="B11593" t="s">
        <v>365</v>
      </c>
      <c r="C11593">
        <v>41</v>
      </c>
      <c r="D11593" t="s">
        <v>868</v>
      </c>
      <c r="E11593" t="s">
        <v>545</v>
      </c>
      <c r="F11593" t="s">
        <v>1329</v>
      </c>
      <c r="G11593" t="s">
        <v>1067</v>
      </c>
      <c r="H11593" t="s">
        <v>99</v>
      </c>
      <c r="I11593" t="s">
        <v>112</v>
      </c>
      <c r="J11593" t="s">
        <v>128</v>
      </c>
    </row>
    <row r="11594" spans="1:10" x14ac:dyDescent="0.3">
      <c r="A11594" t="s">
        <v>36</v>
      </c>
      <c r="B11594" t="s">
        <v>339</v>
      </c>
      <c r="C11594">
        <v>770</v>
      </c>
      <c r="D11594" t="s">
        <v>470</v>
      </c>
      <c r="E11594" t="s">
        <v>2132</v>
      </c>
      <c r="F11594" t="s">
        <v>1405</v>
      </c>
      <c r="G11594" t="s">
        <v>903</v>
      </c>
      <c r="H11594" t="s">
        <v>99</v>
      </c>
      <c r="I11594" t="s">
        <v>292</v>
      </c>
      <c r="J11594" t="s">
        <v>99</v>
      </c>
    </row>
    <row r="11595" spans="1:10" x14ac:dyDescent="0.3">
      <c r="A11595" t="s">
        <v>36</v>
      </c>
      <c r="B11595" t="s">
        <v>340</v>
      </c>
      <c r="C11595">
        <v>1470</v>
      </c>
      <c r="D11595" t="s">
        <v>529</v>
      </c>
      <c r="E11595" t="s">
        <v>620</v>
      </c>
      <c r="F11595" t="s">
        <v>490</v>
      </c>
      <c r="G11595" t="s">
        <v>751</v>
      </c>
      <c r="H11595" t="s">
        <v>99</v>
      </c>
      <c r="I11595" t="s">
        <v>100</v>
      </c>
      <c r="J11595" t="s">
        <v>198</v>
      </c>
    </row>
    <row r="11596" spans="1:10" x14ac:dyDescent="0.3">
      <c r="A11596" t="s">
        <v>36</v>
      </c>
      <c r="B11596" t="s">
        <v>365</v>
      </c>
      <c r="C11596">
        <v>63</v>
      </c>
      <c r="D11596" t="s">
        <v>437</v>
      </c>
      <c r="E11596" t="s">
        <v>600</v>
      </c>
      <c r="F11596" t="s">
        <v>935</v>
      </c>
      <c r="G11596" t="s">
        <v>440</v>
      </c>
      <c r="H11596" t="s">
        <v>99</v>
      </c>
      <c r="I11596" t="s">
        <v>198</v>
      </c>
      <c r="J11596" t="s">
        <v>99</v>
      </c>
    </row>
    <row r="11597" spans="1:10" x14ac:dyDescent="0.3">
      <c r="A11597" t="s">
        <v>34</v>
      </c>
      <c r="B11597" t="s">
        <v>339</v>
      </c>
      <c r="C11597">
        <v>554</v>
      </c>
      <c r="D11597" t="s">
        <v>68</v>
      </c>
      <c r="E11597" t="s">
        <v>582</v>
      </c>
      <c r="F11597" t="s">
        <v>259</v>
      </c>
      <c r="G11597" t="s">
        <v>153</v>
      </c>
      <c r="H11597" t="s">
        <v>207</v>
      </c>
      <c r="I11597" t="s">
        <v>151</v>
      </c>
      <c r="J11597" t="s">
        <v>104</v>
      </c>
    </row>
    <row r="11598" spans="1:10" x14ac:dyDescent="0.3">
      <c r="A11598" t="s">
        <v>34</v>
      </c>
      <c r="B11598" t="s">
        <v>340</v>
      </c>
      <c r="C11598">
        <v>1496</v>
      </c>
      <c r="D11598" t="s">
        <v>39</v>
      </c>
      <c r="E11598" t="s">
        <v>952</v>
      </c>
      <c r="F11598" t="s">
        <v>1146</v>
      </c>
      <c r="G11598" t="s">
        <v>933</v>
      </c>
      <c r="H11598" t="s">
        <v>99</v>
      </c>
      <c r="I11598" t="s">
        <v>382</v>
      </c>
      <c r="J11598" t="s">
        <v>253</v>
      </c>
    </row>
    <row r="11599" spans="1:10" x14ac:dyDescent="0.3">
      <c r="A11599" t="s">
        <v>34</v>
      </c>
      <c r="B11599" t="s">
        <v>365</v>
      </c>
      <c r="C11599">
        <v>28</v>
      </c>
      <c r="D11599" t="s">
        <v>231</v>
      </c>
      <c r="E11599" t="s">
        <v>1252</v>
      </c>
      <c r="F11599" t="s">
        <v>1236</v>
      </c>
      <c r="G11599" t="s">
        <v>534</v>
      </c>
      <c r="H11599" t="s">
        <v>99</v>
      </c>
      <c r="I11599" t="s">
        <v>670</v>
      </c>
      <c r="J11599" t="s">
        <v>99</v>
      </c>
    </row>
    <row r="11600" spans="1:10" x14ac:dyDescent="0.3">
      <c r="A11600" t="s">
        <v>33</v>
      </c>
      <c r="B11600" t="s">
        <v>339</v>
      </c>
      <c r="C11600">
        <v>503</v>
      </c>
      <c r="D11600" t="s">
        <v>911</v>
      </c>
      <c r="E11600" t="s">
        <v>698</v>
      </c>
      <c r="F11600" t="s">
        <v>1153</v>
      </c>
      <c r="G11600" t="s">
        <v>102</v>
      </c>
      <c r="H11600" t="s">
        <v>99</v>
      </c>
      <c r="I11600" t="s">
        <v>253</v>
      </c>
      <c r="J11600" t="s">
        <v>99</v>
      </c>
    </row>
    <row r="11601" spans="1:10" x14ac:dyDescent="0.3">
      <c r="A11601" t="s">
        <v>33</v>
      </c>
      <c r="B11601" t="s">
        <v>340</v>
      </c>
      <c r="C11601">
        <v>1415</v>
      </c>
      <c r="D11601" t="s">
        <v>952</v>
      </c>
      <c r="E11601" t="s">
        <v>534</v>
      </c>
      <c r="F11601" t="s">
        <v>895</v>
      </c>
      <c r="G11601" t="s">
        <v>1044</v>
      </c>
      <c r="H11601" t="s">
        <v>99</v>
      </c>
      <c r="I11601" t="s">
        <v>115</v>
      </c>
      <c r="J11601" t="s">
        <v>198</v>
      </c>
    </row>
    <row r="11602" spans="1:10" x14ac:dyDescent="0.3">
      <c r="A11602" t="s">
        <v>33</v>
      </c>
      <c r="B11602" t="s">
        <v>365</v>
      </c>
      <c r="C11602">
        <v>19</v>
      </c>
      <c r="D11602" t="s">
        <v>1255</v>
      </c>
      <c r="E11602" t="s">
        <v>74</v>
      </c>
      <c r="F11602" t="s">
        <v>604</v>
      </c>
      <c r="G11602" t="s">
        <v>328</v>
      </c>
      <c r="H11602" t="s">
        <v>99</v>
      </c>
      <c r="I11602" t="s">
        <v>99</v>
      </c>
      <c r="J11602" t="s">
        <v>328</v>
      </c>
    </row>
    <row r="11603" spans="1:10" x14ac:dyDescent="0.3">
      <c r="A11603" t="s">
        <v>49</v>
      </c>
      <c r="B11603" t="s">
        <v>339</v>
      </c>
      <c r="C11603">
        <v>3809</v>
      </c>
      <c r="D11603" t="s">
        <v>206</v>
      </c>
      <c r="E11603" t="s">
        <v>936</v>
      </c>
      <c r="F11603" t="s">
        <v>1054</v>
      </c>
      <c r="G11603" t="s">
        <v>1148</v>
      </c>
      <c r="H11603" t="s">
        <v>104</v>
      </c>
      <c r="I11603" t="s">
        <v>121</v>
      </c>
      <c r="J11603" t="s">
        <v>198</v>
      </c>
    </row>
    <row r="11604" spans="1:10" x14ac:dyDescent="0.3">
      <c r="A11604" t="s">
        <v>49</v>
      </c>
      <c r="B11604" t="s">
        <v>340</v>
      </c>
      <c r="C11604">
        <v>9316</v>
      </c>
      <c r="D11604" t="s">
        <v>481</v>
      </c>
      <c r="E11604" t="s">
        <v>745</v>
      </c>
      <c r="F11604" t="s">
        <v>625</v>
      </c>
      <c r="G11604" t="s">
        <v>473</v>
      </c>
      <c r="H11604" t="s">
        <v>104</v>
      </c>
      <c r="I11604" t="s">
        <v>319</v>
      </c>
      <c r="J11604" t="s">
        <v>207</v>
      </c>
    </row>
    <row r="11605" spans="1:10" x14ac:dyDescent="0.3">
      <c r="A11605" t="s">
        <v>49</v>
      </c>
      <c r="B11605" t="s">
        <v>365</v>
      </c>
      <c r="C11605">
        <v>191</v>
      </c>
      <c r="D11605" t="s">
        <v>960</v>
      </c>
      <c r="E11605" t="s">
        <v>341</v>
      </c>
      <c r="F11605" t="s">
        <v>563</v>
      </c>
      <c r="G11605" t="s">
        <v>410</v>
      </c>
      <c r="H11605" t="s">
        <v>99</v>
      </c>
      <c r="I11605" t="s">
        <v>143</v>
      </c>
      <c r="J11605" t="s">
        <v>101</v>
      </c>
    </row>
    <row r="11607" spans="1:10" x14ac:dyDescent="0.3">
      <c r="A11607" t="s">
        <v>2691</v>
      </c>
    </row>
    <row r="11608" spans="1:10" x14ac:dyDescent="0.3">
      <c r="A11608" t="s">
        <v>44</v>
      </c>
      <c r="B11608" t="s">
        <v>209</v>
      </c>
      <c r="C11608" t="s">
        <v>32</v>
      </c>
      <c r="D11608" t="s">
        <v>2686</v>
      </c>
      <c r="E11608" t="s">
        <v>2687</v>
      </c>
      <c r="F11608" t="s">
        <v>2688</v>
      </c>
      <c r="G11608" t="s">
        <v>2689</v>
      </c>
      <c r="H11608" t="s">
        <v>1275</v>
      </c>
      <c r="I11608" t="s">
        <v>83</v>
      </c>
      <c r="J11608" t="s">
        <v>193</v>
      </c>
    </row>
    <row r="11609" spans="1:10" x14ac:dyDescent="0.3">
      <c r="A11609" t="s">
        <v>35</v>
      </c>
      <c r="B11609" t="s">
        <v>210</v>
      </c>
      <c r="C11609">
        <v>136</v>
      </c>
      <c r="D11609" t="s">
        <v>160</v>
      </c>
      <c r="E11609" t="s">
        <v>1144</v>
      </c>
      <c r="F11609" t="s">
        <v>1162</v>
      </c>
      <c r="G11609" t="s">
        <v>810</v>
      </c>
      <c r="H11609" t="s">
        <v>99</v>
      </c>
      <c r="I11609" t="s">
        <v>382</v>
      </c>
      <c r="J11609" t="s">
        <v>99</v>
      </c>
    </row>
    <row r="11610" spans="1:10" x14ac:dyDescent="0.3">
      <c r="A11610" t="s">
        <v>35</v>
      </c>
      <c r="B11610" t="s">
        <v>212</v>
      </c>
      <c r="C11610">
        <v>2441</v>
      </c>
      <c r="D11610" t="s">
        <v>933</v>
      </c>
      <c r="E11610" t="s">
        <v>629</v>
      </c>
      <c r="F11610" t="s">
        <v>1127</v>
      </c>
      <c r="G11610" t="s">
        <v>592</v>
      </c>
      <c r="H11610" t="s">
        <v>99</v>
      </c>
      <c r="I11610" t="s">
        <v>115</v>
      </c>
      <c r="J11610" t="s">
        <v>136</v>
      </c>
    </row>
    <row r="11611" spans="1:10" x14ac:dyDescent="0.3">
      <c r="A11611" t="s">
        <v>35</v>
      </c>
      <c r="B11611" t="s">
        <v>216</v>
      </c>
      <c r="C11611">
        <v>567</v>
      </c>
      <c r="D11611" t="s">
        <v>341</v>
      </c>
      <c r="E11611" t="s">
        <v>662</v>
      </c>
      <c r="F11611" t="s">
        <v>1106</v>
      </c>
      <c r="G11611" t="s">
        <v>42</v>
      </c>
      <c r="H11611" t="s">
        <v>108</v>
      </c>
      <c r="I11611" t="s">
        <v>316</v>
      </c>
      <c r="J11611" t="s">
        <v>99</v>
      </c>
    </row>
    <row r="11612" spans="1:10" x14ac:dyDescent="0.3">
      <c r="A11612" t="s">
        <v>37</v>
      </c>
      <c r="B11612" t="s">
        <v>210</v>
      </c>
      <c r="C11612">
        <v>138</v>
      </c>
      <c r="D11612" t="s">
        <v>1414</v>
      </c>
      <c r="E11612" t="s">
        <v>695</v>
      </c>
      <c r="F11612" t="s">
        <v>1363</v>
      </c>
      <c r="G11612" t="s">
        <v>489</v>
      </c>
      <c r="H11612" t="s">
        <v>99</v>
      </c>
      <c r="I11612" t="s">
        <v>99</v>
      </c>
      <c r="J11612" t="s">
        <v>141</v>
      </c>
    </row>
    <row r="11613" spans="1:10" x14ac:dyDescent="0.3">
      <c r="A11613" t="s">
        <v>37</v>
      </c>
      <c r="B11613" t="s">
        <v>212</v>
      </c>
      <c r="C11613">
        <v>3605</v>
      </c>
      <c r="D11613" t="s">
        <v>667</v>
      </c>
      <c r="E11613" t="s">
        <v>525</v>
      </c>
      <c r="F11613" t="s">
        <v>1052</v>
      </c>
      <c r="G11613" t="s">
        <v>920</v>
      </c>
      <c r="H11613" t="s">
        <v>99</v>
      </c>
      <c r="I11613" t="s">
        <v>215</v>
      </c>
      <c r="J11613" t="s">
        <v>207</v>
      </c>
    </row>
    <row r="11614" spans="1:10" x14ac:dyDescent="0.3">
      <c r="A11614" t="s">
        <v>37</v>
      </c>
      <c r="B11614" t="s">
        <v>216</v>
      </c>
      <c r="C11614">
        <v>111</v>
      </c>
      <c r="D11614" t="s">
        <v>934</v>
      </c>
      <c r="E11614" t="s">
        <v>580</v>
      </c>
      <c r="F11614" t="s">
        <v>641</v>
      </c>
      <c r="G11614" t="s">
        <v>485</v>
      </c>
      <c r="H11614" t="s">
        <v>99</v>
      </c>
      <c r="I11614" t="s">
        <v>100</v>
      </c>
      <c r="J11614" t="s">
        <v>115</v>
      </c>
    </row>
    <row r="11615" spans="1:10" x14ac:dyDescent="0.3">
      <c r="A11615" t="s">
        <v>36</v>
      </c>
      <c r="B11615" t="s">
        <v>210</v>
      </c>
      <c r="C11615">
        <v>165</v>
      </c>
      <c r="D11615" t="s">
        <v>420</v>
      </c>
      <c r="E11615" t="s">
        <v>937</v>
      </c>
      <c r="F11615" t="s">
        <v>407</v>
      </c>
      <c r="G11615" t="s">
        <v>828</v>
      </c>
      <c r="H11615" t="s">
        <v>99</v>
      </c>
      <c r="I11615" t="s">
        <v>115</v>
      </c>
      <c r="J11615" t="s">
        <v>99</v>
      </c>
    </row>
    <row r="11616" spans="1:10" x14ac:dyDescent="0.3">
      <c r="A11616" t="s">
        <v>36</v>
      </c>
      <c r="B11616" t="s">
        <v>212</v>
      </c>
      <c r="C11616">
        <v>1874</v>
      </c>
      <c r="D11616" t="s">
        <v>508</v>
      </c>
      <c r="E11616" t="s">
        <v>943</v>
      </c>
      <c r="F11616" t="s">
        <v>1001</v>
      </c>
      <c r="G11616" t="s">
        <v>959</v>
      </c>
      <c r="H11616" t="s">
        <v>99</v>
      </c>
      <c r="I11616" t="s">
        <v>382</v>
      </c>
      <c r="J11616" t="s">
        <v>104</v>
      </c>
    </row>
    <row r="11617" spans="1:10" x14ac:dyDescent="0.3">
      <c r="A11617" t="s">
        <v>36</v>
      </c>
      <c r="B11617" t="s">
        <v>216</v>
      </c>
      <c r="C11617">
        <v>264</v>
      </c>
      <c r="D11617" t="s">
        <v>727</v>
      </c>
      <c r="E11617" t="s">
        <v>1067</v>
      </c>
      <c r="F11617" t="s">
        <v>1144</v>
      </c>
      <c r="G11617" t="s">
        <v>807</v>
      </c>
      <c r="H11617" t="s">
        <v>99</v>
      </c>
      <c r="I11617" t="s">
        <v>115</v>
      </c>
      <c r="J11617" t="s">
        <v>104</v>
      </c>
    </row>
    <row r="11618" spans="1:10" x14ac:dyDescent="0.3">
      <c r="A11618" t="s">
        <v>34</v>
      </c>
      <c r="B11618" t="s">
        <v>210</v>
      </c>
      <c r="C11618">
        <v>255</v>
      </c>
      <c r="D11618" t="s">
        <v>292</v>
      </c>
      <c r="E11618" t="s">
        <v>937</v>
      </c>
      <c r="F11618" t="s">
        <v>475</v>
      </c>
      <c r="G11618" t="s">
        <v>860</v>
      </c>
      <c r="H11618" t="s">
        <v>141</v>
      </c>
      <c r="I11618" t="s">
        <v>100</v>
      </c>
      <c r="J11618" t="s">
        <v>99</v>
      </c>
    </row>
    <row r="11619" spans="1:10" x14ac:dyDescent="0.3">
      <c r="A11619" t="s">
        <v>34</v>
      </c>
      <c r="B11619" t="s">
        <v>212</v>
      </c>
      <c r="C11619">
        <v>1582</v>
      </c>
      <c r="D11619" t="s">
        <v>501</v>
      </c>
      <c r="E11619" t="s">
        <v>459</v>
      </c>
      <c r="F11619" t="s">
        <v>581</v>
      </c>
      <c r="G11619" t="s">
        <v>276</v>
      </c>
      <c r="H11619" t="s">
        <v>99</v>
      </c>
      <c r="I11619" t="s">
        <v>117</v>
      </c>
      <c r="J11619" t="s">
        <v>141</v>
      </c>
    </row>
    <row r="11620" spans="1:10" x14ac:dyDescent="0.3">
      <c r="A11620" t="s">
        <v>34</v>
      </c>
      <c r="B11620" t="s">
        <v>216</v>
      </c>
      <c r="C11620">
        <v>241</v>
      </c>
      <c r="D11620" t="s">
        <v>712</v>
      </c>
      <c r="E11620" t="s">
        <v>1156</v>
      </c>
      <c r="F11620" t="s">
        <v>568</v>
      </c>
      <c r="G11620" t="s">
        <v>697</v>
      </c>
      <c r="H11620" t="s">
        <v>99</v>
      </c>
      <c r="I11620" t="s">
        <v>127</v>
      </c>
      <c r="J11620" t="s">
        <v>207</v>
      </c>
    </row>
    <row r="11621" spans="1:10" x14ac:dyDescent="0.3">
      <c r="A11621" t="s">
        <v>33</v>
      </c>
      <c r="B11621" t="s">
        <v>210</v>
      </c>
      <c r="C11621">
        <v>68</v>
      </c>
      <c r="D11621" t="s">
        <v>113</v>
      </c>
      <c r="E11621" t="s">
        <v>1169</v>
      </c>
      <c r="F11621" t="s">
        <v>178</v>
      </c>
      <c r="G11621" t="s">
        <v>937</v>
      </c>
      <c r="H11621" t="s">
        <v>99</v>
      </c>
      <c r="I11621" t="s">
        <v>99</v>
      </c>
      <c r="J11621" t="s">
        <v>99</v>
      </c>
    </row>
    <row r="11622" spans="1:10" x14ac:dyDescent="0.3">
      <c r="A11622" t="s">
        <v>33</v>
      </c>
      <c r="B11622" t="s">
        <v>212</v>
      </c>
      <c r="C11622">
        <v>1800</v>
      </c>
      <c r="D11622" t="s">
        <v>929</v>
      </c>
      <c r="E11622" t="s">
        <v>803</v>
      </c>
      <c r="F11622" t="s">
        <v>1165</v>
      </c>
      <c r="G11622" t="s">
        <v>281</v>
      </c>
      <c r="H11622" t="s">
        <v>99</v>
      </c>
      <c r="I11622" t="s">
        <v>115</v>
      </c>
      <c r="J11622" t="s">
        <v>198</v>
      </c>
    </row>
    <row r="11623" spans="1:10" x14ac:dyDescent="0.3">
      <c r="A11623" t="s">
        <v>33</v>
      </c>
      <c r="B11623" t="s">
        <v>216</v>
      </c>
      <c r="C11623">
        <v>69</v>
      </c>
      <c r="D11623" t="s">
        <v>565</v>
      </c>
      <c r="E11623" t="s">
        <v>131</v>
      </c>
      <c r="F11623" t="s">
        <v>725</v>
      </c>
      <c r="G11623" t="s">
        <v>705</v>
      </c>
      <c r="H11623" t="s">
        <v>99</v>
      </c>
      <c r="I11623" t="s">
        <v>99</v>
      </c>
      <c r="J11623" t="s">
        <v>99</v>
      </c>
    </row>
    <row r="11624" spans="1:10" x14ac:dyDescent="0.3">
      <c r="A11624" t="s">
        <v>49</v>
      </c>
      <c r="B11624" t="s">
        <v>210</v>
      </c>
      <c r="C11624">
        <v>762</v>
      </c>
      <c r="D11624" t="s">
        <v>72</v>
      </c>
      <c r="E11624" t="s">
        <v>1184</v>
      </c>
      <c r="F11624" t="s">
        <v>424</v>
      </c>
      <c r="G11624" t="s">
        <v>809</v>
      </c>
      <c r="H11624" t="s">
        <v>198</v>
      </c>
      <c r="I11624" t="s">
        <v>108</v>
      </c>
      <c r="J11624" t="s">
        <v>104</v>
      </c>
    </row>
    <row r="11625" spans="1:10" x14ac:dyDescent="0.3">
      <c r="A11625" t="s">
        <v>49</v>
      </c>
      <c r="B11625" t="s">
        <v>212</v>
      </c>
      <c r="C11625">
        <v>11302</v>
      </c>
      <c r="D11625" t="s">
        <v>803</v>
      </c>
      <c r="E11625" t="s">
        <v>843</v>
      </c>
      <c r="F11625" t="s">
        <v>1650</v>
      </c>
      <c r="G11625" t="s">
        <v>1105</v>
      </c>
      <c r="H11625" t="s">
        <v>99</v>
      </c>
      <c r="I11625" t="s">
        <v>319</v>
      </c>
      <c r="J11625" t="s">
        <v>207</v>
      </c>
    </row>
    <row r="11626" spans="1:10" x14ac:dyDescent="0.3">
      <c r="A11626" t="s">
        <v>49</v>
      </c>
      <c r="B11626" t="s">
        <v>216</v>
      </c>
      <c r="C11626">
        <v>1252</v>
      </c>
      <c r="D11626" t="s">
        <v>894</v>
      </c>
      <c r="E11626" t="s">
        <v>934</v>
      </c>
      <c r="F11626" t="s">
        <v>1015</v>
      </c>
      <c r="G11626" t="s">
        <v>697</v>
      </c>
      <c r="H11626" t="s">
        <v>141</v>
      </c>
      <c r="I11626" t="s">
        <v>292</v>
      </c>
      <c r="J11626" t="s">
        <v>104</v>
      </c>
    </row>
    <row r="11628" spans="1:10" x14ac:dyDescent="0.3">
      <c r="A11628" t="s">
        <v>2692</v>
      </c>
    </row>
    <row r="11629" spans="1:10" x14ac:dyDescent="0.3">
      <c r="A11629" t="s">
        <v>44</v>
      </c>
      <c r="B11629" t="s">
        <v>388</v>
      </c>
      <c r="C11629" t="s">
        <v>32</v>
      </c>
      <c r="D11629" t="s">
        <v>2686</v>
      </c>
      <c r="E11629" t="s">
        <v>2687</v>
      </c>
      <c r="F11629" t="s">
        <v>2688</v>
      </c>
      <c r="G11629" t="s">
        <v>2689</v>
      </c>
      <c r="H11629" t="s">
        <v>1275</v>
      </c>
      <c r="I11629" t="s">
        <v>83</v>
      </c>
      <c r="J11629" t="s">
        <v>193</v>
      </c>
    </row>
    <row r="11630" spans="1:10" x14ac:dyDescent="0.3">
      <c r="A11630" t="s">
        <v>35</v>
      </c>
      <c r="B11630" t="s">
        <v>389</v>
      </c>
      <c r="C11630">
        <v>2140</v>
      </c>
      <c r="D11630" t="s">
        <v>298</v>
      </c>
      <c r="E11630" t="s">
        <v>826</v>
      </c>
      <c r="F11630" t="s">
        <v>61</v>
      </c>
      <c r="G11630" t="s">
        <v>745</v>
      </c>
      <c r="H11630" t="s">
        <v>99</v>
      </c>
      <c r="I11630" t="s">
        <v>126</v>
      </c>
      <c r="J11630" t="s">
        <v>207</v>
      </c>
    </row>
    <row r="11631" spans="1:10" x14ac:dyDescent="0.3">
      <c r="A11631" t="s">
        <v>35</v>
      </c>
      <c r="B11631" t="s">
        <v>390</v>
      </c>
      <c r="C11631">
        <v>875</v>
      </c>
      <c r="D11631" t="s">
        <v>485</v>
      </c>
      <c r="E11631" t="s">
        <v>1252</v>
      </c>
      <c r="F11631" t="s">
        <v>1163</v>
      </c>
      <c r="G11631" t="s">
        <v>446</v>
      </c>
      <c r="H11631" t="s">
        <v>104</v>
      </c>
      <c r="I11631" t="s">
        <v>141</v>
      </c>
      <c r="J11631" t="s">
        <v>198</v>
      </c>
    </row>
    <row r="11632" spans="1:10" x14ac:dyDescent="0.3">
      <c r="A11632" t="s">
        <v>35</v>
      </c>
      <c r="B11632" t="s">
        <v>365</v>
      </c>
      <c r="C11632">
        <v>129</v>
      </c>
      <c r="D11632" t="s">
        <v>816</v>
      </c>
      <c r="E11632" t="s">
        <v>699</v>
      </c>
      <c r="F11632" t="s">
        <v>1183</v>
      </c>
      <c r="G11632" t="s">
        <v>311</v>
      </c>
      <c r="H11632" t="s">
        <v>242</v>
      </c>
      <c r="I11632" t="s">
        <v>268</v>
      </c>
      <c r="J11632" t="s">
        <v>99</v>
      </c>
    </row>
    <row r="11633" spans="1:10" x14ac:dyDescent="0.3">
      <c r="A11633" t="s">
        <v>37</v>
      </c>
      <c r="B11633" t="s">
        <v>389</v>
      </c>
      <c r="C11633">
        <v>2304</v>
      </c>
      <c r="D11633" t="s">
        <v>1157</v>
      </c>
      <c r="E11633" t="s">
        <v>214</v>
      </c>
      <c r="F11633" t="s">
        <v>922</v>
      </c>
      <c r="G11633" t="s">
        <v>481</v>
      </c>
      <c r="H11633" t="s">
        <v>99</v>
      </c>
      <c r="I11633" t="s">
        <v>382</v>
      </c>
      <c r="J11633" t="s">
        <v>207</v>
      </c>
    </row>
    <row r="11634" spans="1:10" x14ac:dyDescent="0.3">
      <c r="A11634" t="s">
        <v>37</v>
      </c>
      <c r="B11634" t="s">
        <v>390</v>
      </c>
      <c r="C11634">
        <v>1309</v>
      </c>
      <c r="D11634" t="s">
        <v>929</v>
      </c>
      <c r="E11634" t="s">
        <v>682</v>
      </c>
      <c r="F11634" t="s">
        <v>282</v>
      </c>
      <c r="G11634" t="s">
        <v>140</v>
      </c>
      <c r="H11634" t="s">
        <v>99</v>
      </c>
      <c r="I11634" t="s">
        <v>215</v>
      </c>
      <c r="J11634" t="s">
        <v>207</v>
      </c>
    </row>
    <row r="11635" spans="1:10" x14ac:dyDescent="0.3">
      <c r="A11635" t="s">
        <v>37</v>
      </c>
      <c r="B11635" t="s">
        <v>365</v>
      </c>
      <c r="C11635">
        <v>241</v>
      </c>
      <c r="D11635" t="s">
        <v>597</v>
      </c>
      <c r="E11635" t="s">
        <v>451</v>
      </c>
      <c r="F11635" t="s">
        <v>1576</v>
      </c>
      <c r="G11635" t="s">
        <v>276</v>
      </c>
      <c r="H11635" t="s">
        <v>99</v>
      </c>
      <c r="I11635" t="s">
        <v>121</v>
      </c>
      <c r="J11635" t="s">
        <v>99</v>
      </c>
    </row>
    <row r="11636" spans="1:10" x14ac:dyDescent="0.3">
      <c r="A11636" t="s">
        <v>36</v>
      </c>
      <c r="B11636" t="s">
        <v>389</v>
      </c>
      <c r="C11636">
        <v>1577</v>
      </c>
      <c r="D11636" t="s">
        <v>705</v>
      </c>
      <c r="E11636" t="s">
        <v>1326</v>
      </c>
      <c r="F11636" t="s">
        <v>1337</v>
      </c>
      <c r="G11636" t="s">
        <v>795</v>
      </c>
      <c r="H11636" t="s">
        <v>99</v>
      </c>
      <c r="I11636" t="s">
        <v>382</v>
      </c>
      <c r="J11636" t="s">
        <v>99</v>
      </c>
    </row>
    <row r="11637" spans="1:10" x14ac:dyDescent="0.3">
      <c r="A11637" t="s">
        <v>36</v>
      </c>
      <c r="B11637" t="s">
        <v>390</v>
      </c>
      <c r="C11637">
        <v>626</v>
      </c>
      <c r="D11637" t="s">
        <v>451</v>
      </c>
      <c r="E11637" t="s">
        <v>938</v>
      </c>
      <c r="F11637" t="s">
        <v>1066</v>
      </c>
      <c r="G11637" t="s">
        <v>542</v>
      </c>
      <c r="H11637" t="s">
        <v>99</v>
      </c>
      <c r="I11637" t="s">
        <v>132</v>
      </c>
      <c r="J11637" t="s">
        <v>104</v>
      </c>
    </row>
    <row r="11638" spans="1:10" x14ac:dyDescent="0.3">
      <c r="A11638" t="s">
        <v>36</v>
      </c>
      <c r="B11638" t="s">
        <v>365</v>
      </c>
      <c r="C11638">
        <v>100</v>
      </c>
      <c r="D11638" t="s">
        <v>501</v>
      </c>
      <c r="E11638" t="s">
        <v>102</v>
      </c>
      <c r="F11638" t="s">
        <v>825</v>
      </c>
      <c r="G11638" t="s">
        <v>349</v>
      </c>
      <c r="H11638" t="s">
        <v>99</v>
      </c>
      <c r="I11638" t="s">
        <v>121</v>
      </c>
      <c r="J11638" t="s">
        <v>121</v>
      </c>
    </row>
    <row r="11639" spans="1:10" x14ac:dyDescent="0.3">
      <c r="A11639" t="s">
        <v>34</v>
      </c>
      <c r="B11639" t="s">
        <v>389</v>
      </c>
      <c r="C11639">
        <v>1384</v>
      </c>
      <c r="D11639" t="s">
        <v>405</v>
      </c>
      <c r="E11639" t="s">
        <v>899</v>
      </c>
      <c r="F11639" t="s">
        <v>1366</v>
      </c>
      <c r="G11639" t="s">
        <v>40</v>
      </c>
      <c r="H11639" t="s">
        <v>99</v>
      </c>
      <c r="I11639" t="s">
        <v>123</v>
      </c>
      <c r="J11639" t="s">
        <v>207</v>
      </c>
    </row>
    <row r="11640" spans="1:10" x14ac:dyDescent="0.3">
      <c r="A11640" t="s">
        <v>34</v>
      </c>
      <c r="B11640" t="s">
        <v>390</v>
      </c>
      <c r="C11640">
        <v>614</v>
      </c>
      <c r="D11640" t="s">
        <v>747</v>
      </c>
      <c r="E11640" t="s">
        <v>102</v>
      </c>
      <c r="F11640" t="s">
        <v>637</v>
      </c>
      <c r="G11640" t="s">
        <v>177</v>
      </c>
      <c r="H11640" t="s">
        <v>207</v>
      </c>
      <c r="I11640" t="s">
        <v>120</v>
      </c>
      <c r="J11640" t="s">
        <v>115</v>
      </c>
    </row>
    <row r="11641" spans="1:10" x14ac:dyDescent="0.3">
      <c r="A11641" t="s">
        <v>34</v>
      </c>
      <c r="B11641" t="s">
        <v>365</v>
      </c>
      <c r="C11641">
        <v>80</v>
      </c>
      <c r="D11641" t="s">
        <v>864</v>
      </c>
      <c r="E11641" t="s">
        <v>515</v>
      </c>
      <c r="F11641" t="s">
        <v>223</v>
      </c>
      <c r="G11641" t="s">
        <v>423</v>
      </c>
      <c r="H11641" t="s">
        <v>99</v>
      </c>
      <c r="I11641" t="s">
        <v>99</v>
      </c>
      <c r="J11641" t="s">
        <v>99</v>
      </c>
    </row>
    <row r="11642" spans="1:10" x14ac:dyDescent="0.3">
      <c r="A11642" t="s">
        <v>33</v>
      </c>
      <c r="B11642" t="s">
        <v>389</v>
      </c>
      <c r="C11642">
        <v>1090</v>
      </c>
      <c r="D11642" t="s">
        <v>342</v>
      </c>
      <c r="E11642" t="s">
        <v>812</v>
      </c>
      <c r="F11642" t="s">
        <v>1180</v>
      </c>
      <c r="G11642" t="s">
        <v>732</v>
      </c>
      <c r="H11642" t="s">
        <v>99</v>
      </c>
      <c r="I11642" t="s">
        <v>115</v>
      </c>
      <c r="J11642" t="s">
        <v>104</v>
      </c>
    </row>
    <row r="11643" spans="1:10" x14ac:dyDescent="0.3">
      <c r="A11643" t="s">
        <v>33</v>
      </c>
      <c r="B11643" t="s">
        <v>390</v>
      </c>
      <c r="C11643">
        <v>708</v>
      </c>
      <c r="D11643" t="s">
        <v>506</v>
      </c>
      <c r="E11643" t="s">
        <v>692</v>
      </c>
      <c r="F11643" t="s">
        <v>947</v>
      </c>
      <c r="G11643" t="s">
        <v>738</v>
      </c>
      <c r="H11643" t="s">
        <v>99</v>
      </c>
      <c r="I11643" t="s">
        <v>253</v>
      </c>
      <c r="J11643" t="s">
        <v>207</v>
      </c>
    </row>
    <row r="11644" spans="1:10" x14ac:dyDescent="0.3">
      <c r="A11644" t="s">
        <v>33</v>
      </c>
      <c r="B11644" t="s">
        <v>365</v>
      </c>
      <c r="C11644">
        <v>139</v>
      </c>
      <c r="D11644" t="s">
        <v>597</v>
      </c>
      <c r="E11644" t="s">
        <v>897</v>
      </c>
      <c r="F11644" t="s">
        <v>1256</v>
      </c>
      <c r="G11644" t="s">
        <v>1045</v>
      </c>
      <c r="H11644" t="s">
        <v>99</v>
      </c>
      <c r="I11644" t="s">
        <v>253</v>
      </c>
      <c r="J11644" t="s">
        <v>99</v>
      </c>
    </row>
    <row r="11645" spans="1:10" x14ac:dyDescent="0.3">
      <c r="A11645" t="s">
        <v>49</v>
      </c>
      <c r="B11645" t="s">
        <v>389</v>
      </c>
      <c r="C11645">
        <v>8495</v>
      </c>
      <c r="D11645" t="s">
        <v>911</v>
      </c>
      <c r="E11645" t="s">
        <v>837</v>
      </c>
      <c r="F11645" t="s">
        <v>2101</v>
      </c>
      <c r="G11645" t="s">
        <v>828</v>
      </c>
      <c r="H11645" t="s">
        <v>99</v>
      </c>
      <c r="I11645" t="s">
        <v>126</v>
      </c>
      <c r="J11645" t="s">
        <v>198</v>
      </c>
    </row>
    <row r="11646" spans="1:10" x14ac:dyDescent="0.3">
      <c r="A11646" t="s">
        <v>49</v>
      </c>
      <c r="B11646" t="s">
        <v>390</v>
      </c>
      <c r="C11646">
        <v>4132</v>
      </c>
      <c r="D11646" t="s">
        <v>840</v>
      </c>
      <c r="E11646" t="s">
        <v>836</v>
      </c>
      <c r="F11646" t="s">
        <v>1176</v>
      </c>
      <c r="G11646" t="s">
        <v>692</v>
      </c>
      <c r="H11646" t="s">
        <v>104</v>
      </c>
      <c r="I11646" t="s">
        <v>319</v>
      </c>
      <c r="J11646" t="s">
        <v>207</v>
      </c>
    </row>
    <row r="11647" spans="1:10" x14ac:dyDescent="0.3">
      <c r="A11647" t="s">
        <v>49</v>
      </c>
      <c r="B11647" t="s">
        <v>365</v>
      </c>
      <c r="C11647">
        <v>689</v>
      </c>
      <c r="D11647" t="s">
        <v>729</v>
      </c>
      <c r="E11647" t="s">
        <v>592</v>
      </c>
      <c r="F11647" t="s">
        <v>590</v>
      </c>
      <c r="G11647" t="s">
        <v>686</v>
      </c>
      <c r="H11647" t="s">
        <v>114</v>
      </c>
      <c r="I11647" t="s">
        <v>100</v>
      </c>
      <c r="J11647" t="s">
        <v>104</v>
      </c>
    </row>
    <row r="11649" spans="1:10" x14ac:dyDescent="0.3">
      <c r="A11649" t="s">
        <v>2693</v>
      </c>
    </row>
    <row r="11650" spans="1:10" x14ac:dyDescent="0.3">
      <c r="A11650" t="s">
        <v>44</v>
      </c>
      <c r="B11650" t="s">
        <v>235</v>
      </c>
      <c r="C11650" t="s">
        <v>32</v>
      </c>
      <c r="D11650" t="s">
        <v>2686</v>
      </c>
      <c r="E11650" t="s">
        <v>2687</v>
      </c>
      <c r="F11650" t="s">
        <v>2688</v>
      </c>
      <c r="G11650" t="s">
        <v>2689</v>
      </c>
      <c r="H11650" t="s">
        <v>1275</v>
      </c>
      <c r="I11650" t="s">
        <v>83</v>
      </c>
      <c r="J11650" t="s">
        <v>193</v>
      </c>
    </row>
    <row r="11651" spans="1:10" x14ac:dyDescent="0.3">
      <c r="A11651" t="s">
        <v>35</v>
      </c>
      <c r="B11651" t="s">
        <v>236</v>
      </c>
      <c r="C11651">
        <v>1610</v>
      </c>
      <c r="D11651" t="s">
        <v>1059</v>
      </c>
      <c r="E11651" t="s">
        <v>1043</v>
      </c>
      <c r="F11651" t="s">
        <v>962</v>
      </c>
      <c r="G11651" t="s">
        <v>347</v>
      </c>
      <c r="H11651" t="s">
        <v>99</v>
      </c>
      <c r="I11651" t="s">
        <v>121</v>
      </c>
      <c r="J11651" t="s">
        <v>136</v>
      </c>
    </row>
    <row r="11652" spans="1:10" x14ac:dyDescent="0.3">
      <c r="A11652" t="s">
        <v>35</v>
      </c>
      <c r="B11652" t="s">
        <v>238</v>
      </c>
      <c r="C11652">
        <v>1534</v>
      </c>
      <c r="D11652" t="s">
        <v>457</v>
      </c>
      <c r="E11652" t="s">
        <v>1113</v>
      </c>
      <c r="F11652" t="s">
        <v>819</v>
      </c>
      <c r="G11652" t="s">
        <v>810</v>
      </c>
      <c r="H11652" t="s">
        <v>207</v>
      </c>
      <c r="I11652" t="s">
        <v>101</v>
      </c>
      <c r="J11652" t="s">
        <v>198</v>
      </c>
    </row>
    <row r="11653" spans="1:10" x14ac:dyDescent="0.3">
      <c r="A11653" t="s">
        <v>37</v>
      </c>
      <c r="B11653" t="s">
        <v>236</v>
      </c>
      <c r="C11653">
        <v>2211</v>
      </c>
      <c r="D11653" t="s">
        <v>717</v>
      </c>
      <c r="E11653" t="s">
        <v>1206</v>
      </c>
      <c r="F11653" t="s">
        <v>284</v>
      </c>
      <c r="G11653" t="s">
        <v>840</v>
      </c>
      <c r="H11653" t="s">
        <v>99</v>
      </c>
      <c r="I11653" t="s">
        <v>101</v>
      </c>
      <c r="J11653" t="s">
        <v>207</v>
      </c>
    </row>
    <row r="11654" spans="1:10" x14ac:dyDescent="0.3">
      <c r="A11654" t="s">
        <v>37</v>
      </c>
      <c r="B11654" t="s">
        <v>238</v>
      </c>
      <c r="C11654">
        <v>1643</v>
      </c>
      <c r="D11654" t="s">
        <v>725</v>
      </c>
      <c r="E11654" t="s">
        <v>503</v>
      </c>
      <c r="F11654" t="s">
        <v>942</v>
      </c>
      <c r="G11654" t="s">
        <v>276</v>
      </c>
      <c r="H11654" t="s">
        <v>99</v>
      </c>
      <c r="I11654" t="s">
        <v>151</v>
      </c>
      <c r="J11654" t="s">
        <v>198</v>
      </c>
    </row>
    <row r="11655" spans="1:10" x14ac:dyDescent="0.3">
      <c r="A11655" t="s">
        <v>36</v>
      </c>
      <c r="B11655" t="s">
        <v>236</v>
      </c>
      <c r="C11655">
        <v>1564</v>
      </c>
      <c r="D11655" t="s">
        <v>188</v>
      </c>
      <c r="E11655" t="s">
        <v>955</v>
      </c>
      <c r="F11655" t="s">
        <v>278</v>
      </c>
      <c r="G11655" t="s">
        <v>40</v>
      </c>
      <c r="H11655" t="s">
        <v>99</v>
      </c>
      <c r="I11655" t="s">
        <v>215</v>
      </c>
      <c r="J11655" t="s">
        <v>99</v>
      </c>
    </row>
    <row r="11656" spans="1:10" x14ac:dyDescent="0.3">
      <c r="A11656" t="s">
        <v>36</v>
      </c>
      <c r="B11656" t="s">
        <v>238</v>
      </c>
      <c r="C11656">
        <v>739</v>
      </c>
      <c r="D11656" t="s">
        <v>442</v>
      </c>
      <c r="E11656" t="s">
        <v>615</v>
      </c>
      <c r="F11656" t="s">
        <v>275</v>
      </c>
      <c r="G11656" t="s">
        <v>741</v>
      </c>
      <c r="H11656" t="s">
        <v>99</v>
      </c>
      <c r="I11656" t="s">
        <v>121</v>
      </c>
      <c r="J11656" t="s">
        <v>198</v>
      </c>
    </row>
    <row r="11657" spans="1:10" x14ac:dyDescent="0.3">
      <c r="A11657" t="s">
        <v>34</v>
      </c>
      <c r="B11657" t="s">
        <v>236</v>
      </c>
      <c r="C11657">
        <v>717</v>
      </c>
      <c r="D11657" t="s">
        <v>379</v>
      </c>
      <c r="E11657" t="s">
        <v>902</v>
      </c>
      <c r="F11657" t="s">
        <v>1080</v>
      </c>
      <c r="G11657" t="s">
        <v>920</v>
      </c>
      <c r="H11657" t="s">
        <v>99</v>
      </c>
      <c r="I11657" t="s">
        <v>151</v>
      </c>
      <c r="J11657" t="s">
        <v>141</v>
      </c>
    </row>
    <row r="11658" spans="1:10" x14ac:dyDescent="0.3">
      <c r="A11658" t="s">
        <v>34</v>
      </c>
      <c r="B11658" t="s">
        <v>238</v>
      </c>
      <c r="C11658">
        <v>1361</v>
      </c>
      <c r="D11658" t="s">
        <v>482</v>
      </c>
      <c r="E11658" t="s">
        <v>613</v>
      </c>
      <c r="F11658" t="s">
        <v>1245</v>
      </c>
      <c r="G11658" t="s">
        <v>517</v>
      </c>
      <c r="H11658" t="s">
        <v>104</v>
      </c>
      <c r="I11658" t="s">
        <v>292</v>
      </c>
      <c r="J11658" t="s">
        <v>136</v>
      </c>
    </row>
    <row r="11659" spans="1:10" x14ac:dyDescent="0.3">
      <c r="A11659" t="s">
        <v>33</v>
      </c>
      <c r="B11659" t="s">
        <v>236</v>
      </c>
      <c r="C11659">
        <v>1116</v>
      </c>
      <c r="D11659" t="s">
        <v>812</v>
      </c>
      <c r="E11659" t="s">
        <v>681</v>
      </c>
      <c r="F11659" t="s">
        <v>927</v>
      </c>
      <c r="G11659" t="s">
        <v>240</v>
      </c>
      <c r="H11659" t="s">
        <v>99</v>
      </c>
      <c r="I11659" t="s">
        <v>253</v>
      </c>
      <c r="J11659" t="s">
        <v>198</v>
      </c>
    </row>
    <row r="11660" spans="1:10" x14ac:dyDescent="0.3">
      <c r="A11660" t="s">
        <v>33</v>
      </c>
      <c r="B11660" t="s">
        <v>238</v>
      </c>
      <c r="C11660">
        <v>821</v>
      </c>
      <c r="D11660" t="s">
        <v>1252</v>
      </c>
      <c r="E11660" t="s">
        <v>540</v>
      </c>
      <c r="F11660" t="s">
        <v>576</v>
      </c>
      <c r="G11660" t="s">
        <v>307</v>
      </c>
      <c r="H11660" t="s">
        <v>99</v>
      </c>
      <c r="I11660" t="s">
        <v>253</v>
      </c>
      <c r="J11660" t="s">
        <v>104</v>
      </c>
    </row>
    <row r="11661" spans="1:10" x14ac:dyDescent="0.3">
      <c r="A11661" t="s">
        <v>49</v>
      </c>
      <c r="B11661" t="s">
        <v>236</v>
      </c>
      <c r="C11661">
        <v>7218</v>
      </c>
      <c r="D11661" t="s">
        <v>307</v>
      </c>
      <c r="E11661" t="s">
        <v>707</v>
      </c>
      <c r="F11661" t="s">
        <v>490</v>
      </c>
      <c r="G11661" t="s">
        <v>832</v>
      </c>
      <c r="H11661" t="s">
        <v>99</v>
      </c>
      <c r="I11661" t="s">
        <v>101</v>
      </c>
      <c r="J11661" t="s">
        <v>207</v>
      </c>
    </row>
    <row r="11662" spans="1:10" x14ac:dyDescent="0.3">
      <c r="A11662" t="s">
        <v>49</v>
      </c>
      <c r="B11662" t="s">
        <v>238</v>
      </c>
      <c r="C11662">
        <v>6098</v>
      </c>
      <c r="D11662" t="s">
        <v>54</v>
      </c>
      <c r="E11662" t="s">
        <v>944</v>
      </c>
      <c r="F11662" t="s">
        <v>900</v>
      </c>
      <c r="G11662" t="s">
        <v>1167</v>
      </c>
      <c r="H11662" t="s">
        <v>104</v>
      </c>
      <c r="I11662" t="s">
        <v>126</v>
      </c>
      <c r="J11662" t="s">
        <v>198</v>
      </c>
    </row>
    <row r="11664" spans="1:10" x14ac:dyDescent="0.3">
      <c r="A11664" t="s">
        <v>2694</v>
      </c>
    </row>
    <row r="11665" spans="1:10" x14ac:dyDescent="0.3">
      <c r="A11665" t="s">
        <v>44</v>
      </c>
      <c r="B11665" t="s">
        <v>1756</v>
      </c>
      <c r="C11665" t="s">
        <v>32</v>
      </c>
      <c r="D11665" t="s">
        <v>2686</v>
      </c>
      <c r="E11665" t="s">
        <v>2687</v>
      </c>
      <c r="F11665" t="s">
        <v>2688</v>
      </c>
      <c r="G11665" t="s">
        <v>2689</v>
      </c>
      <c r="H11665" t="s">
        <v>1275</v>
      </c>
      <c r="I11665" t="s">
        <v>83</v>
      </c>
      <c r="J11665" t="s">
        <v>193</v>
      </c>
    </row>
    <row r="11666" spans="1:10" x14ac:dyDescent="0.3">
      <c r="A11666" t="s">
        <v>35</v>
      </c>
      <c r="B11666" t="s">
        <v>1757</v>
      </c>
      <c r="C11666">
        <v>2772</v>
      </c>
      <c r="D11666" t="s">
        <v>488</v>
      </c>
      <c r="E11666" t="s">
        <v>1098</v>
      </c>
      <c r="F11666" t="s">
        <v>1472</v>
      </c>
      <c r="G11666" t="s">
        <v>723</v>
      </c>
      <c r="H11666" t="s">
        <v>207</v>
      </c>
      <c r="I11666" t="s">
        <v>319</v>
      </c>
      <c r="J11666" t="s">
        <v>198</v>
      </c>
    </row>
    <row r="11667" spans="1:10" x14ac:dyDescent="0.3">
      <c r="A11667" t="s">
        <v>35</v>
      </c>
      <c r="B11667" t="s">
        <v>1758</v>
      </c>
      <c r="C11667">
        <v>370</v>
      </c>
      <c r="D11667" t="s">
        <v>124</v>
      </c>
      <c r="E11667" t="s">
        <v>1237</v>
      </c>
      <c r="F11667" t="s">
        <v>436</v>
      </c>
      <c r="G11667" t="s">
        <v>557</v>
      </c>
      <c r="H11667" t="s">
        <v>99</v>
      </c>
      <c r="I11667" t="s">
        <v>108</v>
      </c>
      <c r="J11667" t="s">
        <v>207</v>
      </c>
    </row>
    <row r="11668" spans="1:10" x14ac:dyDescent="0.3">
      <c r="A11668" t="s">
        <v>35</v>
      </c>
      <c r="B11668" t="s">
        <v>365</v>
      </c>
      <c r="C11668">
        <v>2</v>
      </c>
      <c r="D11668" t="s">
        <v>99</v>
      </c>
      <c r="E11668" t="s">
        <v>959</v>
      </c>
      <c r="F11668" t="s">
        <v>959</v>
      </c>
      <c r="G11668" t="s">
        <v>99</v>
      </c>
      <c r="H11668" t="s">
        <v>99</v>
      </c>
      <c r="I11668" t="s">
        <v>99</v>
      </c>
      <c r="J11668" t="s">
        <v>939</v>
      </c>
    </row>
    <row r="11669" spans="1:10" x14ac:dyDescent="0.3">
      <c r="A11669" t="s">
        <v>37</v>
      </c>
      <c r="B11669" t="s">
        <v>1757</v>
      </c>
      <c r="C11669">
        <v>3621</v>
      </c>
      <c r="D11669" t="s">
        <v>903</v>
      </c>
      <c r="E11669" t="s">
        <v>920</v>
      </c>
      <c r="F11669" t="s">
        <v>507</v>
      </c>
      <c r="G11669" t="s">
        <v>342</v>
      </c>
      <c r="H11669" t="s">
        <v>99</v>
      </c>
      <c r="I11669" t="s">
        <v>215</v>
      </c>
      <c r="J11669" t="s">
        <v>207</v>
      </c>
    </row>
    <row r="11670" spans="1:10" x14ac:dyDescent="0.3">
      <c r="A11670" t="s">
        <v>37</v>
      </c>
      <c r="B11670" t="s">
        <v>1758</v>
      </c>
      <c r="C11670">
        <v>227</v>
      </c>
      <c r="D11670" t="s">
        <v>363</v>
      </c>
      <c r="E11670" t="s">
        <v>639</v>
      </c>
      <c r="F11670" t="s">
        <v>356</v>
      </c>
      <c r="G11670" t="s">
        <v>862</v>
      </c>
      <c r="H11670" t="s">
        <v>99</v>
      </c>
      <c r="I11670" t="s">
        <v>207</v>
      </c>
      <c r="J11670" t="s">
        <v>99</v>
      </c>
    </row>
    <row r="11671" spans="1:10" x14ac:dyDescent="0.3">
      <c r="A11671" t="s">
        <v>37</v>
      </c>
      <c r="B11671" t="s">
        <v>365</v>
      </c>
      <c r="C11671">
        <v>6</v>
      </c>
      <c r="D11671" t="s">
        <v>1188</v>
      </c>
      <c r="E11671" t="s">
        <v>923</v>
      </c>
      <c r="F11671" t="s">
        <v>313</v>
      </c>
      <c r="G11671" t="s">
        <v>732</v>
      </c>
      <c r="H11671" t="s">
        <v>99</v>
      </c>
      <c r="I11671" t="s">
        <v>262</v>
      </c>
      <c r="J11671" t="s">
        <v>99</v>
      </c>
    </row>
    <row r="11672" spans="1:10" x14ac:dyDescent="0.3">
      <c r="A11672" t="s">
        <v>36</v>
      </c>
      <c r="B11672" t="s">
        <v>1757</v>
      </c>
      <c r="C11672">
        <v>1421</v>
      </c>
      <c r="D11672" t="s">
        <v>156</v>
      </c>
      <c r="E11672" t="s">
        <v>588</v>
      </c>
      <c r="F11672" t="s">
        <v>635</v>
      </c>
      <c r="G11672" t="s">
        <v>727</v>
      </c>
      <c r="H11672" t="s">
        <v>99</v>
      </c>
      <c r="I11672" t="s">
        <v>108</v>
      </c>
      <c r="J11672" t="s">
        <v>198</v>
      </c>
    </row>
    <row r="11673" spans="1:10" x14ac:dyDescent="0.3">
      <c r="A11673" t="s">
        <v>36</v>
      </c>
      <c r="B11673" t="s">
        <v>1758</v>
      </c>
      <c r="C11673">
        <v>877</v>
      </c>
      <c r="D11673" t="s">
        <v>139</v>
      </c>
      <c r="E11673" t="s">
        <v>1106</v>
      </c>
      <c r="F11673" t="s">
        <v>991</v>
      </c>
      <c r="G11673" t="s">
        <v>674</v>
      </c>
      <c r="H11673" t="s">
        <v>99</v>
      </c>
      <c r="I11673" t="s">
        <v>292</v>
      </c>
      <c r="J11673" t="s">
        <v>99</v>
      </c>
    </row>
    <row r="11674" spans="1:10" x14ac:dyDescent="0.3">
      <c r="A11674" t="s">
        <v>36</v>
      </c>
      <c r="B11674" t="s">
        <v>365</v>
      </c>
      <c r="C11674">
        <v>5</v>
      </c>
      <c r="D11674" t="s">
        <v>99</v>
      </c>
      <c r="E11674" t="s">
        <v>1476</v>
      </c>
      <c r="F11674" t="s">
        <v>475</v>
      </c>
      <c r="G11674" t="s">
        <v>1748</v>
      </c>
      <c r="H11674" t="s">
        <v>99</v>
      </c>
      <c r="I11674" t="s">
        <v>738</v>
      </c>
      <c r="J11674" t="s">
        <v>99</v>
      </c>
    </row>
    <row r="11675" spans="1:10" x14ac:dyDescent="0.3">
      <c r="A11675" t="s">
        <v>34</v>
      </c>
      <c r="B11675" t="s">
        <v>1757</v>
      </c>
      <c r="C11675">
        <v>1333</v>
      </c>
      <c r="D11675" t="s">
        <v>131</v>
      </c>
      <c r="E11675" t="s">
        <v>597</v>
      </c>
      <c r="F11675" t="s">
        <v>1650</v>
      </c>
      <c r="G11675" t="s">
        <v>534</v>
      </c>
      <c r="H11675" t="s">
        <v>99</v>
      </c>
      <c r="I11675" t="s">
        <v>120</v>
      </c>
      <c r="J11675" t="s">
        <v>198</v>
      </c>
    </row>
    <row r="11676" spans="1:10" x14ac:dyDescent="0.3">
      <c r="A11676" t="s">
        <v>34</v>
      </c>
      <c r="B11676" t="s">
        <v>1758</v>
      </c>
      <c r="C11676">
        <v>742</v>
      </c>
      <c r="D11676" t="s">
        <v>129</v>
      </c>
      <c r="E11676" t="s">
        <v>817</v>
      </c>
      <c r="F11676" t="s">
        <v>1453</v>
      </c>
      <c r="G11676" t="s">
        <v>711</v>
      </c>
      <c r="H11676" t="s">
        <v>198</v>
      </c>
      <c r="I11676" t="s">
        <v>100</v>
      </c>
      <c r="J11676" t="s">
        <v>141</v>
      </c>
    </row>
    <row r="11677" spans="1:10" x14ac:dyDescent="0.3">
      <c r="A11677" t="s">
        <v>34</v>
      </c>
      <c r="B11677" t="s">
        <v>365</v>
      </c>
      <c r="C11677">
        <v>3</v>
      </c>
      <c r="D11677" t="s">
        <v>705</v>
      </c>
      <c r="E11677" t="s">
        <v>1053</v>
      </c>
      <c r="F11677" t="s">
        <v>1053</v>
      </c>
      <c r="G11677" t="s">
        <v>1053</v>
      </c>
      <c r="H11677" t="s">
        <v>99</v>
      </c>
      <c r="I11677" t="s">
        <v>99</v>
      </c>
      <c r="J11677" t="s">
        <v>495</v>
      </c>
    </row>
    <row r="11678" spans="1:10" x14ac:dyDescent="0.3">
      <c r="A11678" t="s">
        <v>33</v>
      </c>
      <c r="B11678" t="s">
        <v>1757</v>
      </c>
      <c r="C11678">
        <v>1842</v>
      </c>
      <c r="D11678" t="s">
        <v>489</v>
      </c>
      <c r="E11678" t="s">
        <v>451</v>
      </c>
      <c r="F11678" t="s">
        <v>2132</v>
      </c>
      <c r="G11678" t="s">
        <v>686</v>
      </c>
      <c r="H11678" t="s">
        <v>99</v>
      </c>
      <c r="I11678" t="s">
        <v>253</v>
      </c>
      <c r="J11678" t="s">
        <v>104</v>
      </c>
    </row>
    <row r="11679" spans="1:10" x14ac:dyDescent="0.3">
      <c r="A11679" t="s">
        <v>33</v>
      </c>
      <c r="B11679" t="s">
        <v>1758</v>
      </c>
      <c r="C11679">
        <v>92</v>
      </c>
      <c r="D11679" t="s">
        <v>158</v>
      </c>
      <c r="E11679" t="s">
        <v>1325</v>
      </c>
      <c r="F11679" t="s">
        <v>991</v>
      </c>
      <c r="G11679" t="s">
        <v>228</v>
      </c>
      <c r="H11679" t="s">
        <v>99</v>
      </c>
      <c r="I11679" t="s">
        <v>99</v>
      </c>
      <c r="J11679" t="s">
        <v>99</v>
      </c>
    </row>
    <row r="11680" spans="1:10" x14ac:dyDescent="0.3">
      <c r="A11680" t="s">
        <v>33</v>
      </c>
      <c r="B11680" t="s">
        <v>365</v>
      </c>
      <c r="C11680">
        <v>3</v>
      </c>
      <c r="D11680" t="s">
        <v>99</v>
      </c>
      <c r="E11680" t="s">
        <v>349</v>
      </c>
      <c r="F11680" t="s">
        <v>99</v>
      </c>
      <c r="G11680" t="s">
        <v>99</v>
      </c>
      <c r="H11680" t="s">
        <v>99</v>
      </c>
      <c r="I11680" t="s">
        <v>349</v>
      </c>
      <c r="J11680" t="s">
        <v>817</v>
      </c>
    </row>
    <row r="11681" spans="1:10" x14ac:dyDescent="0.3">
      <c r="A11681" t="s">
        <v>49</v>
      </c>
      <c r="B11681" t="s">
        <v>1757</v>
      </c>
      <c r="C11681">
        <v>10989</v>
      </c>
      <c r="D11681" t="s">
        <v>681</v>
      </c>
      <c r="E11681" t="s">
        <v>713</v>
      </c>
      <c r="F11681" t="s">
        <v>1151</v>
      </c>
      <c r="G11681" t="s">
        <v>717</v>
      </c>
      <c r="H11681" t="s">
        <v>104</v>
      </c>
      <c r="I11681" t="s">
        <v>126</v>
      </c>
      <c r="J11681" t="s">
        <v>198</v>
      </c>
    </row>
    <row r="11682" spans="1:10" x14ac:dyDescent="0.3">
      <c r="A11682" t="s">
        <v>49</v>
      </c>
      <c r="B11682" t="s">
        <v>1758</v>
      </c>
      <c r="C11682">
        <v>2308</v>
      </c>
      <c r="D11682" t="s">
        <v>242</v>
      </c>
      <c r="E11682" t="s">
        <v>598</v>
      </c>
      <c r="F11682" t="s">
        <v>1023</v>
      </c>
      <c r="G11682" t="s">
        <v>924</v>
      </c>
      <c r="H11682" t="s">
        <v>104</v>
      </c>
      <c r="I11682" t="s">
        <v>100</v>
      </c>
      <c r="J11682" t="s">
        <v>207</v>
      </c>
    </row>
    <row r="11683" spans="1:10" x14ac:dyDescent="0.3">
      <c r="A11683" t="s">
        <v>49</v>
      </c>
      <c r="B11683" t="s">
        <v>365</v>
      </c>
      <c r="C11683">
        <v>19</v>
      </c>
      <c r="D11683" t="s">
        <v>442</v>
      </c>
      <c r="E11683" t="s">
        <v>1077</v>
      </c>
      <c r="F11683" t="s">
        <v>699</v>
      </c>
      <c r="G11683" t="s">
        <v>681</v>
      </c>
      <c r="H11683" t="s">
        <v>99</v>
      </c>
      <c r="I11683" t="s">
        <v>814</v>
      </c>
      <c r="J11683" t="s">
        <v>491</v>
      </c>
    </row>
    <row r="11685" spans="1:10" x14ac:dyDescent="0.3">
      <c r="A11685" t="s">
        <v>2695</v>
      </c>
    </row>
    <row r="11686" spans="1:10" x14ac:dyDescent="0.3">
      <c r="A11686" t="s">
        <v>44</v>
      </c>
      <c r="B11686" t="s">
        <v>1590</v>
      </c>
      <c r="C11686" t="s">
        <v>32</v>
      </c>
      <c r="D11686" t="s">
        <v>2686</v>
      </c>
      <c r="E11686" t="s">
        <v>2687</v>
      </c>
      <c r="F11686" t="s">
        <v>2688</v>
      </c>
      <c r="G11686" t="s">
        <v>2689</v>
      </c>
      <c r="H11686" t="s">
        <v>1275</v>
      </c>
      <c r="I11686" t="s">
        <v>83</v>
      </c>
      <c r="J11686" t="s">
        <v>193</v>
      </c>
    </row>
    <row r="11687" spans="1:10" x14ac:dyDescent="0.3">
      <c r="A11687" t="s">
        <v>35</v>
      </c>
      <c r="B11687" t="s">
        <v>1591</v>
      </c>
      <c r="C11687">
        <v>1458</v>
      </c>
      <c r="D11687" t="s">
        <v>109</v>
      </c>
      <c r="E11687" t="s">
        <v>800</v>
      </c>
      <c r="F11687" t="s">
        <v>441</v>
      </c>
      <c r="G11687" t="s">
        <v>532</v>
      </c>
      <c r="H11687" t="s">
        <v>104</v>
      </c>
      <c r="I11687" t="s">
        <v>114</v>
      </c>
      <c r="J11687" t="s">
        <v>198</v>
      </c>
    </row>
    <row r="11688" spans="1:10" x14ac:dyDescent="0.3">
      <c r="A11688" t="s">
        <v>35</v>
      </c>
      <c r="B11688" t="s">
        <v>1592</v>
      </c>
      <c r="C11688">
        <v>1647</v>
      </c>
      <c r="D11688" t="s">
        <v>801</v>
      </c>
      <c r="E11688" t="s">
        <v>834</v>
      </c>
      <c r="F11688" t="s">
        <v>957</v>
      </c>
      <c r="G11688" t="s">
        <v>534</v>
      </c>
      <c r="H11688" t="s">
        <v>136</v>
      </c>
      <c r="I11688" t="s">
        <v>126</v>
      </c>
      <c r="J11688" t="s">
        <v>104</v>
      </c>
    </row>
    <row r="11689" spans="1:10" x14ac:dyDescent="0.3">
      <c r="A11689" t="s">
        <v>35</v>
      </c>
      <c r="B11689" t="s">
        <v>365</v>
      </c>
      <c r="C11689">
        <v>39</v>
      </c>
      <c r="D11689" t="s">
        <v>311</v>
      </c>
      <c r="E11689" t="s">
        <v>923</v>
      </c>
      <c r="F11689" t="s">
        <v>1451</v>
      </c>
      <c r="G11689" t="s">
        <v>808</v>
      </c>
      <c r="H11689" t="s">
        <v>99</v>
      </c>
      <c r="I11689" t="s">
        <v>99</v>
      </c>
      <c r="J11689" t="s">
        <v>70</v>
      </c>
    </row>
    <row r="11690" spans="1:10" x14ac:dyDescent="0.3">
      <c r="A11690" t="s">
        <v>37</v>
      </c>
      <c r="B11690" t="s">
        <v>1591</v>
      </c>
      <c r="C11690">
        <v>1701</v>
      </c>
      <c r="D11690" t="s">
        <v>264</v>
      </c>
      <c r="E11690" t="s">
        <v>728</v>
      </c>
      <c r="F11690" t="s">
        <v>1064</v>
      </c>
      <c r="G11690" t="s">
        <v>1110</v>
      </c>
      <c r="H11690" t="s">
        <v>99</v>
      </c>
      <c r="I11690" t="s">
        <v>319</v>
      </c>
      <c r="J11690" t="s">
        <v>99</v>
      </c>
    </row>
    <row r="11691" spans="1:10" x14ac:dyDescent="0.3">
      <c r="A11691" t="s">
        <v>37</v>
      </c>
      <c r="B11691" t="s">
        <v>1592</v>
      </c>
      <c r="C11691">
        <v>2090</v>
      </c>
      <c r="D11691" t="s">
        <v>607</v>
      </c>
      <c r="E11691" t="s">
        <v>911</v>
      </c>
      <c r="F11691" t="s">
        <v>793</v>
      </c>
      <c r="G11691" t="s">
        <v>864</v>
      </c>
      <c r="H11691" t="s">
        <v>99</v>
      </c>
      <c r="I11691" t="s">
        <v>215</v>
      </c>
      <c r="J11691" t="s">
        <v>141</v>
      </c>
    </row>
    <row r="11692" spans="1:10" x14ac:dyDescent="0.3">
      <c r="A11692" t="s">
        <v>37</v>
      </c>
      <c r="B11692" t="s">
        <v>365</v>
      </c>
      <c r="C11692">
        <v>63</v>
      </c>
      <c r="D11692" t="s">
        <v>711</v>
      </c>
      <c r="E11692" t="s">
        <v>670</v>
      </c>
      <c r="F11692" t="s">
        <v>213</v>
      </c>
      <c r="G11692" t="s">
        <v>534</v>
      </c>
      <c r="H11692" t="s">
        <v>99</v>
      </c>
      <c r="I11692" t="s">
        <v>474</v>
      </c>
      <c r="J11692" t="s">
        <v>99</v>
      </c>
    </row>
    <row r="11693" spans="1:10" x14ac:dyDescent="0.3">
      <c r="A11693" t="s">
        <v>36</v>
      </c>
      <c r="B11693" t="s">
        <v>1591</v>
      </c>
      <c r="C11693">
        <v>1526</v>
      </c>
      <c r="D11693" t="s">
        <v>305</v>
      </c>
      <c r="E11693" t="s">
        <v>589</v>
      </c>
      <c r="F11693" t="s">
        <v>502</v>
      </c>
      <c r="G11693" t="s">
        <v>836</v>
      </c>
      <c r="H11693" t="s">
        <v>99</v>
      </c>
      <c r="I11693" t="s">
        <v>132</v>
      </c>
      <c r="J11693" t="s">
        <v>99</v>
      </c>
    </row>
    <row r="11694" spans="1:10" x14ac:dyDescent="0.3">
      <c r="A11694" t="s">
        <v>36</v>
      </c>
      <c r="B11694" t="s">
        <v>1592</v>
      </c>
      <c r="C11694">
        <v>754</v>
      </c>
      <c r="D11694" t="s">
        <v>56</v>
      </c>
      <c r="E11694" t="s">
        <v>916</v>
      </c>
      <c r="F11694" t="s">
        <v>918</v>
      </c>
      <c r="G11694" t="s">
        <v>76</v>
      </c>
      <c r="H11694" t="s">
        <v>99</v>
      </c>
      <c r="I11694" t="s">
        <v>117</v>
      </c>
      <c r="J11694" t="s">
        <v>207</v>
      </c>
    </row>
    <row r="11695" spans="1:10" x14ac:dyDescent="0.3">
      <c r="A11695" t="s">
        <v>36</v>
      </c>
      <c r="B11695" t="s">
        <v>365</v>
      </c>
      <c r="C11695">
        <v>23</v>
      </c>
      <c r="D11695" t="s">
        <v>287</v>
      </c>
      <c r="E11695" t="s">
        <v>913</v>
      </c>
      <c r="F11695" t="s">
        <v>308</v>
      </c>
      <c r="G11695" t="s">
        <v>920</v>
      </c>
      <c r="H11695" t="s">
        <v>99</v>
      </c>
      <c r="I11695" t="s">
        <v>99</v>
      </c>
      <c r="J11695" t="s">
        <v>99</v>
      </c>
    </row>
    <row r="11696" spans="1:10" x14ac:dyDescent="0.3">
      <c r="A11696" t="s">
        <v>34</v>
      </c>
      <c r="B11696" t="s">
        <v>1591</v>
      </c>
      <c r="C11696">
        <v>970</v>
      </c>
      <c r="D11696" t="s">
        <v>103</v>
      </c>
      <c r="E11696" t="s">
        <v>620</v>
      </c>
      <c r="F11696" t="s">
        <v>243</v>
      </c>
      <c r="G11696" t="s">
        <v>736</v>
      </c>
      <c r="H11696" t="s">
        <v>99</v>
      </c>
      <c r="I11696" t="s">
        <v>115</v>
      </c>
      <c r="J11696" t="s">
        <v>99</v>
      </c>
    </row>
    <row r="11697" spans="1:10" x14ac:dyDescent="0.3">
      <c r="A11697" t="s">
        <v>34</v>
      </c>
      <c r="B11697" t="s">
        <v>1592</v>
      </c>
      <c r="C11697">
        <v>1043</v>
      </c>
      <c r="D11697" t="s">
        <v>715</v>
      </c>
      <c r="E11697" t="s">
        <v>146</v>
      </c>
      <c r="F11697" t="s">
        <v>1704</v>
      </c>
      <c r="G11697" t="s">
        <v>197</v>
      </c>
      <c r="H11697" t="s">
        <v>198</v>
      </c>
      <c r="I11697" t="s">
        <v>157</v>
      </c>
      <c r="J11697" t="s">
        <v>136</v>
      </c>
    </row>
    <row r="11698" spans="1:10" x14ac:dyDescent="0.3">
      <c r="A11698" t="s">
        <v>34</v>
      </c>
      <c r="B11698" t="s">
        <v>365</v>
      </c>
      <c r="C11698">
        <v>65</v>
      </c>
      <c r="D11698" t="s">
        <v>468</v>
      </c>
      <c r="E11698" t="s">
        <v>622</v>
      </c>
      <c r="F11698" t="s">
        <v>910</v>
      </c>
      <c r="G11698" t="s">
        <v>749</v>
      </c>
      <c r="H11698" t="s">
        <v>99</v>
      </c>
      <c r="I11698" t="s">
        <v>109</v>
      </c>
      <c r="J11698" t="s">
        <v>664</v>
      </c>
    </row>
    <row r="11699" spans="1:10" x14ac:dyDescent="0.3">
      <c r="A11699" t="s">
        <v>33</v>
      </c>
      <c r="B11699" t="s">
        <v>1591</v>
      </c>
      <c r="C11699">
        <v>588</v>
      </c>
      <c r="D11699" t="s">
        <v>731</v>
      </c>
      <c r="E11699" t="s">
        <v>963</v>
      </c>
      <c r="F11699" t="s">
        <v>1079</v>
      </c>
      <c r="G11699" t="s">
        <v>837</v>
      </c>
      <c r="H11699" t="s">
        <v>99</v>
      </c>
      <c r="I11699" t="s">
        <v>141</v>
      </c>
      <c r="J11699" t="s">
        <v>136</v>
      </c>
    </row>
    <row r="11700" spans="1:10" x14ac:dyDescent="0.3">
      <c r="A11700" t="s">
        <v>33</v>
      </c>
      <c r="B11700" t="s">
        <v>1592</v>
      </c>
      <c r="C11700">
        <v>1333</v>
      </c>
      <c r="D11700" t="s">
        <v>619</v>
      </c>
      <c r="E11700" t="s">
        <v>933</v>
      </c>
      <c r="F11700" t="s">
        <v>831</v>
      </c>
      <c r="G11700" t="s">
        <v>718</v>
      </c>
      <c r="H11700" t="s">
        <v>99</v>
      </c>
      <c r="I11700" t="s">
        <v>115</v>
      </c>
      <c r="J11700" t="s">
        <v>104</v>
      </c>
    </row>
    <row r="11701" spans="1:10" x14ac:dyDescent="0.3">
      <c r="A11701" t="s">
        <v>33</v>
      </c>
      <c r="B11701" t="s">
        <v>365</v>
      </c>
      <c r="C11701">
        <v>16</v>
      </c>
      <c r="D11701" t="s">
        <v>611</v>
      </c>
      <c r="E11701" t="s">
        <v>610</v>
      </c>
      <c r="F11701" t="s">
        <v>58</v>
      </c>
      <c r="G11701" t="s">
        <v>298</v>
      </c>
      <c r="H11701" t="s">
        <v>99</v>
      </c>
      <c r="I11701" t="s">
        <v>99</v>
      </c>
      <c r="J11701" t="s">
        <v>99</v>
      </c>
    </row>
    <row r="11702" spans="1:10" x14ac:dyDescent="0.3">
      <c r="A11702" t="s">
        <v>49</v>
      </c>
      <c r="B11702" t="s">
        <v>1591</v>
      </c>
      <c r="C11702">
        <v>6243</v>
      </c>
      <c r="D11702" t="s">
        <v>41</v>
      </c>
      <c r="E11702" t="s">
        <v>1178</v>
      </c>
      <c r="F11702" t="s">
        <v>1362</v>
      </c>
      <c r="G11702" t="s">
        <v>703</v>
      </c>
      <c r="H11702" t="s">
        <v>99</v>
      </c>
      <c r="I11702" t="s">
        <v>114</v>
      </c>
      <c r="J11702" t="s">
        <v>104</v>
      </c>
    </row>
    <row r="11703" spans="1:10" x14ac:dyDescent="0.3">
      <c r="A11703" t="s">
        <v>49</v>
      </c>
      <c r="B11703" t="s">
        <v>1592</v>
      </c>
      <c r="C11703">
        <v>6867</v>
      </c>
      <c r="D11703" t="s">
        <v>1415</v>
      </c>
      <c r="E11703" t="s">
        <v>732</v>
      </c>
      <c r="F11703" t="s">
        <v>577</v>
      </c>
      <c r="G11703" t="s">
        <v>727</v>
      </c>
      <c r="H11703" t="s">
        <v>104</v>
      </c>
      <c r="I11703" t="s">
        <v>215</v>
      </c>
      <c r="J11703" t="s">
        <v>207</v>
      </c>
    </row>
    <row r="11704" spans="1:10" x14ac:dyDescent="0.3">
      <c r="A11704" t="s">
        <v>49</v>
      </c>
      <c r="B11704" t="s">
        <v>365</v>
      </c>
      <c r="C11704">
        <v>206</v>
      </c>
      <c r="D11704" t="s">
        <v>542</v>
      </c>
      <c r="E11704" t="s">
        <v>1179</v>
      </c>
      <c r="F11704" t="s">
        <v>554</v>
      </c>
      <c r="G11704" t="s">
        <v>446</v>
      </c>
      <c r="H11704" t="s">
        <v>99</v>
      </c>
      <c r="I11704" t="s">
        <v>134</v>
      </c>
      <c r="J11704" t="s">
        <v>712</v>
      </c>
    </row>
    <row r="11706" spans="1:10" x14ac:dyDescent="0.3">
      <c r="A11706" t="s">
        <v>2696</v>
      </c>
    </row>
    <row r="11707" spans="1:10" x14ac:dyDescent="0.3">
      <c r="A11707" t="s">
        <v>44</v>
      </c>
      <c r="B11707" t="s">
        <v>257</v>
      </c>
      <c r="C11707" t="s">
        <v>32</v>
      </c>
      <c r="D11707" t="s">
        <v>2686</v>
      </c>
      <c r="E11707" t="s">
        <v>2687</v>
      </c>
      <c r="F11707" t="s">
        <v>2688</v>
      </c>
      <c r="G11707" t="s">
        <v>2689</v>
      </c>
      <c r="H11707" t="s">
        <v>1275</v>
      </c>
      <c r="I11707" t="s">
        <v>83</v>
      </c>
      <c r="J11707" t="s">
        <v>193</v>
      </c>
    </row>
    <row r="11708" spans="1:10" x14ac:dyDescent="0.3">
      <c r="A11708" t="s">
        <v>35</v>
      </c>
      <c r="B11708" t="s">
        <v>258</v>
      </c>
      <c r="C11708">
        <v>2872</v>
      </c>
      <c r="D11708" t="s">
        <v>665</v>
      </c>
      <c r="E11708" t="s">
        <v>570</v>
      </c>
      <c r="F11708" t="s">
        <v>917</v>
      </c>
      <c r="G11708" t="s">
        <v>667</v>
      </c>
      <c r="H11708" t="s">
        <v>207</v>
      </c>
      <c r="I11708" t="s">
        <v>121</v>
      </c>
      <c r="J11708" t="s">
        <v>198</v>
      </c>
    </row>
    <row r="11709" spans="1:10" x14ac:dyDescent="0.3">
      <c r="A11709" t="s">
        <v>35</v>
      </c>
      <c r="B11709" t="s">
        <v>260</v>
      </c>
      <c r="C11709">
        <v>272</v>
      </c>
      <c r="D11709" t="s">
        <v>449</v>
      </c>
      <c r="E11709" t="s">
        <v>574</v>
      </c>
      <c r="F11709" t="s">
        <v>223</v>
      </c>
      <c r="G11709" t="s">
        <v>307</v>
      </c>
      <c r="H11709" t="s">
        <v>99</v>
      </c>
      <c r="I11709" t="s">
        <v>268</v>
      </c>
      <c r="J11709" t="s">
        <v>100</v>
      </c>
    </row>
    <row r="11710" spans="1:10" x14ac:dyDescent="0.3">
      <c r="A11710" t="s">
        <v>37</v>
      </c>
      <c r="B11710" t="s">
        <v>258</v>
      </c>
      <c r="C11710">
        <v>3854</v>
      </c>
      <c r="D11710" t="s">
        <v>574</v>
      </c>
      <c r="E11710" t="s">
        <v>828</v>
      </c>
      <c r="F11710" t="s">
        <v>900</v>
      </c>
      <c r="G11710" t="s">
        <v>341</v>
      </c>
      <c r="H11710" t="s">
        <v>99</v>
      </c>
      <c r="I11710" t="s">
        <v>382</v>
      </c>
      <c r="J11710" t="s">
        <v>207</v>
      </c>
    </row>
    <row r="11711" spans="1:10" x14ac:dyDescent="0.3">
      <c r="A11711" t="s">
        <v>36</v>
      </c>
      <c r="B11711" t="s">
        <v>258</v>
      </c>
      <c r="C11711">
        <v>2099</v>
      </c>
      <c r="D11711" t="s">
        <v>301</v>
      </c>
      <c r="E11711" t="s">
        <v>955</v>
      </c>
      <c r="F11711" t="s">
        <v>575</v>
      </c>
      <c r="G11711" t="s">
        <v>696</v>
      </c>
      <c r="H11711" t="s">
        <v>99</v>
      </c>
      <c r="I11711" t="s">
        <v>319</v>
      </c>
      <c r="J11711" t="s">
        <v>104</v>
      </c>
    </row>
    <row r="11712" spans="1:10" x14ac:dyDescent="0.3">
      <c r="A11712" t="s">
        <v>36</v>
      </c>
      <c r="B11712" t="s">
        <v>260</v>
      </c>
      <c r="C11712">
        <v>204</v>
      </c>
      <c r="D11712" t="s">
        <v>110</v>
      </c>
      <c r="E11712" t="s">
        <v>451</v>
      </c>
      <c r="F11712" t="s">
        <v>443</v>
      </c>
      <c r="G11712" t="s">
        <v>933</v>
      </c>
      <c r="H11712" t="s">
        <v>99</v>
      </c>
      <c r="I11712" t="s">
        <v>114</v>
      </c>
      <c r="J11712" t="s">
        <v>126</v>
      </c>
    </row>
    <row r="11713" spans="1:10" x14ac:dyDescent="0.3">
      <c r="A11713" t="s">
        <v>34</v>
      </c>
      <c r="B11713" t="s">
        <v>258</v>
      </c>
      <c r="C11713">
        <v>1221</v>
      </c>
      <c r="D11713" t="s">
        <v>1105</v>
      </c>
      <c r="E11713" t="s">
        <v>602</v>
      </c>
      <c r="F11713" t="s">
        <v>1104</v>
      </c>
      <c r="G11713" t="s">
        <v>1059</v>
      </c>
      <c r="H11713" t="s">
        <v>99</v>
      </c>
      <c r="I11713" t="s">
        <v>132</v>
      </c>
      <c r="J11713" t="s">
        <v>99</v>
      </c>
    </row>
    <row r="11714" spans="1:10" x14ac:dyDescent="0.3">
      <c r="A11714" t="s">
        <v>34</v>
      </c>
      <c r="B11714" t="s">
        <v>260</v>
      </c>
      <c r="C11714">
        <v>857</v>
      </c>
      <c r="D11714" t="s">
        <v>328</v>
      </c>
      <c r="E11714" t="s">
        <v>146</v>
      </c>
      <c r="F11714" t="s">
        <v>767</v>
      </c>
      <c r="G11714" t="s">
        <v>54</v>
      </c>
      <c r="H11714" t="s">
        <v>104</v>
      </c>
      <c r="I11714" t="s">
        <v>147</v>
      </c>
      <c r="J11714" t="s">
        <v>253</v>
      </c>
    </row>
    <row r="11715" spans="1:10" x14ac:dyDescent="0.3">
      <c r="A11715" t="s">
        <v>33</v>
      </c>
      <c r="B11715" t="s">
        <v>258</v>
      </c>
      <c r="C11715">
        <v>1937</v>
      </c>
      <c r="D11715" t="s">
        <v>695</v>
      </c>
      <c r="E11715" t="s">
        <v>42</v>
      </c>
      <c r="F11715" t="s">
        <v>1704</v>
      </c>
      <c r="G11715" t="s">
        <v>833</v>
      </c>
      <c r="H11715" t="s">
        <v>99</v>
      </c>
      <c r="I11715" t="s">
        <v>253</v>
      </c>
      <c r="J11715" t="s">
        <v>198</v>
      </c>
    </row>
    <row r="11716" spans="1:10" x14ac:dyDescent="0.3">
      <c r="A11716" t="s">
        <v>49</v>
      </c>
      <c r="B11716" t="s">
        <v>258</v>
      </c>
      <c r="C11716">
        <v>11983</v>
      </c>
      <c r="D11716" t="s">
        <v>668</v>
      </c>
      <c r="E11716" t="s">
        <v>794</v>
      </c>
      <c r="F11716" t="s">
        <v>896</v>
      </c>
      <c r="G11716" t="s">
        <v>42</v>
      </c>
      <c r="H11716" t="s">
        <v>104</v>
      </c>
      <c r="I11716" t="s">
        <v>121</v>
      </c>
      <c r="J11716" t="s">
        <v>198</v>
      </c>
    </row>
    <row r="11717" spans="1:10" x14ac:dyDescent="0.3">
      <c r="A11717" t="s">
        <v>49</v>
      </c>
      <c r="B11717" t="s">
        <v>260</v>
      </c>
      <c r="C11717">
        <v>1333</v>
      </c>
      <c r="D11717" t="s">
        <v>152</v>
      </c>
      <c r="E11717" t="s">
        <v>816</v>
      </c>
      <c r="F11717" t="s">
        <v>985</v>
      </c>
      <c r="G11717" t="s">
        <v>1045</v>
      </c>
      <c r="H11717" t="s">
        <v>104</v>
      </c>
      <c r="I11717" t="s">
        <v>128</v>
      </c>
      <c r="J11717" t="s">
        <v>115</v>
      </c>
    </row>
    <row r="11719" spans="1:10" x14ac:dyDescent="0.3">
      <c r="A11719" t="s">
        <v>2697</v>
      </c>
    </row>
    <row r="11720" spans="1:10" x14ac:dyDescent="0.3">
      <c r="A11720" t="s">
        <v>44</v>
      </c>
      <c r="B11720" t="s">
        <v>32</v>
      </c>
      <c r="C11720" t="s">
        <v>352</v>
      </c>
      <c r="D11720" t="s">
        <v>66</v>
      </c>
      <c r="E11720" t="s">
        <v>193</v>
      </c>
      <c r="F11720" t="s">
        <v>67</v>
      </c>
    </row>
    <row r="11721" spans="1:10" x14ac:dyDescent="0.3">
      <c r="A11721" t="s">
        <v>35</v>
      </c>
      <c r="B11721">
        <v>3145</v>
      </c>
      <c r="C11721" t="s">
        <v>99</v>
      </c>
      <c r="D11721" t="s">
        <v>288</v>
      </c>
      <c r="E11721" t="s">
        <v>99</v>
      </c>
      <c r="F11721" t="s">
        <v>368</v>
      </c>
    </row>
    <row r="11722" spans="1:10" x14ac:dyDescent="0.3">
      <c r="A11722" t="s">
        <v>37</v>
      </c>
      <c r="B11722">
        <v>3855</v>
      </c>
      <c r="C11722" t="s">
        <v>198</v>
      </c>
      <c r="D11722" t="s">
        <v>334</v>
      </c>
      <c r="E11722" t="s">
        <v>99</v>
      </c>
      <c r="F11722" t="s">
        <v>143</v>
      </c>
    </row>
    <row r="11723" spans="1:10" x14ac:dyDescent="0.3">
      <c r="A11723" t="s">
        <v>36</v>
      </c>
      <c r="B11723">
        <v>2305</v>
      </c>
      <c r="C11723" t="s">
        <v>207</v>
      </c>
      <c r="D11723" t="s">
        <v>1193</v>
      </c>
      <c r="E11723" t="s">
        <v>198</v>
      </c>
      <c r="F11723" t="s">
        <v>1206</v>
      </c>
    </row>
    <row r="11724" spans="1:10" x14ac:dyDescent="0.3">
      <c r="A11724" t="s">
        <v>34</v>
      </c>
      <c r="B11724">
        <v>2080</v>
      </c>
      <c r="C11724" t="s">
        <v>99</v>
      </c>
      <c r="D11724" t="s">
        <v>910</v>
      </c>
      <c r="E11724" t="s">
        <v>104</v>
      </c>
      <c r="F11724" t="s">
        <v>538</v>
      </c>
    </row>
    <row r="11725" spans="1:10" x14ac:dyDescent="0.3">
      <c r="A11725" t="s">
        <v>33</v>
      </c>
      <c r="B11725">
        <v>1937</v>
      </c>
      <c r="C11725" t="s">
        <v>104</v>
      </c>
      <c r="D11725" t="s">
        <v>1438</v>
      </c>
      <c r="E11725" t="s">
        <v>104</v>
      </c>
      <c r="F11725" t="s">
        <v>412</v>
      </c>
    </row>
    <row r="11726" spans="1:10" x14ac:dyDescent="0.3">
      <c r="A11726" t="s">
        <v>49</v>
      </c>
      <c r="B11726">
        <v>13322</v>
      </c>
      <c r="C11726" t="s">
        <v>104</v>
      </c>
      <c r="D11726" t="s">
        <v>870</v>
      </c>
      <c r="E11726" t="s">
        <v>104</v>
      </c>
      <c r="F11726" t="s">
        <v>177</v>
      </c>
    </row>
    <row r="11728" spans="1:10" x14ac:dyDescent="0.3">
      <c r="A11728" t="s">
        <v>2698</v>
      </c>
    </row>
    <row r="11729" spans="1:7" x14ac:dyDescent="0.3">
      <c r="A11729" t="s">
        <v>44</v>
      </c>
      <c r="B11729" t="s">
        <v>361</v>
      </c>
      <c r="C11729" t="s">
        <v>32</v>
      </c>
      <c r="D11729" t="s">
        <v>352</v>
      </c>
      <c r="E11729" t="s">
        <v>66</v>
      </c>
      <c r="F11729" t="s">
        <v>67</v>
      </c>
      <c r="G11729" t="s">
        <v>193</v>
      </c>
    </row>
    <row r="11730" spans="1:7" x14ac:dyDescent="0.3">
      <c r="A11730" t="s">
        <v>35</v>
      </c>
      <c r="B11730" t="s">
        <v>339</v>
      </c>
      <c r="C11730">
        <v>890</v>
      </c>
      <c r="D11730" t="s">
        <v>99</v>
      </c>
      <c r="E11730" t="s">
        <v>500</v>
      </c>
      <c r="F11730" t="s">
        <v>820</v>
      </c>
      <c r="G11730" t="s">
        <v>99</v>
      </c>
    </row>
    <row r="11731" spans="1:7" x14ac:dyDescent="0.3">
      <c r="A11731" t="s">
        <v>35</v>
      </c>
      <c r="B11731" t="s">
        <v>340</v>
      </c>
      <c r="C11731">
        <v>2215</v>
      </c>
      <c r="D11731" t="s">
        <v>99</v>
      </c>
      <c r="E11731" t="s">
        <v>889</v>
      </c>
      <c r="F11731" t="s">
        <v>379</v>
      </c>
      <c r="G11731" t="s">
        <v>99</v>
      </c>
    </row>
    <row r="11732" spans="1:7" x14ac:dyDescent="0.3">
      <c r="A11732" t="s">
        <v>35</v>
      </c>
      <c r="B11732" t="s">
        <v>365</v>
      </c>
      <c r="C11732">
        <v>40</v>
      </c>
      <c r="D11732" t="s">
        <v>99</v>
      </c>
      <c r="E11732" t="s">
        <v>414</v>
      </c>
      <c r="F11732" t="s">
        <v>254</v>
      </c>
      <c r="G11732" t="s">
        <v>99</v>
      </c>
    </row>
    <row r="11733" spans="1:7" x14ac:dyDescent="0.3">
      <c r="A11733" t="s">
        <v>37</v>
      </c>
      <c r="B11733" t="s">
        <v>339</v>
      </c>
      <c r="C11733">
        <v>1093</v>
      </c>
      <c r="D11733" t="s">
        <v>99</v>
      </c>
      <c r="E11733" t="s">
        <v>391</v>
      </c>
      <c r="F11733" t="s">
        <v>254</v>
      </c>
      <c r="G11733" t="s">
        <v>104</v>
      </c>
    </row>
    <row r="11734" spans="1:7" x14ac:dyDescent="0.3">
      <c r="A11734" t="s">
        <v>37</v>
      </c>
      <c r="B11734" t="s">
        <v>340</v>
      </c>
      <c r="C11734">
        <v>2721</v>
      </c>
      <c r="D11734" t="s">
        <v>198</v>
      </c>
      <c r="E11734" t="s">
        <v>162</v>
      </c>
      <c r="F11734" t="s">
        <v>204</v>
      </c>
      <c r="G11734" t="s">
        <v>99</v>
      </c>
    </row>
    <row r="11735" spans="1:7" x14ac:dyDescent="0.3">
      <c r="A11735" t="s">
        <v>37</v>
      </c>
      <c r="B11735" t="s">
        <v>365</v>
      </c>
      <c r="C11735">
        <v>41</v>
      </c>
      <c r="D11735" t="s">
        <v>99</v>
      </c>
      <c r="E11735" t="s">
        <v>164</v>
      </c>
      <c r="F11735" t="s">
        <v>163</v>
      </c>
      <c r="G11735" t="s">
        <v>99</v>
      </c>
    </row>
    <row r="11736" spans="1:7" x14ac:dyDescent="0.3">
      <c r="A11736" t="s">
        <v>36</v>
      </c>
      <c r="B11736" t="s">
        <v>339</v>
      </c>
      <c r="C11736">
        <v>770</v>
      </c>
      <c r="D11736" t="s">
        <v>132</v>
      </c>
      <c r="E11736" t="s">
        <v>625</v>
      </c>
      <c r="F11736" t="s">
        <v>496</v>
      </c>
      <c r="G11736" t="s">
        <v>198</v>
      </c>
    </row>
    <row r="11737" spans="1:7" x14ac:dyDescent="0.3">
      <c r="A11737" t="s">
        <v>36</v>
      </c>
      <c r="B11737" t="s">
        <v>340</v>
      </c>
      <c r="C11737">
        <v>1472</v>
      </c>
      <c r="D11737" t="s">
        <v>99</v>
      </c>
      <c r="E11737" t="s">
        <v>1187</v>
      </c>
      <c r="F11737" t="s">
        <v>148</v>
      </c>
      <c r="G11737" t="s">
        <v>104</v>
      </c>
    </row>
    <row r="11738" spans="1:7" x14ac:dyDescent="0.3">
      <c r="A11738" t="s">
        <v>36</v>
      </c>
      <c r="B11738" t="s">
        <v>365</v>
      </c>
      <c r="C11738">
        <v>63</v>
      </c>
      <c r="D11738" t="s">
        <v>99</v>
      </c>
      <c r="E11738" t="s">
        <v>1127</v>
      </c>
      <c r="F11738" t="s">
        <v>801</v>
      </c>
      <c r="G11738" t="s">
        <v>99</v>
      </c>
    </row>
    <row r="11739" spans="1:7" x14ac:dyDescent="0.3">
      <c r="A11739" t="s">
        <v>34</v>
      </c>
      <c r="B11739" t="s">
        <v>339</v>
      </c>
      <c r="C11739">
        <v>555</v>
      </c>
      <c r="D11739" t="s">
        <v>99</v>
      </c>
      <c r="E11739" t="s">
        <v>1179</v>
      </c>
      <c r="F11739" t="s">
        <v>639</v>
      </c>
      <c r="G11739" t="s">
        <v>198</v>
      </c>
    </row>
    <row r="11740" spans="1:7" x14ac:dyDescent="0.3">
      <c r="A11740" t="s">
        <v>34</v>
      </c>
      <c r="B11740" t="s">
        <v>340</v>
      </c>
      <c r="C11740">
        <v>1497</v>
      </c>
      <c r="D11740" t="s">
        <v>99</v>
      </c>
      <c r="E11740" t="s">
        <v>1127</v>
      </c>
      <c r="F11740" t="s">
        <v>801</v>
      </c>
      <c r="G11740" t="s">
        <v>99</v>
      </c>
    </row>
    <row r="11741" spans="1:7" x14ac:dyDescent="0.3">
      <c r="A11741" t="s">
        <v>34</v>
      </c>
      <c r="B11741" t="s">
        <v>365</v>
      </c>
      <c r="C11741">
        <v>28</v>
      </c>
      <c r="D11741" t="s">
        <v>99</v>
      </c>
      <c r="E11741" t="s">
        <v>863</v>
      </c>
      <c r="F11741" t="s">
        <v>862</v>
      </c>
      <c r="G11741" t="s">
        <v>99</v>
      </c>
    </row>
    <row r="11742" spans="1:7" x14ac:dyDescent="0.3">
      <c r="A11742" t="s">
        <v>33</v>
      </c>
      <c r="B11742" t="s">
        <v>339</v>
      </c>
      <c r="C11742">
        <v>503</v>
      </c>
      <c r="D11742" t="s">
        <v>198</v>
      </c>
      <c r="E11742" t="s">
        <v>324</v>
      </c>
      <c r="F11742" t="s">
        <v>184</v>
      </c>
      <c r="G11742" t="s">
        <v>99</v>
      </c>
    </row>
    <row r="11743" spans="1:7" x14ac:dyDescent="0.3">
      <c r="A11743" t="s">
        <v>33</v>
      </c>
      <c r="B11743" t="s">
        <v>340</v>
      </c>
      <c r="C11743">
        <v>1415</v>
      </c>
      <c r="D11743" t="s">
        <v>104</v>
      </c>
      <c r="E11743" t="s">
        <v>1017</v>
      </c>
      <c r="F11743" t="s">
        <v>434</v>
      </c>
      <c r="G11743" t="s">
        <v>104</v>
      </c>
    </row>
    <row r="11744" spans="1:7" x14ac:dyDescent="0.3">
      <c r="A11744" t="s">
        <v>33</v>
      </c>
      <c r="B11744" t="s">
        <v>365</v>
      </c>
      <c r="C11744">
        <v>19</v>
      </c>
      <c r="D11744" t="s">
        <v>99</v>
      </c>
      <c r="E11744" t="s">
        <v>358</v>
      </c>
      <c r="F11744" t="s">
        <v>328</v>
      </c>
      <c r="G11744" t="s">
        <v>99</v>
      </c>
    </row>
    <row r="11745" spans="1:7" x14ac:dyDescent="0.3">
      <c r="A11745" t="s">
        <v>49</v>
      </c>
      <c r="B11745" t="s">
        <v>339</v>
      </c>
      <c r="C11745">
        <v>3811</v>
      </c>
      <c r="D11745" t="s">
        <v>104</v>
      </c>
      <c r="E11745" t="s">
        <v>869</v>
      </c>
      <c r="F11745" t="s">
        <v>715</v>
      </c>
      <c r="G11745" t="s">
        <v>104</v>
      </c>
    </row>
    <row r="11746" spans="1:7" x14ac:dyDescent="0.3">
      <c r="A11746" t="s">
        <v>49</v>
      </c>
      <c r="B11746" t="s">
        <v>340</v>
      </c>
      <c r="C11746">
        <v>9320</v>
      </c>
      <c r="D11746" t="s">
        <v>104</v>
      </c>
      <c r="E11746" t="s">
        <v>263</v>
      </c>
      <c r="F11746" t="s">
        <v>175</v>
      </c>
      <c r="G11746" t="s">
        <v>99</v>
      </c>
    </row>
    <row r="11747" spans="1:7" x14ac:dyDescent="0.3">
      <c r="A11747" t="s">
        <v>49</v>
      </c>
      <c r="B11747" t="s">
        <v>365</v>
      </c>
      <c r="C11747">
        <v>191</v>
      </c>
      <c r="D11747" t="s">
        <v>99</v>
      </c>
      <c r="E11747" t="s">
        <v>371</v>
      </c>
      <c r="F11747" t="s">
        <v>298</v>
      </c>
      <c r="G11747" t="s">
        <v>99</v>
      </c>
    </row>
    <row r="11749" spans="1:7" x14ac:dyDescent="0.3">
      <c r="A11749" t="s">
        <v>2699</v>
      </c>
    </row>
    <row r="11750" spans="1:7" x14ac:dyDescent="0.3">
      <c r="A11750" t="s">
        <v>44</v>
      </c>
      <c r="B11750" t="s">
        <v>209</v>
      </c>
      <c r="C11750" t="s">
        <v>32</v>
      </c>
      <c r="D11750" t="s">
        <v>66</v>
      </c>
      <c r="E11750" t="s">
        <v>67</v>
      </c>
      <c r="F11750" t="s">
        <v>352</v>
      </c>
      <c r="G11750" t="s">
        <v>193</v>
      </c>
    </row>
    <row r="11751" spans="1:7" x14ac:dyDescent="0.3">
      <c r="A11751" t="s">
        <v>35</v>
      </c>
      <c r="B11751" t="s">
        <v>210</v>
      </c>
      <c r="C11751">
        <v>136</v>
      </c>
      <c r="D11751" t="s">
        <v>558</v>
      </c>
      <c r="E11751" t="s">
        <v>557</v>
      </c>
      <c r="F11751" t="s">
        <v>99</v>
      </c>
      <c r="G11751" t="s">
        <v>99</v>
      </c>
    </row>
    <row r="11752" spans="1:7" x14ac:dyDescent="0.3">
      <c r="A11752" t="s">
        <v>35</v>
      </c>
      <c r="B11752" t="s">
        <v>212</v>
      </c>
      <c r="C11752">
        <v>2442</v>
      </c>
      <c r="D11752" t="s">
        <v>409</v>
      </c>
      <c r="E11752" t="s">
        <v>315</v>
      </c>
      <c r="F11752" t="s">
        <v>99</v>
      </c>
      <c r="G11752" t="s">
        <v>99</v>
      </c>
    </row>
    <row r="11753" spans="1:7" x14ac:dyDescent="0.3">
      <c r="A11753" t="s">
        <v>35</v>
      </c>
      <c r="B11753" t="s">
        <v>216</v>
      </c>
      <c r="C11753">
        <v>567</v>
      </c>
      <c r="D11753" t="s">
        <v>312</v>
      </c>
      <c r="E11753" t="s">
        <v>294</v>
      </c>
      <c r="F11753" t="s">
        <v>99</v>
      </c>
      <c r="G11753" t="s">
        <v>99</v>
      </c>
    </row>
    <row r="11754" spans="1:7" x14ac:dyDescent="0.3">
      <c r="A11754" t="s">
        <v>37</v>
      </c>
      <c r="B11754" t="s">
        <v>210</v>
      </c>
      <c r="C11754">
        <v>138</v>
      </c>
      <c r="D11754" t="s">
        <v>826</v>
      </c>
      <c r="E11754" t="s">
        <v>1215</v>
      </c>
      <c r="F11754" t="s">
        <v>99</v>
      </c>
      <c r="G11754" t="s">
        <v>99</v>
      </c>
    </row>
    <row r="11755" spans="1:7" x14ac:dyDescent="0.3">
      <c r="A11755" t="s">
        <v>37</v>
      </c>
      <c r="B11755" t="s">
        <v>212</v>
      </c>
      <c r="C11755">
        <v>3606</v>
      </c>
      <c r="D11755" t="s">
        <v>237</v>
      </c>
      <c r="E11755" t="s">
        <v>110</v>
      </c>
      <c r="F11755" t="s">
        <v>198</v>
      </c>
      <c r="G11755" t="s">
        <v>99</v>
      </c>
    </row>
    <row r="11756" spans="1:7" x14ac:dyDescent="0.3">
      <c r="A11756" t="s">
        <v>37</v>
      </c>
      <c r="B11756" t="s">
        <v>216</v>
      </c>
      <c r="C11756">
        <v>111</v>
      </c>
      <c r="D11756" t="s">
        <v>378</v>
      </c>
      <c r="E11756" t="s">
        <v>125</v>
      </c>
      <c r="F11756" t="s">
        <v>99</v>
      </c>
      <c r="G11756" t="s">
        <v>99</v>
      </c>
    </row>
    <row r="11757" spans="1:7" x14ac:dyDescent="0.3">
      <c r="A11757" t="s">
        <v>36</v>
      </c>
      <c r="B11757" t="s">
        <v>210</v>
      </c>
      <c r="C11757">
        <v>165</v>
      </c>
      <c r="D11757" t="s">
        <v>240</v>
      </c>
      <c r="E11757" t="s">
        <v>1235</v>
      </c>
      <c r="F11757" t="s">
        <v>99</v>
      </c>
      <c r="G11757" t="s">
        <v>99</v>
      </c>
    </row>
    <row r="11758" spans="1:7" x14ac:dyDescent="0.3">
      <c r="A11758" t="s">
        <v>36</v>
      </c>
      <c r="B11758" t="s">
        <v>212</v>
      </c>
      <c r="C11758">
        <v>1875</v>
      </c>
      <c r="D11758" t="s">
        <v>608</v>
      </c>
      <c r="E11758" t="s">
        <v>137</v>
      </c>
      <c r="F11758" t="s">
        <v>207</v>
      </c>
      <c r="G11758" t="s">
        <v>198</v>
      </c>
    </row>
    <row r="11759" spans="1:7" x14ac:dyDescent="0.3">
      <c r="A11759" t="s">
        <v>36</v>
      </c>
      <c r="B11759" t="s">
        <v>216</v>
      </c>
      <c r="C11759">
        <v>265</v>
      </c>
      <c r="D11759" t="s">
        <v>589</v>
      </c>
      <c r="E11759" t="s">
        <v>613</v>
      </c>
      <c r="F11759" t="s">
        <v>99</v>
      </c>
      <c r="G11759" t="s">
        <v>99</v>
      </c>
    </row>
    <row r="11760" spans="1:7" x14ac:dyDescent="0.3">
      <c r="A11760" t="s">
        <v>34</v>
      </c>
      <c r="B11760" t="s">
        <v>210</v>
      </c>
      <c r="C11760">
        <v>256</v>
      </c>
      <c r="D11760" t="s">
        <v>344</v>
      </c>
      <c r="E11760" t="s">
        <v>345</v>
      </c>
      <c r="F11760" t="s">
        <v>99</v>
      </c>
      <c r="G11760" t="s">
        <v>99</v>
      </c>
    </row>
    <row r="11761" spans="1:7" x14ac:dyDescent="0.3">
      <c r="A11761" t="s">
        <v>34</v>
      </c>
      <c r="B11761" t="s">
        <v>212</v>
      </c>
      <c r="C11761">
        <v>1582</v>
      </c>
      <c r="D11761" t="s">
        <v>1146</v>
      </c>
      <c r="E11761" t="s">
        <v>707</v>
      </c>
      <c r="F11761" t="s">
        <v>99</v>
      </c>
      <c r="G11761" t="s">
        <v>99</v>
      </c>
    </row>
    <row r="11762" spans="1:7" x14ac:dyDescent="0.3">
      <c r="A11762" t="s">
        <v>34</v>
      </c>
      <c r="B11762" t="s">
        <v>216</v>
      </c>
      <c r="C11762">
        <v>242</v>
      </c>
      <c r="D11762" t="s">
        <v>604</v>
      </c>
      <c r="E11762" t="s">
        <v>282</v>
      </c>
      <c r="F11762" t="s">
        <v>99</v>
      </c>
      <c r="G11762" t="s">
        <v>141</v>
      </c>
    </row>
    <row r="11763" spans="1:7" x14ac:dyDescent="0.3">
      <c r="A11763" t="s">
        <v>33</v>
      </c>
      <c r="B11763" t="s">
        <v>210</v>
      </c>
      <c r="C11763">
        <v>68</v>
      </c>
      <c r="D11763" t="s">
        <v>611</v>
      </c>
      <c r="E11763" t="s">
        <v>610</v>
      </c>
      <c r="F11763" t="s">
        <v>99</v>
      </c>
      <c r="G11763" t="s">
        <v>99</v>
      </c>
    </row>
    <row r="11764" spans="1:7" x14ac:dyDescent="0.3">
      <c r="A11764" t="s">
        <v>33</v>
      </c>
      <c r="B11764" t="s">
        <v>212</v>
      </c>
      <c r="C11764">
        <v>1800</v>
      </c>
      <c r="D11764" t="s">
        <v>336</v>
      </c>
      <c r="E11764" t="s">
        <v>105</v>
      </c>
      <c r="F11764" t="s">
        <v>104</v>
      </c>
      <c r="G11764" t="s">
        <v>104</v>
      </c>
    </row>
    <row r="11765" spans="1:7" x14ac:dyDescent="0.3">
      <c r="A11765" t="s">
        <v>33</v>
      </c>
      <c r="B11765" t="s">
        <v>216</v>
      </c>
      <c r="C11765">
        <v>69</v>
      </c>
      <c r="D11765" t="s">
        <v>226</v>
      </c>
      <c r="E11765" t="s">
        <v>150</v>
      </c>
      <c r="F11765" t="s">
        <v>99</v>
      </c>
      <c r="G11765" t="s">
        <v>99</v>
      </c>
    </row>
    <row r="11766" spans="1:7" x14ac:dyDescent="0.3">
      <c r="A11766" t="s">
        <v>49</v>
      </c>
      <c r="B11766" t="s">
        <v>210</v>
      </c>
      <c r="C11766">
        <v>763</v>
      </c>
      <c r="D11766" t="s">
        <v>1043</v>
      </c>
      <c r="E11766" t="s">
        <v>646</v>
      </c>
      <c r="F11766" t="s">
        <v>99</v>
      </c>
      <c r="G11766" t="s">
        <v>99</v>
      </c>
    </row>
    <row r="11767" spans="1:7" x14ac:dyDescent="0.3">
      <c r="A11767" t="s">
        <v>49</v>
      </c>
      <c r="B11767" t="s">
        <v>212</v>
      </c>
      <c r="C11767">
        <v>11305</v>
      </c>
      <c r="D11767" t="s">
        <v>217</v>
      </c>
      <c r="E11767" t="s">
        <v>222</v>
      </c>
      <c r="F11767" t="s">
        <v>104</v>
      </c>
      <c r="G11767" t="s">
        <v>99</v>
      </c>
    </row>
    <row r="11768" spans="1:7" x14ac:dyDescent="0.3">
      <c r="A11768" t="s">
        <v>49</v>
      </c>
      <c r="B11768" t="s">
        <v>216</v>
      </c>
      <c r="C11768">
        <v>1254</v>
      </c>
      <c r="D11768" t="s">
        <v>1171</v>
      </c>
      <c r="E11768" t="s">
        <v>529</v>
      </c>
      <c r="F11768" t="s">
        <v>99</v>
      </c>
      <c r="G11768" t="s">
        <v>104</v>
      </c>
    </row>
    <row r="11770" spans="1:7" x14ac:dyDescent="0.3">
      <c r="A11770" t="s">
        <v>2700</v>
      </c>
    </row>
    <row r="11771" spans="1:7" x14ac:dyDescent="0.3">
      <c r="A11771" t="s">
        <v>44</v>
      </c>
      <c r="B11771" t="s">
        <v>388</v>
      </c>
      <c r="C11771" t="s">
        <v>32</v>
      </c>
      <c r="D11771" t="s">
        <v>352</v>
      </c>
      <c r="E11771" t="s">
        <v>66</v>
      </c>
      <c r="F11771" t="s">
        <v>67</v>
      </c>
      <c r="G11771" t="s">
        <v>193</v>
      </c>
    </row>
    <row r="11772" spans="1:7" x14ac:dyDescent="0.3">
      <c r="A11772" t="s">
        <v>35</v>
      </c>
      <c r="B11772" t="s">
        <v>389</v>
      </c>
      <c r="C11772">
        <v>2141</v>
      </c>
      <c r="D11772" t="s">
        <v>99</v>
      </c>
      <c r="E11772" t="s">
        <v>1135</v>
      </c>
      <c r="F11772" t="s">
        <v>318</v>
      </c>
      <c r="G11772" t="s">
        <v>104</v>
      </c>
    </row>
    <row r="11773" spans="1:7" x14ac:dyDescent="0.3">
      <c r="A11773" t="s">
        <v>35</v>
      </c>
      <c r="B11773" t="s">
        <v>390</v>
      </c>
      <c r="C11773">
        <v>875</v>
      </c>
      <c r="D11773" t="s">
        <v>99</v>
      </c>
      <c r="E11773" t="s">
        <v>183</v>
      </c>
      <c r="F11773" t="s">
        <v>182</v>
      </c>
      <c r="G11773" t="s">
        <v>99</v>
      </c>
    </row>
    <row r="11774" spans="1:7" x14ac:dyDescent="0.3">
      <c r="A11774" t="s">
        <v>35</v>
      </c>
      <c r="B11774" t="s">
        <v>365</v>
      </c>
      <c r="C11774">
        <v>129</v>
      </c>
      <c r="D11774" t="s">
        <v>99</v>
      </c>
      <c r="E11774" t="s">
        <v>396</v>
      </c>
      <c r="F11774" t="s">
        <v>395</v>
      </c>
      <c r="G11774" t="s">
        <v>99</v>
      </c>
    </row>
    <row r="11775" spans="1:7" x14ac:dyDescent="0.3">
      <c r="A11775" t="s">
        <v>37</v>
      </c>
      <c r="B11775" t="s">
        <v>389</v>
      </c>
      <c r="C11775">
        <v>2305</v>
      </c>
      <c r="D11775" t="s">
        <v>198</v>
      </c>
      <c r="E11775" t="s">
        <v>162</v>
      </c>
      <c r="F11775" t="s">
        <v>325</v>
      </c>
      <c r="G11775" t="s">
        <v>99</v>
      </c>
    </row>
    <row r="11776" spans="1:7" x14ac:dyDescent="0.3">
      <c r="A11776" t="s">
        <v>37</v>
      </c>
      <c r="B11776" t="s">
        <v>390</v>
      </c>
      <c r="C11776">
        <v>1309</v>
      </c>
      <c r="D11776" t="s">
        <v>104</v>
      </c>
      <c r="E11776" t="s">
        <v>771</v>
      </c>
      <c r="F11776" t="s">
        <v>675</v>
      </c>
      <c r="G11776" t="s">
        <v>99</v>
      </c>
    </row>
    <row r="11777" spans="1:7" x14ac:dyDescent="0.3">
      <c r="A11777" t="s">
        <v>37</v>
      </c>
      <c r="B11777" t="s">
        <v>365</v>
      </c>
      <c r="C11777">
        <v>241</v>
      </c>
      <c r="D11777" t="s">
        <v>99</v>
      </c>
      <c r="E11777" t="s">
        <v>162</v>
      </c>
      <c r="F11777" t="s">
        <v>143</v>
      </c>
      <c r="G11777" t="s">
        <v>99</v>
      </c>
    </row>
    <row r="11778" spans="1:7" x14ac:dyDescent="0.3">
      <c r="A11778" t="s">
        <v>36</v>
      </c>
      <c r="B11778" t="s">
        <v>389</v>
      </c>
      <c r="C11778">
        <v>1578</v>
      </c>
      <c r="D11778" t="s">
        <v>136</v>
      </c>
      <c r="E11778" t="s">
        <v>1169</v>
      </c>
      <c r="F11778" t="s">
        <v>1156</v>
      </c>
      <c r="G11778" t="s">
        <v>99</v>
      </c>
    </row>
    <row r="11779" spans="1:7" x14ac:dyDescent="0.3">
      <c r="A11779" t="s">
        <v>36</v>
      </c>
      <c r="B11779" t="s">
        <v>390</v>
      </c>
      <c r="C11779">
        <v>627</v>
      </c>
      <c r="D11779" t="s">
        <v>99</v>
      </c>
      <c r="E11779" t="s">
        <v>541</v>
      </c>
      <c r="F11779" t="s">
        <v>488</v>
      </c>
      <c r="G11779" t="s">
        <v>253</v>
      </c>
    </row>
    <row r="11780" spans="1:7" x14ac:dyDescent="0.3">
      <c r="A11780" t="s">
        <v>36</v>
      </c>
      <c r="B11780" t="s">
        <v>365</v>
      </c>
      <c r="C11780">
        <v>100</v>
      </c>
      <c r="D11780" t="s">
        <v>99</v>
      </c>
      <c r="E11780" t="s">
        <v>1155</v>
      </c>
      <c r="F11780" t="s">
        <v>719</v>
      </c>
      <c r="G11780" t="s">
        <v>99</v>
      </c>
    </row>
    <row r="11781" spans="1:7" x14ac:dyDescent="0.3">
      <c r="A11781" t="s">
        <v>34</v>
      </c>
      <c r="B11781" t="s">
        <v>389</v>
      </c>
      <c r="C11781">
        <v>1385</v>
      </c>
      <c r="D11781" t="s">
        <v>99</v>
      </c>
      <c r="E11781" t="s">
        <v>1340</v>
      </c>
      <c r="F11781" t="s">
        <v>946</v>
      </c>
      <c r="G11781" t="s">
        <v>99</v>
      </c>
    </row>
    <row r="11782" spans="1:7" x14ac:dyDescent="0.3">
      <c r="A11782" t="s">
        <v>34</v>
      </c>
      <c r="B11782" t="s">
        <v>390</v>
      </c>
      <c r="C11782">
        <v>615</v>
      </c>
      <c r="D11782" t="s">
        <v>99</v>
      </c>
      <c r="E11782" t="s">
        <v>1223</v>
      </c>
      <c r="F11782" t="s">
        <v>645</v>
      </c>
      <c r="G11782" t="s">
        <v>198</v>
      </c>
    </row>
    <row r="11783" spans="1:7" x14ac:dyDescent="0.3">
      <c r="A11783" t="s">
        <v>34</v>
      </c>
      <c r="B11783" t="s">
        <v>365</v>
      </c>
      <c r="C11783">
        <v>80</v>
      </c>
      <c r="D11783" t="s">
        <v>99</v>
      </c>
      <c r="E11783" t="s">
        <v>1100</v>
      </c>
      <c r="F11783" t="s">
        <v>956</v>
      </c>
      <c r="G11783" t="s">
        <v>99</v>
      </c>
    </row>
    <row r="11784" spans="1:7" x14ac:dyDescent="0.3">
      <c r="A11784" t="s">
        <v>33</v>
      </c>
      <c r="B11784" t="s">
        <v>389</v>
      </c>
      <c r="C11784">
        <v>1090</v>
      </c>
      <c r="D11784" t="s">
        <v>104</v>
      </c>
      <c r="E11784" t="s">
        <v>415</v>
      </c>
      <c r="F11784" t="s">
        <v>204</v>
      </c>
      <c r="G11784" t="s">
        <v>99</v>
      </c>
    </row>
    <row r="11785" spans="1:7" x14ac:dyDescent="0.3">
      <c r="A11785" t="s">
        <v>33</v>
      </c>
      <c r="B11785" t="s">
        <v>390</v>
      </c>
      <c r="C11785">
        <v>708</v>
      </c>
      <c r="D11785" t="s">
        <v>104</v>
      </c>
      <c r="E11785" t="s">
        <v>1017</v>
      </c>
      <c r="F11785" t="s">
        <v>129</v>
      </c>
      <c r="G11785" t="s">
        <v>198</v>
      </c>
    </row>
    <row r="11786" spans="1:7" x14ac:dyDescent="0.3">
      <c r="A11786" t="s">
        <v>33</v>
      </c>
      <c r="B11786" t="s">
        <v>365</v>
      </c>
      <c r="C11786">
        <v>139</v>
      </c>
      <c r="D11786" t="s">
        <v>99</v>
      </c>
      <c r="E11786" t="s">
        <v>782</v>
      </c>
      <c r="F11786" t="s">
        <v>129</v>
      </c>
      <c r="G11786" t="s">
        <v>99</v>
      </c>
    </row>
    <row r="11787" spans="1:7" x14ac:dyDescent="0.3">
      <c r="A11787" t="s">
        <v>49</v>
      </c>
      <c r="B11787" t="s">
        <v>389</v>
      </c>
      <c r="C11787">
        <v>8499</v>
      </c>
      <c r="D11787" t="s">
        <v>104</v>
      </c>
      <c r="E11787" t="s">
        <v>411</v>
      </c>
      <c r="F11787" t="s">
        <v>410</v>
      </c>
      <c r="G11787" t="s">
        <v>99</v>
      </c>
    </row>
    <row r="11788" spans="1:7" x14ac:dyDescent="0.3">
      <c r="A11788" t="s">
        <v>49</v>
      </c>
      <c r="B11788" t="s">
        <v>390</v>
      </c>
      <c r="C11788">
        <v>4134</v>
      </c>
      <c r="D11788" t="s">
        <v>104</v>
      </c>
      <c r="E11788" t="s">
        <v>176</v>
      </c>
      <c r="F11788" t="s">
        <v>672</v>
      </c>
      <c r="G11788" t="s">
        <v>104</v>
      </c>
    </row>
    <row r="11789" spans="1:7" x14ac:dyDescent="0.3">
      <c r="A11789" t="s">
        <v>49</v>
      </c>
      <c r="B11789" t="s">
        <v>365</v>
      </c>
      <c r="C11789">
        <v>689</v>
      </c>
      <c r="D11789" t="s">
        <v>99</v>
      </c>
      <c r="E11789" t="s">
        <v>460</v>
      </c>
      <c r="F11789" t="s">
        <v>38</v>
      </c>
      <c r="G11789" t="s">
        <v>99</v>
      </c>
    </row>
    <row r="11791" spans="1:7" x14ac:dyDescent="0.3">
      <c r="A11791" t="s">
        <v>2701</v>
      </c>
    </row>
    <row r="11792" spans="1:7" x14ac:dyDescent="0.3">
      <c r="A11792" t="s">
        <v>44</v>
      </c>
      <c r="B11792" t="s">
        <v>235</v>
      </c>
      <c r="C11792" t="s">
        <v>32</v>
      </c>
      <c r="D11792" t="s">
        <v>352</v>
      </c>
      <c r="E11792" t="s">
        <v>66</v>
      </c>
      <c r="F11792" t="s">
        <v>193</v>
      </c>
      <c r="G11792" t="s">
        <v>67</v>
      </c>
    </row>
    <row r="11793" spans="1:7" x14ac:dyDescent="0.3">
      <c r="A11793" t="s">
        <v>35</v>
      </c>
      <c r="B11793" t="s">
        <v>236</v>
      </c>
      <c r="C11793">
        <v>1610</v>
      </c>
      <c r="D11793" t="s">
        <v>99</v>
      </c>
      <c r="E11793" t="s">
        <v>961</v>
      </c>
      <c r="F11793" t="s">
        <v>99</v>
      </c>
      <c r="G11793" t="s">
        <v>142</v>
      </c>
    </row>
    <row r="11794" spans="1:7" x14ac:dyDescent="0.3">
      <c r="A11794" t="s">
        <v>35</v>
      </c>
      <c r="B11794" t="s">
        <v>238</v>
      </c>
      <c r="C11794">
        <v>1535</v>
      </c>
      <c r="D11794" t="s">
        <v>99</v>
      </c>
      <c r="E11794" t="s">
        <v>450</v>
      </c>
      <c r="F11794" t="s">
        <v>99</v>
      </c>
      <c r="G11794" t="s">
        <v>255</v>
      </c>
    </row>
    <row r="11795" spans="1:7" x14ac:dyDescent="0.3">
      <c r="A11795" t="s">
        <v>37</v>
      </c>
      <c r="B11795" t="s">
        <v>236</v>
      </c>
      <c r="C11795">
        <v>2211</v>
      </c>
      <c r="D11795" t="s">
        <v>104</v>
      </c>
      <c r="E11795" t="s">
        <v>367</v>
      </c>
      <c r="F11795" t="s">
        <v>99</v>
      </c>
      <c r="G11795" t="s">
        <v>112</v>
      </c>
    </row>
    <row r="11796" spans="1:7" x14ac:dyDescent="0.3">
      <c r="A11796" t="s">
        <v>37</v>
      </c>
      <c r="B11796" t="s">
        <v>238</v>
      </c>
      <c r="C11796">
        <v>1644</v>
      </c>
      <c r="D11796" t="s">
        <v>207</v>
      </c>
      <c r="E11796" t="s">
        <v>203</v>
      </c>
      <c r="F11796" t="s">
        <v>99</v>
      </c>
      <c r="G11796" t="s">
        <v>363</v>
      </c>
    </row>
    <row r="11797" spans="1:7" x14ac:dyDescent="0.3">
      <c r="A11797" t="s">
        <v>36</v>
      </c>
      <c r="B11797" t="s">
        <v>236</v>
      </c>
      <c r="C11797">
        <v>1566</v>
      </c>
      <c r="D11797" t="s">
        <v>253</v>
      </c>
      <c r="E11797" t="s">
        <v>1329</v>
      </c>
      <c r="F11797" t="s">
        <v>198</v>
      </c>
      <c r="G11797" t="s">
        <v>713</v>
      </c>
    </row>
    <row r="11798" spans="1:7" x14ac:dyDescent="0.3">
      <c r="A11798" t="s">
        <v>36</v>
      </c>
      <c r="B11798" t="s">
        <v>238</v>
      </c>
      <c r="C11798">
        <v>739</v>
      </c>
      <c r="D11798" t="s">
        <v>99</v>
      </c>
      <c r="E11798" t="s">
        <v>345</v>
      </c>
      <c r="F11798" t="s">
        <v>104</v>
      </c>
      <c r="G11798" t="s">
        <v>745</v>
      </c>
    </row>
    <row r="11799" spans="1:7" x14ac:dyDescent="0.3">
      <c r="A11799" t="s">
        <v>34</v>
      </c>
      <c r="B11799" t="s">
        <v>236</v>
      </c>
      <c r="C11799">
        <v>717</v>
      </c>
      <c r="D11799" t="s">
        <v>99</v>
      </c>
      <c r="E11799" t="s">
        <v>937</v>
      </c>
      <c r="F11799" t="s">
        <v>99</v>
      </c>
      <c r="G11799" t="s">
        <v>1097</v>
      </c>
    </row>
    <row r="11800" spans="1:7" x14ac:dyDescent="0.3">
      <c r="A11800" t="s">
        <v>34</v>
      </c>
      <c r="B11800" t="s">
        <v>238</v>
      </c>
      <c r="C11800">
        <v>1363</v>
      </c>
      <c r="D11800" t="s">
        <v>99</v>
      </c>
      <c r="E11800" t="s">
        <v>1472</v>
      </c>
      <c r="F11800" t="s">
        <v>104</v>
      </c>
      <c r="G11800" t="s">
        <v>578</v>
      </c>
    </row>
    <row r="11801" spans="1:7" x14ac:dyDescent="0.3">
      <c r="A11801" t="s">
        <v>33</v>
      </c>
      <c r="B11801" t="s">
        <v>236</v>
      </c>
      <c r="C11801">
        <v>1116</v>
      </c>
      <c r="D11801" t="s">
        <v>198</v>
      </c>
      <c r="E11801" t="s">
        <v>331</v>
      </c>
      <c r="F11801" t="s">
        <v>104</v>
      </c>
      <c r="G11801" t="s">
        <v>434</v>
      </c>
    </row>
    <row r="11802" spans="1:7" x14ac:dyDescent="0.3">
      <c r="A11802" t="s">
        <v>33</v>
      </c>
      <c r="B11802" t="s">
        <v>238</v>
      </c>
      <c r="C11802">
        <v>821</v>
      </c>
      <c r="D11802" t="s">
        <v>99</v>
      </c>
      <c r="E11802" t="s">
        <v>415</v>
      </c>
      <c r="F11802" t="s">
        <v>99</v>
      </c>
      <c r="G11802" t="s">
        <v>204</v>
      </c>
    </row>
    <row r="11803" spans="1:7" x14ac:dyDescent="0.3">
      <c r="A11803" t="s">
        <v>49</v>
      </c>
      <c r="B11803" t="s">
        <v>236</v>
      </c>
      <c r="C11803">
        <v>7220</v>
      </c>
      <c r="D11803" t="s">
        <v>104</v>
      </c>
      <c r="E11803" t="s">
        <v>885</v>
      </c>
      <c r="F11803" t="s">
        <v>104</v>
      </c>
      <c r="G11803" t="s">
        <v>465</v>
      </c>
    </row>
    <row r="11804" spans="1:7" x14ac:dyDescent="0.3">
      <c r="A11804" t="s">
        <v>49</v>
      </c>
      <c r="B11804" t="s">
        <v>238</v>
      </c>
      <c r="C11804">
        <v>6102</v>
      </c>
      <c r="D11804" t="s">
        <v>104</v>
      </c>
      <c r="E11804" t="s">
        <v>371</v>
      </c>
      <c r="F11804" t="s">
        <v>99</v>
      </c>
      <c r="G11804" t="s">
        <v>370</v>
      </c>
    </row>
    <row r="11806" spans="1:7" x14ac:dyDescent="0.3">
      <c r="A11806" t="s">
        <v>2702</v>
      </c>
    </row>
    <row r="11807" spans="1:7" x14ac:dyDescent="0.3">
      <c r="A11807" t="s">
        <v>44</v>
      </c>
      <c r="B11807" t="s">
        <v>257</v>
      </c>
      <c r="C11807" t="s">
        <v>32</v>
      </c>
      <c r="D11807" t="s">
        <v>352</v>
      </c>
      <c r="E11807" t="s">
        <v>66</v>
      </c>
      <c r="F11807" t="s">
        <v>193</v>
      </c>
      <c r="G11807" t="s">
        <v>67</v>
      </c>
    </row>
    <row r="11808" spans="1:7" x14ac:dyDescent="0.3">
      <c r="A11808" t="s">
        <v>35</v>
      </c>
      <c r="B11808" t="s">
        <v>258</v>
      </c>
      <c r="C11808">
        <v>2873</v>
      </c>
      <c r="D11808" t="s">
        <v>99</v>
      </c>
      <c r="E11808" t="s">
        <v>172</v>
      </c>
      <c r="F11808" t="s">
        <v>99</v>
      </c>
      <c r="G11808" t="s">
        <v>171</v>
      </c>
    </row>
    <row r="11809" spans="1:12" x14ac:dyDescent="0.3">
      <c r="A11809" t="s">
        <v>35</v>
      </c>
      <c r="B11809" t="s">
        <v>260</v>
      </c>
      <c r="C11809">
        <v>272</v>
      </c>
      <c r="D11809" t="s">
        <v>99</v>
      </c>
      <c r="E11809" t="s">
        <v>1474</v>
      </c>
      <c r="F11809" t="s">
        <v>99</v>
      </c>
      <c r="G11809" t="s">
        <v>930</v>
      </c>
    </row>
    <row r="11810" spans="1:12" x14ac:dyDescent="0.3">
      <c r="A11810" t="s">
        <v>37</v>
      </c>
      <c r="B11810" t="s">
        <v>258</v>
      </c>
      <c r="C11810">
        <v>3855</v>
      </c>
      <c r="D11810" t="s">
        <v>198</v>
      </c>
      <c r="E11810" t="s">
        <v>334</v>
      </c>
      <c r="F11810" t="s">
        <v>99</v>
      </c>
      <c r="G11810" t="s">
        <v>143</v>
      </c>
    </row>
    <row r="11811" spans="1:12" x14ac:dyDescent="0.3">
      <c r="A11811" t="s">
        <v>36</v>
      </c>
      <c r="B11811" t="s">
        <v>258</v>
      </c>
      <c r="C11811">
        <v>2100</v>
      </c>
      <c r="D11811" t="s">
        <v>207</v>
      </c>
      <c r="E11811" t="s">
        <v>345</v>
      </c>
      <c r="F11811" t="s">
        <v>198</v>
      </c>
      <c r="G11811" t="s">
        <v>897</v>
      </c>
    </row>
    <row r="11812" spans="1:12" x14ac:dyDescent="0.3">
      <c r="A11812" t="s">
        <v>36</v>
      </c>
      <c r="B11812" t="s">
        <v>260</v>
      </c>
      <c r="C11812">
        <v>205</v>
      </c>
      <c r="D11812" t="s">
        <v>141</v>
      </c>
      <c r="E11812" t="s">
        <v>147</v>
      </c>
      <c r="F11812" t="s">
        <v>141</v>
      </c>
      <c r="G11812" t="s">
        <v>768</v>
      </c>
    </row>
    <row r="11813" spans="1:12" x14ac:dyDescent="0.3">
      <c r="A11813" t="s">
        <v>34</v>
      </c>
      <c r="B11813" t="s">
        <v>258</v>
      </c>
      <c r="C11813">
        <v>1221</v>
      </c>
      <c r="D11813" t="s">
        <v>99</v>
      </c>
      <c r="E11813" t="s">
        <v>232</v>
      </c>
      <c r="F11813" t="s">
        <v>99</v>
      </c>
      <c r="G11813" t="s">
        <v>233</v>
      </c>
    </row>
    <row r="11814" spans="1:12" x14ac:dyDescent="0.3">
      <c r="A11814" t="s">
        <v>34</v>
      </c>
      <c r="B11814" t="s">
        <v>260</v>
      </c>
      <c r="C11814">
        <v>859</v>
      </c>
      <c r="D11814" t="s">
        <v>99</v>
      </c>
      <c r="E11814" t="s">
        <v>669</v>
      </c>
      <c r="F11814" t="s">
        <v>104</v>
      </c>
      <c r="G11814" t="s">
        <v>1063</v>
      </c>
    </row>
    <row r="11815" spans="1:12" x14ac:dyDescent="0.3">
      <c r="A11815" t="s">
        <v>33</v>
      </c>
      <c r="B11815" t="s">
        <v>258</v>
      </c>
      <c r="C11815">
        <v>1937</v>
      </c>
      <c r="D11815" t="s">
        <v>104</v>
      </c>
      <c r="E11815" t="s">
        <v>1438</v>
      </c>
      <c r="F11815" t="s">
        <v>104</v>
      </c>
      <c r="G11815" t="s">
        <v>412</v>
      </c>
    </row>
    <row r="11816" spans="1:12" x14ac:dyDescent="0.3">
      <c r="A11816" t="s">
        <v>49</v>
      </c>
      <c r="B11816" t="s">
        <v>258</v>
      </c>
      <c r="C11816">
        <v>11986</v>
      </c>
      <c r="D11816" t="s">
        <v>104</v>
      </c>
      <c r="E11816" t="s">
        <v>232</v>
      </c>
      <c r="F11816" t="s">
        <v>99</v>
      </c>
      <c r="G11816" t="s">
        <v>171</v>
      </c>
    </row>
    <row r="11817" spans="1:12" x14ac:dyDescent="0.3">
      <c r="A11817" t="s">
        <v>49</v>
      </c>
      <c r="B11817" t="s">
        <v>260</v>
      </c>
      <c r="C11817">
        <v>1336</v>
      </c>
      <c r="D11817" t="s">
        <v>99</v>
      </c>
      <c r="E11817" t="s">
        <v>1043</v>
      </c>
      <c r="F11817" t="s">
        <v>104</v>
      </c>
      <c r="G11817" t="s">
        <v>800</v>
      </c>
    </row>
    <row r="11819" spans="1:12" x14ac:dyDescent="0.3">
      <c r="A11819" t="s">
        <v>2703</v>
      </c>
    </row>
    <row r="11820" spans="1:12" x14ac:dyDescent="0.3">
      <c r="A11820" t="s">
        <v>44</v>
      </c>
      <c r="B11820" t="s">
        <v>32</v>
      </c>
      <c r="C11820" t="s">
        <v>2704</v>
      </c>
      <c r="D11820" t="s">
        <v>2705</v>
      </c>
      <c r="E11820" t="s">
        <v>2706</v>
      </c>
      <c r="F11820" t="s">
        <v>2707</v>
      </c>
      <c r="G11820" t="s">
        <v>2708</v>
      </c>
      <c r="H11820" t="s">
        <v>2709</v>
      </c>
      <c r="I11820" t="s">
        <v>88</v>
      </c>
      <c r="J11820" t="s">
        <v>2710</v>
      </c>
      <c r="K11820" t="s">
        <v>83</v>
      </c>
      <c r="L11820" t="s">
        <v>193</v>
      </c>
    </row>
    <row r="11821" spans="1:12" x14ac:dyDescent="0.3">
      <c r="A11821" t="s">
        <v>35</v>
      </c>
      <c r="B11821">
        <v>3143</v>
      </c>
      <c r="C11821" t="s">
        <v>342</v>
      </c>
      <c r="D11821" t="s">
        <v>58</v>
      </c>
      <c r="E11821" t="s">
        <v>115</v>
      </c>
      <c r="F11821" t="s">
        <v>134</v>
      </c>
      <c r="G11821" t="s">
        <v>139</v>
      </c>
      <c r="H11821" t="s">
        <v>123</v>
      </c>
      <c r="I11821" t="s">
        <v>136</v>
      </c>
      <c r="J11821" t="s">
        <v>496</v>
      </c>
      <c r="K11821" t="s">
        <v>694</v>
      </c>
      <c r="L11821" t="s">
        <v>132</v>
      </c>
    </row>
    <row r="11822" spans="1:12" x14ac:dyDescent="0.3">
      <c r="A11822" t="s">
        <v>37</v>
      </c>
      <c r="B11822">
        <v>3855</v>
      </c>
      <c r="C11822" t="s">
        <v>715</v>
      </c>
      <c r="D11822" t="s">
        <v>743</v>
      </c>
      <c r="E11822" t="s">
        <v>138</v>
      </c>
      <c r="F11822" t="s">
        <v>105</v>
      </c>
      <c r="G11822" t="s">
        <v>675</v>
      </c>
      <c r="H11822" t="s">
        <v>129</v>
      </c>
      <c r="I11822" t="s">
        <v>207</v>
      </c>
      <c r="J11822" t="s">
        <v>515</v>
      </c>
      <c r="K11822" t="s">
        <v>737</v>
      </c>
      <c r="L11822" t="s">
        <v>115</v>
      </c>
    </row>
    <row r="11823" spans="1:12" x14ac:dyDescent="0.3">
      <c r="A11823" t="s">
        <v>36</v>
      </c>
      <c r="B11823">
        <v>2305</v>
      </c>
      <c r="C11823" t="s">
        <v>373</v>
      </c>
      <c r="D11823" t="s">
        <v>309</v>
      </c>
      <c r="E11823" t="s">
        <v>319</v>
      </c>
      <c r="F11823" t="s">
        <v>155</v>
      </c>
      <c r="G11823" t="s">
        <v>201</v>
      </c>
      <c r="H11823" t="s">
        <v>138</v>
      </c>
      <c r="I11823" t="s">
        <v>108</v>
      </c>
      <c r="J11823" t="s">
        <v>942</v>
      </c>
      <c r="K11823" t="s">
        <v>675</v>
      </c>
      <c r="L11823" t="s">
        <v>136</v>
      </c>
    </row>
    <row r="11824" spans="1:12" x14ac:dyDescent="0.3">
      <c r="A11824" t="s">
        <v>34</v>
      </c>
      <c r="B11824">
        <v>2079</v>
      </c>
      <c r="C11824" t="s">
        <v>173</v>
      </c>
      <c r="D11824" t="s">
        <v>167</v>
      </c>
      <c r="E11824" t="s">
        <v>136</v>
      </c>
      <c r="F11824" t="s">
        <v>332</v>
      </c>
      <c r="G11824" t="s">
        <v>179</v>
      </c>
      <c r="H11824" t="s">
        <v>101</v>
      </c>
      <c r="I11824" t="s">
        <v>126</v>
      </c>
      <c r="J11824" t="s">
        <v>458</v>
      </c>
      <c r="K11824" t="s">
        <v>128</v>
      </c>
      <c r="L11824" t="s">
        <v>198</v>
      </c>
    </row>
    <row r="11825" spans="1:13" x14ac:dyDescent="0.3">
      <c r="A11825" t="s">
        <v>33</v>
      </c>
      <c r="B11825">
        <v>1937</v>
      </c>
      <c r="C11825" t="s">
        <v>291</v>
      </c>
      <c r="D11825" t="s">
        <v>133</v>
      </c>
      <c r="E11825" t="s">
        <v>215</v>
      </c>
      <c r="F11825" t="s">
        <v>127</v>
      </c>
      <c r="G11825" t="s">
        <v>244</v>
      </c>
      <c r="H11825" t="s">
        <v>207</v>
      </c>
      <c r="I11825" t="s">
        <v>136</v>
      </c>
      <c r="J11825" t="s">
        <v>1227</v>
      </c>
      <c r="K11825" t="s">
        <v>325</v>
      </c>
      <c r="L11825" t="s">
        <v>253</v>
      </c>
    </row>
    <row r="11826" spans="1:13" x14ac:dyDescent="0.3">
      <c r="A11826" t="s">
        <v>49</v>
      </c>
      <c r="B11826">
        <v>13319</v>
      </c>
      <c r="C11826" t="s">
        <v>802</v>
      </c>
      <c r="D11826" t="s">
        <v>197</v>
      </c>
      <c r="E11826" t="s">
        <v>382</v>
      </c>
      <c r="F11826" t="s">
        <v>105</v>
      </c>
      <c r="G11826" t="s">
        <v>296</v>
      </c>
      <c r="H11826" t="s">
        <v>268</v>
      </c>
      <c r="I11826" t="s">
        <v>253</v>
      </c>
      <c r="J11826" t="s">
        <v>1533</v>
      </c>
      <c r="K11826" t="s">
        <v>405</v>
      </c>
      <c r="L11826" t="s">
        <v>253</v>
      </c>
    </row>
    <row r="11828" spans="1:13" x14ac:dyDescent="0.3">
      <c r="A11828" t="s">
        <v>2711</v>
      </c>
    </row>
    <row r="11829" spans="1:13" x14ac:dyDescent="0.3">
      <c r="A11829" t="s">
        <v>44</v>
      </c>
      <c r="B11829" t="s">
        <v>361</v>
      </c>
      <c r="C11829" t="s">
        <v>32</v>
      </c>
      <c r="D11829" t="s">
        <v>2704</v>
      </c>
      <c r="E11829" t="s">
        <v>2705</v>
      </c>
      <c r="F11829" t="s">
        <v>2706</v>
      </c>
      <c r="G11829" t="s">
        <v>2707</v>
      </c>
      <c r="H11829" t="s">
        <v>2708</v>
      </c>
      <c r="I11829" t="s">
        <v>2709</v>
      </c>
      <c r="J11829" t="s">
        <v>88</v>
      </c>
      <c r="K11829" t="s">
        <v>2710</v>
      </c>
      <c r="L11829" t="s">
        <v>83</v>
      </c>
      <c r="M11829" t="s">
        <v>193</v>
      </c>
    </row>
    <row r="11830" spans="1:13" x14ac:dyDescent="0.3">
      <c r="A11830" t="s">
        <v>35</v>
      </c>
      <c r="B11830" t="s">
        <v>339</v>
      </c>
      <c r="C11830">
        <v>890</v>
      </c>
      <c r="D11830" t="s">
        <v>817</v>
      </c>
      <c r="E11830" t="s">
        <v>515</v>
      </c>
      <c r="F11830" t="s">
        <v>108</v>
      </c>
      <c r="G11830" t="s">
        <v>109</v>
      </c>
      <c r="H11830" t="s">
        <v>110</v>
      </c>
      <c r="I11830" t="s">
        <v>138</v>
      </c>
      <c r="J11830" t="s">
        <v>141</v>
      </c>
      <c r="K11830" t="s">
        <v>745</v>
      </c>
      <c r="L11830" t="s">
        <v>150</v>
      </c>
      <c r="M11830" t="s">
        <v>136</v>
      </c>
    </row>
    <row r="11831" spans="1:13" x14ac:dyDescent="0.3">
      <c r="A11831" t="s">
        <v>35</v>
      </c>
      <c r="B11831" t="s">
        <v>340</v>
      </c>
      <c r="C11831">
        <v>2213</v>
      </c>
      <c r="D11831" t="s">
        <v>281</v>
      </c>
      <c r="E11831" t="s">
        <v>864</v>
      </c>
      <c r="F11831" t="s">
        <v>253</v>
      </c>
      <c r="G11831" t="s">
        <v>103</v>
      </c>
      <c r="H11831" t="s">
        <v>412</v>
      </c>
      <c r="I11831" t="s">
        <v>319</v>
      </c>
      <c r="J11831" t="s">
        <v>207</v>
      </c>
      <c r="K11831" t="s">
        <v>551</v>
      </c>
      <c r="L11831" t="s">
        <v>807</v>
      </c>
      <c r="M11831" t="s">
        <v>108</v>
      </c>
    </row>
    <row r="11832" spans="1:13" x14ac:dyDescent="0.3">
      <c r="A11832" t="s">
        <v>35</v>
      </c>
      <c r="B11832" t="s">
        <v>365</v>
      </c>
      <c r="C11832">
        <v>40</v>
      </c>
      <c r="D11832" t="s">
        <v>920</v>
      </c>
      <c r="E11832" t="s">
        <v>122</v>
      </c>
      <c r="F11832" t="s">
        <v>99</v>
      </c>
      <c r="G11832" t="s">
        <v>99</v>
      </c>
      <c r="H11832" t="s">
        <v>157</v>
      </c>
      <c r="I11832" t="s">
        <v>99</v>
      </c>
      <c r="J11832" t="s">
        <v>99</v>
      </c>
      <c r="K11832" t="s">
        <v>556</v>
      </c>
      <c r="L11832" t="s">
        <v>267</v>
      </c>
      <c r="M11832" t="s">
        <v>99</v>
      </c>
    </row>
    <row r="11833" spans="1:13" x14ac:dyDescent="0.3">
      <c r="A11833" t="s">
        <v>37</v>
      </c>
      <c r="B11833" t="s">
        <v>339</v>
      </c>
      <c r="C11833">
        <v>1093</v>
      </c>
      <c r="D11833" t="s">
        <v>666</v>
      </c>
      <c r="E11833" t="s">
        <v>40</v>
      </c>
      <c r="F11833" t="s">
        <v>149</v>
      </c>
      <c r="G11833" t="s">
        <v>124</v>
      </c>
      <c r="H11833" t="s">
        <v>675</v>
      </c>
      <c r="I11833" t="s">
        <v>663</v>
      </c>
      <c r="J11833" t="s">
        <v>141</v>
      </c>
      <c r="K11833" t="s">
        <v>840</v>
      </c>
      <c r="L11833" t="s">
        <v>267</v>
      </c>
      <c r="M11833" t="s">
        <v>115</v>
      </c>
    </row>
    <row r="11834" spans="1:13" x14ac:dyDescent="0.3">
      <c r="A11834" t="s">
        <v>37</v>
      </c>
      <c r="B11834" t="s">
        <v>340</v>
      </c>
      <c r="C11834">
        <v>2721</v>
      </c>
      <c r="D11834" t="s">
        <v>423</v>
      </c>
      <c r="E11834" t="s">
        <v>440</v>
      </c>
      <c r="F11834" t="s">
        <v>128</v>
      </c>
      <c r="G11834" t="s">
        <v>117</v>
      </c>
      <c r="H11834" t="s">
        <v>675</v>
      </c>
      <c r="I11834" t="s">
        <v>107</v>
      </c>
      <c r="J11834" t="s">
        <v>198</v>
      </c>
      <c r="K11834" t="s">
        <v>884</v>
      </c>
      <c r="L11834" t="s">
        <v>710</v>
      </c>
      <c r="M11834" t="s">
        <v>115</v>
      </c>
    </row>
    <row r="11835" spans="1:13" x14ac:dyDescent="0.3">
      <c r="A11835" t="s">
        <v>37</v>
      </c>
      <c r="B11835" t="s">
        <v>365</v>
      </c>
      <c r="C11835">
        <v>41</v>
      </c>
      <c r="D11835" t="s">
        <v>133</v>
      </c>
      <c r="E11835" t="s">
        <v>130</v>
      </c>
      <c r="F11835" t="s">
        <v>112</v>
      </c>
      <c r="G11835" t="s">
        <v>215</v>
      </c>
      <c r="H11835" t="s">
        <v>299</v>
      </c>
      <c r="I11835" t="s">
        <v>154</v>
      </c>
      <c r="J11835" t="s">
        <v>128</v>
      </c>
      <c r="K11835" t="s">
        <v>983</v>
      </c>
      <c r="L11835" t="s">
        <v>41</v>
      </c>
      <c r="M11835" t="s">
        <v>99</v>
      </c>
    </row>
    <row r="11836" spans="1:13" x14ac:dyDescent="0.3">
      <c r="A11836" t="s">
        <v>36</v>
      </c>
      <c r="B11836" t="s">
        <v>339</v>
      </c>
      <c r="C11836">
        <v>770</v>
      </c>
      <c r="D11836" t="s">
        <v>197</v>
      </c>
      <c r="E11836" t="s">
        <v>307</v>
      </c>
      <c r="F11836" t="s">
        <v>126</v>
      </c>
      <c r="G11836" t="s">
        <v>139</v>
      </c>
      <c r="H11836" t="s">
        <v>710</v>
      </c>
      <c r="I11836" t="s">
        <v>139</v>
      </c>
      <c r="J11836" t="s">
        <v>111</v>
      </c>
      <c r="K11836" t="s">
        <v>937</v>
      </c>
      <c r="L11836" t="s">
        <v>157</v>
      </c>
      <c r="M11836" t="s">
        <v>100</v>
      </c>
    </row>
    <row r="11837" spans="1:13" x14ac:dyDescent="0.3">
      <c r="A11837" t="s">
        <v>36</v>
      </c>
      <c r="B11837" t="s">
        <v>340</v>
      </c>
      <c r="C11837">
        <v>1472</v>
      </c>
      <c r="D11837" t="s">
        <v>393</v>
      </c>
      <c r="E11837" t="s">
        <v>39</v>
      </c>
      <c r="F11837" t="s">
        <v>319</v>
      </c>
      <c r="G11837" t="s">
        <v>128</v>
      </c>
      <c r="H11837" t="s">
        <v>406</v>
      </c>
      <c r="I11837" t="s">
        <v>117</v>
      </c>
      <c r="J11837" t="s">
        <v>198</v>
      </c>
      <c r="K11837" t="s">
        <v>590</v>
      </c>
      <c r="L11837" t="s">
        <v>305</v>
      </c>
      <c r="M11837" t="s">
        <v>104</v>
      </c>
    </row>
    <row r="11838" spans="1:13" x14ac:dyDescent="0.3">
      <c r="A11838" t="s">
        <v>36</v>
      </c>
      <c r="B11838" t="s">
        <v>365</v>
      </c>
      <c r="C11838">
        <v>63</v>
      </c>
      <c r="D11838" t="s">
        <v>811</v>
      </c>
      <c r="E11838" t="s">
        <v>370</v>
      </c>
      <c r="F11838" t="s">
        <v>141</v>
      </c>
      <c r="G11838" t="s">
        <v>129</v>
      </c>
      <c r="H11838" t="s">
        <v>157</v>
      </c>
      <c r="I11838" t="s">
        <v>287</v>
      </c>
      <c r="J11838" t="s">
        <v>141</v>
      </c>
      <c r="K11838" t="s">
        <v>770</v>
      </c>
      <c r="L11838" t="s">
        <v>114</v>
      </c>
      <c r="M11838" t="s">
        <v>99</v>
      </c>
    </row>
    <row r="11839" spans="1:13" x14ac:dyDescent="0.3">
      <c r="A11839" t="s">
        <v>34</v>
      </c>
      <c r="B11839" t="s">
        <v>339</v>
      </c>
      <c r="C11839">
        <v>554</v>
      </c>
      <c r="D11839" t="s">
        <v>739</v>
      </c>
      <c r="E11839" t="s">
        <v>173</v>
      </c>
      <c r="F11839" t="s">
        <v>104</v>
      </c>
      <c r="G11839" t="s">
        <v>139</v>
      </c>
      <c r="H11839" t="s">
        <v>716</v>
      </c>
      <c r="I11839" t="s">
        <v>101</v>
      </c>
      <c r="J11839" t="s">
        <v>121</v>
      </c>
      <c r="K11839" t="s">
        <v>815</v>
      </c>
      <c r="L11839" t="s">
        <v>316</v>
      </c>
      <c r="M11839" t="s">
        <v>198</v>
      </c>
    </row>
    <row r="11840" spans="1:13" x14ac:dyDescent="0.3">
      <c r="A11840" t="s">
        <v>34</v>
      </c>
      <c r="B11840" t="s">
        <v>340</v>
      </c>
      <c r="C11840">
        <v>1497</v>
      </c>
      <c r="D11840" t="s">
        <v>798</v>
      </c>
      <c r="E11840" t="s">
        <v>542</v>
      </c>
      <c r="F11840" t="s">
        <v>141</v>
      </c>
      <c r="G11840" t="s">
        <v>316</v>
      </c>
      <c r="H11840" t="s">
        <v>737</v>
      </c>
      <c r="I11840" t="s">
        <v>101</v>
      </c>
      <c r="J11840" t="s">
        <v>215</v>
      </c>
      <c r="K11840" t="s">
        <v>635</v>
      </c>
      <c r="L11840" t="s">
        <v>103</v>
      </c>
      <c r="M11840" t="s">
        <v>198</v>
      </c>
    </row>
    <row r="11841" spans="1:13" x14ac:dyDescent="0.3">
      <c r="A11841" t="s">
        <v>34</v>
      </c>
      <c r="B11841" t="s">
        <v>365</v>
      </c>
      <c r="C11841">
        <v>28</v>
      </c>
      <c r="D11841" t="s">
        <v>711</v>
      </c>
      <c r="E11841" t="s">
        <v>1053</v>
      </c>
      <c r="F11841" t="s">
        <v>99</v>
      </c>
      <c r="G11841" t="s">
        <v>201</v>
      </c>
      <c r="H11841" t="s">
        <v>303</v>
      </c>
      <c r="I11841" t="s">
        <v>319</v>
      </c>
      <c r="J11841" t="s">
        <v>99</v>
      </c>
      <c r="K11841" t="s">
        <v>946</v>
      </c>
      <c r="L11841" t="s">
        <v>262</v>
      </c>
      <c r="M11841" t="s">
        <v>99</v>
      </c>
    </row>
    <row r="11842" spans="1:13" x14ac:dyDescent="0.3">
      <c r="A11842" t="s">
        <v>33</v>
      </c>
      <c r="B11842" t="s">
        <v>339</v>
      </c>
      <c r="C11842">
        <v>503</v>
      </c>
      <c r="D11842" t="s">
        <v>694</v>
      </c>
      <c r="E11842" t="s">
        <v>687</v>
      </c>
      <c r="F11842" t="s">
        <v>268</v>
      </c>
      <c r="G11842" t="s">
        <v>127</v>
      </c>
      <c r="H11842" t="s">
        <v>685</v>
      </c>
      <c r="I11842" t="s">
        <v>132</v>
      </c>
      <c r="J11842" t="s">
        <v>115</v>
      </c>
      <c r="K11842" t="s">
        <v>576</v>
      </c>
      <c r="L11842" t="s">
        <v>158</v>
      </c>
      <c r="M11842" t="s">
        <v>108</v>
      </c>
    </row>
    <row r="11843" spans="1:13" x14ac:dyDescent="0.3">
      <c r="A11843" t="s">
        <v>33</v>
      </c>
      <c r="B11843" t="s">
        <v>340</v>
      </c>
      <c r="C11843">
        <v>1415</v>
      </c>
      <c r="D11843" t="s">
        <v>220</v>
      </c>
      <c r="E11843" t="s">
        <v>135</v>
      </c>
      <c r="F11843" t="s">
        <v>126</v>
      </c>
      <c r="G11843" t="s">
        <v>127</v>
      </c>
      <c r="H11843" t="s">
        <v>267</v>
      </c>
      <c r="I11843" t="s">
        <v>104</v>
      </c>
      <c r="J11843" t="s">
        <v>207</v>
      </c>
      <c r="K11843" t="s">
        <v>1341</v>
      </c>
      <c r="L11843" t="s">
        <v>204</v>
      </c>
      <c r="M11843" t="s">
        <v>136</v>
      </c>
    </row>
    <row r="11844" spans="1:13" x14ac:dyDescent="0.3">
      <c r="A11844" t="s">
        <v>33</v>
      </c>
      <c r="B11844" t="s">
        <v>365</v>
      </c>
      <c r="C11844">
        <v>19</v>
      </c>
      <c r="D11844" t="s">
        <v>177</v>
      </c>
      <c r="E11844" t="s">
        <v>680</v>
      </c>
      <c r="F11844" t="s">
        <v>99</v>
      </c>
      <c r="G11844" t="s">
        <v>99</v>
      </c>
      <c r="H11844" t="s">
        <v>182</v>
      </c>
      <c r="I11844" t="s">
        <v>99</v>
      </c>
      <c r="J11844" t="s">
        <v>99</v>
      </c>
      <c r="K11844" t="s">
        <v>819</v>
      </c>
      <c r="L11844" t="s">
        <v>74</v>
      </c>
      <c r="M11844" t="s">
        <v>99</v>
      </c>
    </row>
    <row r="11845" spans="1:13" x14ac:dyDescent="0.3">
      <c r="A11845" t="s">
        <v>49</v>
      </c>
      <c r="B11845" t="s">
        <v>339</v>
      </c>
      <c r="C11845">
        <v>3810</v>
      </c>
      <c r="D11845" t="s">
        <v>1414</v>
      </c>
      <c r="E11845" t="s">
        <v>446</v>
      </c>
      <c r="F11845" t="s">
        <v>151</v>
      </c>
      <c r="G11845" t="s">
        <v>277</v>
      </c>
      <c r="H11845" t="s">
        <v>113</v>
      </c>
      <c r="I11845" t="s">
        <v>332</v>
      </c>
      <c r="J11845" t="s">
        <v>132</v>
      </c>
      <c r="K11845" t="s">
        <v>549</v>
      </c>
      <c r="L11845" t="s">
        <v>664</v>
      </c>
      <c r="M11845" t="s">
        <v>253</v>
      </c>
    </row>
    <row r="11846" spans="1:13" x14ac:dyDescent="0.3">
      <c r="A11846" t="s">
        <v>49</v>
      </c>
      <c r="B11846" t="s">
        <v>340</v>
      </c>
      <c r="C11846">
        <v>9318</v>
      </c>
      <c r="D11846" t="s">
        <v>501</v>
      </c>
      <c r="E11846" t="s">
        <v>718</v>
      </c>
      <c r="F11846" t="s">
        <v>319</v>
      </c>
      <c r="G11846" t="s">
        <v>117</v>
      </c>
      <c r="H11846" t="s">
        <v>125</v>
      </c>
      <c r="I11846" t="s">
        <v>215</v>
      </c>
      <c r="J11846" t="s">
        <v>141</v>
      </c>
      <c r="K11846" t="s">
        <v>1002</v>
      </c>
      <c r="L11846" t="s">
        <v>165</v>
      </c>
      <c r="M11846" t="s">
        <v>253</v>
      </c>
    </row>
    <row r="11847" spans="1:13" x14ac:dyDescent="0.3">
      <c r="A11847" t="s">
        <v>49</v>
      </c>
      <c r="B11847" t="s">
        <v>365</v>
      </c>
      <c r="C11847">
        <v>191</v>
      </c>
      <c r="D11847" t="s">
        <v>442</v>
      </c>
      <c r="E11847" t="s">
        <v>746</v>
      </c>
      <c r="F11847" t="s">
        <v>100</v>
      </c>
      <c r="G11847" t="s">
        <v>712</v>
      </c>
      <c r="H11847" t="s">
        <v>305</v>
      </c>
      <c r="I11847" t="s">
        <v>107</v>
      </c>
      <c r="J11847" t="s">
        <v>115</v>
      </c>
      <c r="K11847" t="s">
        <v>651</v>
      </c>
      <c r="L11847" t="s">
        <v>461</v>
      </c>
      <c r="M11847" t="s">
        <v>99</v>
      </c>
    </row>
    <row r="11849" spans="1:13" x14ac:dyDescent="0.3">
      <c r="A11849" t="s">
        <v>2712</v>
      </c>
    </row>
    <row r="11850" spans="1:13" x14ac:dyDescent="0.3">
      <c r="A11850" t="s">
        <v>44</v>
      </c>
      <c r="B11850" t="s">
        <v>209</v>
      </c>
      <c r="C11850" t="s">
        <v>32</v>
      </c>
      <c r="D11850" t="s">
        <v>2704</v>
      </c>
      <c r="E11850" t="s">
        <v>2705</v>
      </c>
      <c r="F11850" t="s">
        <v>2706</v>
      </c>
      <c r="G11850" t="s">
        <v>2707</v>
      </c>
      <c r="H11850" t="s">
        <v>2708</v>
      </c>
      <c r="I11850" t="s">
        <v>2709</v>
      </c>
      <c r="J11850" t="s">
        <v>88</v>
      </c>
      <c r="K11850" t="s">
        <v>2710</v>
      </c>
      <c r="L11850" t="s">
        <v>83</v>
      </c>
      <c r="M11850" t="s">
        <v>193</v>
      </c>
    </row>
    <row r="11851" spans="1:13" x14ac:dyDescent="0.3">
      <c r="A11851" t="s">
        <v>35</v>
      </c>
      <c r="B11851" t="s">
        <v>210</v>
      </c>
      <c r="C11851">
        <v>136</v>
      </c>
      <c r="D11851" t="s">
        <v>1057</v>
      </c>
      <c r="E11851" t="s">
        <v>592</v>
      </c>
      <c r="F11851" t="s">
        <v>99</v>
      </c>
      <c r="G11851" t="s">
        <v>123</v>
      </c>
      <c r="H11851" t="s">
        <v>242</v>
      </c>
      <c r="I11851" t="s">
        <v>100</v>
      </c>
      <c r="J11851" t="s">
        <v>101</v>
      </c>
      <c r="K11851" t="s">
        <v>602</v>
      </c>
      <c r="L11851" t="s">
        <v>175</v>
      </c>
      <c r="M11851" t="s">
        <v>99</v>
      </c>
    </row>
    <row r="11852" spans="1:13" x14ac:dyDescent="0.3">
      <c r="A11852" t="s">
        <v>35</v>
      </c>
      <c r="B11852" t="s">
        <v>212</v>
      </c>
      <c r="C11852">
        <v>2441</v>
      </c>
      <c r="D11852" t="s">
        <v>513</v>
      </c>
      <c r="E11852" t="s">
        <v>481</v>
      </c>
      <c r="F11852" t="s">
        <v>108</v>
      </c>
      <c r="G11852" t="s">
        <v>149</v>
      </c>
      <c r="H11852" t="s">
        <v>112</v>
      </c>
      <c r="I11852" t="s">
        <v>111</v>
      </c>
      <c r="J11852" t="s">
        <v>141</v>
      </c>
      <c r="K11852" t="s">
        <v>728</v>
      </c>
      <c r="L11852" t="s">
        <v>179</v>
      </c>
      <c r="M11852" t="s">
        <v>114</v>
      </c>
    </row>
    <row r="11853" spans="1:13" x14ac:dyDescent="0.3">
      <c r="A11853" t="s">
        <v>35</v>
      </c>
      <c r="B11853" t="s">
        <v>216</v>
      </c>
      <c r="C11853">
        <v>566</v>
      </c>
      <c r="D11853" t="s">
        <v>682</v>
      </c>
      <c r="E11853" t="s">
        <v>820</v>
      </c>
      <c r="F11853" t="s">
        <v>136</v>
      </c>
      <c r="G11853" t="s">
        <v>101</v>
      </c>
      <c r="H11853" t="s">
        <v>242</v>
      </c>
      <c r="I11853" t="s">
        <v>319</v>
      </c>
      <c r="J11853" t="s">
        <v>99</v>
      </c>
      <c r="K11853" t="s">
        <v>923</v>
      </c>
      <c r="L11853" t="s">
        <v>1059</v>
      </c>
      <c r="M11853" t="s">
        <v>141</v>
      </c>
    </row>
    <row r="11854" spans="1:13" x14ac:dyDescent="0.3">
      <c r="A11854" t="s">
        <v>37</v>
      </c>
      <c r="B11854" t="s">
        <v>210</v>
      </c>
      <c r="C11854">
        <v>138</v>
      </c>
      <c r="D11854" t="s">
        <v>737</v>
      </c>
      <c r="E11854" t="s">
        <v>318</v>
      </c>
      <c r="F11854" t="s">
        <v>118</v>
      </c>
      <c r="G11854" t="s">
        <v>129</v>
      </c>
      <c r="H11854" t="s">
        <v>115</v>
      </c>
      <c r="I11854" t="s">
        <v>126</v>
      </c>
      <c r="J11854" t="s">
        <v>99</v>
      </c>
      <c r="K11854" t="s">
        <v>223</v>
      </c>
      <c r="L11854" t="s">
        <v>107</v>
      </c>
      <c r="M11854" t="s">
        <v>132</v>
      </c>
    </row>
    <row r="11855" spans="1:13" x14ac:dyDescent="0.3">
      <c r="A11855" t="s">
        <v>37</v>
      </c>
      <c r="B11855" t="s">
        <v>212</v>
      </c>
      <c r="C11855">
        <v>3606</v>
      </c>
      <c r="D11855" t="s">
        <v>137</v>
      </c>
      <c r="E11855" t="s">
        <v>309</v>
      </c>
      <c r="F11855" t="s">
        <v>138</v>
      </c>
      <c r="G11855" t="s">
        <v>157</v>
      </c>
      <c r="H11855" t="s">
        <v>135</v>
      </c>
      <c r="I11855" t="s">
        <v>130</v>
      </c>
      <c r="J11855" t="s">
        <v>207</v>
      </c>
      <c r="K11855" t="s">
        <v>631</v>
      </c>
      <c r="L11855" t="s">
        <v>746</v>
      </c>
      <c r="M11855" t="s">
        <v>115</v>
      </c>
    </row>
    <row r="11856" spans="1:13" x14ac:dyDescent="0.3">
      <c r="A11856" t="s">
        <v>37</v>
      </c>
      <c r="B11856" t="s">
        <v>216</v>
      </c>
      <c r="C11856">
        <v>111</v>
      </c>
      <c r="D11856" t="s">
        <v>309</v>
      </c>
      <c r="E11856" t="s">
        <v>911</v>
      </c>
      <c r="F11856" t="s">
        <v>319</v>
      </c>
      <c r="G11856" t="s">
        <v>328</v>
      </c>
      <c r="H11856" t="s">
        <v>133</v>
      </c>
      <c r="I11856" t="s">
        <v>143</v>
      </c>
      <c r="J11856" t="s">
        <v>100</v>
      </c>
      <c r="K11856" t="s">
        <v>907</v>
      </c>
      <c r="L11856" t="s">
        <v>118</v>
      </c>
      <c r="M11856" t="s">
        <v>115</v>
      </c>
    </row>
    <row r="11857" spans="1:13" x14ac:dyDescent="0.3">
      <c r="A11857" t="s">
        <v>36</v>
      </c>
      <c r="B11857" t="s">
        <v>210</v>
      </c>
      <c r="C11857">
        <v>165</v>
      </c>
      <c r="D11857" t="s">
        <v>401</v>
      </c>
      <c r="E11857" t="s">
        <v>373</v>
      </c>
      <c r="F11857" t="s">
        <v>118</v>
      </c>
      <c r="G11857" t="s">
        <v>154</v>
      </c>
      <c r="H11857" t="s">
        <v>412</v>
      </c>
      <c r="I11857" t="s">
        <v>268</v>
      </c>
      <c r="J11857" t="s">
        <v>292</v>
      </c>
      <c r="K11857" t="s">
        <v>1259</v>
      </c>
      <c r="L11857" t="s">
        <v>434</v>
      </c>
      <c r="M11857" t="s">
        <v>117</v>
      </c>
    </row>
    <row r="11858" spans="1:13" x14ac:dyDescent="0.3">
      <c r="A11858" t="s">
        <v>36</v>
      </c>
      <c r="B11858" t="s">
        <v>212</v>
      </c>
      <c r="C11858">
        <v>1875</v>
      </c>
      <c r="D11858" t="s">
        <v>463</v>
      </c>
      <c r="E11858" t="s">
        <v>864</v>
      </c>
      <c r="F11858" t="s">
        <v>108</v>
      </c>
      <c r="G11858" t="s">
        <v>103</v>
      </c>
      <c r="H11858" t="s">
        <v>255</v>
      </c>
      <c r="I11858" t="s">
        <v>110</v>
      </c>
      <c r="J11858" t="s">
        <v>132</v>
      </c>
      <c r="K11858" t="s">
        <v>610</v>
      </c>
      <c r="L11858" t="s">
        <v>675</v>
      </c>
      <c r="M11858" t="s">
        <v>198</v>
      </c>
    </row>
    <row r="11859" spans="1:13" x14ac:dyDescent="0.3">
      <c r="A11859" t="s">
        <v>36</v>
      </c>
      <c r="B11859" t="s">
        <v>216</v>
      </c>
      <c r="C11859">
        <v>265</v>
      </c>
      <c r="D11859" t="s">
        <v>798</v>
      </c>
      <c r="E11859" t="s">
        <v>714</v>
      </c>
      <c r="F11859" t="s">
        <v>268</v>
      </c>
      <c r="G11859" t="s">
        <v>133</v>
      </c>
      <c r="H11859" t="s">
        <v>425</v>
      </c>
      <c r="I11859" t="s">
        <v>115</v>
      </c>
      <c r="J11859" t="s">
        <v>104</v>
      </c>
      <c r="K11859" t="s">
        <v>567</v>
      </c>
      <c r="L11859" t="s">
        <v>296</v>
      </c>
      <c r="M11859" t="s">
        <v>104</v>
      </c>
    </row>
    <row r="11860" spans="1:13" x14ac:dyDescent="0.3">
      <c r="A11860" t="s">
        <v>34</v>
      </c>
      <c r="B11860" t="s">
        <v>210</v>
      </c>
      <c r="C11860">
        <v>255</v>
      </c>
      <c r="D11860" t="s">
        <v>420</v>
      </c>
      <c r="E11860" t="s">
        <v>688</v>
      </c>
      <c r="F11860" t="s">
        <v>99</v>
      </c>
      <c r="G11860" t="s">
        <v>412</v>
      </c>
      <c r="H11860" t="s">
        <v>679</v>
      </c>
      <c r="I11860" t="s">
        <v>128</v>
      </c>
      <c r="J11860" t="s">
        <v>107</v>
      </c>
      <c r="K11860" t="s">
        <v>1259</v>
      </c>
      <c r="L11860" t="s">
        <v>111</v>
      </c>
      <c r="M11860" t="s">
        <v>99</v>
      </c>
    </row>
    <row r="11861" spans="1:13" x14ac:dyDescent="0.3">
      <c r="A11861" t="s">
        <v>34</v>
      </c>
      <c r="B11861" t="s">
        <v>212</v>
      </c>
      <c r="C11861">
        <v>1582</v>
      </c>
      <c r="D11861" t="s">
        <v>738</v>
      </c>
      <c r="E11861" t="s">
        <v>691</v>
      </c>
      <c r="F11861" t="s">
        <v>141</v>
      </c>
      <c r="G11861" t="s">
        <v>117</v>
      </c>
      <c r="H11861" t="s">
        <v>688</v>
      </c>
      <c r="I11861" t="s">
        <v>132</v>
      </c>
      <c r="J11861" t="s">
        <v>319</v>
      </c>
      <c r="K11861" t="s">
        <v>605</v>
      </c>
      <c r="L11861" t="s">
        <v>128</v>
      </c>
      <c r="M11861" t="s">
        <v>198</v>
      </c>
    </row>
    <row r="11862" spans="1:13" x14ac:dyDescent="0.3">
      <c r="A11862" t="s">
        <v>34</v>
      </c>
      <c r="B11862" t="s">
        <v>216</v>
      </c>
      <c r="C11862">
        <v>242</v>
      </c>
      <c r="D11862" t="s">
        <v>70</v>
      </c>
      <c r="E11862" t="s">
        <v>416</v>
      </c>
      <c r="F11862" t="s">
        <v>99</v>
      </c>
      <c r="G11862" t="s">
        <v>160</v>
      </c>
      <c r="H11862" t="s">
        <v>688</v>
      </c>
      <c r="I11862" t="s">
        <v>151</v>
      </c>
      <c r="J11862" t="s">
        <v>104</v>
      </c>
      <c r="K11862" t="s">
        <v>1194</v>
      </c>
      <c r="L11862" t="s">
        <v>107</v>
      </c>
      <c r="M11862" t="s">
        <v>207</v>
      </c>
    </row>
    <row r="11863" spans="1:13" x14ac:dyDescent="0.3">
      <c r="A11863" t="s">
        <v>33</v>
      </c>
      <c r="B11863" t="s">
        <v>210</v>
      </c>
      <c r="C11863">
        <v>68</v>
      </c>
      <c r="D11863" t="s">
        <v>321</v>
      </c>
      <c r="E11863" t="s">
        <v>201</v>
      </c>
      <c r="F11863" t="s">
        <v>99</v>
      </c>
      <c r="G11863" t="s">
        <v>264</v>
      </c>
      <c r="H11863" t="s">
        <v>145</v>
      </c>
      <c r="I11863" t="s">
        <v>100</v>
      </c>
      <c r="J11863" t="s">
        <v>675</v>
      </c>
      <c r="K11863" t="s">
        <v>942</v>
      </c>
      <c r="L11863" t="s">
        <v>474</v>
      </c>
      <c r="M11863" t="s">
        <v>99</v>
      </c>
    </row>
    <row r="11864" spans="1:13" x14ac:dyDescent="0.3">
      <c r="A11864" t="s">
        <v>33</v>
      </c>
      <c r="B11864" t="s">
        <v>212</v>
      </c>
      <c r="C11864">
        <v>1800</v>
      </c>
      <c r="D11864" t="s">
        <v>291</v>
      </c>
      <c r="E11864" t="s">
        <v>182</v>
      </c>
      <c r="F11864" t="s">
        <v>123</v>
      </c>
      <c r="G11864" t="s">
        <v>121</v>
      </c>
      <c r="H11864" t="s">
        <v>685</v>
      </c>
      <c r="I11864" t="s">
        <v>207</v>
      </c>
      <c r="J11864" t="s">
        <v>198</v>
      </c>
      <c r="K11864" t="s">
        <v>1291</v>
      </c>
      <c r="L11864" t="s">
        <v>328</v>
      </c>
      <c r="M11864" t="s">
        <v>141</v>
      </c>
    </row>
    <row r="11865" spans="1:13" x14ac:dyDescent="0.3">
      <c r="A11865" t="s">
        <v>33</v>
      </c>
      <c r="B11865" t="s">
        <v>216</v>
      </c>
      <c r="C11865">
        <v>69</v>
      </c>
      <c r="D11865" t="s">
        <v>461</v>
      </c>
      <c r="E11865" t="s">
        <v>182</v>
      </c>
      <c r="F11865" t="s">
        <v>99</v>
      </c>
      <c r="G11865" t="s">
        <v>107</v>
      </c>
      <c r="H11865" t="s">
        <v>294</v>
      </c>
      <c r="I11865" t="s">
        <v>99</v>
      </c>
      <c r="J11865" t="s">
        <v>99</v>
      </c>
      <c r="K11865" t="s">
        <v>1100</v>
      </c>
      <c r="L11865" t="s">
        <v>461</v>
      </c>
      <c r="M11865" t="s">
        <v>128</v>
      </c>
    </row>
    <row r="11866" spans="1:13" x14ac:dyDescent="0.3">
      <c r="A11866" t="s">
        <v>49</v>
      </c>
      <c r="B11866" t="s">
        <v>210</v>
      </c>
      <c r="C11866">
        <v>762</v>
      </c>
      <c r="D11866" t="s">
        <v>267</v>
      </c>
      <c r="E11866" t="s">
        <v>990</v>
      </c>
      <c r="F11866" t="s">
        <v>100</v>
      </c>
      <c r="G11866" t="s">
        <v>149</v>
      </c>
      <c r="H11866" t="s">
        <v>98</v>
      </c>
      <c r="I11866" t="s">
        <v>151</v>
      </c>
      <c r="J11866" t="s">
        <v>268</v>
      </c>
      <c r="K11866" t="s">
        <v>1368</v>
      </c>
      <c r="L11866" t="s">
        <v>98</v>
      </c>
      <c r="M11866" t="s">
        <v>141</v>
      </c>
    </row>
    <row r="11867" spans="1:13" x14ac:dyDescent="0.3">
      <c r="A11867" t="s">
        <v>49</v>
      </c>
      <c r="B11867" t="s">
        <v>212</v>
      </c>
      <c r="C11867">
        <v>11304</v>
      </c>
      <c r="D11867" t="s">
        <v>741</v>
      </c>
      <c r="E11867" t="s">
        <v>683</v>
      </c>
      <c r="F11867" t="s">
        <v>127</v>
      </c>
      <c r="G11867" t="s">
        <v>107</v>
      </c>
      <c r="H11867" t="s">
        <v>182</v>
      </c>
      <c r="I11867" t="s">
        <v>117</v>
      </c>
      <c r="J11867" t="s">
        <v>141</v>
      </c>
      <c r="K11867" t="s">
        <v>610</v>
      </c>
      <c r="L11867" t="s">
        <v>671</v>
      </c>
      <c r="M11867" t="s">
        <v>253</v>
      </c>
    </row>
    <row r="11868" spans="1:13" x14ac:dyDescent="0.3">
      <c r="A11868" t="s">
        <v>49</v>
      </c>
      <c r="B11868" t="s">
        <v>216</v>
      </c>
      <c r="C11868">
        <v>1253</v>
      </c>
      <c r="D11868" t="s">
        <v>727</v>
      </c>
      <c r="E11868" t="s">
        <v>689</v>
      </c>
      <c r="F11868" t="s">
        <v>141</v>
      </c>
      <c r="G11868" t="s">
        <v>154</v>
      </c>
      <c r="H11868" t="s">
        <v>305</v>
      </c>
      <c r="I11868" t="s">
        <v>215</v>
      </c>
      <c r="J11868" t="s">
        <v>104</v>
      </c>
      <c r="K11868" t="s">
        <v>948</v>
      </c>
      <c r="L11868" t="s">
        <v>393</v>
      </c>
      <c r="M11868" t="s">
        <v>141</v>
      </c>
    </row>
    <row r="11870" spans="1:13" x14ac:dyDescent="0.3">
      <c r="A11870" t="s">
        <v>2713</v>
      </c>
    </row>
    <row r="11871" spans="1:13" x14ac:dyDescent="0.3">
      <c r="A11871" t="s">
        <v>44</v>
      </c>
      <c r="B11871" t="s">
        <v>388</v>
      </c>
      <c r="C11871" t="s">
        <v>32</v>
      </c>
      <c r="D11871" t="s">
        <v>2704</v>
      </c>
      <c r="E11871" t="s">
        <v>2705</v>
      </c>
      <c r="F11871" t="s">
        <v>2706</v>
      </c>
      <c r="G11871" t="s">
        <v>2707</v>
      </c>
      <c r="H11871" t="s">
        <v>2708</v>
      </c>
      <c r="I11871" t="s">
        <v>2709</v>
      </c>
      <c r="J11871" t="s">
        <v>88</v>
      </c>
      <c r="K11871" t="s">
        <v>2710</v>
      </c>
      <c r="L11871" t="s">
        <v>83</v>
      </c>
      <c r="M11871" t="s">
        <v>193</v>
      </c>
    </row>
    <row r="11872" spans="1:13" x14ac:dyDescent="0.3">
      <c r="A11872" t="s">
        <v>35</v>
      </c>
      <c r="B11872" t="s">
        <v>389</v>
      </c>
      <c r="C11872">
        <v>2140</v>
      </c>
      <c r="D11872" t="s">
        <v>40</v>
      </c>
      <c r="E11872" t="s">
        <v>42</v>
      </c>
      <c r="F11872" t="s">
        <v>207</v>
      </c>
      <c r="G11872" t="s">
        <v>105</v>
      </c>
      <c r="H11872" t="s">
        <v>412</v>
      </c>
      <c r="I11872" t="s">
        <v>111</v>
      </c>
      <c r="J11872" t="s">
        <v>136</v>
      </c>
      <c r="K11872" t="s">
        <v>919</v>
      </c>
      <c r="L11872" t="s">
        <v>167</v>
      </c>
      <c r="M11872" t="s">
        <v>132</v>
      </c>
    </row>
    <row r="11873" spans="1:13" x14ac:dyDescent="0.3">
      <c r="A11873" t="s">
        <v>35</v>
      </c>
      <c r="B11873" t="s">
        <v>390</v>
      </c>
      <c r="C11873">
        <v>874</v>
      </c>
      <c r="D11873" t="s">
        <v>429</v>
      </c>
      <c r="E11873" t="s">
        <v>64</v>
      </c>
      <c r="F11873" t="s">
        <v>151</v>
      </c>
      <c r="G11873" t="s">
        <v>124</v>
      </c>
      <c r="H11873" t="s">
        <v>155</v>
      </c>
      <c r="I11873" t="s">
        <v>121</v>
      </c>
      <c r="J11873" t="s">
        <v>207</v>
      </c>
      <c r="K11873" t="s">
        <v>607</v>
      </c>
      <c r="L11873" t="s">
        <v>722</v>
      </c>
      <c r="M11873" t="s">
        <v>114</v>
      </c>
    </row>
    <row r="11874" spans="1:13" x14ac:dyDescent="0.3">
      <c r="A11874" t="s">
        <v>35</v>
      </c>
      <c r="B11874" t="s">
        <v>365</v>
      </c>
      <c r="C11874">
        <v>129</v>
      </c>
      <c r="D11874" t="s">
        <v>405</v>
      </c>
      <c r="E11874" t="s">
        <v>722</v>
      </c>
      <c r="F11874" t="s">
        <v>99</v>
      </c>
      <c r="G11874" t="s">
        <v>198</v>
      </c>
      <c r="H11874" t="s">
        <v>325</v>
      </c>
      <c r="I11874" t="s">
        <v>253</v>
      </c>
      <c r="J11874" t="s">
        <v>99</v>
      </c>
      <c r="K11874" t="s">
        <v>941</v>
      </c>
      <c r="L11874" t="s">
        <v>812</v>
      </c>
      <c r="M11874" t="s">
        <v>99</v>
      </c>
    </row>
    <row r="11875" spans="1:13" x14ac:dyDescent="0.3">
      <c r="A11875" t="s">
        <v>37</v>
      </c>
      <c r="B11875" t="s">
        <v>389</v>
      </c>
      <c r="C11875">
        <v>2305</v>
      </c>
      <c r="D11875" t="s">
        <v>451</v>
      </c>
      <c r="E11875" t="s">
        <v>442</v>
      </c>
      <c r="F11875" t="s">
        <v>138</v>
      </c>
      <c r="G11875" t="s">
        <v>118</v>
      </c>
      <c r="H11875" t="s">
        <v>160</v>
      </c>
      <c r="I11875" t="s">
        <v>139</v>
      </c>
      <c r="J11875" t="s">
        <v>207</v>
      </c>
      <c r="K11875" t="s">
        <v>652</v>
      </c>
      <c r="L11875" t="s">
        <v>677</v>
      </c>
      <c r="M11875" t="s">
        <v>141</v>
      </c>
    </row>
    <row r="11876" spans="1:13" x14ac:dyDescent="0.3">
      <c r="A11876" t="s">
        <v>37</v>
      </c>
      <c r="B11876" t="s">
        <v>390</v>
      </c>
      <c r="C11876">
        <v>1309</v>
      </c>
      <c r="D11876" t="s">
        <v>451</v>
      </c>
      <c r="E11876" t="s">
        <v>425</v>
      </c>
      <c r="F11876" t="s">
        <v>107</v>
      </c>
      <c r="G11876" t="s">
        <v>268</v>
      </c>
      <c r="H11876" t="s">
        <v>204</v>
      </c>
      <c r="I11876" t="s">
        <v>107</v>
      </c>
      <c r="J11876" t="s">
        <v>136</v>
      </c>
      <c r="K11876" t="s">
        <v>831</v>
      </c>
      <c r="L11876" t="s">
        <v>680</v>
      </c>
      <c r="M11876" t="s">
        <v>132</v>
      </c>
    </row>
    <row r="11877" spans="1:13" x14ac:dyDescent="0.3">
      <c r="A11877" t="s">
        <v>37</v>
      </c>
      <c r="B11877" t="s">
        <v>365</v>
      </c>
      <c r="C11877">
        <v>241</v>
      </c>
      <c r="D11877" t="s">
        <v>534</v>
      </c>
      <c r="E11877" t="s">
        <v>807</v>
      </c>
      <c r="F11877" t="s">
        <v>412</v>
      </c>
      <c r="G11877" t="s">
        <v>138</v>
      </c>
      <c r="H11877" t="s">
        <v>112</v>
      </c>
      <c r="I11877" t="s">
        <v>129</v>
      </c>
      <c r="J11877" t="s">
        <v>99</v>
      </c>
      <c r="K11877" t="s">
        <v>1149</v>
      </c>
      <c r="L11877" t="s">
        <v>163</v>
      </c>
      <c r="M11877" t="s">
        <v>126</v>
      </c>
    </row>
    <row r="11878" spans="1:13" x14ac:dyDescent="0.3">
      <c r="A11878" t="s">
        <v>36</v>
      </c>
      <c r="B11878" t="s">
        <v>389</v>
      </c>
      <c r="C11878">
        <v>1578</v>
      </c>
      <c r="D11878" t="s">
        <v>177</v>
      </c>
      <c r="E11878" t="s">
        <v>706</v>
      </c>
      <c r="F11878" t="s">
        <v>253</v>
      </c>
      <c r="G11878" t="s">
        <v>138</v>
      </c>
      <c r="H11878" t="s">
        <v>465</v>
      </c>
      <c r="I11878" t="s">
        <v>316</v>
      </c>
      <c r="J11878" t="s">
        <v>100</v>
      </c>
      <c r="K11878" t="s">
        <v>616</v>
      </c>
      <c r="L11878" t="s">
        <v>74</v>
      </c>
      <c r="M11878" t="s">
        <v>141</v>
      </c>
    </row>
    <row r="11879" spans="1:13" x14ac:dyDescent="0.3">
      <c r="A11879" t="s">
        <v>36</v>
      </c>
      <c r="B11879" t="s">
        <v>390</v>
      </c>
      <c r="C11879">
        <v>627</v>
      </c>
      <c r="D11879" t="s">
        <v>523</v>
      </c>
      <c r="E11879" t="s">
        <v>743</v>
      </c>
      <c r="F11879" t="s">
        <v>316</v>
      </c>
      <c r="G11879" t="s">
        <v>712</v>
      </c>
      <c r="H11879" t="s">
        <v>201</v>
      </c>
      <c r="I11879" t="s">
        <v>242</v>
      </c>
      <c r="J11879" t="s">
        <v>141</v>
      </c>
      <c r="K11879" t="s">
        <v>1576</v>
      </c>
      <c r="L11879" t="s">
        <v>184</v>
      </c>
      <c r="M11879" t="s">
        <v>207</v>
      </c>
    </row>
    <row r="11880" spans="1:13" x14ac:dyDescent="0.3">
      <c r="A11880" t="s">
        <v>36</v>
      </c>
      <c r="B11880" t="s">
        <v>365</v>
      </c>
      <c r="C11880">
        <v>100</v>
      </c>
      <c r="D11880" t="s">
        <v>291</v>
      </c>
      <c r="E11880" t="s">
        <v>465</v>
      </c>
      <c r="F11880" t="s">
        <v>130</v>
      </c>
      <c r="G11880" t="s">
        <v>121</v>
      </c>
      <c r="H11880" t="s">
        <v>694</v>
      </c>
      <c r="I11880" t="s">
        <v>712</v>
      </c>
      <c r="J11880" t="s">
        <v>99</v>
      </c>
      <c r="K11880" t="s">
        <v>863</v>
      </c>
      <c r="L11880" t="s">
        <v>144</v>
      </c>
      <c r="M11880" t="s">
        <v>99</v>
      </c>
    </row>
    <row r="11881" spans="1:13" x14ac:dyDescent="0.3">
      <c r="A11881" t="s">
        <v>34</v>
      </c>
      <c r="B11881" t="s">
        <v>389</v>
      </c>
      <c r="C11881">
        <v>1384</v>
      </c>
      <c r="D11881" t="s">
        <v>701</v>
      </c>
      <c r="E11881" t="s">
        <v>536</v>
      </c>
      <c r="F11881" t="s">
        <v>253</v>
      </c>
      <c r="G11881" t="s">
        <v>130</v>
      </c>
      <c r="H11881" t="s">
        <v>218</v>
      </c>
      <c r="I11881" t="s">
        <v>132</v>
      </c>
      <c r="J11881" t="s">
        <v>319</v>
      </c>
      <c r="K11881" t="s">
        <v>1748</v>
      </c>
      <c r="L11881" t="s">
        <v>316</v>
      </c>
      <c r="M11881" t="s">
        <v>198</v>
      </c>
    </row>
    <row r="11882" spans="1:13" x14ac:dyDescent="0.3">
      <c r="A11882" t="s">
        <v>34</v>
      </c>
      <c r="B11882" t="s">
        <v>390</v>
      </c>
      <c r="C11882">
        <v>615</v>
      </c>
      <c r="D11882" t="s">
        <v>465</v>
      </c>
      <c r="E11882" t="s">
        <v>718</v>
      </c>
      <c r="F11882" t="s">
        <v>99</v>
      </c>
      <c r="G11882" t="s">
        <v>268</v>
      </c>
      <c r="H11882" t="s">
        <v>233</v>
      </c>
      <c r="I11882" t="s">
        <v>117</v>
      </c>
      <c r="J11882" t="s">
        <v>215</v>
      </c>
      <c r="K11882" t="s">
        <v>1291</v>
      </c>
      <c r="L11882" t="s">
        <v>157</v>
      </c>
      <c r="M11882" t="s">
        <v>207</v>
      </c>
    </row>
    <row r="11883" spans="1:13" x14ac:dyDescent="0.3">
      <c r="A11883" t="s">
        <v>34</v>
      </c>
      <c r="B11883" t="s">
        <v>365</v>
      </c>
      <c r="C11883">
        <v>80</v>
      </c>
      <c r="D11883" t="s">
        <v>446</v>
      </c>
      <c r="E11883" t="s">
        <v>131</v>
      </c>
      <c r="F11883" t="s">
        <v>99</v>
      </c>
      <c r="G11883" t="s">
        <v>292</v>
      </c>
      <c r="H11883" t="s">
        <v>124</v>
      </c>
      <c r="I11883" t="s">
        <v>151</v>
      </c>
      <c r="J11883" t="s">
        <v>121</v>
      </c>
      <c r="K11883" t="s">
        <v>306</v>
      </c>
      <c r="L11883" t="s">
        <v>99</v>
      </c>
      <c r="M11883" t="s">
        <v>99</v>
      </c>
    </row>
    <row r="11884" spans="1:13" x14ac:dyDescent="0.3">
      <c r="A11884" t="s">
        <v>33</v>
      </c>
      <c r="B11884" t="s">
        <v>389</v>
      </c>
      <c r="C11884">
        <v>1090</v>
      </c>
      <c r="D11884" t="s">
        <v>244</v>
      </c>
      <c r="E11884" t="s">
        <v>449</v>
      </c>
      <c r="F11884" t="s">
        <v>127</v>
      </c>
      <c r="G11884" t="s">
        <v>126</v>
      </c>
      <c r="H11884" t="s">
        <v>244</v>
      </c>
      <c r="I11884" t="s">
        <v>141</v>
      </c>
      <c r="J11884" t="s">
        <v>253</v>
      </c>
      <c r="K11884" t="s">
        <v>1748</v>
      </c>
      <c r="L11884" t="s">
        <v>474</v>
      </c>
      <c r="M11884" t="s">
        <v>115</v>
      </c>
    </row>
    <row r="11885" spans="1:13" x14ac:dyDescent="0.3">
      <c r="A11885" t="s">
        <v>33</v>
      </c>
      <c r="B11885" t="s">
        <v>390</v>
      </c>
      <c r="C11885">
        <v>708</v>
      </c>
      <c r="D11885" t="s">
        <v>461</v>
      </c>
      <c r="E11885" t="s">
        <v>150</v>
      </c>
      <c r="F11885" t="s">
        <v>101</v>
      </c>
      <c r="G11885" t="s">
        <v>268</v>
      </c>
      <c r="H11885" t="s">
        <v>171</v>
      </c>
      <c r="I11885" t="s">
        <v>99</v>
      </c>
      <c r="J11885" t="s">
        <v>104</v>
      </c>
      <c r="K11885" t="s">
        <v>275</v>
      </c>
      <c r="L11885" t="s">
        <v>675</v>
      </c>
      <c r="M11885" t="s">
        <v>136</v>
      </c>
    </row>
    <row r="11886" spans="1:13" x14ac:dyDescent="0.3">
      <c r="A11886" t="s">
        <v>33</v>
      </c>
      <c r="B11886" t="s">
        <v>365</v>
      </c>
      <c r="C11886">
        <v>139</v>
      </c>
      <c r="D11886" t="s">
        <v>712</v>
      </c>
      <c r="E11886" t="s">
        <v>103</v>
      </c>
      <c r="F11886" t="s">
        <v>332</v>
      </c>
      <c r="G11886" t="s">
        <v>108</v>
      </c>
      <c r="H11886" t="s">
        <v>1062</v>
      </c>
      <c r="I11886" t="s">
        <v>99</v>
      </c>
      <c r="J11886" t="s">
        <v>99</v>
      </c>
      <c r="K11886" t="s">
        <v>607</v>
      </c>
      <c r="L11886" t="s">
        <v>218</v>
      </c>
      <c r="M11886" t="s">
        <v>115</v>
      </c>
    </row>
    <row r="11887" spans="1:13" x14ac:dyDescent="0.3">
      <c r="A11887" t="s">
        <v>49</v>
      </c>
      <c r="B11887" t="s">
        <v>389</v>
      </c>
      <c r="C11887">
        <v>8497</v>
      </c>
      <c r="D11887" t="s">
        <v>741</v>
      </c>
      <c r="E11887" t="s">
        <v>499</v>
      </c>
      <c r="F11887" t="s">
        <v>101</v>
      </c>
      <c r="G11887" t="s">
        <v>138</v>
      </c>
      <c r="H11887" t="s">
        <v>182</v>
      </c>
      <c r="I11887" t="s">
        <v>117</v>
      </c>
      <c r="J11887" t="s">
        <v>115</v>
      </c>
      <c r="K11887" t="s">
        <v>937</v>
      </c>
      <c r="L11887" t="s">
        <v>379</v>
      </c>
      <c r="M11887" t="s">
        <v>141</v>
      </c>
    </row>
    <row r="11888" spans="1:13" x14ac:dyDescent="0.3">
      <c r="A11888" t="s">
        <v>49</v>
      </c>
      <c r="B11888" t="s">
        <v>390</v>
      </c>
      <c r="C11888">
        <v>4133</v>
      </c>
      <c r="D11888" t="s">
        <v>727</v>
      </c>
      <c r="E11888" t="s">
        <v>425</v>
      </c>
      <c r="F11888" t="s">
        <v>123</v>
      </c>
      <c r="G11888" t="s">
        <v>105</v>
      </c>
      <c r="H11888" t="s">
        <v>70</v>
      </c>
      <c r="I11888" t="s">
        <v>151</v>
      </c>
      <c r="J11888" t="s">
        <v>253</v>
      </c>
      <c r="K11888" t="s">
        <v>1383</v>
      </c>
      <c r="L11888" t="s">
        <v>305</v>
      </c>
      <c r="M11888" t="s">
        <v>115</v>
      </c>
    </row>
    <row r="11889" spans="1:13" x14ac:dyDescent="0.3">
      <c r="A11889" t="s">
        <v>49</v>
      </c>
      <c r="B11889" t="s">
        <v>365</v>
      </c>
      <c r="C11889">
        <v>689</v>
      </c>
      <c r="D11889" t="s">
        <v>739</v>
      </c>
      <c r="E11889" t="s">
        <v>267</v>
      </c>
      <c r="F11889" t="s">
        <v>147</v>
      </c>
      <c r="G11889" t="s">
        <v>127</v>
      </c>
      <c r="H11889" t="s">
        <v>315</v>
      </c>
      <c r="I11889" t="s">
        <v>268</v>
      </c>
      <c r="J11889" t="s">
        <v>198</v>
      </c>
      <c r="K11889" t="s">
        <v>596</v>
      </c>
      <c r="L11889" t="s">
        <v>368</v>
      </c>
      <c r="M11889" t="s">
        <v>115</v>
      </c>
    </row>
    <row r="11891" spans="1:13" x14ac:dyDescent="0.3">
      <c r="A11891" t="s">
        <v>2714</v>
      </c>
    </row>
    <row r="11892" spans="1:13" x14ac:dyDescent="0.3">
      <c r="A11892" t="s">
        <v>44</v>
      </c>
      <c r="B11892" t="s">
        <v>235</v>
      </c>
      <c r="C11892" t="s">
        <v>32</v>
      </c>
      <c r="D11892" t="s">
        <v>2704</v>
      </c>
      <c r="E11892" t="s">
        <v>2705</v>
      </c>
      <c r="F11892" t="s">
        <v>2706</v>
      </c>
      <c r="G11892" t="s">
        <v>2707</v>
      </c>
      <c r="H11892" t="s">
        <v>2708</v>
      </c>
      <c r="I11892" t="s">
        <v>2709</v>
      </c>
      <c r="J11892" t="s">
        <v>88</v>
      </c>
      <c r="K11892" t="s">
        <v>2710</v>
      </c>
      <c r="L11892" t="s">
        <v>83</v>
      </c>
      <c r="M11892" t="s">
        <v>193</v>
      </c>
    </row>
    <row r="11893" spans="1:13" x14ac:dyDescent="0.3">
      <c r="A11893" t="s">
        <v>35</v>
      </c>
      <c r="B11893" t="s">
        <v>236</v>
      </c>
      <c r="C11893">
        <v>1609</v>
      </c>
      <c r="D11893" t="s">
        <v>894</v>
      </c>
      <c r="E11893" t="s">
        <v>742</v>
      </c>
      <c r="F11893" t="s">
        <v>253</v>
      </c>
      <c r="G11893" t="s">
        <v>127</v>
      </c>
      <c r="H11893" t="s">
        <v>154</v>
      </c>
      <c r="I11893" t="s">
        <v>101</v>
      </c>
      <c r="J11893" t="s">
        <v>253</v>
      </c>
      <c r="K11893" t="s">
        <v>611</v>
      </c>
      <c r="L11893" t="s">
        <v>206</v>
      </c>
      <c r="M11893" t="s">
        <v>100</v>
      </c>
    </row>
    <row r="11894" spans="1:13" x14ac:dyDescent="0.3">
      <c r="A11894" t="s">
        <v>35</v>
      </c>
      <c r="B11894" t="s">
        <v>238</v>
      </c>
      <c r="C11894">
        <v>1534</v>
      </c>
      <c r="D11894" t="s">
        <v>119</v>
      </c>
      <c r="E11894" t="s">
        <v>60</v>
      </c>
      <c r="F11894" t="s">
        <v>115</v>
      </c>
      <c r="G11894" t="s">
        <v>474</v>
      </c>
      <c r="H11894" t="s">
        <v>412</v>
      </c>
      <c r="I11894" t="s">
        <v>292</v>
      </c>
      <c r="J11894" t="s">
        <v>207</v>
      </c>
      <c r="K11894" t="s">
        <v>956</v>
      </c>
      <c r="L11894" t="s">
        <v>167</v>
      </c>
      <c r="M11894" t="s">
        <v>115</v>
      </c>
    </row>
    <row r="11895" spans="1:13" x14ac:dyDescent="0.3">
      <c r="A11895" t="s">
        <v>37</v>
      </c>
      <c r="B11895" t="s">
        <v>236</v>
      </c>
      <c r="C11895">
        <v>2211</v>
      </c>
      <c r="D11895" t="s">
        <v>60</v>
      </c>
      <c r="E11895" t="s">
        <v>686</v>
      </c>
      <c r="F11895" t="s">
        <v>157</v>
      </c>
      <c r="G11895" t="s">
        <v>105</v>
      </c>
      <c r="H11895" t="s">
        <v>184</v>
      </c>
      <c r="I11895" t="s">
        <v>412</v>
      </c>
      <c r="J11895" t="s">
        <v>207</v>
      </c>
      <c r="K11895" t="s">
        <v>459</v>
      </c>
      <c r="L11895" t="s">
        <v>677</v>
      </c>
      <c r="M11895" t="s">
        <v>132</v>
      </c>
    </row>
    <row r="11896" spans="1:13" x14ac:dyDescent="0.3">
      <c r="A11896" t="s">
        <v>37</v>
      </c>
      <c r="B11896" t="s">
        <v>238</v>
      </c>
      <c r="C11896">
        <v>1644</v>
      </c>
      <c r="D11896" t="s">
        <v>298</v>
      </c>
      <c r="E11896" t="s">
        <v>705</v>
      </c>
      <c r="F11896" t="s">
        <v>154</v>
      </c>
      <c r="G11896" t="s">
        <v>138</v>
      </c>
      <c r="H11896" t="s">
        <v>158</v>
      </c>
      <c r="I11896" t="s">
        <v>128</v>
      </c>
      <c r="J11896" t="s">
        <v>207</v>
      </c>
      <c r="K11896" t="s">
        <v>1184</v>
      </c>
      <c r="L11896" t="s">
        <v>179</v>
      </c>
      <c r="M11896" t="s">
        <v>253</v>
      </c>
    </row>
    <row r="11897" spans="1:13" x14ac:dyDescent="0.3">
      <c r="A11897" t="s">
        <v>36</v>
      </c>
      <c r="B11897" t="s">
        <v>236</v>
      </c>
      <c r="C11897">
        <v>1566</v>
      </c>
      <c r="D11897" t="s">
        <v>177</v>
      </c>
      <c r="E11897" t="s">
        <v>670</v>
      </c>
      <c r="F11897" t="s">
        <v>108</v>
      </c>
      <c r="G11897" t="s">
        <v>215</v>
      </c>
      <c r="H11897" t="s">
        <v>449</v>
      </c>
      <c r="I11897" t="s">
        <v>128</v>
      </c>
      <c r="J11897" t="s">
        <v>136</v>
      </c>
      <c r="K11897" t="s">
        <v>1190</v>
      </c>
      <c r="L11897" t="s">
        <v>70</v>
      </c>
      <c r="M11897" t="s">
        <v>198</v>
      </c>
    </row>
    <row r="11898" spans="1:13" x14ac:dyDescent="0.3">
      <c r="A11898" t="s">
        <v>36</v>
      </c>
      <c r="B11898" t="s">
        <v>238</v>
      </c>
      <c r="C11898">
        <v>739</v>
      </c>
      <c r="D11898" t="s">
        <v>678</v>
      </c>
      <c r="E11898" t="s">
        <v>303</v>
      </c>
      <c r="F11898" t="s">
        <v>215</v>
      </c>
      <c r="G11898" t="s">
        <v>139</v>
      </c>
      <c r="H11898" t="s">
        <v>739</v>
      </c>
      <c r="I11898" t="s">
        <v>118</v>
      </c>
      <c r="J11898" t="s">
        <v>121</v>
      </c>
      <c r="K11898" t="s">
        <v>1386</v>
      </c>
      <c r="L11898" t="s">
        <v>328</v>
      </c>
      <c r="M11898" t="s">
        <v>253</v>
      </c>
    </row>
    <row r="11899" spans="1:13" x14ac:dyDescent="0.3">
      <c r="A11899" t="s">
        <v>34</v>
      </c>
      <c r="B11899" t="s">
        <v>236</v>
      </c>
      <c r="C11899">
        <v>717</v>
      </c>
      <c r="D11899" t="s">
        <v>206</v>
      </c>
      <c r="E11899" t="s">
        <v>710</v>
      </c>
      <c r="F11899" t="s">
        <v>207</v>
      </c>
      <c r="G11899" t="s">
        <v>157</v>
      </c>
      <c r="H11899" t="s">
        <v>182</v>
      </c>
      <c r="I11899" t="s">
        <v>115</v>
      </c>
      <c r="J11899" t="s">
        <v>108</v>
      </c>
      <c r="K11899" t="s">
        <v>63</v>
      </c>
      <c r="L11899" t="s">
        <v>117</v>
      </c>
      <c r="M11899" t="s">
        <v>141</v>
      </c>
    </row>
    <row r="11900" spans="1:13" x14ac:dyDescent="0.3">
      <c r="A11900" t="s">
        <v>34</v>
      </c>
      <c r="B11900" t="s">
        <v>238</v>
      </c>
      <c r="C11900">
        <v>1362</v>
      </c>
      <c r="D11900" t="s">
        <v>705</v>
      </c>
      <c r="E11900" t="s">
        <v>478</v>
      </c>
      <c r="F11900" t="s">
        <v>136</v>
      </c>
      <c r="G11900" t="s">
        <v>134</v>
      </c>
      <c r="H11900" t="s">
        <v>721</v>
      </c>
      <c r="I11900" t="s">
        <v>382</v>
      </c>
      <c r="J11900" t="s">
        <v>215</v>
      </c>
      <c r="K11900" t="s">
        <v>1151</v>
      </c>
      <c r="L11900" t="s">
        <v>120</v>
      </c>
      <c r="M11900" t="s">
        <v>104</v>
      </c>
    </row>
    <row r="11901" spans="1:13" x14ac:dyDescent="0.3">
      <c r="A11901" t="s">
        <v>33</v>
      </c>
      <c r="B11901" t="s">
        <v>236</v>
      </c>
      <c r="C11901">
        <v>1116</v>
      </c>
      <c r="D11901" t="s">
        <v>721</v>
      </c>
      <c r="E11901" t="s">
        <v>680</v>
      </c>
      <c r="F11901" t="s">
        <v>123</v>
      </c>
      <c r="G11901" t="s">
        <v>382</v>
      </c>
      <c r="H11901" t="s">
        <v>814</v>
      </c>
      <c r="I11901" t="s">
        <v>141</v>
      </c>
      <c r="J11901" t="s">
        <v>115</v>
      </c>
      <c r="K11901" t="s">
        <v>896</v>
      </c>
      <c r="L11901" t="s">
        <v>204</v>
      </c>
      <c r="M11901" t="s">
        <v>207</v>
      </c>
    </row>
    <row r="11902" spans="1:13" x14ac:dyDescent="0.3">
      <c r="A11902" t="s">
        <v>33</v>
      </c>
      <c r="B11902" t="s">
        <v>238</v>
      </c>
      <c r="C11902">
        <v>821</v>
      </c>
      <c r="D11902" t="s">
        <v>133</v>
      </c>
      <c r="E11902" t="s">
        <v>109</v>
      </c>
      <c r="F11902" t="s">
        <v>126</v>
      </c>
      <c r="G11902" t="s">
        <v>123</v>
      </c>
      <c r="H11902" t="s">
        <v>267</v>
      </c>
      <c r="I11902" t="s">
        <v>104</v>
      </c>
      <c r="J11902" t="s">
        <v>104</v>
      </c>
      <c r="K11902" t="s">
        <v>648</v>
      </c>
      <c r="L11902" t="s">
        <v>468</v>
      </c>
      <c r="M11902" t="s">
        <v>132</v>
      </c>
    </row>
    <row r="11903" spans="1:13" x14ac:dyDescent="0.3">
      <c r="A11903" t="s">
        <v>49</v>
      </c>
      <c r="B11903" t="s">
        <v>236</v>
      </c>
      <c r="C11903">
        <v>7219</v>
      </c>
      <c r="D11903" t="s">
        <v>749</v>
      </c>
      <c r="E11903" t="s">
        <v>740</v>
      </c>
      <c r="F11903" t="s">
        <v>127</v>
      </c>
      <c r="G11903" t="s">
        <v>103</v>
      </c>
      <c r="H11903" t="s">
        <v>420</v>
      </c>
      <c r="I11903" t="s">
        <v>316</v>
      </c>
      <c r="J11903" t="s">
        <v>141</v>
      </c>
      <c r="K11903" t="s">
        <v>611</v>
      </c>
      <c r="L11903" t="s">
        <v>722</v>
      </c>
      <c r="M11903" t="s">
        <v>115</v>
      </c>
    </row>
    <row r="11904" spans="1:13" x14ac:dyDescent="0.3">
      <c r="A11904" t="s">
        <v>49</v>
      </c>
      <c r="B11904" t="s">
        <v>238</v>
      </c>
      <c r="C11904">
        <v>6100</v>
      </c>
      <c r="D11904" t="s">
        <v>751</v>
      </c>
      <c r="E11904" t="s">
        <v>442</v>
      </c>
      <c r="F11904" t="s">
        <v>319</v>
      </c>
      <c r="G11904" t="s">
        <v>134</v>
      </c>
      <c r="H11904" t="s">
        <v>125</v>
      </c>
      <c r="I11904" t="s">
        <v>151</v>
      </c>
      <c r="J11904" t="s">
        <v>115</v>
      </c>
      <c r="K11904" t="s">
        <v>632</v>
      </c>
      <c r="L11904" t="s">
        <v>251</v>
      </c>
      <c r="M11904" t="s">
        <v>141</v>
      </c>
    </row>
    <row r="11906" spans="1:22" x14ac:dyDescent="0.3">
      <c r="A11906" t="s">
        <v>2715</v>
      </c>
    </row>
    <row r="11907" spans="1:22" x14ac:dyDescent="0.3">
      <c r="A11907" t="s">
        <v>44</v>
      </c>
      <c r="B11907" t="s">
        <v>257</v>
      </c>
      <c r="C11907" t="s">
        <v>32</v>
      </c>
      <c r="D11907" t="s">
        <v>2704</v>
      </c>
      <c r="E11907" t="s">
        <v>2705</v>
      </c>
      <c r="F11907" t="s">
        <v>2706</v>
      </c>
      <c r="G11907" t="s">
        <v>2707</v>
      </c>
      <c r="H11907" t="s">
        <v>2708</v>
      </c>
      <c r="I11907" t="s">
        <v>2709</v>
      </c>
      <c r="J11907" t="s">
        <v>88</v>
      </c>
      <c r="K11907" t="s">
        <v>2710</v>
      </c>
      <c r="L11907" t="s">
        <v>83</v>
      </c>
      <c r="M11907" t="s">
        <v>193</v>
      </c>
    </row>
    <row r="11908" spans="1:22" x14ac:dyDescent="0.3">
      <c r="A11908" t="s">
        <v>35</v>
      </c>
      <c r="B11908" t="s">
        <v>258</v>
      </c>
      <c r="C11908">
        <v>2871</v>
      </c>
      <c r="D11908" t="s">
        <v>1107</v>
      </c>
      <c r="E11908" t="s">
        <v>834</v>
      </c>
      <c r="F11908" t="s">
        <v>132</v>
      </c>
      <c r="G11908" t="s">
        <v>110</v>
      </c>
      <c r="H11908" t="s">
        <v>134</v>
      </c>
      <c r="I11908" t="s">
        <v>127</v>
      </c>
      <c r="J11908" t="s">
        <v>198</v>
      </c>
      <c r="K11908" t="s">
        <v>698</v>
      </c>
      <c r="L11908" t="s">
        <v>406</v>
      </c>
      <c r="M11908" t="s">
        <v>132</v>
      </c>
    </row>
    <row r="11909" spans="1:22" x14ac:dyDescent="0.3">
      <c r="A11909" t="s">
        <v>35</v>
      </c>
      <c r="B11909" t="s">
        <v>260</v>
      </c>
      <c r="C11909">
        <v>272</v>
      </c>
      <c r="D11909" t="s">
        <v>291</v>
      </c>
      <c r="E11909" t="s">
        <v>287</v>
      </c>
      <c r="F11909" t="s">
        <v>99</v>
      </c>
      <c r="G11909" t="s">
        <v>123</v>
      </c>
      <c r="H11909" t="s">
        <v>222</v>
      </c>
      <c r="I11909" t="s">
        <v>147</v>
      </c>
      <c r="J11909" t="s">
        <v>123</v>
      </c>
      <c r="K11909" t="s">
        <v>490</v>
      </c>
      <c r="L11909" t="s">
        <v>675</v>
      </c>
      <c r="M11909" t="s">
        <v>132</v>
      </c>
    </row>
    <row r="11910" spans="1:22" x14ac:dyDescent="0.3">
      <c r="A11910" t="s">
        <v>37</v>
      </c>
      <c r="B11910" t="s">
        <v>258</v>
      </c>
      <c r="C11910">
        <v>3855</v>
      </c>
      <c r="D11910" t="s">
        <v>715</v>
      </c>
      <c r="E11910" t="s">
        <v>743</v>
      </c>
      <c r="F11910" t="s">
        <v>138</v>
      </c>
      <c r="G11910" t="s">
        <v>105</v>
      </c>
      <c r="H11910" t="s">
        <v>675</v>
      </c>
      <c r="I11910" t="s">
        <v>129</v>
      </c>
      <c r="J11910" t="s">
        <v>207</v>
      </c>
      <c r="K11910" t="s">
        <v>515</v>
      </c>
      <c r="L11910" t="s">
        <v>737</v>
      </c>
      <c r="M11910" t="s">
        <v>115</v>
      </c>
    </row>
    <row r="11911" spans="1:22" x14ac:dyDescent="0.3">
      <c r="A11911" t="s">
        <v>36</v>
      </c>
      <c r="B11911" t="s">
        <v>258</v>
      </c>
      <c r="C11911">
        <v>2100</v>
      </c>
      <c r="D11911" t="s">
        <v>177</v>
      </c>
      <c r="E11911" t="s">
        <v>442</v>
      </c>
      <c r="F11911" t="s">
        <v>319</v>
      </c>
      <c r="G11911" t="s">
        <v>155</v>
      </c>
      <c r="H11911" t="s">
        <v>201</v>
      </c>
      <c r="I11911" t="s">
        <v>155</v>
      </c>
      <c r="J11911" t="s">
        <v>132</v>
      </c>
      <c r="K11911" t="s">
        <v>603</v>
      </c>
      <c r="L11911" t="s">
        <v>675</v>
      </c>
      <c r="M11911" t="s">
        <v>136</v>
      </c>
    </row>
    <row r="11912" spans="1:22" x14ac:dyDescent="0.3">
      <c r="A11912" t="s">
        <v>36</v>
      </c>
      <c r="B11912" t="s">
        <v>260</v>
      </c>
      <c r="C11912">
        <v>205</v>
      </c>
      <c r="D11912" t="s">
        <v>155</v>
      </c>
      <c r="E11912" t="s">
        <v>155</v>
      </c>
      <c r="F11912" t="s">
        <v>141</v>
      </c>
      <c r="G11912" t="s">
        <v>126</v>
      </c>
      <c r="H11912" t="s">
        <v>242</v>
      </c>
      <c r="I11912" t="s">
        <v>126</v>
      </c>
      <c r="J11912" t="s">
        <v>151</v>
      </c>
      <c r="K11912" t="s">
        <v>407</v>
      </c>
      <c r="L11912" t="s">
        <v>151</v>
      </c>
      <c r="M11912" t="s">
        <v>141</v>
      </c>
    </row>
    <row r="11913" spans="1:22" x14ac:dyDescent="0.3">
      <c r="A11913" t="s">
        <v>34</v>
      </c>
      <c r="B11913" t="s">
        <v>258</v>
      </c>
      <c r="C11913">
        <v>1221</v>
      </c>
      <c r="D11913" t="s">
        <v>58</v>
      </c>
      <c r="E11913" t="s">
        <v>724</v>
      </c>
      <c r="F11913" t="s">
        <v>141</v>
      </c>
      <c r="G11913" t="s">
        <v>127</v>
      </c>
      <c r="H11913" t="s">
        <v>264</v>
      </c>
      <c r="I11913" t="s">
        <v>253</v>
      </c>
      <c r="J11913" t="s">
        <v>99</v>
      </c>
      <c r="K11913" t="s">
        <v>948</v>
      </c>
      <c r="L11913" t="s">
        <v>127</v>
      </c>
      <c r="M11913" t="s">
        <v>198</v>
      </c>
    </row>
    <row r="11914" spans="1:22" x14ac:dyDescent="0.3">
      <c r="A11914" t="s">
        <v>34</v>
      </c>
      <c r="B11914" t="s">
        <v>260</v>
      </c>
      <c r="C11914">
        <v>858</v>
      </c>
      <c r="D11914" t="s">
        <v>353</v>
      </c>
      <c r="E11914" t="s">
        <v>233</v>
      </c>
      <c r="F11914" t="s">
        <v>207</v>
      </c>
      <c r="G11914" t="s">
        <v>139</v>
      </c>
      <c r="H11914" t="s">
        <v>171</v>
      </c>
      <c r="I11914" t="s">
        <v>215</v>
      </c>
      <c r="J11914" t="s">
        <v>117</v>
      </c>
      <c r="K11914" t="s">
        <v>455</v>
      </c>
      <c r="L11914" t="s">
        <v>105</v>
      </c>
      <c r="M11914" t="s">
        <v>198</v>
      </c>
    </row>
    <row r="11915" spans="1:22" x14ac:dyDescent="0.3">
      <c r="A11915" t="s">
        <v>33</v>
      </c>
      <c r="B11915" t="s">
        <v>258</v>
      </c>
      <c r="C11915">
        <v>1937</v>
      </c>
      <c r="D11915" t="s">
        <v>291</v>
      </c>
      <c r="E11915" t="s">
        <v>133</v>
      </c>
      <c r="F11915" t="s">
        <v>215</v>
      </c>
      <c r="G11915" t="s">
        <v>127</v>
      </c>
      <c r="H11915" t="s">
        <v>244</v>
      </c>
      <c r="I11915" t="s">
        <v>207</v>
      </c>
      <c r="J11915" t="s">
        <v>136</v>
      </c>
      <c r="K11915" t="s">
        <v>1227</v>
      </c>
      <c r="L11915" t="s">
        <v>325</v>
      </c>
      <c r="M11915" t="s">
        <v>253</v>
      </c>
    </row>
    <row r="11916" spans="1:22" x14ac:dyDescent="0.3">
      <c r="A11916" t="s">
        <v>49</v>
      </c>
      <c r="B11916" t="s">
        <v>258</v>
      </c>
      <c r="C11916">
        <v>11984</v>
      </c>
      <c r="D11916" t="s">
        <v>307</v>
      </c>
      <c r="E11916" t="s">
        <v>131</v>
      </c>
      <c r="F11916" t="s">
        <v>127</v>
      </c>
      <c r="G11916" t="s">
        <v>157</v>
      </c>
      <c r="H11916" t="s">
        <v>305</v>
      </c>
      <c r="I11916" t="s">
        <v>268</v>
      </c>
      <c r="J11916" t="s">
        <v>207</v>
      </c>
      <c r="K11916" t="s">
        <v>947</v>
      </c>
      <c r="L11916" t="s">
        <v>313</v>
      </c>
      <c r="M11916" t="s">
        <v>253</v>
      </c>
    </row>
    <row r="11917" spans="1:22" x14ac:dyDescent="0.3">
      <c r="A11917" t="s">
        <v>49</v>
      </c>
      <c r="B11917" t="s">
        <v>260</v>
      </c>
      <c r="C11917">
        <v>1335</v>
      </c>
      <c r="D11917" t="s">
        <v>72</v>
      </c>
      <c r="E11917" t="s">
        <v>233</v>
      </c>
      <c r="F11917" t="s">
        <v>198</v>
      </c>
      <c r="G11917" t="s">
        <v>129</v>
      </c>
      <c r="H11917" t="s">
        <v>313</v>
      </c>
      <c r="I11917" t="s">
        <v>151</v>
      </c>
      <c r="J11917" t="s">
        <v>111</v>
      </c>
      <c r="K11917" t="s">
        <v>1470</v>
      </c>
      <c r="L11917" t="s">
        <v>110</v>
      </c>
      <c r="M11917" t="s">
        <v>207</v>
      </c>
    </row>
    <row r="11919" spans="1:22" x14ac:dyDescent="0.3">
      <c r="A11919" t="s">
        <v>2716</v>
      </c>
    </row>
    <row r="11920" spans="1:22" x14ac:dyDescent="0.3">
      <c r="A11920" t="s">
        <v>44</v>
      </c>
      <c r="B11920" t="s">
        <v>32</v>
      </c>
      <c r="C11920" t="s">
        <v>1323</v>
      </c>
      <c r="D11920" t="s">
        <v>2717</v>
      </c>
      <c r="E11920" t="s">
        <v>2718</v>
      </c>
      <c r="F11920" t="s">
        <v>2719</v>
      </c>
      <c r="G11920" t="s">
        <v>2720</v>
      </c>
      <c r="H11920" t="s">
        <v>2721</v>
      </c>
      <c r="I11920" t="s">
        <v>2722</v>
      </c>
      <c r="J11920" t="s">
        <v>2723</v>
      </c>
      <c r="K11920" t="s">
        <v>2724</v>
      </c>
      <c r="L11920" t="s">
        <v>2725</v>
      </c>
      <c r="M11920" t="s">
        <v>2726</v>
      </c>
      <c r="N11920" t="s">
        <v>2727</v>
      </c>
      <c r="O11920" t="s">
        <v>2728</v>
      </c>
      <c r="P11920" t="s">
        <v>2729</v>
      </c>
      <c r="Q11920" t="s">
        <v>2730</v>
      </c>
      <c r="R11920" t="s">
        <v>2731</v>
      </c>
      <c r="S11920" t="s">
        <v>2732</v>
      </c>
      <c r="T11920" t="s">
        <v>2733</v>
      </c>
      <c r="U11920" t="s">
        <v>88</v>
      </c>
      <c r="V11920" t="s">
        <v>193</v>
      </c>
    </row>
    <row r="11921" spans="1:23" x14ac:dyDescent="0.3">
      <c r="A11921" t="s">
        <v>35</v>
      </c>
      <c r="B11921">
        <v>3143</v>
      </c>
      <c r="C11921" t="s">
        <v>803</v>
      </c>
      <c r="D11921" t="s">
        <v>262</v>
      </c>
      <c r="E11921" t="s">
        <v>405</v>
      </c>
      <c r="F11921" t="s">
        <v>120</v>
      </c>
      <c r="G11921" t="s">
        <v>664</v>
      </c>
      <c r="H11921" t="s">
        <v>349</v>
      </c>
      <c r="I11921" t="s">
        <v>353</v>
      </c>
      <c r="J11921" t="s">
        <v>444</v>
      </c>
      <c r="K11921" t="s">
        <v>130</v>
      </c>
      <c r="L11921" t="s">
        <v>357</v>
      </c>
      <c r="M11921" t="s">
        <v>412</v>
      </c>
      <c r="N11921" t="s">
        <v>120</v>
      </c>
      <c r="O11921" t="s">
        <v>911</v>
      </c>
      <c r="P11921" t="s">
        <v>128</v>
      </c>
      <c r="Q11921" t="s">
        <v>114</v>
      </c>
      <c r="R11921" t="s">
        <v>128</v>
      </c>
      <c r="S11921" t="s">
        <v>99</v>
      </c>
      <c r="T11921" t="s">
        <v>198</v>
      </c>
      <c r="U11921" t="s">
        <v>198</v>
      </c>
      <c r="V11921" t="s">
        <v>215</v>
      </c>
    </row>
    <row r="11922" spans="1:23" x14ac:dyDescent="0.3">
      <c r="A11922" t="s">
        <v>37</v>
      </c>
      <c r="B11922">
        <v>3848</v>
      </c>
      <c r="C11922" t="s">
        <v>713</v>
      </c>
      <c r="D11922" t="s">
        <v>676</v>
      </c>
      <c r="E11922" t="s">
        <v>379</v>
      </c>
      <c r="F11922" t="s">
        <v>468</v>
      </c>
      <c r="G11922" t="s">
        <v>74</v>
      </c>
      <c r="H11922" t="s">
        <v>425</v>
      </c>
      <c r="I11922" t="s">
        <v>134</v>
      </c>
      <c r="J11922" t="s">
        <v>142</v>
      </c>
      <c r="K11922" t="s">
        <v>105</v>
      </c>
      <c r="L11922" t="s">
        <v>357</v>
      </c>
      <c r="M11922" t="s">
        <v>151</v>
      </c>
      <c r="N11922" t="s">
        <v>128</v>
      </c>
      <c r="O11922" t="s">
        <v>281</v>
      </c>
      <c r="P11922" t="s">
        <v>120</v>
      </c>
      <c r="Q11922" t="s">
        <v>198</v>
      </c>
      <c r="R11922" t="s">
        <v>151</v>
      </c>
      <c r="S11922" t="s">
        <v>104</v>
      </c>
      <c r="T11922" t="s">
        <v>104</v>
      </c>
      <c r="U11922" t="s">
        <v>99</v>
      </c>
      <c r="V11922" t="s">
        <v>292</v>
      </c>
    </row>
    <row r="11923" spans="1:23" x14ac:dyDescent="0.3">
      <c r="A11923" t="s">
        <v>36</v>
      </c>
      <c r="B11923">
        <v>2304</v>
      </c>
      <c r="C11923" t="s">
        <v>822</v>
      </c>
      <c r="D11923" t="s">
        <v>160</v>
      </c>
      <c r="E11923" t="s">
        <v>299</v>
      </c>
      <c r="F11923" t="s">
        <v>134</v>
      </c>
      <c r="G11923" t="s">
        <v>663</v>
      </c>
      <c r="H11923" t="s">
        <v>370</v>
      </c>
      <c r="I11923" t="s">
        <v>105</v>
      </c>
      <c r="J11923" t="s">
        <v>264</v>
      </c>
      <c r="K11923" t="s">
        <v>242</v>
      </c>
      <c r="L11923" t="s">
        <v>731</v>
      </c>
      <c r="M11923" t="s">
        <v>105</v>
      </c>
      <c r="N11923" t="s">
        <v>316</v>
      </c>
      <c r="O11923" t="s">
        <v>805</v>
      </c>
      <c r="P11923" t="s">
        <v>135</v>
      </c>
      <c r="Q11923" t="s">
        <v>108</v>
      </c>
      <c r="R11923" t="s">
        <v>325</v>
      </c>
      <c r="S11923" t="s">
        <v>207</v>
      </c>
      <c r="T11923" t="s">
        <v>198</v>
      </c>
      <c r="U11923" t="s">
        <v>99</v>
      </c>
      <c r="V11923" t="s">
        <v>126</v>
      </c>
    </row>
    <row r="11924" spans="1:23" x14ac:dyDescent="0.3">
      <c r="A11924" t="s">
        <v>34</v>
      </c>
      <c r="B11924">
        <v>2079</v>
      </c>
      <c r="C11924" t="s">
        <v>342</v>
      </c>
      <c r="D11924" t="s">
        <v>139</v>
      </c>
      <c r="E11924" t="s">
        <v>133</v>
      </c>
      <c r="F11924" t="s">
        <v>129</v>
      </c>
      <c r="G11924" t="s">
        <v>722</v>
      </c>
      <c r="H11924" t="s">
        <v>463</v>
      </c>
      <c r="I11924" t="s">
        <v>142</v>
      </c>
      <c r="J11924" t="s">
        <v>542</v>
      </c>
      <c r="K11924" t="s">
        <v>401</v>
      </c>
      <c r="L11924" t="s">
        <v>738</v>
      </c>
      <c r="M11924" t="s">
        <v>149</v>
      </c>
      <c r="N11924" t="s">
        <v>105</v>
      </c>
      <c r="O11924" t="s">
        <v>699</v>
      </c>
      <c r="P11924" t="s">
        <v>118</v>
      </c>
      <c r="Q11924" t="s">
        <v>111</v>
      </c>
      <c r="R11924" t="s">
        <v>114</v>
      </c>
      <c r="S11924" t="s">
        <v>136</v>
      </c>
      <c r="T11924" t="s">
        <v>114</v>
      </c>
      <c r="U11924" t="s">
        <v>99</v>
      </c>
      <c r="V11924" t="s">
        <v>268</v>
      </c>
    </row>
    <row r="11925" spans="1:23" x14ac:dyDescent="0.3">
      <c r="A11925" t="s">
        <v>33</v>
      </c>
      <c r="B11925">
        <v>1937</v>
      </c>
      <c r="C11925" t="s">
        <v>591</v>
      </c>
      <c r="D11925" t="s">
        <v>449</v>
      </c>
      <c r="E11925" t="s">
        <v>152</v>
      </c>
      <c r="F11925" t="s">
        <v>101</v>
      </c>
      <c r="G11925" t="s">
        <v>215</v>
      </c>
      <c r="H11925" t="s">
        <v>478</v>
      </c>
      <c r="I11925" t="s">
        <v>103</v>
      </c>
      <c r="J11925" t="s">
        <v>133</v>
      </c>
      <c r="K11925" t="s">
        <v>118</v>
      </c>
      <c r="L11925" t="s">
        <v>704</v>
      </c>
      <c r="M11925" t="s">
        <v>157</v>
      </c>
      <c r="N11925" t="s">
        <v>319</v>
      </c>
      <c r="O11925" t="s">
        <v>743</v>
      </c>
      <c r="P11925" t="s">
        <v>151</v>
      </c>
      <c r="Q11925" t="s">
        <v>136</v>
      </c>
      <c r="R11925" t="s">
        <v>277</v>
      </c>
      <c r="S11925" t="s">
        <v>104</v>
      </c>
      <c r="T11925" t="s">
        <v>99</v>
      </c>
      <c r="U11925" t="s">
        <v>99</v>
      </c>
      <c r="V11925" t="s">
        <v>207</v>
      </c>
    </row>
    <row r="11926" spans="1:23" x14ac:dyDescent="0.3">
      <c r="A11926" t="s">
        <v>49</v>
      </c>
      <c r="B11926">
        <v>13311</v>
      </c>
      <c r="C11926" t="s">
        <v>903</v>
      </c>
      <c r="D11926" t="s">
        <v>291</v>
      </c>
      <c r="E11926" t="s">
        <v>671</v>
      </c>
      <c r="F11926" t="s">
        <v>154</v>
      </c>
      <c r="G11926" t="s">
        <v>254</v>
      </c>
      <c r="H11926" t="s">
        <v>747</v>
      </c>
      <c r="I11926" t="s">
        <v>325</v>
      </c>
      <c r="J11926" t="s">
        <v>746</v>
      </c>
      <c r="K11926" t="s">
        <v>139</v>
      </c>
      <c r="L11926" t="s">
        <v>718</v>
      </c>
      <c r="M11926" t="s">
        <v>154</v>
      </c>
      <c r="N11926" t="s">
        <v>316</v>
      </c>
      <c r="O11926" t="s">
        <v>307</v>
      </c>
      <c r="P11926" t="s">
        <v>105</v>
      </c>
      <c r="Q11926" t="s">
        <v>108</v>
      </c>
      <c r="R11926" t="s">
        <v>120</v>
      </c>
      <c r="S11926" t="s">
        <v>104</v>
      </c>
      <c r="T11926" t="s">
        <v>207</v>
      </c>
      <c r="U11926" t="s">
        <v>104</v>
      </c>
      <c r="V11926" t="s">
        <v>215</v>
      </c>
    </row>
    <row r="11928" spans="1:23" x14ac:dyDescent="0.3">
      <c r="A11928" t="s">
        <v>2734</v>
      </c>
    </row>
    <row r="11929" spans="1:23" x14ac:dyDescent="0.3">
      <c r="A11929" t="s">
        <v>44</v>
      </c>
      <c r="B11929" t="s">
        <v>361</v>
      </c>
      <c r="C11929" t="s">
        <v>32</v>
      </c>
      <c r="D11929" t="s">
        <v>1323</v>
      </c>
      <c r="E11929" t="s">
        <v>2717</v>
      </c>
      <c r="F11929" t="s">
        <v>2718</v>
      </c>
      <c r="G11929" t="s">
        <v>2719</v>
      </c>
      <c r="H11929" t="s">
        <v>2720</v>
      </c>
      <c r="I11929" t="s">
        <v>2721</v>
      </c>
      <c r="J11929" t="s">
        <v>2722</v>
      </c>
      <c r="K11929" t="s">
        <v>2723</v>
      </c>
      <c r="L11929" t="s">
        <v>2724</v>
      </c>
      <c r="M11929" t="s">
        <v>2725</v>
      </c>
      <c r="N11929" t="s">
        <v>2726</v>
      </c>
      <c r="O11929" t="s">
        <v>2727</v>
      </c>
      <c r="P11929" t="s">
        <v>2728</v>
      </c>
      <c r="Q11929" t="s">
        <v>2729</v>
      </c>
      <c r="R11929" t="s">
        <v>2730</v>
      </c>
      <c r="S11929" t="s">
        <v>2731</v>
      </c>
      <c r="T11929" t="s">
        <v>2732</v>
      </c>
      <c r="U11929" t="s">
        <v>2733</v>
      </c>
      <c r="V11929" t="s">
        <v>88</v>
      </c>
      <c r="W11929" t="s">
        <v>193</v>
      </c>
    </row>
    <row r="11930" spans="1:23" x14ac:dyDescent="0.3">
      <c r="A11930" t="s">
        <v>35</v>
      </c>
      <c r="B11930" t="s">
        <v>339</v>
      </c>
      <c r="C11930">
        <v>888</v>
      </c>
      <c r="D11930" t="s">
        <v>38</v>
      </c>
      <c r="E11930" t="s">
        <v>122</v>
      </c>
      <c r="F11930" t="s">
        <v>679</v>
      </c>
      <c r="G11930" t="s">
        <v>128</v>
      </c>
      <c r="H11930" t="s">
        <v>184</v>
      </c>
      <c r="I11930" t="s">
        <v>698</v>
      </c>
      <c r="J11930" t="s">
        <v>139</v>
      </c>
      <c r="K11930" t="s">
        <v>370</v>
      </c>
      <c r="L11930" t="s">
        <v>277</v>
      </c>
      <c r="M11930" t="s">
        <v>503</v>
      </c>
      <c r="N11930" t="s">
        <v>277</v>
      </c>
      <c r="O11930" t="s">
        <v>292</v>
      </c>
      <c r="P11930" t="s">
        <v>60</v>
      </c>
      <c r="Q11930" t="s">
        <v>154</v>
      </c>
      <c r="R11930" t="s">
        <v>100</v>
      </c>
      <c r="S11930" t="s">
        <v>103</v>
      </c>
      <c r="T11930" t="s">
        <v>99</v>
      </c>
      <c r="U11930" t="s">
        <v>99</v>
      </c>
      <c r="V11930" t="s">
        <v>99</v>
      </c>
      <c r="W11930" t="s">
        <v>151</v>
      </c>
    </row>
    <row r="11931" spans="1:23" x14ac:dyDescent="0.3">
      <c r="A11931" t="s">
        <v>35</v>
      </c>
      <c r="B11931" t="s">
        <v>340</v>
      </c>
      <c r="C11931">
        <v>2215</v>
      </c>
      <c r="D11931" t="s">
        <v>809</v>
      </c>
      <c r="E11931" t="s">
        <v>416</v>
      </c>
      <c r="F11931" t="s">
        <v>165</v>
      </c>
      <c r="G11931" t="s">
        <v>120</v>
      </c>
      <c r="H11931" t="s">
        <v>664</v>
      </c>
      <c r="I11931" t="s">
        <v>540</v>
      </c>
      <c r="J11931" t="s">
        <v>142</v>
      </c>
      <c r="K11931" t="s">
        <v>726</v>
      </c>
      <c r="L11931" t="s">
        <v>154</v>
      </c>
      <c r="M11931" t="s">
        <v>355</v>
      </c>
      <c r="N11931" t="s">
        <v>412</v>
      </c>
      <c r="O11931" t="s">
        <v>157</v>
      </c>
      <c r="P11931" t="s">
        <v>432</v>
      </c>
      <c r="Q11931" t="s">
        <v>117</v>
      </c>
      <c r="R11931" t="s">
        <v>114</v>
      </c>
      <c r="S11931" t="s">
        <v>128</v>
      </c>
      <c r="T11931" t="s">
        <v>99</v>
      </c>
      <c r="U11931" t="s">
        <v>198</v>
      </c>
      <c r="V11931" t="s">
        <v>207</v>
      </c>
      <c r="W11931" t="s">
        <v>382</v>
      </c>
    </row>
    <row r="11932" spans="1:23" x14ac:dyDescent="0.3">
      <c r="A11932" t="s">
        <v>35</v>
      </c>
      <c r="B11932" t="s">
        <v>365</v>
      </c>
      <c r="C11932">
        <v>40</v>
      </c>
      <c r="D11932" t="s">
        <v>831</v>
      </c>
      <c r="E11932" t="s">
        <v>405</v>
      </c>
      <c r="F11932" t="s">
        <v>328</v>
      </c>
      <c r="G11932" t="s">
        <v>117</v>
      </c>
      <c r="H11932" t="s">
        <v>107</v>
      </c>
      <c r="I11932" t="s">
        <v>688</v>
      </c>
      <c r="J11932" t="s">
        <v>138</v>
      </c>
      <c r="K11932" t="s">
        <v>106</v>
      </c>
      <c r="L11932" t="s">
        <v>664</v>
      </c>
      <c r="M11932" t="s">
        <v>735</v>
      </c>
      <c r="N11932" t="s">
        <v>132</v>
      </c>
      <c r="O11932" t="s">
        <v>99</v>
      </c>
      <c r="P11932" t="s">
        <v>131</v>
      </c>
      <c r="Q11932" t="s">
        <v>121</v>
      </c>
      <c r="R11932" t="s">
        <v>103</v>
      </c>
      <c r="S11932" t="s">
        <v>112</v>
      </c>
      <c r="T11932" t="s">
        <v>99</v>
      </c>
      <c r="U11932" t="s">
        <v>99</v>
      </c>
      <c r="V11932" t="s">
        <v>99</v>
      </c>
      <c r="W11932" t="s">
        <v>215</v>
      </c>
    </row>
    <row r="11933" spans="1:23" x14ac:dyDescent="0.3">
      <c r="A11933" t="s">
        <v>37</v>
      </c>
      <c r="B11933" t="s">
        <v>339</v>
      </c>
      <c r="C11933">
        <v>1090</v>
      </c>
      <c r="D11933" t="s">
        <v>724</v>
      </c>
      <c r="E11933" t="s">
        <v>244</v>
      </c>
      <c r="F11933" t="s">
        <v>363</v>
      </c>
      <c r="G11933" t="s">
        <v>139</v>
      </c>
      <c r="H11933" t="s">
        <v>412</v>
      </c>
      <c r="I11933" t="s">
        <v>842</v>
      </c>
      <c r="J11933" t="s">
        <v>126</v>
      </c>
      <c r="K11933" t="s">
        <v>746</v>
      </c>
      <c r="L11933" t="s">
        <v>154</v>
      </c>
      <c r="M11933" t="s">
        <v>446</v>
      </c>
      <c r="N11933" t="s">
        <v>105</v>
      </c>
      <c r="O11933" t="s">
        <v>128</v>
      </c>
      <c r="P11933" t="s">
        <v>456</v>
      </c>
      <c r="Q11933" t="s">
        <v>332</v>
      </c>
      <c r="R11933" t="s">
        <v>198</v>
      </c>
      <c r="S11933" t="s">
        <v>111</v>
      </c>
      <c r="T11933" t="s">
        <v>104</v>
      </c>
      <c r="U11933" t="s">
        <v>104</v>
      </c>
      <c r="V11933" t="s">
        <v>99</v>
      </c>
      <c r="W11933" t="s">
        <v>147</v>
      </c>
    </row>
    <row r="11934" spans="1:23" x14ac:dyDescent="0.3">
      <c r="A11934" t="s">
        <v>37</v>
      </c>
      <c r="B11934" t="s">
        <v>340</v>
      </c>
      <c r="C11934">
        <v>2717</v>
      </c>
      <c r="D11934" t="s">
        <v>102</v>
      </c>
      <c r="E11934" t="s">
        <v>491</v>
      </c>
      <c r="F11934" t="s">
        <v>163</v>
      </c>
      <c r="G11934" t="s">
        <v>144</v>
      </c>
      <c r="H11934" t="s">
        <v>109</v>
      </c>
      <c r="I11934" t="s">
        <v>432</v>
      </c>
      <c r="J11934" t="s">
        <v>149</v>
      </c>
      <c r="K11934" t="s">
        <v>353</v>
      </c>
      <c r="L11934" t="s">
        <v>147</v>
      </c>
      <c r="M11934" t="s">
        <v>721</v>
      </c>
      <c r="N11934" t="s">
        <v>382</v>
      </c>
      <c r="O11934" t="s">
        <v>120</v>
      </c>
      <c r="P11934" t="s">
        <v>748</v>
      </c>
      <c r="Q11934" t="s">
        <v>103</v>
      </c>
      <c r="R11934" t="s">
        <v>198</v>
      </c>
      <c r="S11934" t="s">
        <v>151</v>
      </c>
      <c r="T11934" t="s">
        <v>104</v>
      </c>
      <c r="U11934" t="s">
        <v>99</v>
      </c>
      <c r="V11934" t="s">
        <v>99</v>
      </c>
      <c r="W11934" t="s">
        <v>127</v>
      </c>
    </row>
    <row r="11935" spans="1:23" x14ac:dyDescent="0.3">
      <c r="A11935" t="s">
        <v>37</v>
      </c>
      <c r="B11935" t="s">
        <v>365</v>
      </c>
      <c r="C11935">
        <v>41</v>
      </c>
      <c r="D11935" t="s">
        <v>227</v>
      </c>
      <c r="E11935" t="s">
        <v>255</v>
      </c>
      <c r="F11935" t="s">
        <v>248</v>
      </c>
      <c r="G11935" t="s">
        <v>118</v>
      </c>
      <c r="H11935" t="s">
        <v>292</v>
      </c>
      <c r="I11935" t="s">
        <v>341</v>
      </c>
      <c r="J11935" t="s">
        <v>99</v>
      </c>
      <c r="K11935" t="s">
        <v>220</v>
      </c>
      <c r="L11935" t="s">
        <v>267</v>
      </c>
      <c r="M11935" t="s">
        <v>152</v>
      </c>
      <c r="N11935" t="s">
        <v>99</v>
      </c>
      <c r="O11935" t="s">
        <v>99</v>
      </c>
      <c r="P11935" t="s">
        <v>41</v>
      </c>
      <c r="Q11935" t="s">
        <v>99</v>
      </c>
      <c r="R11935" t="s">
        <v>99</v>
      </c>
      <c r="S11935" t="s">
        <v>99</v>
      </c>
      <c r="T11935" t="s">
        <v>99</v>
      </c>
      <c r="U11935" t="s">
        <v>99</v>
      </c>
      <c r="V11935" t="s">
        <v>99</v>
      </c>
      <c r="W11935" t="s">
        <v>128</v>
      </c>
    </row>
    <row r="11936" spans="1:23" x14ac:dyDescent="0.3">
      <c r="A11936" t="s">
        <v>36</v>
      </c>
      <c r="B11936" t="s">
        <v>339</v>
      </c>
      <c r="C11936">
        <v>769</v>
      </c>
      <c r="D11936" t="s">
        <v>897</v>
      </c>
      <c r="E11936" t="s">
        <v>305</v>
      </c>
      <c r="F11936" t="s">
        <v>70</v>
      </c>
      <c r="G11936" t="s">
        <v>316</v>
      </c>
      <c r="H11936" t="s">
        <v>135</v>
      </c>
      <c r="I11936" t="s">
        <v>1059</v>
      </c>
      <c r="J11936" t="s">
        <v>155</v>
      </c>
      <c r="K11936" t="s">
        <v>38</v>
      </c>
      <c r="L11936" t="s">
        <v>74</v>
      </c>
      <c r="M11936" t="s">
        <v>678</v>
      </c>
      <c r="N11936" t="s">
        <v>111</v>
      </c>
      <c r="O11936" t="s">
        <v>138</v>
      </c>
      <c r="P11936" t="s">
        <v>246</v>
      </c>
      <c r="Q11936" t="s">
        <v>369</v>
      </c>
      <c r="R11936" t="s">
        <v>104</v>
      </c>
      <c r="S11936" t="s">
        <v>139</v>
      </c>
      <c r="T11936" t="s">
        <v>132</v>
      </c>
      <c r="U11936" t="s">
        <v>207</v>
      </c>
      <c r="V11936" t="s">
        <v>99</v>
      </c>
      <c r="W11936" t="s">
        <v>114</v>
      </c>
    </row>
    <row r="11937" spans="1:23" x14ac:dyDescent="0.3">
      <c r="A11937" t="s">
        <v>36</v>
      </c>
      <c r="B11937" t="s">
        <v>340</v>
      </c>
      <c r="C11937">
        <v>1472</v>
      </c>
      <c r="D11937" t="s">
        <v>496</v>
      </c>
      <c r="E11937" t="s">
        <v>325</v>
      </c>
      <c r="F11937" t="s">
        <v>299</v>
      </c>
      <c r="G11937" t="s">
        <v>118</v>
      </c>
      <c r="H11937" t="s">
        <v>109</v>
      </c>
      <c r="I11937" t="s">
        <v>811</v>
      </c>
      <c r="J11937" t="s">
        <v>138</v>
      </c>
      <c r="K11937" t="s">
        <v>721</v>
      </c>
      <c r="L11937" t="s">
        <v>130</v>
      </c>
      <c r="M11937" t="s">
        <v>291</v>
      </c>
      <c r="N11937" t="s">
        <v>134</v>
      </c>
      <c r="O11937" t="s">
        <v>268</v>
      </c>
      <c r="P11937" t="s">
        <v>692</v>
      </c>
      <c r="Q11937" t="s">
        <v>277</v>
      </c>
      <c r="R11937" t="s">
        <v>101</v>
      </c>
      <c r="S11937" t="s">
        <v>663</v>
      </c>
      <c r="T11937" t="s">
        <v>104</v>
      </c>
      <c r="U11937" t="s">
        <v>104</v>
      </c>
      <c r="V11937" t="s">
        <v>99</v>
      </c>
      <c r="W11937" t="s">
        <v>127</v>
      </c>
    </row>
    <row r="11938" spans="1:23" x14ac:dyDescent="0.3">
      <c r="A11938" t="s">
        <v>36</v>
      </c>
      <c r="B11938" t="s">
        <v>365</v>
      </c>
      <c r="C11938">
        <v>63</v>
      </c>
      <c r="D11938" t="s">
        <v>668</v>
      </c>
      <c r="E11938" t="s">
        <v>864</v>
      </c>
      <c r="F11938" t="s">
        <v>355</v>
      </c>
      <c r="G11938" t="s">
        <v>737</v>
      </c>
      <c r="H11938" t="s">
        <v>138</v>
      </c>
      <c r="I11938" t="s">
        <v>1057</v>
      </c>
      <c r="J11938" t="s">
        <v>99</v>
      </c>
      <c r="K11938" t="s">
        <v>42</v>
      </c>
      <c r="L11938" t="s">
        <v>70</v>
      </c>
      <c r="M11938" t="s">
        <v>294</v>
      </c>
      <c r="N11938" t="s">
        <v>268</v>
      </c>
      <c r="O11938" t="s">
        <v>100</v>
      </c>
      <c r="P11938" t="s">
        <v>1167</v>
      </c>
      <c r="Q11938" t="s">
        <v>127</v>
      </c>
      <c r="R11938" t="s">
        <v>99</v>
      </c>
      <c r="S11938" t="s">
        <v>99</v>
      </c>
      <c r="T11938" t="s">
        <v>99</v>
      </c>
      <c r="U11938" t="s">
        <v>198</v>
      </c>
      <c r="V11938" t="s">
        <v>99</v>
      </c>
      <c r="W11938" t="s">
        <v>99</v>
      </c>
    </row>
    <row r="11939" spans="1:23" x14ac:dyDescent="0.3">
      <c r="A11939" t="s">
        <v>34</v>
      </c>
      <c r="B11939" t="s">
        <v>339</v>
      </c>
      <c r="C11939">
        <v>555</v>
      </c>
      <c r="D11939" t="s">
        <v>748</v>
      </c>
      <c r="E11939" t="s">
        <v>107</v>
      </c>
      <c r="F11939" t="s">
        <v>122</v>
      </c>
      <c r="G11939" t="s">
        <v>154</v>
      </c>
      <c r="H11939" t="s">
        <v>311</v>
      </c>
      <c r="I11939" t="s">
        <v>1008</v>
      </c>
      <c r="J11939" t="s">
        <v>152</v>
      </c>
      <c r="K11939" t="s">
        <v>727</v>
      </c>
      <c r="L11939" t="s">
        <v>171</v>
      </c>
      <c r="M11939" t="s">
        <v>732</v>
      </c>
      <c r="N11939" t="s">
        <v>112</v>
      </c>
      <c r="O11939" t="s">
        <v>118</v>
      </c>
      <c r="P11939" t="s">
        <v>1048</v>
      </c>
      <c r="Q11939" t="s">
        <v>325</v>
      </c>
      <c r="R11939" t="s">
        <v>215</v>
      </c>
      <c r="S11939" t="s">
        <v>382</v>
      </c>
      <c r="T11939" t="s">
        <v>108</v>
      </c>
      <c r="U11939" t="s">
        <v>132</v>
      </c>
      <c r="V11939" t="s">
        <v>99</v>
      </c>
      <c r="W11939" t="s">
        <v>117</v>
      </c>
    </row>
    <row r="11940" spans="1:23" x14ac:dyDescent="0.3">
      <c r="A11940" t="s">
        <v>34</v>
      </c>
      <c r="B11940" t="s">
        <v>340</v>
      </c>
      <c r="C11940">
        <v>1496</v>
      </c>
      <c r="D11940" t="s">
        <v>214</v>
      </c>
      <c r="E11940" t="s">
        <v>98</v>
      </c>
      <c r="F11940" t="s">
        <v>369</v>
      </c>
      <c r="G11940" t="s">
        <v>130</v>
      </c>
      <c r="H11940" t="s">
        <v>363</v>
      </c>
      <c r="I11940" t="s">
        <v>678</v>
      </c>
      <c r="J11940" t="s">
        <v>262</v>
      </c>
      <c r="K11940" t="s">
        <v>201</v>
      </c>
      <c r="L11940" t="s">
        <v>145</v>
      </c>
      <c r="M11940" t="s">
        <v>798</v>
      </c>
      <c r="N11940" t="s">
        <v>68</v>
      </c>
      <c r="O11940" t="s">
        <v>128</v>
      </c>
      <c r="P11940" t="s">
        <v>513</v>
      </c>
      <c r="Q11940" t="s">
        <v>147</v>
      </c>
      <c r="R11940" t="s">
        <v>103</v>
      </c>
      <c r="S11940" t="s">
        <v>132</v>
      </c>
      <c r="T11940" t="s">
        <v>104</v>
      </c>
      <c r="U11940" t="s">
        <v>121</v>
      </c>
      <c r="V11940" t="s">
        <v>99</v>
      </c>
      <c r="W11940" t="s">
        <v>111</v>
      </c>
    </row>
    <row r="11941" spans="1:23" x14ac:dyDescent="0.3">
      <c r="A11941" t="s">
        <v>34</v>
      </c>
      <c r="B11941" t="s">
        <v>365</v>
      </c>
      <c r="C11941">
        <v>28</v>
      </c>
      <c r="D11941" t="s">
        <v>468</v>
      </c>
      <c r="E11941" t="s">
        <v>149</v>
      </c>
      <c r="F11941" t="s">
        <v>743</v>
      </c>
      <c r="G11941" t="s">
        <v>204</v>
      </c>
      <c r="H11941" t="s">
        <v>40</v>
      </c>
      <c r="I11941" t="s">
        <v>153</v>
      </c>
      <c r="J11941" t="s">
        <v>1414</v>
      </c>
      <c r="K11941" t="s">
        <v>321</v>
      </c>
      <c r="L11941" t="s">
        <v>805</v>
      </c>
      <c r="M11941" t="s">
        <v>175</v>
      </c>
      <c r="N11941" t="s">
        <v>204</v>
      </c>
      <c r="O11941" t="s">
        <v>41</v>
      </c>
      <c r="P11941" t="s">
        <v>836</v>
      </c>
      <c r="Q11941" t="s">
        <v>99</v>
      </c>
      <c r="R11941" t="s">
        <v>99</v>
      </c>
      <c r="S11941" t="s">
        <v>99</v>
      </c>
      <c r="T11941" t="s">
        <v>99</v>
      </c>
      <c r="U11941" t="s">
        <v>99</v>
      </c>
      <c r="V11941" t="s">
        <v>99</v>
      </c>
      <c r="W11941" t="s">
        <v>99</v>
      </c>
    </row>
    <row r="11942" spans="1:23" x14ac:dyDescent="0.3">
      <c r="A11942" t="s">
        <v>33</v>
      </c>
      <c r="B11942" t="s">
        <v>339</v>
      </c>
      <c r="C11942">
        <v>503</v>
      </c>
      <c r="D11942" t="s">
        <v>816</v>
      </c>
      <c r="E11942" t="s">
        <v>218</v>
      </c>
      <c r="F11942" t="s">
        <v>152</v>
      </c>
      <c r="G11942" t="s">
        <v>136</v>
      </c>
      <c r="H11942" t="s">
        <v>108</v>
      </c>
      <c r="I11942" t="s">
        <v>692</v>
      </c>
      <c r="J11942" t="s">
        <v>127</v>
      </c>
      <c r="K11942" t="s">
        <v>482</v>
      </c>
      <c r="L11942" t="s">
        <v>98</v>
      </c>
      <c r="M11942" t="s">
        <v>1414</v>
      </c>
      <c r="N11942" t="s">
        <v>130</v>
      </c>
      <c r="O11942" t="s">
        <v>316</v>
      </c>
      <c r="P11942" t="s">
        <v>54</v>
      </c>
      <c r="Q11942" t="s">
        <v>127</v>
      </c>
      <c r="R11942" t="s">
        <v>99</v>
      </c>
      <c r="S11942" t="s">
        <v>120</v>
      </c>
      <c r="T11942" t="s">
        <v>198</v>
      </c>
      <c r="U11942" t="s">
        <v>99</v>
      </c>
      <c r="V11942" t="s">
        <v>99</v>
      </c>
      <c r="W11942" t="s">
        <v>198</v>
      </c>
    </row>
    <row r="11943" spans="1:23" x14ac:dyDescent="0.3">
      <c r="A11943" t="s">
        <v>33</v>
      </c>
      <c r="B11943" t="s">
        <v>340</v>
      </c>
      <c r="C11943">
        <v>1415</v>
      </c>
      <c r="D11943" t="s">
        <v>611</v>
      </c>
      <c r="E11943" t="s">
        <v>315</v>
      </c>
      <c r="F11943" t="s">
        <v>150</v>
      </c>
      <c r="G11943" t="s">
        <v>215</v>
      </c>
      <c r="H11943" t="s">
        <v>123</v>
      </c>
      <c r="I11943" t="s">
        <v>700</v>
      </c>
      <c r="J11943" t="s">
        <v>128</v>
      </c>
      <c r="K11943" t="s">
        <v>152</v>
      </c>
      <c r="L11943" t="s">
        <v>157</v>
      </c>
      <c r="M11943" t="s">
        <v>287</v>
      </c>
      <c r="N11943" t="s">
        <v>120</v>
      </c>
      <c r="O11943" t="s">
        <v>132</v>
      </c>
      <c r="P11943" t="s">
        <v>689</v>
      </c>
      <c r="Q11943" t="s">
        <v>151</v>
      </c>
      <c r="R11943" t="s">
        <v>141</v>
      </c>
      <c r="S11943" t="s">
        <v>144</v>
      </c>
      <c r="T11943" t="s">
        <v>99</v>
      </c>
      <c r="U11943" t="s">
        <v>99</v>
      </c>
      <c r="V11943" t="s">
        <v>99</v>
      </c>
      <c r="W11943" t="s">
        <v>136</v>
      </c>
    </row>
    <row r="11944" spans="1:23" x14ac:dyDescent="0.3">
      <c r="A11944" t="s">
        <v>33</v>
      </c>
      <c r="B11944" t="s">
        <v>365</v>
      </c>
      <c r="C11944">
        <v>19</v>
      </c>
      <c r="D11944" t="s">
        <v>458</v>
      </c>
      <c r="E11944" t="s">
        <v>74</v>
      </c>
      <c r="F11944" t="s">
        <v>74</v>
      </c>
      <c r="G11944" t="s">
        <v>99</v>
      </c>
      <c r="H11944" t="s">
        <v>74</v>
      </c>
      <c r="I11944" t="s">
        <v>328</v>
      </c>
      <c r="J11944" t="s">
        <v>99</v>
      </c>
      <c r="K11944" t="s">
        <v>177</v>
      </c>
      <c r="L11944" t="s">
        <v>680</v>
      </c>
      <c r="M11944" t="s">
        <v>315</v>
      </c>
      <c r="N11944" t="s">
        <v>99</v>
      </c>
      <c r="O11944" t="s">
        <v>315</v>
      </c>
      <c r="P11944" t="s">
        <v>680</v>
      </c>
      <c r="Q11944" t="s">
        <v>328</v>
      </c>
      <c r="R11944" t="s">
        <v>99</v>
      </c>
      <c r="S11944" t="s">
        <v>332</v>
      </c>
      <c r="T11944" t="s">
        <v>99</v>
      </c>
      <c r="U11944" t="s">
        <v>99</v>
      </c>
      <c r="V11944" t="s">
        <v>99</v>
      </c>
      <c r="W11944" t="s">
        <v>99</v>
      </c>
    </row>
    <row r="11945" spans="1:23" x14ac:dyDescent="0.3">
      <c r="A11945" t="s">
        <v>49</v>
      </c>
      <c r="B11945" t="s">
        <v>339</v>
      </c>
      <c r="C11945">
        <v>3805</v>
      </c>
      <c r="D11945" t="s">
        <v>833</v>
      </c>
      <c r="E11945" t="s">
        <v>41</v>
      </c>
      <c r="F11945" t="s">
        <v>70</v>
      </c>
      <c r="G11945" t="s">
        <v>157</v>
      </c>
      <c r="H11945" t="s">
        <v>675</v>
      </c>
      <c r="I11945" t="s">
        <v>519</v>
      </c>
      <c r="J11945" t="s">
        <v>118</v>
      </c>
      <c r="K11945" t="s">
        <v>395</v>
      </c>
      <c r="L11945" t="s">
        <v>144</v>
      </c>
      <c r="M11945" t="s">
        <v>724</v>
      </c>
      <c r="N11945" t="s">
        <v>129</v>
      </c>
      <c r="O11945" t="s">
        <v>120</v>
      </c>
      <c r="P11945" t="s">
        <v>828</v>
      </c>
      <c r="Q11945" t="s">
        <v>474</v>
      </c>
      <c r="R11945" t="s">
        <v>115</v>
      </c>
      <c r="S11945" t="s">
        <v>103</v>
      </c>
      <c r="T11945" t="s">
        <v>207</v>
      </c>
      <c r="U11945" t="s">
        <v>198</v>
      </c>
      <c r="V11945" t="s">
        <v>99</v>
      </c>
      <c r="W11945" t="s">
        <v>151</v>
      </c>
    </row>
    <row r="11946" spans="1:23" x14ac:dyDescent="0.3">
      <c r="A11946" t="s">
        <v>49</v>
      </c>
      <c r="B11946" t="s">
        <v>340</v>
      </c>
      <c r="C11946">
        <v>9315</v>
      </c>
      <c r="D11946" t="s">
        <v>1222</v>
      </c>
      <c r="E11946" t="s">
        <v>714</v>
      </c>
      <c r="F11946" t="s">
        <v>470</v>
      </c>
      <c r="G11946" t="s">
        <v>118</v>
      </c>
      <c r="H11946" t="s">
        <v>145</v>
      </c>
      <c r="I11946" t="s">
        <v>197</v>
      </c>
      <c r="J11946" t="s">
        <v>663</v>
      </c>
      <c r="K11946" t="s">
        <v>315</v>
      </c>
      <c r="L11946" t="s">
        <v>118</v>
      </c>
      <c r="M11946" t="s">
        <v>677</v>
      </c>
      <c r="N11946" t="s">
        <v>332</v>
      </c>
      <c r="O11946" t="s">
        <v>103</v>
      </c>
      <c r="P11946" t="s">
        <v>508</v>
      </c>
      <c r="Q11946" t="s">
        <v>128</v>
      </c>
      <c r="R11946" t="s">
        <v>114</v>
      </c>
      <c r="S11946" t="s">
        <v>107</v>
      </c>
      <c r="T11946" t="s">
        <v>104</v>
      </c>
      <c r="U11946" t="s">
        <v>207</v>
      </c>
      <c r="V11946" t="s">
        <v>104</v>
      </c>
      <c r="W11946" t="s">
        <v>382</v>
      </c>
    </row>
    <row r="11947" spans="1:23" x14ac:dyDescent="0.3">
      <c r="A11947" t="s">
        <v>49</v>
      </c>
      <c r="B11947" t="s">
        <v>365</v>
      </c>
      <c r="C11947">
        <v>191</v>
      </c>
      <c r="D11947" t="s">
        <v>146</v>
      </c>
      <c r="E11947" t="s">
        <v>289</v>
      </c>
      <c r="F11947" t="s">
        <v>313</v>
      </c>
      <c r="G11947" t="s">
        <v>242</v>
      </c>
      <c r="H11947" t="s">
        <v>41</v>
      </c>
      <c r="I11947" t="s">
        <v>741</v>
      </c>
      <c r="J11947" t="s">
        <v>152</v>
      </c>
      <c r="K11947" t="s">
        <v>523</v>
      </c>
      <c r="L11947" t="s">
        <v>677</v>
      </c>
      <c r="M11947" t="s">
        <v>175</v>
      </c>
      <c r="N11947" t="s">
        <v>123</v>
      </c>
      <c r="O11947" t="s">
        <v>332</v>
      </c>
      <c r="P11947" t="s">
        <v>727</v>
      </c>
      <c r="Q11947" t="s">
        <v>101</v>
      </c>
      <c r="R11947" t="s">
        <v>115</v>
      </c>
      <c r="S11947" t="s">
        <v>382</v>
      </c>
      <c r="T11947" t="s">
        <v>99</v>
      </c>
      <c r="U11947" t="s">
        <v>99</v>
      </c>
      <c r="V11947" t="s">
        <v>99</v>
      </c>
      <c r="W11947" t="s">
        <v>100</v>
      </c>
    </row>
    <row r="11949" spans="1:23" x14ac:dyDescent="0.3">
      <c r="A11949" t="s">
        <v>2735</v>
      </c>
    </row>
    <row r="11950" spans="1:23" x14ac:dyDescent="0.3">
      <c r="A11950" t="s">
        <v>44</v>
      </c>
      <c r="B11950" t="s">
        <v>209</v>
      </c>
      <c r="C11950" t="s">
        <v>32</v>
      </c>
      <c r="D11950" t="s">
        <v>1323</v>
      </c>
      <c r="E11950" t="s">
        <v>2717</v>
      </c>
      <c r="F11950" t="s">
        <v>2718</v>
      </c>
      <c r="G11950" t="s">
        <v>2719</v>
      </c>
      <c r="H11950" t="s">
        <v>2720</v>
      </c>
      <c r="I11950" t="s">
        <v>2721</v>
      </c>
      <c r="J11950" t="s">
        <v>2722</v>
      </c>
      <c r="K11950" t="s">
        <v>2723</v>
      </c>
      <c r="L11950" t="s">
        <v>2724</v>
      </c>
      <c r="M11950" t="s">
        <v>2725</v>
      </c>
      <c r="N11950" t="s">
        <v>2726</v>
      </c>
      <c r="O11950" t="s">
        <v>2727</v>
      </c>
      <c r="P11950" t="s">
        <v>2728</v>
      </c>
      <c r="Q11950" t="s">
        <v>2729</v>
      </c>
      <c r="R11950" t="s">
        <v>2730</v>
      </c>
      <c r="S11950" t="s">
        <v>2731</v>
      </c>
      <c r="T11950" t="s">
        <v>2732</v>
      </c>
      <c r="U11950" t="s">
        <v>2733</v>
      </c>
      <c r="V11950" t="s">
        <v>88</v>
      </c>
      <c r="W11950" t="s">
        <v>193</v>
      </c>
    </row>
    <row r="11951" spans="1:23" x14ac:dyDescent="0.3">
      <c r="A11951" t="s">
        <v>35</v>
      </c>
      <c r="B11951" t="s">
        <v>210</v>
      </c>
      <c r="C11951">
        <v>136</v>
      </c>
      <c r="D11951" t="s">
        <v>406</v>
      </c>
      <c r="E11951" t="s">
        <v>103</v>
      </c>
      <c r="F11951" t="s">
        <v>107</v>
      </c>
      <c r="G11951" t="s">
        <v>120</v>
      </c>
      <c r="H11951" t="s">
        <v>123</v>
      </c>
      <c r="I11951" t="s">
        <v>905</v>
      </c>
      <c r="J11951" t="s">
        <v>158</v>
      </c>
      <c r="K11951" t="s">
        <v>797</v>
      </c>
      <c r="L11951" t="s">
        <v>78</v>
      </c>
      <c r="M11951" t="s">
        <v>410</v>
      </c>
      <c r="N11951" t="s">
        <v>677</v>
      </c>
      <c r="O11951" t="s">
        <v>474</v>
      </c>
      <c r="P11951" t="s">
        <v>276</v>
      </c>
      <c r="Q11951" t="s">
        <v>468</v>
      </c>
      <c r="R11951" t="s">
        <v>136</v>
      </c>
      <c r="S11951" t="s">
        <v>147</v>
      </c>
      <c r="T11951" t="s">
        <v>198</v>
      </c>
      <c r="U11951" t="s">
        <v>99</v>
      </c>
      <c r="V11951" t="s">
        <v>99</v>
      </c>
      <c r="W11951" t="s">
        <v>215</v>
      </c>
    </row>
    <row r="11952" spans="1:23" x14ac:dyDescent="0.3">
      <c r="A11952" t="s">
        <v>35</v>
      </c>
      <c r="B11952" t="s">
        <v>212</v>
      </c>
      <c r="C11952">
        <v>2441</v>
      </c>
      <c r="D11952" t="s">
        <v>240</v>
      </c>
      <c r="E11952" t="s">
        <v>233</v>
      </c>
      <c r="F11952" t="s">
        <v>171</v>
      </c>
      <c r="G11952" t="s">
        <v>120</v>
      </c>
      <c r="H11952" t="s">
        <v>152</v>
      </c>
      <c r="I11952" t="s">
        <v>1107</v>
      </c>
      <c r="J11952" t="s">
        <v>363</v>
      </c>
      <c r="K11952" t="s">
        <v>440</v>
      </c>
      <c r="L11952" t="s">
        <v>332</v>
      </c>
      <c r="M11952" t="s">
        <v>673</v>
      </c>
      <c r="N11952" t="s">
        <v>68</v>
      </c>
      <c r="O11952" t="s">
        <v>111</v>
      </c>
      <c r="P11952" t="s">
        <v>741</v>
      </c>
      <c r="Q11952" t="s">
        <v>128</v>
      </c>
      <c r="R11952" t="s">
        <v>115</v>
      </c>
      <c r="S11952" t="s">
        <v>157</v>
      </c>
      <c r="T11952" t="s">
        <v>99</v>
      </c>
      <c r="U11952" t="s">
        <v>207</v>
      </c>
      <c r="V11952" t="s">
        <v>99</v>
      </c>
      <c r="W11952" t="s">
        <v>292</v>
      </c>
    </row>
    <row r="11953" spans="1:23" x14ac:dyDescent="0.3">
      <c r="A11953" t="s">
        <v>35</v>
      </c>
      <c r="B11953" t="s">
        <v>216</v>
      </c>
      <c r="C11953">
        <v>566</v>
      </c>
      <c r="D11953" t="s">
        <v>580</v>
      </c>
      <c r="E11953" t="s">
        <v>416</v>
      </c>
      <c r="F11953" t="s">
        <v>470</v>
      </c>
      <c r="G11953" t="s">
        <v>120</v>
      </c>
      <c r="H11953" t="s">
        <v>41</v>
      </c>
      <c r="I11953" t="s">
        <v>715</v>
      </c>
      <c r="J11953" t="s">
        <v>353</v>
      </c>
      <c r="K11953" t="s">
        <v>369</v>
      </c>
      <c r="L11953" t="s">
        <v>149</v>
      </c>
      <c r="M11953" t="s">
        <v>289</v>
      </c>
      <c r="N11953" t="s">
        <v>134</v>
      </c>
      <c r="O11953" t="s">
        <v>129</v>
      </c>
      <c r="P11953" t="s">
        <v>990</v>
      </c>
      <c r="Q11953" t="s">
        <v>268</v>
      </c>
      <c r="R11953" t="s">
        <v>151</v>
      </c>
      <c r="S11953" t="s">
        <v>382</v>
      </c>
      <c r="T11953" t="s">
        <v>99</v>
      </c>
      <c r="U11953" t="s">
        <v>99</v>
      </c>
      <c r="V11953" t="s">
        <v>115</v>
      </c>
      <c r="W11953" t="s">
        <v>115</v>
      </c>
    </row>
    <row r="11954" spans="1:23" x14ac:dyDescent="0.3">
      <c r="A11954" t="s">
        <v>37</v>
      </c>
      <c r="B11954" t="s">
        <v>210</v>
      </c>
      <c r="C11954">
        <v>138</v>
      </c>
      <c r="D11954" t="s">
        <v>728</v>
      </c>
      <c r="E11954" t="s">
        <v>113</v>
      </c>
      <c r="F11954" t="s">
        <v>157</v>
      </c>
      <c r="G11954" t="s">
        <v>115</v>
      </c>
      <c r="H11954" t="s">
        <v>107</v>
      </c>
      <c r="I11954" t="s">
        <v>197</v>
      </c>
      <c r="J11954" t="s">
        <v>154</v>
      </c>
      <c r="K11954" t="s">
        <v>321</v>
      </c>
      <c r="L11954" t="s">
        <v>405</v>
      </c>
      <c r="M11954" t="s">
        <v>165</v>
      </c>
      <c r="N11954" t="s">
        <v>70</v>
      </c>
      <c r="O11954" t="s">
        <v>135</v>
      </c>
      <c r="P11954" t="s">
        <v>719</v>
      </c>
      <c r="Q11954" t="s">
        <v>215</v>
      </c>
      <c r="R11954" t="s">
        <v>127</v>
      </c>
      <c r="S11954" t="s">
        <v>99</v>
      </c>
      <c r="T11954" t="s">
        <v>141</v>
      </c>
      <c r="U11954" t="s">
        <v>141</v>
      </c>
      <c r="V11954" t="s">
        <v>99</v>
      </c>
      <c r="W11954" t="s">
        <v>99</v>
      </c>
    </row>
    <row r="11955" spans="1:23" x14ac:dyDescent="0.3">
      <c r="A11955" t="s">
        <v>37</v>
      </c>
      <c r="B11955" t="s">
        <v>212</v>
      </c>
      <c r="C11955">
        <v>3599</v>
      </c>
      <c r="D11955" t="s">
        <v>1206</v>
      </c>
      <c r="E11955" t="s">
        <v>691</v>
      </c>
      <c r="F11955" t="s">
        <v>716</v>
      </c>
      <c r="G11955" t="s">
        <v>328</v>
      </c>
      <c r="H11955" t="s">
        <v>675</v>
      </c>
      <c r="I11955" t="s">
        <v>425</v>
      </c>
      <c r="J11955" t="s">
        <v>134</v>
      </c>
      <c r="K11955" t="s">
        <v>125</v>
      </c>
      <c r="L11955" t="s">
        <v>120</v>
      </c>
      <c r="M11955" t="s">
        <v>678</v>
      </c>
      <c r="N11955" t="s">
        <v>127</v>
      </c>
      <c r="O11955" t="s">
        <v>316</v>
      </c>
      <c r="P11955" t="s">
        <v>423</v>
      </c>
      <c r="Q11955" t="s">
        <v>120</v>
      </c>
      <c r="R11955" t="s">
        <v>104</v>
      </c>
      <c r="S11955" t="s">
        <v>292</v>
      </c>
      <c r="T11955" t="s">
        <v>104</v>
      </c>
      <c r="U11955" t="s">
        <v>99</v>
      </c>
      <c r="V11955" t="s">
        <v>99</v>
      </c>
      <c r="W11955" t="s">
        <v>111</v>
      </c>
    </row>
    <row r="11956" spans="1:23" x14ac:dyDescent="0.3">
      <c r="A11956" t="s">
        <v>37</v>
      </c>
      <c r="B11956" t="s">
        <v>216</v>
      </c>
      <c r="C11956">
        <v>111</v>
      </c>
      <c r="D11956" t="s">
        <v>1115</v>
      </c>
      <c r="E11956" t="s">
        <v>222</v>
      </c>
      <c r="F11956" t="s">
        <v>401</v>
      </c>
      <c r="G11956" t="s">
        <v>41</v>
      </c>
      <c r="H11956" t="s">
        <v>268</v>
      </c>
      <c r="I11956" t="s">
        <v>747</v>
      </c>
      <c r="J11956" t="s">
        <v>118</v>
      </c>
      <c r="K11956" t="s">
        <v>726</v>
      </c>
      <c r="L11956" t="s">
        <v>112</v>
      </c>
      <c r="M11956" t="s">
        <v>395</v>
      </c>
      <c r="N11956" t="s">
        <v>103</v>
      </c>
      <c r="O11956" t="s">
        <v>215</v>
      </c>
      <c r="P11956" t="s">
        <v>517</v>
      </c>
      <c r="Q11956" t="s">
        <v>157</v>
      </c>
      <c r="R11956" t="s">
        <v>115</v>
      </c>
      <c r="S11956" t="s">
        <v>215</v>
      </c>
      <c r="T11956" t="s">
        <v>99</v>
      </c>
      <c r="U11956" t="s">
        <v>99</v>
      </c>
      <c r="V11956" t="s">
        <v>99</v>
      </c>
      <c r="W11956" t="s">
        <v>316</v>
      </c>
    </row>
    <row r="11957" spans="1:23" x14ac:dyDescent="0.3">
      <c r="A11957" t="s">
        <v>36</v>
      </c>
      <c r="B11957" t="s">
        <v>210</v>
      </c>
      <c r="C11957">
        <v>165</v>
      </c>
      <c r="D11957" t="s">
        <v>156</v>
      </c>
      <c r="E11957" t="s">
        <v>204</v>
      </c>
      <c r="F11957" t="s">
        <v>679</v>
      </c>
      <c r="G11957" t="s">
        <v>319</v>
      </c>
      <c r="H11957" t="s">
        <v>122</v>
      </c>
      <c r="I11957" t="s">
        <v>688</v>
      </c>
      <c r="J11957" t="s">
        <v>139</v>
      </c>
      <c r="K11957" t="s">
        <v>76</v>
      </c>
      <c r="L11957" t="s">
        <v>401</v>
      </c>
      <c r="M11957" t="s">
        <v>355</v>
      </c>
      <c r="N11957" t="s">
        <v>684</v>
      </c>
      <c r="O11957" t="s">
        <v>127</v>
      </c>
      <c r="P11957" t="s">
        <v>650</v>
      </c>
      <c r="Q11957" t="s">
        <v>710</v>
      </c>
      <c r="R11957" t="s">
        <v>155</v>
      </c>
      <c r="S11957" t="s">
        <v>262</v>
      </c>
      <c r="T11957" t="s">
        <v>268</v>
      </c>
      <c r="U11957" t="s">
        <v>115</v>
      </c>
      <c r="V11957" t="s">
        <v>99</v>
      </c>
      <c r="W11957" t="s">
        <v>132</v>
      </c>
    </row>
    <row r="11958" spans="1:23" x14ac:dyDescent="0.3">
      <c r="A11958" t="s">
        <v>36</v>
      </c>
      <c r="B11958" t="s">
        <v>212</v>
      </c>
      <c r="C11958">
        <v>1874</v>
      </c>
      <c r="D11958" t="s">
        <v>1098</v>
      </c>
      <c r="E11958" t="s">
        <v>135</v>
      </c>
      <c r="F11958" t="s">
        <v>70</v>
      </c>
      <c r="G11958" t="s">
        <v>154</v>
      </c>
      <c r="H11958" t="s">
        <v>143</v>
      </c>
      <c r="I11958" t="s">
        <v>748</v>
      </c>
      <c r="J11958" t="s">
        <v>103</v>
      </c>
      <c r="K11958" t="s">
        <v>38</v>
      </c>
      <c r="L11958" t="s">
        <v>134</v>
      </c>
      <c r="M11958" t="s">
        <v>244</v>
      </c>
      <c r="N11958" t="s">
        <v>157</v>
      </c>
      <c r="O11958" t="s">
        <v>103</v>
      </c>
      <c r="P11958" t="s">
        <v>864</v>
      </c>
      <c r="Q11958" t="s">
        <v>468</v>
      </c>
      <c r="R11958" t="s">
        <v>253</v>
      </c>
      <c r="S11958" t="s">
        <v>474</v>
      </c>
      <c r="T11958" t="s">
        <v>104</v>
      </c>
      <c r="U11958" t="s">
        <v>104</v>
      </c>
      <c r="V11958" t="s">
        <v>99</v>
      </c>
      <c r="W11958" t="s">
        <v>121</v>
      </c>
    </row>
    <row r="11959" spans="1:23" x14ac:dyDescent="0.3">
      <c r="A11959" t="s">
        <v>36</v>
      </c>
      <c r="B11959" t="s">
        <v>216</v>
      </c>
      <c r="C11959">
        <v>265</v>
      </c>
      <c r="D11959" t="s">
        <v>1222</v>
      </c>
      <c r="E11959" t="s">
        <v>171</v>
      </c>
      <c r="F11959" t="s">
        <v>315</v>
      </c>
      <c r="G11959" t="s">
        <v>144</v>
      </c>
      <c r="H11959" t="s">
        <v>804</v>
      </c>
      <c r="I11959" t="s">
        <v>670</v>
      </c>
      <c r="J11959" t="s">
        <v>152</v>
      </c>
      <c r="K11959" t="s">
        <v>158</v>
      </c>
      <c r="L11959" t="s">
        <v>133</v>
      </c>
      <c r="M11959" t="s">
        <v>716</v>
      </c>
      <c r="N11959" t="s">
        <v>215</v>
      </c>
      <c r="O11959" t="s">
        <v>474</v>
      </c>
      <c r="P11959" t="s">
        <v>307</v>
      </c>
      <c r="Q11959" t="s">
        <v>363</v>
      </c>
      <c r="R11959" t="s">
        <v>198</v>
      </c>
      <c r="S11959" t="s">
        <v>165</v>
      </c>
      <c r="T11959" t="s">
        <v>99</v>
      </c>
      <c r="U11959" t="s">
        <v>99</v>
      </c>
      <c r="V11959" t="s">
        <v>99</v>
      </c>
      <c r="W11959" t="s">
        <v>134</v>
      </c>
    </row>
    <row r="11960" spans="1:23" x14ac:dyDescent="0.3">
      <c r="A11960" t="s">
        <v>34</v>
      </c>
      <c r="B11960" t="s">
        <v>210</v>
      </c>
      <c r="C11960">
        <v>256</v>
      </c>
      <c r="D11960" t="s">
        <v>1044</v>
      </c>
      <c r="E11960" t="s">
        <v>128</v>
      </c>
      <c r="F11960" t="s">
        <v>804</v>
      </c>
      <c r="G11960" t="s">
        <v>107</v>
      </c>
      <c r="H11960" t="s">
        <v>218</v>
      </c>
      <c r="I11960" t="s">
        <v>177</v>
      </c>
      <c r="J11960" t="s">
        <v>449</v>
      </c>
      <c r="K11960" t="s">
        <v>303</v>
      </c>
      <c r="L11960" t="s">
        <v>311</v>
      </c>
      <c r="M11960" t="s">
        <v>864</v>
      </c>
      <c r="N11960" t="s">
        <v>353</v>
      </c>
      <c r="O11960" t="s">
        <v>149</v>
      </c>
      <c r="P11960" t="s">
        <v>506</v>
      </c>
      <c r="Q11960" t="s">
        <v>118</v>
      </c>
      <c r="R11960" t="s">
        <v>107</v>
      </c>
      <c r="S11960" t="s">
        <v>114</v>
      </c>
      <c r="T11960" t="s">
        <v>99</v>
      </c>
      <c r="U11960" t="s">
        <v>123</v>
      </c>
      <c r="V11960" t="s">
        <v>99</v>
      </c>
      <c r="W11960" t="s">
        <v>434</v>
      </c>
    </row>
    <row r="11961" spans="1:23" x14ac:dyDescent="0.3">
      <c r="A11961" t="s">
        <v>34</v>
      </c>
      <c r="B11961" t="s">
        <v>212</v>
      </c>
      <c r="C11961">
        <v>1582</v>
      </c>
      <c r="D11961" t="s">
        <v>344</v>
      </c>
      <c r="E11961" t="s">
        <v>434</v>
      </c>
      <c r="F11961" t="s">
        <v>70</v>
      </c>
      <c r="G11961" t="s">
        <v>110</v>
      </c>
      <c r="H11961" t="s">
        <v>184</v>
      </c>
      <c r="I11961" t="s">
        <v>463</v>
      </c>
      <c r="J11961" t="s">
        <v>305</v>
      </c>
      <c r="K11961" t="s">
        <v>173</v>
      </c>
      <c r="L11961" t="s">
        <v>98</v>
      </c>
      <c r="M11961" t="s">
        <v>406</v>
      </c>
      <c r="N11961" t="s">
        <v>155</v>
      </c>
      <c r="O11961" t="s">
        <v>316</v>
      </c>
      <c r="P11961" t="s">
        <v>732</v>
      </c>
      <c r="Q11961" t="s">
        <v>105</v>
      </c>
      <c r="R11961" t="s">
        <v>126</v>
      </c>
      <c r="S11961" t="s">
        <v>121</v>
      </c>
      <c r="T11961" t="s">
        <v>141</v>
      </c>
      <c r="U11961" t="s">
        <v>108</v>
      </c>
      <c r="V11961" t="s">
        <v>99</v>
      </c>
      <c r="W11961" t="s">
        <v>151</v>
      </c>
    </row>
    <row r="11962" spans="1:23" x14ac:dyDescent="0.3">
      <c r="A11962" t="s">
        <v>34</v>
      </c>
      <c r="B11962" t="s">
        <v>216</v>
      </c>
      <c r="C11962">
        <v>241</v>
      </c>
      <c r="D11962" t="s">
        <v>714</v>
      </c>
      <c r="E11962" t="s">
        <v>420</v>
      </c>
      <c r="F11962" t="s">
        <v>357</v>
      </c>
      <c r="G11962" t="s">
        <v>158</v>
      </c>
      <c r="H11962" t="s">
        <v>38</v>
      </c>
      <c r="I11962" t="s">
        <v>727</v>
      </c>
      <c r="J11962" t="s">
        <v>680</v>
      </c>
      <c r="K11962" t="s">
        <v>370</v>
      </c>
      <c r="L11962" t="s">
        <v>395</v>
      </c>
      <c r="M11962" t="s">
        <v>40</v>
      </c>
      <c r="N11962" t="s">
        <v>150</v>
      </c>
      <c r="O11962" t="s">
        <v>129</v>
      </c>
      <c r="P11962" t="s">
        <v>459</v>
      </c>
      <c r="Q11962" t="s">
        <v>150</v>
      </c>
      <c r="R11962" t="s">
        <v>68</v>
      </c>
      <c r="S11962" t="s">
        <v>207</v>
      </c>
      <c r="T11962" t="s">
        <v>104</v>
      </c>
      <c r="U11962" t="s">
        <v>108</v>
      </c>
      <c r="V11962" t="s">
        <v>99</v>
      </c>
      <c r="W11962" t="s">
        <v>101</v>
      </c>
    </row>
    <row r="11963" spans="1:23" x14ac:dyDescent="0.3">
      <c r="A11963" t="s">
        <v>33</v>
      </c>
      <c r="B11963" t="s">
        <v>210</v>
      </c>
      <c r="C11963">
        <v>68</v>
      </c>
      <c r="D11963" t="s">
        <v>478</v>
      </c>
      <c r="E11963" t="s">
        <v>72</v>
      </c>
      <c r="F11963" t="s">
        <v>474</v>
      </c>
      <c r="G11963" t="s">
        <v>468</v>
      </c>
      <c r="H11963" t="s">
        <v>149</v>
      </c>
      <c r="I11963" t="s">
        <v>897</v>
      </c>
      <c r="J11963" t="s">
        <v>101</v>
      </c>
      <c r="K11963" t="s">
        <v>745</v>
      </c>
      <c r="L11963" t="s">
        <v>248</v>
      </c>
      <c r="M11963" t="s">
        <v>665</v>
      </c>
      <c r="N11963" t="s">
        <v>163</v>
      </c>
      <c r="O11963" t="s">
        <v>126</v>
      </c>
      <c r="P11963" t="s">
        <v>944</v>
      </c>
      <c r="Q11963" t="s">
        <v>215</v>
      </c>
      <c r="R11963" t="s">
        <v>99</v>
      </c>
      <c r="S11963" t="s">
        <v>143</v>
      </c>
      <c r="T11963" t="s">
        <v>99</v>
      </c>
      <c r="U11963" t="s">
        <v>99</v>
      </c>
      <c r="V11963" t="s">
        <v>99</v>
      </c>
      <c r="W11963" t="s">
        <v>99</v>
      </c>
    </row>
    <row r="11964" spans="1:23" x14ac:dyDescent="0.3">
      <c r="A11964" t="s">
        <v>33</v>
      </c>
      <c r="B11964" t="s">
        <v>212</v>
      </c>
      <c r="C11964">
        <v>1800</v>
      </c>
      <c r="D11964" t="s">
        <v>808</v>
      </c>
      <c r="E11964" t="s">
        <v>416</v>
      </c>
      <c r="F11964" t="s">
        <v>135</v>
      </c>
      <c r="G11964" t="s">
        <v>100</v>
      </c>
      <c r="H11964" t="s">
        <v>126</v>
      </c>
      <c r="I11964" t="s">
        <v>990</v>
      </c>
      <c r="J11964" t="s">
        <v>103</v>
      </c>
      <c r="K11964" t="s">
        <v>305</v>
      </c>
      <c r="L11964" t="s">
        <v>332</v>
      </c>
      <c r="M11964" t="s">
        <v>701</v>
      </c>
      <c r="N11964" t="s">
        <v>128</v>
      </c>
      <c r="O11964" t="s">
        <v>101</v>
      </c>
      <c r="P11964" t="s">
        <v>410</v>
      </c>
      <c r="Q11964" t="s">
        <v>123</v>
      </c>
      <c r="R11964" t="s">
        <v>207</v>
      </c>
      <c r="S11964" t="s">
        <v>277</v>
      </c>
      <c r="T11964" t="s">
        <v>104</v>
      </c>
      <c r="U11964" t="s">
        <v>99</v>
      </c>
      <c r="V11964" t="s">
        <v>99</v>
      </c>
      <c r="W11964" t="s">
        <v>207</v>
      </c>
    </row>
    <row r="11965" spans="1:23" x14ac:dyDescent="0.3">
      <c r="A11965" t="s">
        <v>33</v>
      </c>
      <c r="B11965" t="s">
        <v>216</v>
      </c>
      <c r="C11965">
        <v>69</v>
      </c>
      <c r="D11965" t="s">
        <v>571</v>
      </c>
      <c r="E11965" t="s">
        <v>432</v>
      </c>
      <c r="F11965" t="s">
        <v>173</v>
      </c>
      <c r="G11965" t="s">
        <v>107</v>
      </c>
      <c r="H11965" t="s">
        <v>474</v>
      </c>
      <c r="I11965" t="s">
        <v>449</v>
      </c>
      <c r="J11965" t="s">
        <v>382</v>
      </c>
      <c r="K11965" t="s">
        <v>184</v>
      </c>
      <c r="L11965" t="s">
        <v>328</v>
      </c>
      <c r="M11965" t="s">
        <v>328</v>
      </c>
      <c r="N11965" t="s">
        <v>149</v>
      </c>
      <c r="O11965" t="s">
        <v>474</v>
      </c>
      <c r="P11965" t="s">
        <v>807</v>
      </c>
      <c r="Q11965" t="s">
        <v>155</v>
      </c>
      <c r="R11965" t="s">
        <v>382</v>
      </c>
      <c r="S11965" t="s">
        <v>155</v>
      </c>
      <c r="T11965" t="s">
        <v>99</v>
      </c>
      <c r="U11965" t="s">
        <v>99</v>
      </c>
      <c r="V11965" t="s">
        <v>99</v>
      </c>
      <c r="W11965" t="s">
        <v>382</v>
      </c>
    </row>
    <row r="11966" spans="1:23" x14ac:dyDescent="0.3">
      <c r="A11966" t="s">
        <v>49</v>
      </c>
      <c r="B11966" t="s">
        <v>210</v>
      </c>
      <c r="C11966">
        <v>763</v>
      </c>
      <c r="D11966" t="s">
        <v>281</v>
      </c>
      <c r="E11966" t="s">
        <v>474</v>
      </c>
      <c r="F11966" t="s">
        <v>675</v>
      </c>
      <c r="G11966" t="s">
        <v>316</v>
      </c>
      <c r="H11966" t="s">
        <v>679</v>
      </c>
      <c r="I11966" t="s">
        <v>1053</v>
      </c>
      <c r="J11966" t="s">
        <v>122</v>
      </c>
      <c r="K11966" t="s">
        <v>741</v>
      </c>
      <c r="L11966" t="s">
        <v>142</v>
      </c>
      <c r="M11966" t="s">
        <v>39</v>
      </c>
      <c r="N11966" t="s">
        <v>296</v>
      </c>
      <c r="O11966" t="s">
        <v>712</v>
      </c>
      <c r="P11966" t="s">
        <v>146</v>
      </c>
      <c r="Q11966" t="s">
        <v>68</v>
      </c>
      <c r="R11966" t="s">
        <v>292</v>
      </c>
      <c r="S11966" t="s">
        <v>147</v>
      </c>
      <c r="T11966" t="s">
        <v>136</v>
      </c>
      <c r="U11966" t="s">
        <v>114</v>
      </c>
      <c r="V11966" t="s">
        <v>99</v>
      </c>
      <c r="W11966" t="s">
        <v>111</v>
      </c>
    </row>
    <row r="11967" spans="1:23" x14ac:dyDescent="0.3">
      <c r="A11967" t="s">
        <v>49</v>
      </c>
      <c r="B11967" t="s">
        <v>212</v>
      </c>
      <c r="C11967">
        <v>11296</v>
      </c>
      <c r="D11967" t="s">
        <v>934</v>
      </c>
      <c r="E11967" t="s">
        <v>179</v>
      </c>
      <c r="F11967" t="s">
        <v>182</v>
      </c>
      <c r="G11967" t="s">
        <v>134</v>
      </c>
      <c r="H11967" t="s">
        <v>325</v>
      </c>
      <c r="I11967" t="s">
        <v>1008</v>
      </c>
      <c r="J11967" t="s">
        <v>684</v>
      </c>
      <c r="K11967" t="s">
        <v>737</v>
      </c>
      <c r="L11967" t="s">
        <v>154</v>
      </c>
      <c r="M11967" t="s">
        <v>718</v>
      </c>
      <c r="N11967" t="s">
        <v>157</v>
      </c>
      <c r="O11967" t="s">
        <v>268</v>
      </c>
      <c r="P11967" t="s">
        <v>730</v>
      </c>
      <c r="Q11967" t="s">
        <v>147</v>
      </c>
      <c r="R11967" t="s">
        <v>141</v>
      </c>
      <c r="S11967" t="s">
        <v>147</v>
      </c>
      <c r="T11967" t="s">
        <v>104</v>
      </c>
      <c r="U11967" t="s">
        <v>198</v>
      </c>
      <c r="V11967" t="s">
        <v>99</v>
      </c>
      <c r="W11967" t="s">
        <v>215</v>
      </c>
    </row>
    <row r="11968" spans="1:23" x14ac:dyDescent="0.3">
      <c r="A11968" t="s">
        <v>49</v>
      </c>
      <c r="B11968" t="s">
        <v>216</v>
      </c>
      <c r="C11968">
        <v>1252</v>
      </c>
      <c r="D11968" t="s">
        <v>699</v>
      </c>
      <c r="E11968" t="s">
        <v>163</v>
      </c>
      <c r="F11968" t="s">
        <v>449</v>
      </c>
      <c r="G11968" t="s">
        <v>110</v>
      </c>
      <c r="H11968" t="s">
        <v>405</v>
      </c>
      <c r="I11968" t="s">
        <v>473</v>
      </c>
      <c r="J11968" t="s">
        <v>363</v>
      </c>
      <c r="K11968" t="s">
        <v>680</v>
      </c>
      <c r="L11968" t="s">
        <v>248</v>
      </c>
      <c r="M11968" t="s">
        <v>704</v>
      </c>
      <c r="N11968" t="s">
        <v>434</v>
      </c>
      <c r="O11968" t="s">
        <v>110</v>
      </c>
      <c r="P11968" t="s">
        <v>281</v>
      </c>
      <c r="Q11968" t="s">
        <v>110</v>
      </c>
      <c r="R11968" t="s">
        <v>268</v>
      </c>
      <c r="S11968" t="s">
        <v>111</v>
      </c>
      <c r="T11968" t="s">
        <v>104</v>
      </c>
      <c r="U11968" t="s">
        <v>198</v>
      </c>
      <c r="V11968" t="s">
        <v>136</v>
      </c>
      <c r="W11968" t="s">
        <v>121</v>
      </c>
    </row>
    <row r="11970" spans="1:23" x14ac:dyDescent="0.3">
      <c r="A11970" t="s">
        <v>2736</v>
      </c>
    </row>
    <row r="11971" spans="1:23" x14ac:dyDescent="0.3">
      <c r="A11971" t="s">
        <v>44</v>
      </c>
      <c r="B11971" t="s">
        <v>388</v>
      </c>
      <c r="C11971" t="s">
        <v>32</v>
      </c>
      <c r="D11971" t="s">
        <v>1323</v>
      </c>
      <c r="E11971" t="s">
        <v>2717</v>
      </c>
      <c r="F11971" t="s">
        <v>2718</v>
      </c>
      <c r="G11971" t="s">
        <v>2719</v>
      </c>
      <c r="H11971" t="s">
        <v>2720</v>
      </c>
      <c r="I11971" t="s">
        <v>2721</v>
      </c>
      <c r="J11971" t="s">
        <v>2722</v>
      </c>
      <c r="K11971" t="s">
        <v>2723</v>
      </c>
      <c r="L11971" t="s">
        <v>2724</v>
      </c>
      <c r="M11971" t="s">
        <v>2725</v>
      </c>
      <c r="N11971" t="s">
        <v>2726</v>
      </c>
      <c r="O11971" t="s">
        <v>2727</v>
      </c>
      <c r="P11971" t="s">
        <v>2728</v>
      </c>
      <c r="Q11971" t="s">
        <v>2729</v>
      </c>
      <c r="R11971" t="s">
        <v>2730</v>
      </c>
      <c r="S11971" t="s">
        <v>2731</v>
      </c>
      <c r="T11971" t="s">
        <v>2732</v>
      </c>
      <c r="U11971" t="s">
        <v>2733</v>
      </c>
      <c r="V11971" t="s">
        <v>88</v>
      </c>
      <c r="W11971" t="s">
        <v>193</v>
      </c>
    </row>
    <row r="11972" spans="1:23" x14ac:dyDescent="0.3">
      <c r="A11972" t="s">
        <v>35</v>
      </c>
      <c r="B11972" t="s">
        <v>389</v>
      </c>
      <c r="C11972">
        <v>2139</v>
      </c>
      <c r="D11972" t="s">
        <v>860</v>
      </c>
      <c r="E11972" t="s">
        <v>251</v>
      </c>
      <c r="F11972" t="s">
        <v>182</v>
      </c>
      <c r="G11972" t="s">
        <v>332</v>
      </c>
      <c r="H11972" t="s">
        <v>184</v>
      </c>
      <c r="I11972" t="s">
        <v>1046</v>
      </c>
      <c r="J11972" t="s">
        <v>353</v>
      </c>
      <c r="K11972" t="s">
        <v>395</v>
      </c>
      <c r="L11972" t="s">
        <v>68</v>
      </c>
      <c r="M11972" t="s">
        <v>432</v>
      </c>
      <c r="N11972" t="s">
        <v>328</v>
      </c>
      <c r="O11972" t="s">
        <v>128</v>
      </c>
      <c r="P11972" t="s">
        <v>933</v>
      </c>
      <c r="Q11972" t="s">
        <v>107</v>
      </c>
      <c r="R11972" t="s">
        <v>114</v>
      </c>
      <c r="S11972" t="s">
        <v>316</v>
      </c>
      <c r="T11972" t="s">
        <v>99</v>
      </c>
      <c r="U11972" t="s">
        <v>198</v>
      </c>
      <c r="V11972" t="s">
        <v>207</v>
      </c>
      <c r="W11972" t="s">
        <v>319</v>
      </c>
    </row>
    <row r="11973" spans="1:23" x14ac:dyDescent="0.3">
      <c r="A11973" t="s">
        <v>35</v>
      </c>
      <c r="B11973" t="s">
        <v>390</v>
      </c>
      <c r="C11973">
        <v>875</v>
      </c>
      <c r="D11973" t="s">
        <v>58</v>
      </c>
      <c r="E11973" t="s">
        <v>449</v>
      </c>
      <c r="F11973" t="s">
        <v>708</v>
      </c>
      <c r="G11973" t="s">
        <v>114</v>
      </c>
      <c r="H11973" t="s">
        <v>664</v>
      </c>
      <c r="I11973" t="s">
        <v>1167</v>
      </c>
      <c r="J11973" t="s">
        <v>78</v>
      </c>
      <c r="K11973" t="s">
        <v>267</v>
      </c>
      <c r="L11973" t="s">
        <v>103</v>
      </c>
      <c r="M11973" t="s">
        <v>255</v>
      </c>
      <c r="N11973" t="s">
        <v>332</v>
      </c>
      <c r="O11973" t="s">
        <v>120</v>
      </c>
      <c r="P11973" t="s">
        <v>301</v>
      </c>
      <c r="Q11973" t="s">
        <v>127</v>
      </c>
      <c r="R11973" t="s">
        <v>121</v>
      </c>
      <c r="S11973" t="s">
        <v>157</v>
      </c>
      <c r="T11973" t="s">
        <v>99</v>
      </c>
      <c r="U11973" t="s">
        <v>198</v>
      </c>
      <c r="V11973" t="s">
        <v>99</v>
      </c>
      <c r="W11973" t="s">
        <v>103</v>
      </c>
    </row>
    <row r="11974" spans="1:23" x14ac:dyDescent="0.3">
      <c r="A11974" t="s">
        <v>35</v>
      </c>
      <c r="B11974" t="s">
        <v>365</v>
      </c>
      <c r="C11974">
        <v>129</v>
      </c>
      <c r="D11974" t="s">
        <v>607</v>
      </c>
      <c r="E11974" t="s">
        <v>254</v>
      </c>
      <c r="F11974" t="s">
        <v>242</v>
      </c>
      <c r="G11974" t="s">
        <v>127</v>
      </c>
      <c r="H11974" t="s">
        <v>120</v>
      </c>
      <c r="I11974" t="s">
        <v>501</v>
      </c>
      <c r="J11974" t="s">
        <v>287</v>
      </c>
      <c r="K11974" t="s">
        <v>231</v>
      </c>
      <c r="L11974" t="s">
        <v>117</v>
      </c>
      <c r="M11974" t="s">
        <v>705</v>
      </c>
      <c r="N11974" t="s">
        <v>132</v>
      </c>
      <c r="O11974" t="s">
        <v>112</v>
      </c>
      <c r="P11974" t="s">
        <v>38</v>
      </c>
      <c r="Q11974" t="s">
        <v>138</v>
      </c>
      <c r="R11974" t="s">
        <v>141</v>
      </c>
      <c r="S11974" t="s">
        <v>253</v>
      </c>
      <c r="T11974" t="s">
        <v>198</v>
      </c>
      <c r="U11974" t="s">
        <v>99</v>
      </c>
      <c r="V11974" t="s">
        <v>99</v>
      </c>
      <c r="W11974" t="s">
        <v>292</v>
      </c>
    </row>
    <row r="11975" spans="1:23" x14ac:dyDescent="0.3">
      <c r="A11975" t="s">
        <v>37</v>
      </c>
      <c r="B11975" t="s">
        <v>389</v>
      </c>
      <c r="C11975">
        <v>2302</v>
      </c>
      <c r="D11975" t="s">
        <v>1102</v>
      </c>
      <c r="E11975" t="s">
        <v>811</v>
      </c>
      <c r="F11975" t="s">
        <v>408</v>
      </c>
      <c r="G11975" t="s">
        <v>124</v>
      </c>
      <c r="H11975" t="s">
        <v>663</v>
      </c>
      <c r="I11975" t="s">
        <v>748</v>
      </c>
      <c r="J11975" t="s">
        <v>134</v>
      </c>
      <c r="K11975" t="s">
        <v>220</v>
      </c>
      <c r="L11975" t="s">
        <v>105</v>
      </c>
      <c r="M11975" t="s">
        <v>303</v>
      </c>
      <c r="N11975" t="s">
        <v>117</v>
      </c>
      <c r="O11975" t="s">
        <v>268</v>
      </c>
      <c r="P11975" t="s">
        <v>805</v>
      </c>
      <c r="Q11975" t="s">
        <v>155</v>
      </c>
      <c r="R11975" t="s">
        <v>104</v>
      </c>
      <c r="S11975" t="s">
        <v>127</v>
      </c>
      <c r="T11975" t="s">
        <v>104</v>
      </c>
      <c r="U11975" t="s">
        <v>99</v>
      </c>
      <c r="V11975" t="s">
        <v>99</v>
      </c>
      <c r="W11975" t="s">
        <v>151</v>
      </c>
    </row>
    <row r="11976" spans="1:23" x14ac:dyDescent="0.3">
      <c r="A11976" t="s">
        <v>37</v>
      </c>
      <c r="B11976" t="s">
        <v>390</v>
      </c>
      <c r="C11976">
        <v>1305</v>
      </c>
      <c r="D11976" t="s">
        <v>1222</v>
      </c>
      <c r="E11976" t="s">
        <v>372</v>
      </c>
      <c r="F11976" t="s">
        <v>113</v>
      </c>
      <c r="G11976" t="s">
        <v>325</v>
      </c>
      <c r="H11976" t="s">
        <v>204</v>
      </c>
      <c r="I11976" t="s">
        <v>39</v>
      </c>
      <c r="J11976" t="s">
        <v>154</v>
      </c>
      <c r="K11976" t="s">
        <v>142</v>
      </c>
      <c r="L11976" t="s">
        <v>157</v>
      </c>
      <c r="M11976" t="s">
        <v>38</v>
      </c>
      <c r="N11976" t="s">
        <v>382</v>
      </c>
      <c r="O11976" t="s">
        <v>120</v>
      </c>
      <c r="P11976" t="s">
        <v>933</v>
      </c>
      <c r="Q11976" t="s">
        <v>292</v>
      </c>
      <c r="R11976" t="s">
        <v>207</v>
      </c>
      <c r="S11976" t="s">
        <v>111</v>
      </c>
      <c r="T11976" t="s">
        <v>104</v>
      </c>
      <c r="U11976" t="s">
        <v>99</v>
      </c>
      <c r="V11976" t="s">
        <v>104</v>
      </c>
      <c r="W11976" t="s">
        <v>103</v>
      </c>
    </row>
    <row r="11977" spans="1:23" x14ac:dyDescent="0.3">
      <c r="A11977" t="s">
        <v>37</v>
      </c>
      <c r="B11977" t="s">
        <v>365</v>
      </c>
      <c r="C11977">
        <v>241</v>
      </c>
      <c r="D11977" t="s">
        <v>838</v>
      </c>
      <c r="E11977" t="s">
        <v>429</v>
      </c>
      <c r="F11977" t="s">
        <v>171</v>
      </c>
      <c r="G11977" t="s">
        <v>242</v>
      </c>
      <c r="H11977" t="s">
        <v>158</v>
      </c>
      <c r="I11977" t="s">
        <v>301</v>
      </c>
      <c r="J11977" t="s">
        <v>149</v>
      </c>
      <c r="K11977" t="s">
        <v>679</v>
      </c>
      <c r="L11977" t="s">
        <v>154</v>
      </c>
      <c r="M11977" t="s">
        <v>313</v>
      </c>
      <c r="N11977" t="s">
        <v>253</v>
      </c>
      <c r="O11977" t="s">
        <v>144</v>
      </c>
      <c r="P11977" t="s">
        <v>529</v>
      </c>
      <c r="Q11977" t="s">
        <v>319</v>
      </c>
      <c r="R11977" t="s">
        <v>141</v>
      </c>
      <c r="S11977" t="s">
        <v>157</v>
      </c>
      <c r="T11977" t="s">
        <v>99</v>
      </c>
      <c r="U11977" t="s">
        <v>198</v>
      </c>
      <c r="V11977" t="s">
        <v>99</v>
      </c>
      <c r="W11977" t="s">
        <v>132</v>
      </c>
    </row>
    <row r="11978" spans="1:23" x14ac:dyDescent="0.3">
      <c r="A11978" t="s">
        <v>36</v>
      </c>
      <c r="B11978" t="s">
        <v>389</v>
      </c>
      <c r="C11978">
        <v>1578</v>
      </c>
      <c r="D11978" t="s">
        <v>794</v>
      </c>
      <c r="E11978" t="s">
        <v>160</v>
      </c>
      <c r="F11978" t="s">
        <v>133</v>
      </c>
      <c r="G11978" t="s">
        <v>110</v>
      </c>
      <c r="H11978" t="s">
        <v>109</v>
      </c>
      <c r="I11978" t="s">
        <v>370</v>
      </c>
      <c r="J11978" t="s">
        <v>332</v>
      </c>
      <c r="K11978" t="s">
        <v>672</v>
      </c>
      <c r="L11978" t="s">
        <v>68</v>
      </c>
      <c r="M11978" t="s">
        <v>231</v>
      </c>
      <c r="N11978" t="s">
        <v>118</v>
      </c>
      <c r="O11978" t="s">
        <v>107</v>
      </c>
      <c r="P11978" t="s">
        <v>137</v>
      </c>
      <c r="Q11978" t="s">
        <v>109</v>
      </c>
      <c r="R11978" t="s">
        <v>115</v>
      </c>
      <c r="S11978" t="s">
        <v>144</v>
      </c>
      <c r="T11978" t="s">
        <v>141</v>
      </c>
      <c r="U11978" t="s">
        <v>198</v>
      </c>
      <c r="V11978" t="s">
        <v>99</v>
      </c>
      <c r="W11978" t="s">
        <v>382</v>
      </c>
    </row>
    <row r="11979" spans="1:23" x14ac:dyDescent="0.3">
      <c r="A11979" t="s">
        <v>36</v>
      </c>
      <c r="B11979" t="s">
        <v>390</v>
      </c>
      <c r="C11979">
        <v>626</v>
      </c>
      <c r="D11979" t="s">
        <v>817</v>
      </c>
      <c r="E11979" t="s">
        <v>675</v>
      </c>
      <c r="F11979" t="s">
        <v>468</v>
      </c>
      <c r="G11979" t="s">
        <v>126</v>
      </c>
      <c r="H11979" t="s">
        <v>675</v>
      </c>
      <c r="I11979" t="s">
        <v>734</v>
      </c>
      <c r="J11979" t="s">
        <v>127</v>
      </c>
      <c r="K11979" t="s">
        <v>705</v>
      </c>
      <c r="L11979" t="s">
        <v>434</v>
      </c>
      <c r="M11979" t="s">
        <v>291</v>
      </c>
      <c r="N11979" t="s">
        <v>117</v>
      </c>
      <c r="O11979" t="s">
        <v>319</v>
      </c>
      <c r="P11979" t="s">
        <v>740</v>
      </c>
      <c r="Q11979" t="s">
        <v>663</v>
      </c>
      <c r="R11979" t="s">
        <v>141</v>
      </c>
      <c r="S11979" t="s">
        <v>675</v>
      </c>
      <c r="T11979" t="s">
        <v>99</v>
      </c>
      <c r="U11979" t="s">
        <v>99</v>
      </c>
      <c r="V11979" t="s">
        <v>99</v>
      </c>
      <c r="W11979" t="s">
        <v>100</v>
      </c>
    </row>
    <row r="11980" spans="1:23" x14ac:dyDescent="0.3">
      <c r="A11980" t="s">
        <v>36</v>
      </c>
      <c r="B11980" t="s">
        <v>365</v>
      </c>
      <c r="C11980">
        <v>100</v>
      </c>
      <c r="D11980" t="s">
        <v>227</v>
      </c>
      <c r="E11980" t="s">
        <v>182</v>
      </c>
      <c r="F11980" t="s">
        <v>412</v>
      </c>
      <c r="G11980" t="s">
        <v>470</v>
      </c>
      <c r="H11980" t="s">
        <v>143</v>
      </c>
      <c r="I11980" t="s">
        <v>222</v>
      </c>
      <c r="J11980" t="s">
        <v>675</v>
      </c>
      <c r="K11980" t="s">
        <v>412</v>
      </c>
      <c r="L11980" t="s">
        <v>305</v>
      </c>
      <c r="M11980" t="s">
        <v>242</v>
      </c>
      <c r="N11980" t="s">
        <v>99</v>
      </c>
      <c r="O11980" t="s">
        <v>110</v>
      </c>
      <c r="P11980" t="s">
        <v>739</v>
      </c>
      <c r="Q11980" t="s">
        <v>277</v>
      </c>
      <c r="R11980" t="s">
        <v>110</v>
      </c>
      <c r="S11980" t="s">
        <v>382</v>
      </c>
      <c r="T11980" t="s">
        <v>99</v>
      </c>
      <c r="U11980" t="s">
        <v>99</v>
      </c>
      <c r="V11980" t="s">
        <v>99</v>
      </c>
      <c r="W11980" t="s">
        <v>215</v>
      </c>
    </row>
    <row r="11981" spans="1:23" x14ac:dyDescent="0.3">
      <c r="A11981" t="s">
        <v>34</v>
      </c>
      <c r="B11981" t="s">
        <v>389</v>
      </c>
      <c r="C11981">
        <v>1384</v>
      </c>
      <c r="D11981" t="s">
        <v>665</v>
      </c>
      <c r="E11981" t="s">
        <v>149</v>
      </c>
      <c r="F11981" t="s">
        <v>461</v>
      </c>
      <c r="G11981" t="s">
        <v>242</v>
      </c>
      <c r="H11981" t="s">
        <v>142</v>
      </c>
      <c r="I11981" t="s">
        <v>370</v>
      </c>
      <c r="J11981" t="s">
        <v>262</v>
      </c>
      <c r="K11981" t="s">
        <v>990</v>
      </c>
      <c r="L11981" t="s">
        <v>420</v>
      </c>
      <c r="M11981" t="s">
        <v>686</v>
      </c>
      <c r="N11981" t="s">
        <v>242</v>
      </c>
      <c r="O11981" t="s">
        <v>147</v>
      </c>
      <c r="P11981" t="s">
        <v>729</v>
      </c>
      <c r="Q11981" t="s">
        <v>110</v>
      </c>
      <c r="R11981" t="s">
        <v>268</v>
      </c>
      <c r="S11981" t="s">
        <v>319</v>
      </c>
      <c r="T11981" t="s">
        <v>253</v>
      </c>
      <c r="U11981" t="s">
        <v>100</v>
      </c>
      <c r="V11981" t="s">
        <v>99</v>
      </c>
      <c r="W11981" t="s">
        <v>111</v>
      </c>
    </row>
    <row r="11982" spans="1:23" x14ac:dyDescent="0.3">
      <c r="A11982" t="s">
        <v>34</v>
      </c>
      <c r="B11982" t="s">
        <v>390</v>
      </c>
      <c r="C11982">
        <v>615</v>
      </c>
      <c r="D11982" t="s">
        <v>56</v>
      </c>
      <c r="E11982" t="s">
        <v>242</v>
      </c>
      <c r="F11982" t="s">
        <v>233</v>
      </c>
      <c r="G11982" t="s">
        <v>292</v>
      </c>
      <c r="H11982" t="s">
        <v>804</v>
      </c>
      <c r="I11982" t="s">
        <v>700</v>
      </c>
      <c r="J11982" t="s">
        <v>248</v>
      </c>
      <c r="K11982" t="s">
        <v>672</v>
      </c>
      <c r="L11982" t="s">
        <v>184</v>
      </c>
      <c r="M11982" t="s">
        <v>220</v>
      </c>
      <c r="N11982" t="s">
        <v>118</v>
      </c>
      <c r="O11982" t="s">
        <v>107</v>
      </c>
      <c r="P11982" t="s">
        <v>959</v>
      </c>
      <c r="Q11982" t="s">
        <v>154</v>
      </c>
      <c r="R11982" t="s">
        <v>151</v>
      </c>
      <c r="S11982" t="s">
        <v>198</v>
      </c>
      <c r="T11982" t="s">
        <v>99</v>
      </c>
      <c r="U11982" t="s">
        <v>114</v>
      </c>
      <c r="V11982" t="s">
        <v>99</v>
      </c>
      <c r="W11982" t="s">
        <v>128</v>
      </c>
    </row>
    <row r="11983" spans="1:23" x14ac:dyDescent="0.3">
      <c r="A11983" t="s">
        <v>34</v>
      </c>
      <c r="B11983" t="s">
        <v>365</v>
      </c>
      <c r="C11983">
        <v>80</v>
      </c>
      <c r="D11983" t="s">
        <v>681</v>
      </c>
      <c r="E11983" t="s">
        <v>215</v>
      </c>
      <c r="F11983" t="s">
        <v>804</v>
      </c>
      <c r="G11983" t="s">
        <v>117</v>
      </c>
      <c r="H11983" t="s">
        <v>671</v>
      </c>
      <c r="I11983" t="s">
        <v>894</v>
      </c>
      <c r="J11983" t="s">
        <v>150</v>
      </c>
      <c r="K11983" t="s">
        <v>714</v>
      </c>
      <c r="L11983" t="s">
        <v>130</v>
      </c>
      <c r="M11983" t="s">
        <v>446</v>
      </c>
      <c r="N11983" t="s">
        <v>109</v>
      </c>
      <c r="O11983" t="s">
        <v>113</v>
      </c>
      <c r="P11983" t="s">
        <v>140</v>
      </c>
      <c r="Q11983" t="s">
        <v>277</v>
      </c>
      <c r="R11983" t="s">
        <v>151</v>
      </c>
      <c r="S11983" t="s">
        <v>99</v>
      </c>
      <c r="T11983" t="s">
        <v>99</v>
      </c>
      <c r="U11983" t="s">
        <v>99</v>
      </c>
      <c r="V11983" t="s">
        <v>99</v>
      </c>
      <c r="W11983" t="s">
        <v>121</v>
      </c>
    </row>
    <row r="11984" spans="1:23" x14ac:dyDescent="0.3">
      <c r="A11984" t="s">
        <v>33</v>
      </c>
      <c r="B11984" t="s">
        <v>389</v>
      </c>
      <c r="C11984">
        <v>1090</v>
      </c>
      <c r="D11984" t="s">
        <v>799</v>
      </c>
      <c r="E11984" t="s">
        <v>416</v>
      </c>
      <c r="F11984" t="s">
        <v>109</v>
      </c>
      <c r="G11984" t="s">
        <v>101</v>
      </c>
      <c r="H11984" t="s">
        <v>126</v>
      </c>
      <c r="I11984" t="s">
        <v>1008</v>
      </c>
      <c r="J11984" t="s">
        <v>117</v>
      </c>
      <c r="K11984" t="s">
        <v>315</v>
      </c>
      <c r="L11984" t="s">
        <v>68</v>
      </c>
      <c r="M11984" t="s">
        <v>177</v>
      </c>
      <c r="N11984" t="s">
        <v>712</v>
      </c>
      <c r="O11984" t="s">
        <v>215</v>
      </c>
      <c r="P11984" t="s">
        <v>437</v>
      </c>
      <c r="Q11984" t="s">
        <v>117</v>
      </c>
      <c r="R11984" t="s">
        <v>207</v>
      </c>
      <c r="S11984" t="s">
        <v>152</v>
      </c>
      <c r="T11984" t="s">
        <v>104</v>
      </c>
      <c r="U11984" t="s">
        <v>99</v>
      </c>
      <c r="V11984" t="s">
        <v>99</v>
      </c>
      <c r="W11984" t="s">
        <v>207</v>
      </c>
    </row>
    <row r="11985" spans="1:23" x14ac:dyDescent="0.3">
      <c r="A11985" t="s">
        <v>33</v>
      </c>
      <c r="B11985" t="s">
        <v>390</v>
      </c>
      <c r="C11985">
        <v>708</v>
      </c>
      <c r="D11985" t="s">
        <v>564</v>
      </c>
      <c r="E11985" t="s">
        <v>289</v>
      </c>
      <c r="F11985" t="s">
        <v>109</v>
      </c>
      <c r="G11985" t="s">
        <v>101</v>
      </c>
      <c r="H11985" t="s">
        <v>215</v>
      </c>
      <c r="I11985" t="s">
        <v>175</v>
      </c>
      <c r="J11985" t="s">
        <v>268</v>
      </c>
      <c r="K11985" t="s">
        <v>204</v>
      </c>
      <c r="L11985" t="s">
        <v>128</v>
      </c>
      <c r="M11985" t="s">
        <v>416</v>
      </c>
      <c r="N11985" t="s">
        <v>215</v>
      </c>
      <c r="O11985" t="s">
        <v>121</v>
      </c>
      <c r="P11985" t="s">
        <v>687</v>
      </c>
      <c r="Q11985" t="s">
        <v>319</v>
      </c>
      <c r="R11985" t="s">
        <v>136</v>
      </c>
      <c r="S11985" t="s">
        <v>105</v>
      </c>
      <c r="T11985" t="s">
        <v>99</v>
      </c>
      <c r="U11985" t="s">
        <v>99</v>
      </c>
      <c r="V11985" t="s">
        <v>99</v>
      </c>
      <c r="W11985" t="s">
        <v>207</v>
      </c>
    </row>
    <row r="11986" spans="1:23" x14ac:dyDescent="0.3">
      <c r="A11986" t="s">
        <v>33</v>
      </c>
      <c r="B11986" t="s">
        <v>365</v>
      </c>
      <c r="C11986">
        <v>139</v>
      </c>
      <c r="D11986" t="s">
        <v>887</v>
      </c>
      <c r="E11986" t="s">
        <v>321</v>
      </c>
      <c r="F11986" t="s">
        <v>296</v>
      </c>
      <c r="G11986" t="s">
        <v>215</v>
      </c>
      <c r="H11986" t="s">
        <v>154</v>
      </c>
      <c r="I11986" t="s">
        <v>315</v>
      </c>
      <c r="J11986" t="s">
        <v>332</v>
      </c>
      <c r="K11986" t="s">
        <v>408</v>
      </c>
      <c r="L11986" t="s">
        <v>253</v>
      </c>
      <c r="M11986" t="s">
        <v>167</v>
      </c>
      <c r="N11986" t="s">
        <v>115</v>
      </c>
      <c r="O11986" t="s">
        <v>99</v>
      </c>
      <c r="P11986" t="s">
        <v>1167</v>
      </c>
      <c r="Q11986" t="s">
        <v>382</v>
      </c>
      <c r="R11986" t="s">
        <v>108</v>
      </c>
      <c r="S11986" t="s">
        <v>99</v>
      </c>
      <c r="T11986" t="s">
        <v>99</v>
      </c>
      <c r="U11986" t="s">
        <v>99</v>
      </c>
      <c r="V11986" t="s">
        <v>99</v>
      </c>
      <c r="W11986" t="s">
        <v>99</v>
      </c>
    </row>
    <row r="11987" spans="1:23" x14ac:dyDescent="0.3">
      <c r="A11987" t="s">
        <v>49</v>
      </c>
      <c r="B11987" t="s">
        <v>389</v>
      </c>
      <c r="C11987">
        <v>8493</v>
      </c>
      <c r="D11987" t="s">
        <v>834</v>
      </c>
      <c r="E11987" t="s">
        <v>313</v>
      </c>
      <c r="F11987" t="s">
        <v>133</v>
      </c>
      <c r="G11987" t="s">
        <v>129</v>
      </c>
      <c r="H11987" t="s">
        <v>135</v>
      </c>
      <c r="I11987" t="s">
        <v>894</v>
      </c>
      <c r="J11987" t="s">
        <v>143</v>
      </c>
      <c r="K11987" t="s">
        <v>264</v>
      </c>
      <c r="L11987" t="s">
        <v>277</v>
      </c>
      <c r="M11987" t="s">
        <v>523</v>
      </c>
      <c r="N11987" t="s">
        <v>474</v>
      </c>
      <c r="O11987" t="s">
        <v>103</v>
      </c>
      <c r="P11987" t="s">
        <v>106</v>
      </c>
      <c r="Q11987" t="s">
        <v>332</v>
      </c>
      <c r="R11987" t="s">
        <v>108</v>
      </c>
      <c r="S11987" t="s">
        <v>157</v>
      </c>
      <c r="T11987" t="s">
        <v>198</v>
      </c>
      <c r="U11987" t="s">
        <v>207</v>
      </c>
      <c r="V11987" t="s">
        <v>104</v>
      </c>
      <c r="W11987" t="s">
        <v>382</v>
      </c>
    </row>
    <row r="11988" spans="1:23" x14ac:dyDescent="0.3">
      <c r="A11988" t="s">
        <v>49</v>
      </c>
      <c r="B11988" t="s">
        <v>390</v>
      </c>
      <c r="C11988">
        <v>4129</v>
      </c>
      <c r="D11988" t="s">
        <v>956</v>
      </c>
      <c r="E11988" t="s">
        <v>315</v>
      </c>
      <c r="F11988" t="s">
        <v>671</v>
      </c>
      <c r="G11988" t="s">
        <v>120</v>
      </c>
      <c r="H11988" t="s">
        <v>143</v>
      </c>
      <c r="I11988" t="s">
        <v>425</v>
      </c>
      <c r="J11988" t="s">
        <v>242</v>
      </c>
      <c r="K11988" t="s">
        <v>163</v>
      </c>
      <c r="L11988" t="s">
        <v>134</v>
      </c>
      <c r="M11988" t="s">
        <v>355</v>
      </c>
      <c r="N11988" t="s">
        <v>103</v>
      </c>
      <c r="O11988" t="s">
        <v>117</v>
      </c>
      <c r="P11988" t="s">
        <v>499</v>
      </c>
      <c r="Q11988" t="s">
        <v>103</v>
      </c>
      <c r="R11988" t="s">
        <v>132</v>
      </c>
      <c r="S11988" t="s">
        <v>316</v>
      </c>
      <c r="T11988" t="s">
        <v>99</v>
      </c>
      <c r="U11988" t="s">
        <v>198</v>
      </c>
      <c r="V11988" t="s">
        <v>99</v>
      </c>
      <c r="W11988" t="s">
        <v>151</v>
      </c>
    </row>
    <row r="11989" spans="1:23" x14ac:dyDescent="0.3">
      <c r="A11989" t="s">
        <v>49</v>
      </c>
      <c r="B11989" t="s">
        <v>365</v>
      </c>
      <c r="C11989">
        <v>689</v>
      </c>
      <c r="D11989" t="s">
        <v>930</v>
      </c>
      <c r="E11989" t="s">
        <v>704</v>
      </c>
      <c r="F11989" t="s">
        <v>113</v>
      </c>
      <c r="G11989" t="s">
        <v>118</v>
      </c>
      <c r="H11989" t="s">
        <v>277</v>
      </c>
      <c r="I11989" t="s">
        <v>811</v>
      </c>
      <c r="J11989" t="s">
        <v>145</v>
      </c>
      <c r="K11989" t="s">
        <v>379</v>
      </c>
      <c r="L11989" t="s">
        <v>155</v>
      </c>
      <c r="M11989" t="s">
        <v>255</v>
      </c>
      <c r="N11989" t="s">
        <v>126</v>
      </c>
      <c r="O11989" t="s">
        <v>139</v>
      </c>
      <c r="P11989" t="s">
        <v>690</v>
      </c>
      <c r="Q11989" t="s">
        <v>120</v>
      </c>
      <c r="R11989" t="s">
        <v>121</v>
      </c>
      <c r="S11989" t="s">
        <v>319</v>
      </c>
      <c r="T11989" t="s">
        <v>104</v>
      </c>
      <c r="U11989" t="s">
        <v>104</v>
      </c>
      <c r="V11989" t="s">
        <v>99</v>
      </c>
      <c r="W11989" t="s">
        <v>100</v>
      </c>
    </row>
    <row r="11991" spans="1:23" x14ac:dyDescent="0.3">
      <c r="A11991" t="s">
        <v>2737</v>
      </c>
    </row>
    <row r="11992" spans="1:23" x14ac:dyDescent="0.3">
      <c r="A11992" t="s">
        <v>44</v>
      </c>
      <c r="B11992" t="s">
        <v>235</v>
      </c>
      <c r="C11992" t="s">
        <v>32</v>
      </c>
      <c r="D11992" t="s">
        <v>1323</v>
      </c>
      <c r="E11992" t="s">
        <v>2717</v>
      </c>
      <c r="F11992" t="s">
        <v>2718</v>
      </c>
      <c r="G11992" t="s">
        <v>2719</v>
      </c>
      <c r="H11992" t="s">
        <v>2720</v>
      </c>
      <c r="I11992" t="s">
        <v>2721</v>
      </c>
      <c r="J11992" t="s">
        <v>2722</v>
      </c>
      <c r="K11992" t="s">
        <v>2723</v>
      </c>
      <c r="L11992" t="s">
        <v>2724</v>
      </c>
      <c r="M11992" t="s">
        <v>2725</v>
      </c>
      <c r="N11992" t="s">
        <v>2726</v>
      </c>
      <c r="O11992" t="s">
        <v>2727</v>
      </c>
      <c r="P11992" t="s">
        <v>2728</v>
      </c>
      <c r="Q11992" t="s">
        <v>2729</v>
      </c>
      <c r="R11992" t="s">
        <v>2730</v>
      </c>
      <c r="S11992" t="s">
        <v>2731</v>
      </c>
      <c r="T11992" t="s">
        <v>2732</v>
      </c>
      <c r="U11992" t="s">
        <v>2733</v>
      </c>
      <c r="V11992" t="s">
        <v>88</v>
      </c>
      <c r="W11992" t="s">
        <v>193</v>
      </c>
    </row>
    <row r="11993" spans="1:23" x14ac:dyDescent="0.3">
      <c r="A11993" t="s">
        <v>35</v>
      </c>
      <c r="B11993" t="s">
        <v>236</v>
      </c>
      <c r="C11993">
        <v>1610</v>
      </c>
      <c r="D11993" t="s">
        <v>488</v>
      </c>
      <c r="E11993" t="s">
        <v>470</v>
      </c>
      <c r="F11993" t="s">
        <v>679</v>
      </c>
      <c r="G11993" t="s">
        <v>292</v>
      </c>
      <c r="H11993" t="s">
        <v>155</v>
      </c>
      <c r="I11993" t="s">
        <v>803</v>
      </c>
      <c r="J11993" t="s">
        <v>125</v>
      </c>
      <c r="K11993" t="s">
        <v>167</v>
      </c>
      <c r="L11993" t="s">
        <v>325</v>
      </c>
      <c r="M11993" t="s">
        <v>751</v>
      </c>
      <c r="N11993" t="s">
        <v>157</v>
      </c>
      <c r="O11993" t="s">
        <v>118</v>
      </c>
      <c r="P11993" t="s">
        <v>342</v>
      </c>
      <c r="Q11993" t="s">
        <v>103</v>
      </c>
      <c r="R11993" t="s">
        <v>100</v>
      </c>
      <c r="S11993" t="s">
        <v>157</v>
      </c>
      <c r="T11993" t="s">
        <v>104</v>
      </c>
      <c r="U11993" t="s">
        <v>104</v>
      </c>
      <c r="V11993" t="s">
        <v>99</v>
      </c>
      <c r="W11993" t="s">
        <v>382</v>
      </c>
    </row>
    <row r="11994" spans="1:23" x14ac:dyDescent="0.3">
      <c r="A11994" t="s">
        <v>35</v>
      </c>
      <c r="B11994" t="s">
        <v>238</v>
      </c>
      <c r="C11994">
        <v>1533</v>
      </c>
      <c r="D11994" t="s">
        <v>347</v>
      </c>
      <c r="E11994" t="s">
        <v>171</v>
      </c>
      <c r="F11994" t="s">
        <v>313</v>
      </c>
      <c r="G11994" t="s">
        <v>107</v>
      </c>
      <c r="H11994" t="s">
        <v>461</v>
      </c>
      <c r="I11994" t="s">
        <v>699</v>
      </c>
      <c r="J11994" t="s">
        <v>679</v>
      </c>
      <c r="K11994" t="s">
        <v>406</v>
      </c>
      <c r="L11994" t="s">
        <v>138</v>
      </c>
      <c r="M11994" t="s">
        <v>701</v>
      </c>
      <c r="N11994" t="s">
        <v>328</v>
      </c>
      <c r="O11994" t="s">
        <v>117</v>
      </c>
      <c r="P11994" t="s">
        <v>478</v>
      </c>
      <c r="Q11994" t="s">
        <v>120</v>
      </c>
      <c r="R11994" t="s">
        <v>114</v>
      </c>
      <c r="S11994" t="s">
        <v>103</v>
      </c>
      <c r="T11994" t="s">
        <v>99</v>
      </c>
      <c r="U11994" t="s">
        <v>198</v>
      </c>
      <c r="V11994" t="s">
        <v>207</v>
      </c>
      <c r="W11994" t="s">
        <v>127</v>
      </c>
    </row>
    <row r="11995" spans="1:23" x14ac:dyDescent="0.3">
      <c r="A11995" t="s">
        <v>37</v>
      </c>
      <c r="B11995" t="s">
        <v>236</v>
      </c>
      <c r="C11995">
        <v>2208</v>
      </c>
      <c r="D11995" t="s">
        <v>456</v>
      </c>
      <c r="E11995" t="s">
        <v>39</v>
      </c>
      <c r="F11995" t="s">
        <v>142</v>
      </c>
      <c r="G11995" t="s">
        <v>98</v>
      </c>
      <c r="H11995" t="s">
        <v>254</v>
      </c>
      <c r="I11995" t="s">
        <v>706</v>
      </c>
      <c r="J11995" t="s">
        <v>155</v>
      </c>
      <c r="K11995" t="s">
        <v>379</v>
      </c>
      <c r="L11995" t="s">
        <v>118</v>
      </c>
      <c r="M11995" t="s">
        <v>370</v>
      </c>
      <c r="N11995" t="s">
        <v>268</v>
      </c>
      <c r="O11995" t="s">
        <v>128</v>
      </c>
      <c r="P11995" t="s">
        <v>959</v>
      </c>
      <c r="Q11995" t="s">
        <v>120</v>
      </c>
      <c r="R11995" t="s">
        <v>198</v>
      </c>
      <c r="S11995" t="s">
        <v>117</v>
      </c>
      <c r="T11995" t="s">
        <v>104</v>
      </c>
      <c r="U11995" t="s">
        <v>99</v>
      </c>
      <c r="V11995" t="s">
        <v>99</v>
      </c>
      <c r="W11995" t="s">
        <v>117</v>
      </c>
    </row>
    <row r="11996" spans="1:23" x14ac:dyDescent="0.3">
      <c r="A11996" t="s">
        <v>37</v>
      </c>
      <c r="B11996" t="s">
        <v>238</v>
      </c>
      <c r="C11996">
        <v>1640</v>
      </c>
      <c r="D11996" t="s">
        <v>956</v>
      </c>
      <c r="E11996" t="s">
        <v>406</v>
      </c>
      <c r="F11996" t="s">
        <v>315</v>
      </c>
      <c r="G11996" t="s">
        <v>325</v>
      </c>
      <c r="H11996" t="s">
        <v>143</v>
      </c>
      <c r="I11996" t="s">
        <v>188</v>
      </c>
      <c r="J11996" t="s">
        <v>434</v>
      </c>
      <c r="K11996" t="s">
        <v>113</v>
      </c>
      <c r="L11996" t="s">
        <v>268</v>
      </c>
      <c r="M11996" t="s">
        <v>267</v>
      </c>
      <c r="N11996" t="s">
        <v>382</v>
      </c>
      <c r="O11996" t="s">
        <v>120</v>
      </c>
      <c r="P11996" t="s">
        <v>442</v>
      </c>
      <c r="Q11996" t="s">
        <v>128</v>
      </c>
      <c r="R11996" t="s">
        <v>198</v>
      </c>
      <c r="S11996" t="s">
        <v>382</v>
      </c>
      <c r="T11996" t="s">
        <v>99</v>
      </c>
      <c r="U11996" t="s">
        <v>104</v>
      </c>
      <c r="V11996" t="s">
        <v>104</v>
      </c>
      <c r="W11996" t="s">
        <v>215</v>
      </c>
    </row>
    <row r="11997" spans="1:23" x14ac:dyDescent="0.3">
      <c r="A11997" t="s">
        <v>36</v>
      </c>
      <c r="B11997" t="s">
        <v>236</v>
      </c>
      <c r="C11997">
        <v>1565</v>
      </c>
      <c r="D11997" t="s">
        <v>600</v>
      </c>
      <c r="E11997" t="s">
        <v>182</v>
      </c>
      <c r="F11997" t="s">
        <v>363</v>
      </c>
      <c r="G11997" t="s">
        <v>468</v>
      </c>
      <c r="H11997" t="s">
        <v>675</v>
      </c>
      <c r="I11997" t="s">
        <v>691</v>
      </c>
      <c r="J11997" t="s">
        <v>103</v>
      </c>
      <c r="K11997" t="s">
        <v>440</v>
      </c>
      <c r="L11997" t="s">
        <v>254</v>
      </c>
      <c r="M11997" t="s">
        <v>188</v>
      </c>
      <c r="N11997" t="s">
        <v>117</v>
      </c>
      <c r="O11997" t="s">
        <v>128</v>
      </c>
      <c r="P11997" t="s">
        <v>140</v>
      </c>
      <c r="Q11997" t="s">
        <v>468</v>
      </c>
      <c r="R11997" t="s">
        <v>198</v>
      </c>
      <c r="S11997" t="s">
        <v>129</v>
      </c>
      <c r="T11997" t="s">
        <v>104</v>
      </c>
      <c r="U11997" t="s">
        <v>207</v>
      </c>
      <c r="V11997" t="s">
        <v>99</v>
      </c>
      <c r="W11997" t="s">
        <v>126</v>
      </c>
    </row>
    <row r="11998" spans="1:23" x14ac:dyDescent="0.3">
      <c r="A11998" t="s">
        <v>36</v>
      </c>
      <c r="B11998" t="s">
        <v>238</v>
      </c>
      <c r="C11998">
        <v>739</v>
      </c>
      <c r="D11998" t="s">
        <v>521</v>
      </c>
      <c r="E11998" t="s">
        <v>468</v>
      </c>
      <c r="F11998" t="s">
        <v>353</v>
      </c>
      <c r="G11998" t="s">
        <v>268</v>
      </c>
      <c r="H11998" t="s">
        <v>109</v>
      </c>
      <c r="I11998" t="s">
        <v>706</v>
      </c>
      <c r="J11998" t="s">
        <v>134</v>
      </c>
      <c r="K11998" t="s">
        <v>737</v>
      </c>
      <c r="L11998" t="s">
        <v>134</v>
      </c>
      <c r="M11998" t="s">
        <v>405</v>
      </c>
      <c r="N11998" t="s">
        <v>134</v>
      </c>
      <c r="O11998" t="s">
        <v>316</v>
      </c>
      <c r="P11998" t="s">
        <v>437</v>
      </c>
      <c r="Q11998" t="s">
        <v>184</v>
      </c>
      <c r="R11998" t="s">
        <v>319</v>
      </c>
      <c r="S11998" t="s">
        <v>160</v>
      </c>
      <c r="T11998" t="s">
        <v>141</v>
      </c>
      <c r="U11998" t="s">
        <v>99</v>
      </c>
      <c r="V11998" t="s">
        <v>99</v>
      </c>
      <c r="W11998" t="s">
        <v>126</v>
      </c>
    </row>
    <row r="11999" spans="1:23" x14ac:dyDescent="0.3">
      <c r="A11999" t="s">
        <v>34</v>
      </c>
      <c r="B11999" t="s">
        <v>236</v>
      </c>
      <c r="C11999">
        <v>717</v>
      </c>
      <c r="D11999" t="s">
        <v>281</v>
      </c>
      <c r="E11999" t="s">
        <v>474</v>
      </c>
      <c r="F11999" t="s">
        <v>72</v>
      </c>
      <c r="G11999" t="s">
        <v>152</v>
      </c>
      <c r="H11999" t="s">
        <v>296</v>
      </c>
      <c r="I11999" t="s">
        <v>491</v>
      </c>
      <c r="J11999" t="s">
        <v>163</v>
      </c>
      <c r="K11999" t="s">
        <v>704</v>
      </c>
      <c r="L11999" t="s">
        <v>716</v>
      </c>
      <c r="M11999" t="s">
        <v>802</v>
      </c>
      <c r="N11999" t="s">
        <v>154</v>
      </c>
      <c r="O11999" t="s">
        <v>434</v>
      </c>
      <c r="P11999" t="s">
        <v>903</v>
      </c>
      <c r="Q11999" t="s">
        <v>712</v>
      </c>
      <c r="R11999" t="s">
        <v>103</v>
      </c>
      <c r="S11999" t="s">
        <v>136</v>
      </c>
      <c r="T11999" t="s">
        <v>114</v>
      </c>
      <c r="U11999" t="s">
        <v>121</v>
      </c>
      <c r="V11999" t="s">
        <v>99</v>
      </c>
      <c r="W11999" t="s">
        <v>132</v>
      </c>
    </row>
    <row r="12000" spans="1:23" x14ac:dyDescent="0.3">
      <c r="A12000" t="s">
        <v>34</v>
      </c>
      <c r="B12000" t="s">
        <v>238</v>
      </c>
      <c r="C12000">
        <v>1362</v>
      </c>
      <c r="D12000" t="s">
        <v>834</v>
      </c>
      <c r="E12000" t="s">
        <v>149</v>
      </c>
      <c r="F12000" t="s">
        <v>220</v>
      </c>
      <c r="G12000" t="s">
        <v>128</v>
      </c>
      <c r="H12000" t="s">
        <v>405</v>
      </c>
      <c r="I12000" t="s">
        <v>673</v>
      </c>
      <c r="J12000" t="s">
        <v>461</v>
      </c>
      <c r="K12000" t="s">
        <v>395</v>
      </c>
      <c r="L12000" t="s">
        <v>152</v>
      </c>
      <c r="M12000" t="s">
        <v>689</v>
      </c>
      <c r="N12000" t="s">
        <v>684</v>
      </c>
      <c r="O12000" t="s">
        <v>128</v>
      </c>
      <c r="P12000" t="s">
        <v>1107</v>
      </c>
      <c r="Q12000" t="s">
        <v>154</v>
      </c>
      <c r="R12000" t="s">
        <v>292</v>
      </c>
      <c r="S12000" t="s">
        <v>101</v>
      </c>
      <c r="T12000" t="s">
        <v>104</v>
      </c>
      <c r="U12000" t="s">
        <v>114</v>
      </c>
      <c r="V12000" t="s">
        <v>99</v>
      </c>
      <c r="W12000" t="s">
        <v>147</v>
      </c>
    </row>
    <row r="12001" spans="1:23" x14ac:dyDescent="0.3">
      <c r="A12001" t="s">
        <v>33</v>
      </c>
      <c r="B12001" t="s">
        <v>236</v>
      </c>
      <c r="C12001">
        <v>1116</v>
      </c>
      <c r="D12001" t="s">
        <v>588</v>
      </c>
      <c r="E12001" t="s">
        <v>708</v>
      </c>
      <c r="F12001" t="s">
        <v>143</v>
      </c>
      <c r="G12001" t="s">
        <v>126</v>
      </c>
      <c r="H12001" t="s">
        <v>101</v>
      </c>
      <c r="I12001" t="s">
        <v>683</v>
      </c>
      <c r="J12001" t="s">
        <v>151</v>
      </c>
      <c r="K12001" t="s">
        <v>133</v>
      </c>
      <c r="L12001" t="s">
        <v>712</v>
      </c>
      <c r="M12001" t="s">
        <v>739</v>
      </c>
      <c r="N12001" t="s">
        <v>434</v>
      </c>
      <c r="O12001" t="s">
        <v>126</v>
      </c>
      <c r="P12001" t="s">
        <v>281</v>
      </c>
      <c r="Q12001" t="s">
        <v>292</v>
      </c>
      <c r="R12001" t="s">
        <v>207</v>
      </c>
      <c r="S12001" t="s">
        <v>98</v>
      </c>
      <c r="T12001" t="s">
        <v>198</v>
      </c>
      <c r="U12001" t="s">
        <v>99</v>
      </c>
      <c r="V12001" t="s">
        <v>99</v>
      </c>
      <c r="W12001" t="s">
        <v>198</v>
      </c>
    </row>
    <row r="12002" spans="1:23" x14ac:dyDescent="0.3">
      <c r="A12002" t="s">
        <v>33</v>
      </c>
      <c r="B12002" t="s">
        <v>238</v>
      </c>
      <c r="C12002">
        <v>821</v>
      </c>
      <c r="D12002" t="s">
        <v>895</v>
      </c>
      <c r="E12002" t="s">
        <v>313</v>
      </c>
      <c r="F12002" t="s">
        <v>248</v>
      </c>
      <c r="G12002" t="s">
        <v>121</v>
      </c>
      <c r="H12002" t="s">
        <v>292</v>
      </c>
      <c r="I12002" t="s">
        <v>393</v>
      </c>
      <c r="J12002" t="s">
        <v>147</v>
      </c>
      <c r="K12002" t="s">
        <v>133</v>
      </c>
      <c r="L12002" t="s">
        <v>105</v>
      </c>
      <c r="M12002" t="s">
        <v>685</v>
      </c>
      <c r="N12002" t="s">
        <v>151</v>
      </c>
      <c r="O12002" t="s">
        <v>101</v>
      </c>
      <c r="P12002" t="s">
        <v>718</v>
      </c>
      <c r="Q12002" t="s">
        <v>123</v>
      </c>
      <c r="R12002" t="s">
        <v>141</v>
      </c>
      <c r="S12002" t="s">
        <v>149</v>
      </c>
      <c r="T12002" t="s">
        <v>99</v>
      </c>
      <c r="U12002" t="s">
        <v>99</v>
      </c>
      <c r="V12002" t="s">
        <v>99</v>
      </c>
      <c r="W12002" t="s">
        <v>136</v>
      </c>
    </row>
    <row r="12003" spans="1:23" x14ac:dyDescent="0.3">
      <c r="A12003" t="s">
        <v>49</v>
      </c>
      <c r="B12003" t="s">
        <v>236</v>
      </c>
      <c r="C12003">
        <v>7216</v>
      </c>
      <c r="D12003" t="s">
        <v>64</v>
      </c>
      <c r="E12003" t="s">
        <v>677</v>
      </c>
      <c r="F12003" t="s">
        <v>363</v>
      </c>
      <c r="G12003" t="s">
        <v>434</v>
      </c>
      <c r="H12003" t="s">
        <v>277</v>
      </c>
      <c r="I12003" t="s">
        <v>437</v>
      </c>
      <c r="J12003" t="s">
        <v>158</v>
      </c>
      <c r="K12003" t="s">
        <v>708</v>
      </c>
      <c r="L12003" t="s">
        <v>124</v>
      </c>
      <c r="M12003" t="s">
        <v>740</v>
      </c>
      <c r="N12003" t="s">
        <v>107</v>
      </c>
      <c r="O12003" t="s">
        <v>147</v>
      </c>
      <c r="P12003" t="s">
        <v>140</v>
      </c>
      <c r="Q12003" t="s">
        <v>157</v>
      </c>
      <c r="R12003" t="s">
        <v>115</v>
      </c>
      <c r="S12003" t="s">
        <v>107</v>
      </c>
      <c r="T12003" t="s">
        <v>198</v>
      </c>
      <c r="U12003" t="s">
        <v>198</v>
      </c>
      <c r="V12003" t="s">
        <v>99</v>
      </c>
      <c r="W12003" t="s">
        <v>126</v>
      </c>
    </row>
    <row r="12004" spans="1:23" x14ac:dyDescent="0.3">
      <c r="A12004" t="s">
        <v>49</v>
      </c>
      <c r="B12004" t="s">
        <v>238</v>
      </c>
      <c r="C12004">
        <v>6095</v>
      </c>
      <c r="D12004" t="s">
        <v>902</v>
      </c>
      <c r="E12004" t="s">
        <v>251</v>
      </c>
      <c r="F12004" t="s">
        <v>251</v>
      </c>
      <c r="G12004" t="s">
        <v>105</v>
      </c>
      <c r="H12004" t="s">
        <v>184</v>
      </c>
      <c r="I12004" t="s">
        <v>457</v>
      </c>
      <c r="J12004" t="s">
        <v>143</v>
      </c>
      <c r="K12004" t="s">
        <v>267</v>
      </c>
      <c r="L12004" t="s">
        <v>110</v>
      </c>
      <c r="M12004" t="s">
        <v>798</v>
      </c>
      <c r="N12004" t="s">
        <v>130</v>
      </c>
      <c r="O12004" t="s">
        <v>117</v>
      </c>
      <c r="P12004" t="s">
        <v>734</v>
      </c>
      <c r="Q12004" t="s">
        <v>138</v>
      </c>
      <c r="R12004" t="s">
        <v>114</v>
      </c>
      <c r="S12004" t="s">
        <v>128</v>
      </c>
      <c r="T12004" t="s">
        <v>104</v>
      </c>
      <c r="U12004" t="s">
        <v>207</v>
      </c>
      <c r="V12004" t="s">
        <v>104</v>
      </c>
      <c r="W12004" t="s">
        <v>127</v>
      </c>
    </row>
    <row r="12006" spans="1:23" x14ac:dyDescent="0.3">
      <c r="A12006" t="s">
        <v>2738</v>
      </c>
    </row>
    <row r="12007" spans="1:23" x14ac:dyDescent="0.3">
      <c r="A12007" t="s">
        <v>44</v>
      </c>
      <c r="B12007" t="s">
        <v>257</v>
      </c>
      <c r="C12007" t="s">
        <v>32</v>
      </c>
      <c r="D12007" t="s">
        <v>1323</v>
      </c>
      <c r="E12007" t="s">
        <v>2717</v>
      </c>
      <c r="F12007" t="s">
        <v>2718</v>
      </c>
      <c r="G12007" t="s">
        <v>2719</v>
      </c>
      <c r="H12007" t="s">
        <v>2720</v>
      </c>
      <c r="I12007" t="s">
        <v>2721</v>
      </c>
      <c r="J12007" t="s">
        <v>2722</v>
      </c>
      <c r="K12007" t="s">
        <v>2723</v>
      </c>
      <c r="L12007" t="s">
        <v>2724</v>
      </c>
      <c r="M12007" t="s">
        <v>2725</v>
      </c>
      <c r="N12007" t="s">
        <v>2726</v>
      </c>
      <c r="O12007" t="s">
        <v>2727</v>
      </c>
      <c r="P12007" t="s">
        <v>2728</v>
      </c>
      <c r="Q12007" t="s">
        <v>2729</v>
      </c>
      <c r="R12007" t="s">
        <v>2730</v>
      </c>
      <c r="S12007" t="s">
        <v>2731</v>
      </c>
      <c r="T12007" t="s">
        <v>2732</v>
      </c>
      <c r="U12007" t="s">
        <v>2733</v>
      </c>
      <c r="V12007" t="s">
        <v>88</v>
      </c>
      <c r="W12007" t="s">
        <v>193</v>
      </c>
    </row>
    <row r="12008" spans="1:23" x14ac:dyDescent="0.3">
      <c r="A12008" t="s">
        <v>35</v>
      </c>
      <c r="B12008" t="s">
        <v>258</v>
      </c>
      <c r="C12008">
        <v>2871</v>
      </c>
      <c r="D12008" t="s">
        <v>682</v>
      </c>
      <c r="E12008" t="s">
        <v>163</v>
      </c>
      <c r="F12008" t="s">
        <v>804</v>
      </c>
      <c r="G12008" t="s">
        <v>128</v>
      </c>
      <c r="H12008" t="s">
        <v>664</v>
      </c>
      <c r="I12008" t="s">
        <v>916</v>
      </c>
      <c r="J12008" t="s">
        <v>679</v>
      </c>
      <c r="K12008" t="s">
        <v>38</v>
      </c>
      <c r="L12008" t="s">
        <v>110</v>
      </c>
      <c r="M12008" t="s">
        <v>718</v>
      </c>
      <c r="N12008" t="s">
        <v>242</v>
      </c>
      <c r="O12008" t="s">
        <v>147</v>
      </c>
      <c r="P12008" t="s">
        <v>197</v>
      </c>
      <c r="Q12008" t="s">
        <v>120</v>
      </c>
      <c r="R12008" t="s">
        <v>132</v>
      </c>
      <c r="S12008" t="s">
        <v>120</v>
      </c>
      <c r="T12008" t="s">
        <v>99</v>
      </c>
      <c r="U12008" t="s">
        <v>104</v>
      </c>
      <c r="V12008" t="s">
        <v>198</v>
      </c>
      <c r="W12008" t="s">
        <v>101</v>
      </c>
    </row>
    <row r="12009" spans="1:23" x14ac:dyDescent="0.3">
      <c r="A12009" t="s">
        <v>35</v>
      </c>
      <c r="B12009" t="s">
        <v>260</v>
      </c>
      <c r="C12009">
        <v>272</v>
      </c>
      <c r="D12009" t="s">
        <v>741</v>
      </c>
      <c r="E12009" t="s">
        <v>154</v>
      </c>
      <c r="F12009" t="s">
        <v>289</v>
      </c>
      <c r="G12009" t="s">
        <v>154</v>
      </c>
      <c r="H12009" t="s">
        <v>675</v>
      </c>
      <c r="I12009" t="s">
        <v>751</v>
      </c>
      <c r="J12009" t="s">
        <v>289</v>
      </c>
      <c r="K12009" t="s">
        <v>309</v>
      </c>
      <c r="L12009" t="s">
        <v>144</v>
      </c>
      <c r="M12009" t="s">
        <v>523</v>
      </c>
      <c r="N12009" t="s">
        <v>124</v>
      </c>
      <c r="O12009" t="s">
        <v>103</v>
      </c>
      <c r="P12009" t="s">
        <v>699</v>
      </c>
      <c r="Q12009" t="s">
        <v>292</v>
      </c>
      <c r="R12009" t="s">
        <v>316</v>
      </c>
      <c r="S12009" t="s">
        <v>126</v>
      </c>
      <c r="T12009" t="s">
        <v>99</v>
      </c>
      <c r="U12009" t="s">
        <v>132</v>
      </c>
      <c r="V12009" t="s">
        <v>99</v>
      </c>
      <c r="W12009" t="s">
        <v>328</v>
      </c>
    </row>
    <row r="12010" spans="1:23" x14ac:dyDescent="0.3">
      <c r="A12010" t="s">
        <v>37</v>
      </c>
      <c r="B12010" t="s">
        <v>258</v>
      </c>
      <c r="C12010">
        <v>3848</v>
      </c>
      <c r="D12010" t="s">
        <v>713</v>
      </c>
      <c r="E12010" t="s">
        <v>676</v>
      </c>
      <c r="F12010" t="s">
        <v>379</v>
      </c>
      <c r="G12010" t="s">
        <v>468</v>
      </c>
      <c r="H12010" t="s">
        <v>74</v>
      </c>
      <c r="I12010" t="s">
        <v>425</v>
      </c>
      <c r="J12010" t="s">
        <v>134</v>
      </c>
      <c r="K12010" t="s">
        <v>142</v>
      </c>
      <c r="L12010" t="s">
        <v>105</v>
      </c>
      <c r="M12010" t="s">
        <v>357</v>
      </c>
      <c r="N12010" t="s">
        <v>151</v>
      </c>
      <c r="O12010" t="s">
        <v>128</v>
      </c>
      <c r="P12010" t="s">
        <v>281</v>
      </c>
      <c r="Q12010" t="s">
        <v>120</v>
      </c>
      <c r="R12010" t="s">
        <v>198</v>
      </c>
      <c r="S12010" t="s">
        <v>151</v>
      </c>
      <c r="T12010" t="s">
        <v>104</v>
      </c>
      <c r="U12010" t="s">
        <v>104</v>
      </c>
      <c r="V12010" t="s">
        <v>99</v>
      </c>
      <c r="W12010" t="s">
        <v>292</v>
      </c>
    </row>
    <row r="12011" spans="1:23" x14ac:dyDescent="0.3">
      <c r="A12011" t="s">
        <v>36</v>
      </c>
      <c r="B12011" t="s">
        <v>258</v>
      </c>
      <c r="C12011">
        <v>2099</v>
      </c>
      <c r="D12011" t="s">
        <v>822</v>
      </c>
      <c r="E12011" t="s">
        <v>160</v>
      </c>
      <c r="F12011" t="s">
        <v>299</v>
      </c>
      <c r="G12011" t="s">
        <v>134</v>
      </c>
      <c r="H12011" t="s">
        <v>663</v>
      </c>
      <c r="I12011" t="s">
        <v>370</v>
      </c>
      <c r="J12011" t="s">
        <v>105</v>
      </c>
      <c r="K12011" t="s">
        <v>264</v>
      </c>
      <c r="L12011" t="s">
        <v>149</v>
      </c>
      <c r="M12011" t="s">
        <v>731</v>
      </c>
      <c r="N12011" t="s">
        <v>157</v>
      </c>
      <c r="O12011" t="s">
        <v>316</v>
      </c>
      <c r="P12011" t="s">
        <v>307</v>
      </c>
      <c r="Q12011" t="s">
        <v>663</v>
      </c>
      <c r="R12011" t="s">
        <v>108</v>
      </c>
      <c r="S12011" t="s">
        <v>325</v>
      </c>
      <c r="T12011" t="s">
        <v>207</v>
      </c>
      <c r="U12011" t="s">
        <v>104</v>
      </c>
      <c r="V12011" t="s">
        <v>99</v>
      </c>
      <c r="W12011" t="s">
        <v>126</v>
      </c>
    </row>
    <row r="12012" spans="1:23" x14ac:dyDescent="0.3">
      <c r="A12012" t="s">
        <v>36</v>
      </c>
      <c r="B12012" t="s">
        <v>260</v>
      </c>
      <c r="C12012">
        <v>205</v>
      </c>
      <c r="D12012" t="s">
        <v>834</v>
      </c>
      <c r="E12012" t="s">
        <v>204</v>
      </c>
      <c r="F12012" t="s">
        <v>296</v>
      </c>
      <c r="G12012" t="s">
        <v>151</v>
      </c>
      <c r="H12012" t="s">
        <v>296</v>
      </c>
      <c r="I12012" t="s">
        <v>406</v>
      </c>
      <c r="J12012" t="s">
        <v>248</v>
      </c>
      <c r="K12012" t="s">
        <v>110</v>
      </c>
      <c r="L12012" t="s">
        <v>864</v>
      </c>
      <c r="M12012" t="s">
        <v>694</v>
      </c>
      <c r="N12012" t="s">
        <v>110</v>
      </c>
      <c r="O12012" t="s">
        <v>474</v>
      </c>
      <c r="P12012" t="s">
        <v>838</v>
      </c>
      <c r="Q12012" t="s">
        <v>296</v>
      </c>
      <c r="R12012" t="s">
        <v>126</v>
      </c>
      <c r="S12012" t="s">
        <v>126</v>
      </c>
      <c r="T12012" t="s">
        <v>141</v>
      </c>
      <c r="U12012" t="s">
        <v>126</v>
      </c>
      <c r="V12012" t="s">
        <v>141</v>
      </c>
      <c r="W12012" t="s">
        <v>474</v>
      </c>
    </row>
    <row r="12013" spans="1:23" x14ac:dyDescent="0.3">
      <c r="A12013" t="s">
        <v>34</v>
      </c>
      <c r="B12013" t="s">
        <v>258</v>
      </c>
      <c r="C12013">
        <v>1221</v>
      </c>
      <c r="D12013" t="s">
        <v>613</v>
      </c>
      <c r="E12013" t="s">
        <v>134</v>
      </c>
      <c r="F12013" t="s">
        <v>129</v>
      </c>
      <c r="G12013" t="s">
        <v>123</v>
      </c>
      <c r="H12013" t="s">
        <v>184</v>
      </c>
      <c r="I12013" t="s">
        <v>442</v>
      </c>
      <c r="J12013" t="s">
        <v>70</v>
      </c>
      <c r="K12013" t="s">
        <v>440</v>
      </c>
      <c r="L12013" t="s">
        <v>123</v>
      </c>
      <c r="M12013" t="s">
        <v>231</v>
      </c>
      <c r="N12013" t="s">
        <v>316</v>
      </c>
      <c r="O12013" t="s">
        <v>198</v>
      </c>
      <c r="P12013" t="s">
        <v>743</v>
      </c>
      <c r="Q12013" t="s">
        <v>215</v>
      </c>
      <c r="R12013" t="s">
        <v>136</v>
      </c>
      <c r="S12013" t="s">
        <v>104</v>
      </c>
      <c r="T12013" t="s">
        <v>104</v>
      </c>
      <c r="U12013" t="s">
        <v>136</v>
      </c>
      <c r="V12013" t="s">
        <v>99</v>
      </c>
      <c r="W12013" t="s">
        <v>115</v>
      </c>
    </row>
    <row r="12014" spans="1:23" x14ac:dyDescent="0.3">
      <c r="A12014" t="s">
        <v>34</v>
      </c>
      <c r="B12014" t="s">
        <v>260</v>
      </c>
      <c r="C12014">
        <v>858</v>
      </c>
      <c r="D12014" t="s">
        <v>410</v>
      </c>
      <c r="E12014" t="s">
        <v>277</v>
      </c>
      <c r="F12014" t="s">
        <v>708</v>
      </c>
      <c r="G12014" t="s">
        <v>684</v>
      </c>
      <c r="H12014" t="s">
        <v>287</v>
      </c>
      <c r="I12014" t="s">
        <v>691</v>
      </c>
      <c r="J12014" t="s">
        <v>716</v>
      </c>
      <c r="K12014" t="s">
        <v>687</v>
      </c>
      <c r="L12014" t="s">
        <v>449</v>
      </c>
      <c r="M12014" t="s">
        <v>802</v>
      </c>
      <c r="N12014" t="s">
        <v>144</v>
      </c>
      <c r="O12014" t="s">
        <v>412</v>
      </c>
      <c r="P12014" t="s">
        <v>1110</v>
      </c>
      <c r="Q12014" t="s">
        <v>277</v>
      </c>
      <c r="R12014" t="s">
        <v>138</v>
      </c>
      <c r="S12014" t="s">
        <v>382</v>
      </c>
      <c r="T12014" t="s">
        <v>141</v>
      </c>
      <c r="U12014" t="s">
        <v>319</v>
      </c>
      <c r="V12014" t="s">
        <v>99</v>
      </c>
      <c r="W12014" t="s">
        <v>105</v>
      </c>
    </row>
    <row r="12015" spans="1:23" x14ac:dyDescent="0.3">
      <c r="A12015" t="s">
        <v>33</v>
      </c>
      <c r="B12015" t="s">
        <v>258</v>
      </c>
      <c r="C12015">
        <v>1937</v>
      </c>
      <c r="D12015" t="s">
        <v>591</v>
      </c>
      <c r="E12015" t="s">
        <v>449</v>
      </c>
      <c r="F12015" t="s">
        <v>152</v>
      </c>
      <c r="G12015" t="s">
        <v>101</v>
      </c>
      <c r="H12015" t="s">
        <v>215</v>
      </c>
      <c r="I12015" t="s">
        <v>478</v>
      </c>
      <c r="J12015" t="s">
        <v>103</v>
      </c>
      <c r="K12015" t="s">
        <v>133</v>
      </c>
      <c r="L12015" t="s">
        <v>118</v>
      </c>
      <c r="M12015" t="s">
        <v>704</v>
      </c>
      <c r="N12015" t="s">
        <v>157</v>
      </c>
      <c r="O12015" t="s">
        <v>319</v>
      </c>
      <c r="P12015" t="s">
        <v>743</v>
      </c>
      <c r="Q12015" t="s">
        <v>151</v>
      </c>
      <c r="R12015" t="s">
        <v>136</v>
      </c>
      <c r="S12015" t="s">
        <v>277</v>
      </c>
      <c r="T12015" t="s">
        <v>104</v>
      </c>
      <c r="U12015" t="s">
        <v>99</v>
      </c>
      <c r="V12015" t="s">
        <v>99</v>
      </c>
      <c r="W12015" t="s">
        <v>207</v>
      </c>
    </row>
    <row r="12016" spans="1:23" x14ac:dyDescent="0.3">
      <c r="A12016" t="s">
        <v>49</v>
      </c>
      <c r="B12016" t="s">
        <v>258</v>
      </c>
      <c r="C12016">
        <v>11976</v>
      </c>
      <c r="D12016" t="s">
        <v>580</v>
      </c>
      <c r="E12016" t="s">
        <v>294</v>
      </c>
      <c r="F12016" t="s">
        <v>461</v>
      </c>
      <c r="G12016" t="s">
        <v>155</v>
      </c>
      <c r="H12016" t="s">
        <v>325</v>
      </c>
      <c r="I12016" t="s">
        <v>670</v>
      </c>
      <c r="J12016" t="s">
        <v>242</v>
      </c>
      <c r="K12016" t="s">
        <v>737</v>
      </c>
      <c r="L12016" t="s">
        <v>332</v>
      </c>
      <c r="M12016" t="s">
        <v>406</v>
      </c>
      <c r="N12016" t="s">
        <v>138</v>
      </c>
      <c r="O12016" t="s">
        <v>268</v>
      </c>
      <c r="P12016" t="s">
        <v>802</v>
      </c>
      <c r="Q12016" t="s">
        <v>147</v>
      </c>
      <c r="R12016" t="s">
        <v>141</v>
      </c>
      <c r="S12016" t="s">
        <v>157</v>
      </c>
      <c r="T12016" t="s">
        <v>104</v>
      </c>
      <c r="U12016" t="s">
        <v>104</v>
      </c>
      <c r="V12016" t="s">
        <v>104</v>
      </c>
      <c r="W12016" t="s">
        <v>101</v>
      </c>
    </row>
    <row r="12017" spans="1:23" x14ac:dyDescent="0.3">
      <c r="A12017" t="s">
        <v>49</v>
      </c>
      <c r="B12017" t="s">
        <v>260</v>
      </c>
      <c r="C12017">
        <v>1335</v>
      </c>
      <c r="D12017" t="s">
        <v>197</v>
      </c>
      <c r="E12017" t="s">
        <v>68</v>
      </c>
      <c r="F12017" t="s">
        <v>294</v>
      </c>
      <c r="G12017" t="s">
        <v>242</v>
      </c>
      <c r="H12017" t="s">
        <v>470</v>
      </c>
      <c r="I12017" t="s">
        <v>501</v>
      </c>
      <c r="J12017" t="s">
        <v>313</v>
      </c>
      <c r="K12017" t="s">
        <v>705</v>
      </c>
      <c r="L12017" t="s">
        <v>716</v>
      </c>
      <c r="M12017" t="s">
        <v>499</v>
      </c>
      <c r="N12017" t="s">
        <v>204</v>
      </c>
      <c r="O12017" t="s">
        <v>112</v>
      </c>
      <c r="P12017" t="s">
        <v>62</v>
      </c>
      <c r="Q12017" t="s">
        <v>112</v>
      </c>
      <c r="R12017" t="s">
        <v>157</v>
      </c>
      <c r="S12017" t="s">
        <v>382</v>
      </c>
      <c r="T12017" t="s">
        <v>136</v>
      </c>
      <c r="U12017" t="s">
        <v>101</v>
      </c>
      <c r="V12017" t="s">
        <v>99</v>
      </c>
      <c r="W12017" t="s">
        <v>134</v>
      </c>
    </row>
    <row r="12019" spans="1:23" x14ac:dyDescent="0.3">
      <c r="A12019" t="s">
        <v>2739</v>
      </c>
    </row>
    <row r="12020" spans="1:23" x14ac:dyDescent="0.3">
      <c r="A12020" t="s">
        <v>44</v>
      </c>
      <c r="B12020" t="s">
        <v>1720</v>
      </c>
      <c r="C12020" t="s">
        <v>32</v>
      </c>
      <c r="D12020" t="s">
        <v>1323</v>
      </c>
      <c r="E12020" t="s">
        <v>2717</v>
      </c>
      <c r="F12020" t="s">
        <v>2718</v>
      </c>
      <c r="G12020" t="s">
        <v>2719</v>
      </c>
      <c r="H12020" t="s">
        <v>2720</v>
      </c>
      <c r="I12020" t="s">
        <v>2721</v>
      </c>
      <c r="J12020" t="s">
        <v>2722</v>
      </c>
      <c r="K12020" t="s">
        <v>2723</v>
      </c>
      <c r="L12020" t="s">
        <v>2724</v>
      </c>
      <c r="M12020" t="s">
        <v>2725</v>
      </c>
      <c r="N12020" t="s">
        <v>2726</v>
      </c>
      <c r="O12020" t="s">
        <v>2727</v>
      </c>
      <c r="P12020" t="s">
        <v>2728</v>
      </c>
      <c r="Q12020" t="s">
        <v>2729</v>
      </c>
      <c r="R12020" t="s">
        <v>2730</v>
      </c>
      <c r="S12020" t="s">
        <v>2731</v>
      </c>
      <c r="T12020" t="s">
        <v>2732</v>
      </c>
      <c r="U12020" t="s">
        <v>2733</v>
      </c>
      <c r="V12020" t="s">
        <v>88</v>
      </c>
      <c r="W12020" t="s">
        <v>193</v>
      </c>
    </row>
    <row r="12021" spans="1:23" x14ac:dyDescent="0.3">
      <c r="A12021" t="s">
        <v>35</v>
      </c>
      <c r="B12021" t="s">
        <v>1721</v>
      </c>
      <c r="C12021">
        <v>995</v>
      </c>
      <c r="D12021" t="s">
        <v>545</v>
      </c>
      <c r="E12021" t="s">
        <v>468</v>
      </c>
      <c r="F12021" t="s">
        <v>296</v>
      </c>
      <c r="G12021" t="s">
        <v>103</v>
      </c>
      <c r="H12021" t="s">
        <v>74</v>
      </c>
      <c r="I12021" t="s">
        <v>834</v>
      </c>
      <c r="J12021" t="s">
        <v>401</v>
      </c>
      <c r="K12021" t="s">
        <v>676</v>
      </c>
      <c r="L12021" t="s">
        <v>124</v>
      </c>
      <c r="M12021" t="s">
        <v>175</v>
      </c>
      <c r="N12021" t="s">
        <v>160</v>
      </c>
      <c r="O12021" t="s">
        <v>154</v>
      </c>
      <c r="P12021" t="s">
        <v>442</v>
      </c>
      <c r="Q12021" t="s">
        <v>103</v>
      </c>
      <c r="R12021" t="s">
        <v>108</v>
      </c>
      <c r="S12021" t="s">
        <v>268</v>
      </c>
      <c r="T12021" t="s">
        <v>99</v>
      </c>
      <c r="U12021" t="s">
        <v>104</v>
      </c>
      <c r="V12021" t="s">
        <v>253</v>
      </c>
      <c r="W12021" t="s">
        <v>319</v>
      </c>
    </row>
    <row r="12022" spans="1:23" x14ac:dyDescent="0.3">
      <c r="A12022" t="s">
        <v>35</v>
      </c>
      <c r="B12022" t="s">
        <v>1722</v>
      </c>
      <c r="C12022">
        <v>2148</v>
      </c>
      <c r="D12022" t="s">
        <v>534</v>
      </c>
      <c r="E12022" t="s">
        <v>222</v>
      </c>
      <c r="F12022" t="s">
        <v>171</v>
      </c>
      <c r="G12022" t="s">
        <v>147</v>
      </c>
      <c r="H12022" t="s">
        <v>78</v>
      </c>
      <c r="I12022" t="s">
        <v>485</v>
      </c>
      <c r="J12022" t="s">
        <v>353</v>
      </c>
      <c r="K12022" t="s">
        <v>173</v>
      </c>
      <c r="L12022" t="s">
        <v>155</v>
      </c>
      <c r="M12022" t="s">
        <v>807</v>
      </c>
      <c r="N12022" t="s">
        <v>110</v>
      </c>
      <c r="O12022" t="s">
        <v>117</v>
      </c>
      <c r="P12022" t="s">
        <v>734</v>
      </c>
      <c r="Q12022" t="s">
        <v>120</v>
      </c>
      <c r="R12022" t="s">
        <v>100</v>
      </c>
      <c r="S12022" t="s">
        <v>120</v>
      </c>
      <c r="T12022" t="s">
        <v>104</v>
      </c>
      <c r="U12022" t="s">
        <v>198</v>
      </c>
      <c r="V12022" t="s">
        <v>99</v>
      </c>
      <c r="W12022" t="s">
        <v>123</v>
      </c>
    </row>
    <row r="12023" spans="1:23" x14ac:dyDescent="0.3">
      <c r="A12023" t="s">
        <v>37</v>
      </c>
      <c r="B12023" t="s">
        <v>1721</v>
      </c>
      <c r="C12023">
        <v>1250</v>
      </c>
      <c r="D12023" t="s">
        <v>1232</v>
      </c>
      <c r="E12023" t="s">
        <v>501</v>
      </c>
      <c r="F12023" t="s">
        <v>171</v>
      </c>
      <c r="G12023" t="s">
        <v>144</v>
      </c>
      <c r="H12023" t="s">
        <v>664</v>
      </c>
      <c r="I12023" t="s">
        <v>705</v>
      </c>
      <c r="J12023" t="s">
        <v>68</v>
      </c>
      <c r="K12023" t="s">
        <v>113</v>
      </c>
      <c r="L12023" t="s">
        <v>105</v>
      </c>
      <c r="M12023" t="s">
        <v>688</v>
      </c>
      <c r="N12023" t="s">
        <v>128</v>
      </c>
      <c r="O12023" t="s">
        <v>103</v>
      </c>
      <c r="P12023" t="s">
        <v>743</v>
      </c>
      <c r="Q12023" t="s">
        <v>147</v>
      </c>
      <c r="R12023" t="s">
        <v>104</v>
      </c>
      <c r="S12023" t="s">
        <v>111</v>
      </c>
      <c r="T12023" t="s">
        <v>104</v>
      </c>
      <c r="U12023" t="s">
        <v>99</v>
      </c>
      <c r="V12023" t="s">
        <v>104</v>
      </c>
      <c r="W12023" t="s">
        <v>117</v>
      </c>
    </row>
    <row r="12024" spans="1:23" x14ac:dyDescent="0.3">
      <c r="A12024" t="s">
        <v>37</v>
      </c>
      <c r="B12024" t="s">
        <v>1722</v>
      </c>
      <c r="C12024">
        <v>2598</v>
      </c>
      <c r="D12024" t="s">
        <v>960</v>
      </c>
      <c r="E12024" t="s">
        <v>705</v>
      </c>
      <c r="F12024" t="s">
        <v>369</v>
      </c>
      <c r="G12024" t="s">
        <v>98</v>
      </c>
      <c r="H12024" t="s">
        <v>325</v>
      </c>
      <c r="I12024" t="s">
        <v>706</v>
      </c>
      <c r="J12024" t="s">
        <v>105</v>
      </c>
      <c r="K12024" t="s">
        <v>470</v>
      </c>
      <c r="L12024" t="s">
        <v>105</v>
      </c>
      <c r="M12024" t="s">
        <v>463</v>
      </c>
      <c r="N12024" t="s">
        <v>215</v>
      </c>
      <c r="O12024" t="s">
        <v>147</v>
      </c>
      <c r="P12024" t="s">
        <v>246</v>
      </c>
      <c r="Q12024" t="s">
        <v>128</v>
      </c>
      <c r="R12024" t="s">
        <v>198</v>
      </c>
      <c r="S12024" t="s">
        <v>123</v>
      </c>
      <c r="T12024" t="s">
        <v>104</v>
      </c>
      <c r="U12024" t="s">
        <v>104</v>
      </c>
      <c r="V12024" t="s">
        <v>99</v>
      </c>
      <c r="W12024" t="s">
        <v>151</v>
      </c>
    </row>
    <row r="12025" spans="1:23" x14ac:dyDescent="0.3">
      <c r="A12025" t="s">
        <v>36</v>
      </c>
      <c r="B12025" t="s">
        <v>1721</v>
      </c>
      <c r="C12025">
        <v>812</v>
      </c>
      <c r="D12025" t="s">
        <v>1120</v>
      </c>
      <c r="E12025" t="s">
        <v>142</v>
      </c>
      <c r="F12025" t="s">
        <v>311</v>
      </c>
      <c r="G12025" t="s">
        <v>149</v>
      </c>
      <c r="H12025" t="s">
        <v>78</v>
      </c>
      <c r="I12025" t="s">
        <v>395</v>
      </c>
      <c r="J12025" t="s">
        <v>68</v>
      </c>
      <c r="K12025" t="s">
        <v>315</v>
      </c>
      <c r="L12025" t="s">
        <v>242</v>
      </c>
      <c r="M12025" t="s">
        <v>41</v>
      </c>
      <c r="N12025" t="s">
        <v>292</v>
      </c>
      <c r="O12025" t="s">
        <v>154</v>
      </c>
      <c r="P12025" t="s">
        <v>748</v>
      </c>
      <c r="Q12025" t="s">
        <v>135</v>
      </c>
      <c r="R12025" t="s">
        <v>136</v>
      </c>
      <c r="S12025" t="s">
        <v>325</v>
      </c>
      <c r="T12025" t="s">
        <v>115</v>
      </c>
      <c r="U12025" t="s">
        <v>207</v>
      </c>
      <c r="V12025" t="s">
        <v>99</v>
      </c>
      <c r="W12025" t="s">
        <v>121</v>
      </c>
    </row>
    <row r="12026" spans="1:23" x14ac:dyDescent="0.3">
      <c r="A12026" t="s">
        <v>36</v>
      </c>
      <c r="B12026" t="s">
        <v>1722</v>
      </c>
      <c r="C12026">
        <v>1492</v>
      </c>
      <c r="D12026" t="s">
        <v>102</v>
      </c>
      <c r="E12026" t="s">
        <v>328</v>
      </c>
      <c r="F12026" t="s">
        <v>254</v>
      </c>
      <c r="G12026" t="s">
        <v>157</v>
      </c>
      <c r="H12026" t="s">
        <v>143</v>
      </c>
      <c r="I12026" t="s">
        <v>820</v>
      </c>
      <c r="J12026" t="s">
        <v>268</v>
      </c>
      <c r="K12026" t="s">
        <v>186</v>
      </c>
      <c r="L12026" t="s">
        <v>68</v>
      </c>
      <c r="M12026" t="s">
        <v>38</v>
      </c>
      <c r="N12026" t="s">
        <v>118</v>
      </c>
      <c r="O12026" t="s">
        <v>292</v>
      </c>
      <c r="P12026" t="s">
        <v>868</v>
      </c>
      <c r="Q12026" t="s">
        <v>663</v>
      </c>
      <c r="R12026" t="s">
        <v>121</v>
      </c>
      <c r="S12026" t="s">
        <v>325</v>
      </c>
      <c r="T12026" t="s">
        <v>104</v>
      </c>
      <c r="U12026" t="s">
        <v>104</v>
      </c>
      <c r="V12026" t="s">
        <v>99</v>
      </c>
      <c r="W12026" t="s">
        <v>382</v>
      </c>
    </row>
    <row r="12027" spans="1:23" x14ac:dyDescent="0.3">
      <c r="A12027" t="s">
        <v>34</v>
      </c>
      <c r="B12027" t="s">
        <v>1721</v>
      </c>
      <c r="C12027">
        <v>620</v>
      </c>
      <c r="D12027" t="s">
        <v>425</v>
      </c>
      <c r="E12027" t="s">
        <v>277</v>
      </c>
      <c r="F12027" t="s">
        <v>175</v>
      </c>
      <c r="G12027" t="s">
        <v>124</v>
      </c>
      <c r="H12027" t="s">
        <v>731</v>
      </c>
      <c r="I12027" t="s">
        <v>1059</v>
      </c>
      <c r="J12027" t="s">
        <v>746</v>
      </c>
      <c r="K12027" t="s">
        <v>463</v>
      </c>
      <c r="L12027" t="s">
        <v>313</v>
      </c>
      <c r="M12027" t="s">
        <v>298</v>
      </c>
      <c r="N12027" t="s">
        <v>184</v>
      </c>
      <c r="O12027" t="s">
        <v>684</v>
      </c>
      <c r="P12027" t="s">
        <v>283</v>
      </c>
      <c r="Q12027" t="s">
        <v>110</v>
      </c>
      <c r="R12027" t="s">
        <v>105</v>
      </c>
      <c r="S12027" t="s">
        <v>101</v>
      </c>
      <c r="T12027" t="s">
        <v>136</v>
      </c>
      <c r="U12027" t="s">
        <v>108</v>
      </c>
      <c r="V12027" t="s">
        <v>99</v>
      </c>
      <c r="W12027" t="s">
        <v>128</v>
      </c>
    </row>
    <row r="12028" spans="1:23" x14ac:dyDescent="0.3">
      <c r="A12028" t="s">
        <v>34</v>
      </c>
      <c r="B12028" t="s">
        <v>1722</v>
      </c>
      <c r="C12028">
        <v>1459</v>
      </c>
      <c r="D12028" t="s">
        <v>592</v>
      </c>
      <c r="E12028" t="s">
        <v>474</v>
      </c>
      <c r="F12028" t="s">
        <v>150</v>
      </c>
      <c r="G12028" t="s">
        <v>105</v>
      </c>
      <c r="H12028" t="s">
        <v>78</v>
      </c>
      <c r="I12028" t="s">
        <v>357</v>
      </c>
      <c r="J12028" t="s">
        <v>78</v>
      </c>
      <c r="K12028" t="s">
        <v>372</v>
      </c>
      <c r="L12028" t="s">
        <v>135</v>
      </c>
      <c r="M12028" t="s">
        <v>303</v>
      </c>
      <c r="N12028" t="s">
        <v>155</v>
      </c>
      <c r="O12028" t="s">
        <v>111</v>
      </c>
      <c r="P12028" t="s">
        <v>148</v>
      </c>
      <c r="Q12028" t="s">
        <v>118</v>
      </c>
      <c r="R12028" t="s">
        <v>215</v>
      </c>
      <c r="S12028" t="s">
        <v>108</v>
      </c>
      <c r="T12028" t="s">
        <v>136</v>
      </c>
      <c r="U12028" t="s">
        <v>100</v>
      </c>
      <c r="V12028" t="s">
        <v>99</v>
      </c>
      <c r="W12028" t="s">
        <v>292</v>
      </c>
    </row>
    <row r="12029" spans="1:23" x14ac:dyDescent="0.3">
      <c r="A12029" t="s">
        <v>33</v>
      </c>
      <c r="B12029" t="s">
        <v>1721</v>
      </c>
      <c r="C12029">
        <v>557</v>
      </c>
      <c r="D12029" t="s">
        <v>632</v>
      </c>
      <c r="E12029" t="s">
        <v>251</v>
      </c>
      <c r="F12029" t="s">
        <v>72</v>
      </c>
      <c r="G12029" t="s">
        <v>123</v>
      </c>
      <c r="H12029" t="s">
        <v>316</v>
      </c>
      <c r="I12029" t="s">
        <v>440</v>
      </c>
      <c r="J12029" t="s">
        <v>154</v>
      </c>
      <c r="K12029" t="s">
        <v>72</v>
      </c>
      <c r="L12029" t="s">
        <v>242</v>
      </c>
      <c r="M12029" t="s">
        <v>313</v>
      </c>
      <c r="N12029" t="s">
        <v>134</v>
      </c>
      <c r="O12029" t="s">
        <v>147</v>
      </c>
      <c r="P12029" t="s">
        <v>39</v>
      </c>
      <c r="Q12029" t="s">
        <v>292</v>
      </c>
      <c r="R12029" t="s">
        <v>253</v>
      </c>
      <c r="S12029" t="s">
        <v>474</v>
      </c>
      <c r="T12029" t="s">
        <v>104</v>
      </c>
      <c r="U12029" t="s">
        <v>99</v>
      </c>
      <c r="V12029" t="s">
        <v>99</v>
      </c>
      <c r="W12029" t="s">
        <v>253</v>
      </c>
    </row>
    <row r="12030" spans="1:23" x14ac:dyDescent="0.3">
      <c r="A12030" t="s">
        <v>33</v>
      </c>
      <c r="B12030" t="s">
        <v>1722</v>
      </c>
      <c r="C12030">
        <v>1380</v>
      </c>
      <c r="D12030" t="s">
        <v>609</v>
      </c>
      <c r="E12030" t="s">
        <v>737</v>
      </c>
      <c r="F12030" t="s">
        <v>145</v>
      </c>
      <c r="G12030" t="s">
        <v>100</v>
      </c>
      <c r="H12030" t="s">
        <v>101</v>
      </c>
      <c r="I12030" t="s">
        <v>738</v>
      </c>
      <c r="J12030" t="s">
        <v>151</v>
      </c>
      <c r="K12030" t="s">
        <v>220</v>
      </c>
      <c r="L12030" t="s">
        <v>138</v>
      </c>
      <c r="M12030" t="s">
        <v>357</v>
      </c>
      <c r="N12030" t="s">
        <v>147</v>
      </c>
      <c r="O12030" t="s">
        <v>132</v>
      </c>
      <c r="P12030" t="s">
        <v>683</v>
      </c>
      <c r="Q12030" t="s">
        <v>123</v>
      </c>
      <c r="R12030" t="s">
        <v>207</v>
      </c>
      <c r="S12030" t="s">
        <v>98</v>
      </c>
      <c r="T12030" t="s">
        <v>104</v>
      </c>
      <c r="U12030" t="s">
        <v>99</v>
      </c>
      <c r="V12030" t="s">
        <v>99</v>
      </c>
      <c r="W12030" t="s">
        <v>198</v>
      </c>
    </row>
    <row r="12031" spans="1:23" x14ac:dyDescent="0.3">
      <c r="A12031" t="s">
        <v>49</v>
      </c>
      <c r="B12031" t="s">
        <v>1721</v>
      </c>
      <c r="C12031">
        <v>4234</v>
      </c>
      <c r="D12031" t="s">
        <v>821</v>
      </c>
      <c r="E12031" t="s">
        <v>379</v>
      </c>
      <c r="F12031" t="s">
        <v>171</v>
      </c>
      <c r="G12031" t="s">
        <v>434</v>
      </c>
      <c r="H12031" t="s">
        <v>184</v>
      </c>
      <c r="I12031" t="s">
        <v>933</v>
      </c>
      <c r="J12031" t="s">
        <v>160</v>
      </c>
      <c r="K12031" t="s">
        <v>355</v>
      </c>
      <c r="L12031" t="s">
        <v>328</v>
      </c>
      <c r="M12031" t="s">
        <v>321</v>
      </c>
      <c r="N12031" t="s">
        <v>412</v>
      </c>
      <c r="O12031" t="s">
        <v>332</v>
      </c>
      <c r="P12031" t="s">
        <v>423</v>
      </c>
      <c r="Q12031" t="s">
        <v>105</v>
      </c>
      <c r="R12031" t="s">
        <v>114</v>
      </c>
      <c r="S12031" t="s">
        <v>128</v>
      </c>
      <c r="T12031" t="s">
        <v>198</v>
      </c>
      <c r="U12031" t="s">
        <v>207</v>
      </c>
      <c r="V12031" t="s">
        <v>198</v>
      </c>
      <c r="W12031" t="s">
        <v>127</v>
      </c>
    </row>
    <row r="12032" spans="1:23" x14ac:dyDescent="0.3">
      <c r="A12032" t="s">
        <v>49</v>
      </c>
      <c r="B12032" t="s">
        <v>1722</v>
      </c>
      <c r="C12032">
        <v>9077</v>
      </c>
      <c r="D12032" t="s">
        <v>1094</v>
      </c>
      <c r="E12032" t="s">
        <v>449</v>
      </c>
      <c r="F12032" t="s">
        <v>461</v>
      </c>
      <c r="G12032" t="s">
        <v>155</v>
      </c>
      <c r="H12032" t="s">
        <v>144</v>
      </c>
      <c r="I12032" t="s">
        <v>686</v>
      </c>
      <c r="J12032" t="s">
        <v>277</v>
      </c>
      <c r="K12032" t="s">
        <v>721</v>
      </c>
      <c r="L12032" t="s">
        <v>129</v>
      </c>
      <c r="M12032" t="s">
        <v>691</v>
      </c>
      <c r="N12032" t="s">
        <v>107</v>
      </c>
      <c r="O12032" t="s">
        <v>111</v>
      </c>
      <c r="P12032" t="s">
        <v>534</v>
      </c>
      <c r="Q12032" t="s">
        <v>105</v>
      </c>
      <c r="R12032" t="s">
        <v>132</v>
      </c>
      <c r="S12032" t="s">
        <v>147</v>
      </c>
      <c r="T12032" t="s">
        <v>104</v>
      </c>
      <c r="U12032" t="s">
        <v>207</v>
      </c>
      <c r="V12032" t="s">
        <v>99</v>
      </c>
      <c r="W12032" t="s">
        <v>382</v>
      </c>
    </row>
    <row r="12034" spans="1:23" x14ac:dyDescent="0.3">
      <c r="A12034" t="s">
        <v>2740</v>
      </c>
    </row>
    <row r="12035" spans="1:23" x14ac:dyDescent="0.3">
      <c r="A12035" t="s">
        <v>44</v>
      </c>
      <c r="B12035" t="s">
        <v>2680</v>
      </c>
      <c r="C12035" t="s">
        <v>32</v>
      </c>
      <c r="D12035" t="s">
        <v>1323</v>
      </c>
      <c r="E12035" t="s">
        <v>2717</v>
      </c>
      <c r="F12035" t="s">
        <v>2718</v>
      </c>
      <c r="G12035" t="s">
        <v>2719</v>
      </c>
      <c r="H12035" t="s">
        <v>2720</v>
      </c>
      <c r="I12035" t="s">
        <v>2721</v>
      </c>
      <c r="J12035" t="s">
        <v>2722</v>
      </c>
      <c r="K12035" t="s">
        <v>2723</v>
      </c>
      <c r="L12035" t="s">
        <v>2724</v>
      </c>
      <c r="M12035" t="s">
        <v>2725</v>
      </c>
      <c r="N12035" t="s">
        <v>2726</v>
      </c>
      <c r="O12035" t="s">
        <v>2727</v>
      </c>
      <c r="P12035" t="s">
        <v>2728</v>
      </c>
      <c r="Q12035" t="s">
        <v>2729</v>
      </c>
      <c r="R12035" t="s">
        <v>2730</v>
      </c>
      <c r="S12035" t="s">
        <v>2731</v>
      </c>
      <c r="T12035" t="s">
        <v>2732</v>
      </c>
      <c r="U12035" t="s">
        <v>2733</v>
      </c>
      <c r="V12035" t="s">
        <v>88</v>
      </c>
      <c r="W12035" t="s">
        <v>193</v>
      </c>
    </row>
    <row r="12036" spans="1:23" x14ac:dyDescent="0.3">
      <c r="A12036" t="s">
        <v>35</v>
      </c>
      <c r="B12036" t="s">
        <v>2681</v>
      </c>
      <c r="C12036">
        <v>599</v>
      </c>
      <c r="D12036" t="s">
        <v>197</v>
      </c>
      <c r="E12036" t="s">
        <v>684</v>
      </c>
      <c r="F12036" t="s">
        <v>154</v>
      </c>
      <c r="G12036" t="s">
        <v>115</v>
      </c>
      <c r="H12036" t="s">
        <v>332</v>
      </c>
      <c r="I12036" t="s">
        <v>497</v>
      </c>
      <c r="J12036" t="s">
        <v>143</v>
      </c>
      <c r="K12036" t="s">
        <v>933</v>
      </c>
      <c r="L12036" t="s">
        <v>184</v>
      </c>
      <c r="M12036" t="s">
        <v>1414</v>
      </c>
      <c r="N12036" t="s">
        <v>663</v>
      </c>
      <c r="O12036" t="s">
        <v>114</v>
      </c>
      <c r="P12036" t="s">
        <v>665</v>
      </c>
      <c r="Q12036" t="s">
        <v>134</v>
      </c>
      <c r="R12036" t="s">
        <v>136</v>
      </c>
      <c r="S12036" t="s">
        <v>101</v>
      </c>
      <c r="T12036" t="s">
        <v>99</v>
      </c>
      <c r="U12036" t="s">
        <v>198</v>
      </c>
      <c r="V12036" t="s">
        <v>99</v>
      </c>
      <c r="W12036" t="s">
        <v>382</v>
      </c>
    </row>
    <row r="12037" spans="1:23" x14ac:dyDescent="0.3">
      <c r="A12037" t="s">
        <v>35</v>
      </c>
      <c r="B12037" t="s">
        <v>2682</v>
      </c>
      <c r="C12037">
        <v>171</v>
      </c>
      <c r="D12037" t="s">
        <v>468</v>
      </c>
      <c r="E12037" t="s">
        <v>127</v>
      </c>
      <c r="F12037" t="s">
        <v>328</v>
      </c>
      <c r="G12037" t="s">
        <v>108</v>
      </c>
      <c r="H12037" t="s">
        <v>117</v>
      </c>
      <c r="I12037" t="s">
        <v>1180</v>
      </c>
      <c r="J12037" t="s">
        <v>254</v>
      </c>
      <c r="K12037" t="s">
        <v>503</v>
      </c>
      <c r="L12037" t="s">
        <v>328</v>
      </c>
      <c r="M12037" t="s">
        <v>440</v>
      </c>
      <c r="N12037" t="s">
        <v>671</v>
      </c>
      <c r="O12037" t="s">
        <v>68</v>
      </c>
      <c r="P12037" t="s">
        <v>519</v>
      </c>
      <c r="Q12037" t="s">
        <v>112</v>
      </c>
      <c r="R12037" t="s">
        <v>101</v>
      </c>
      <c r="S12037" t="s">
        <v>292</v>
      </c>
      <c r="T12037" t="s">
        <v>99</v>
      </c>
      <c r="U12037" t="s">
        <v>99</v>
      </c>
      <c r="V12037" t="s">
        <v>99</v>
      </c>
      <c r="W12037" t="s">
        <v>292</v>
      </c>
    </row>
    <row r="12038" spans="1:23" x14ac:dyDescent="0.3">
      <c r="A12038" t="s">
        <v>35</v>
      </c>
      <c r="B12038" t="s">
        <v>2683</v>
      </c>
      <c r="C12038">
        <v>386</v>
      </c>
      <c r="D12038" t="s">
        <v>743</v>
      </c>
      <c r="E12038" t="s">
        <v>105</v>
      </c>
      <c r="F12038" t="s">
        <v>160</v>
      </c>
      <c r="G12038" t="s">
        <v>147</v>
      </c>
      <c r="H12038" t="s">
        <v>74</v>
      </c>
      <c r="I12038" t="s">
        <v>695</v>
      </c>
      <c r="J12038" t="s">
        <v>299</v>
      </c>
      <c r="K12038" t="s">
        <v>1044</v>
      </c>
      <c r="L12038" t="s">
        <v>135</v>
      </c>
      <c r="M12038" t="s">
        <v>687</v>
      </c>
      <c r="N12038" t="s">
        <v>122</v>
      </c>
      <c r="O12038" t="s">
        <v>98</v>
      </c>
      <c r="P12038" t="s">
        <v>42</v>
      </c>
      <c r="Q12038" t="s">
        <v>118</v>
      </c>
      <c r="R12038" t="s">
        <v>100</v>
      </c>
      <c r="S12038" t="s">
        <v>112</v>
      </c>
      <c r="T12038" t="s">
        <v>99</v>
      </c>
      <c r="U12038" t="s">
        <v>198</v>
      </c>
      <c r="V12038" t="s">
        <v>99</v>
      </c>
      <c r="W12038" t="s">
        <v>117</v>
      </c>
    </row>
    <row r="12039" spans="1:23" x14ac:dyDescent="0.3">
      <c r="A12039" t="s">
        <v>35</v>
      </c>
      <c r="B12039" t="s">
        <v>2684</v>
      </c>
      <c r="C12039">
        <v>1987</v>
      </c>
      <c r="D12039" t="s">
        <v>897</v>
      </c>
      <c r="E12039" t="s">
        <v>726</v>
      </c>
      <c r="F12039" t="s">
        <v>267</v>
      </c>
      <c r="G12039" t="s">
        <v>118</v>
      </c>
      <c r="H12039" t="s">
        <v>142</v>
      </c>
      <c r="I12039" t="s">
        <v>301</v>
      </c>
      <c r="J12039" t="s">
        <v>41</v>
      </c>
      <c r="K12039" t="s">
        <v>206</v>
      </c>
      <c r="L12039" t="s">
        <v>151</v>
      </c>
      <c r="M12039" t="s">
        <v>222</v>
      </c>
      <c r="N12039" t="s">
        <v>332</v>
      </c>
      <c r="O12039" t="s">
        <v>147</v>
      </c>
      <c r="P12039" t="s">
        <v>990</v>
      </c>
      <c r="Q12039" t="s">
        <v>123</v>
      </c>
      <c r="R12039" t="s">
        <v>121</v>
      </c>
      <c r="S12039" t="s">
        <v>107</v>
      </c>
      <c r="T12039" t="s">
        <v>99</v>
      </c>
      <c r="U12039" t="s">
        <v>198</v>
      </c>
      <c r="V12039" t="s">
        <v>207</v>
      </c>
      <c r="W12039" t="s">
        <v>382</v>
      </c>
    </row>
    <row r="12040" spans="1:23" x14ac:dyDescent="0.3">
      <c r="A12040" t="s">
        <v>37</v>
      </c>
      <c r="B12040" t="s">
        <v>2681</v>
      </c>
      <c r="C12040">
        <v>605</v>
      </c>
      <c r="D12040" t="s">
        <v>457</v>
      </c>
      <c r="E12040" t="s">
        <v>38</v>
      </c>
      <c r="F12040" t="s">
        <v>664</v>
      </c>
      <c r="G12040" t="s">
        <v>155</v>
      </c>
      <c r="H12040" t="s">
        <v>412</v>
      </c>
      <c r="I12040" t="s">
        <v>156</v>
      </c>
      <c r="J12040" t="s">
        <v>110</v>
      </c>
      <c r="K12040" t="s">
        <v>536</v>
      </c>
      <c r="L12040" t="s">
        <v>68</v>
      </c>
      <c r="M12040" t="s">
        <v>592</v>
      </c>
      <c r="N12040" t="s">
        <v>277</v>
      </c>
      <c r="O12040" t="s">
        <v>110</v>
      </c>
      <c r="P12040" t="s">
        <v>146</v>
      </c>
      <c r="Q12040" t="s">
        <v>149</v>
      </c>
      <c r="R12040" t="s">
        <v>99</v>
      </c>
      <c r="S12040" t="s">
        <v>123</v>
      </c>
      <c r="T12040" t="s">
        <v>207</v>
      </c>
      <c r="U12040" t="s">
        <v>99</v>
      </c>
      <c r="V12040" t="s">
        <v>99</v>
      </c>
      <c r="W12040" t="s">
        <v>121</v>
      </c>
    </row>
    <row r="12041" spans="1:23" x14ac:dyDescent="0.3">
      <c r="A12041" t="s">
        <v>37</v>
      </c>
      <c r="B12041" t="s">
        <v>2682</v>
      </c>
      <c r="C12041">
        <v>173</v>
      </c>
      <c r="D12041" t="s">
        <v>276</v>
      </c>
      <c r="E12041" t="s">
        <v>122</v>
      </c>
      <c r="F12041" t="s">
        <v>98</v>
      </c>
      <c r="G12041" t="s">
        <v>112</v>
      </c>
      <c r="H12041" t="s">
        <v>103</v>
      </c>
      <c r="I12041" t="s">
        <v>868</v>
      </c>
      <c r="J12041" t="s">
        <v>100</v>
      </c>
      <c r="K12041" t="s">
        <v>534</v>
      </c>
      <c r="L12041" t="s">
        <v>262</v>
      </c>
      <c r="M12041" t="s">
        <v>795</v>
      </c>
      <c r="N12041" t="s">
        <v>157</v>
      </c>
      <c r="O12041" t="s">
        <v>110</v>
      </c>
      <c r="P12041" t="s">
        <v>56</v>
      </c>
      <c r="Q12041" t="s">
        <v>325</v>
      </c>
      <c r="R12041" t="s">
        <v>99</v>
      </c>
      <c r="S12041" t="s">
        <v>215</v>
      </c>
      <c r="T12041" t="s">
        <v>99</v>
      </c>
      <c r="U12041" t="s">
        <v>99</v>
      </c>
      <c r="V12041" t="s">
        <v>99</v>
      </c>
      <c r="W12041" t="s">
        <v>136</v>
      </c>
    </row>
    <row r="12042" spans="1:23" x14ac:dyDescent="0.3">
      <c r="A12042" t="s">
        <v>37</v>
      </c>
      <c r="B12042" t="s">
        <v>2683</v>
      </c>
      <c r="C12042">
        <v>550</v>
      </c>
      <c r="D12042" t="s">
        <v>747</v>
      </c>
      <c r="E12042" t="s">
        <v>173</v>
      </c>
      <c r="F12042" t="s">
        <v>98</v>
      </c>
      <c r="G12042" t="s">
        <v>112</v>
      </c>
      <c r="H12042" t="s">
        <v>152</v>
      </c>
      <c r="I12042" t="s">
        <v>119</v>
      </c>
      <c r="J12042" t="s">
        <v>130</v>
      </c>
      <c r="K12042" t="s">
        <v>721</v>
      </c>
      <c r="L12042" t="s">
        <v>242</v>
      </c>
      <c r="M12042" t="s">
        <v>697</v>
      </c>
      <c r="N12042" t="s">
        <v>128</v>
      </c>
      <c r="O12042" t="s">
        <v>332</v>
      </c>
      <c r="P12042" t="s">
        <v>1115</v>
      </c>
      <c r="Q12042" t="s">
        <v>107</v>
      </c>
      <c r="R12042" t="s">
        <v>114</v>
      </c>
      <c r="S12042" t="s">
        <v>107</v>
      </c>
      <c r="T12042" t="s">
        <v>198</v>
      </c>
      <c r="U12042" t="s">
        <v>198</v>
      </c>
      <c r="V12042" t="s">
        <v>99</v>
      </c>
      <c r="W12042" t="s">
        <v>141</v>
      </c>
    </row>
    <row r="12043" spans="1:23" x14ac:dyDescent="0.3">
      <c r="A12043" t="s">
        <v>37</v>
      </c>
      <c r="B12043" t="s">
        <v>2684</v>
      </c>
      <c r="C12043">
        <v>2520</v>
      </c>
      <c r="D12043" t="s">
        <v>837</v>
      </c>
      <c r="E12043" t="s">
        <v>491</v>
      </c>
      <c r="F12043" t="s">
        <v>294</v>
      </c>
      <c r="G12043" t="s">
        <v>145</v>
      </c>
      <c r="H12043" t="s">
        <v>663</v>
      </c>
      <c r="I12043" t="s">
        <v>173</v>
      </c>
      <c r="J12043" t="s">
        <v>118</v>
      </c>
      <c r="K12043" t="s">
        <v>74</v>
      </c>
      <c r="L12043" t="s">
        <v>151</v>
      </c>
      <c r="M12043" t="s">
        <v>311</v>
      </c>
      <c r="N12043" t="s">
        <v>100</v>
      </c>
      <c r="O12043" t="s">
        <v>111</v>
      </c>
      <c r="P12043" t="s">
        <v>705</v>
      </c>
      <c r="Q12043" t="s">
        <v>292</v>
      </c>
      <c r="R12043" t="s">
        <v>104</v>
      </c>
      <c r="S12043" t="s">
        <v>123</v>
      </c>
      <c r="T12043" t="s">
        <v>99</v>
      </c>
      <c r="U12043" t="s">
        <v>99</v>
      </c>
      <c r="V12043" t="s">
        <v>99</v>
      </c>
      <c r="W12043" t="s">
        <v>120</v>
      </c>
    </row>
    <row r="12044" spans="1:23" x14ac:dyDescent="0.3">
      <c r="A12044" t="s">
        <v>36</v>
      </c>
      <c r="B12044" t="s">
        <v>2681</v>
      </c>
      <c r="C12044">
        <v>370</v>
      </c>
      <c r="D12044" t="s">
        <v>1105</v>
      </c>
      <c r="E12044" t="s">
        <v>124</v>
      </c>
      <c r="F12044" t="s">
        <v>251</v>
      </c>
      <c r="G12044" t="s">
        <v>155</v>
      </c>
      <c r="H12044" t="s">
        <v>220</v>
      </c>
      <c r="I12044" t="s">
        <v>868</v>
      </c>
      <c r="J12044" t="s">
        <v>474</v>
      </c>
      <c r="K12044" t="s">
        <v>222</v>
      </c>
      <c r="L12044" t="s">
        <v>133</v>
      </c>
      <c r="M12044" t="s">
        <v>726</v>
      </c>
      <c r="N12044" t="s">
        <v>215</v>
      </c>
      <c r="O12044" t="s">
        <v>712</v>
      </c>
      <c r="P12044" t="s">
        <v>697</v>
      </c>
      <c r="Q12044" t="s">
        <v>186</v>
      </c>
      <c r="R12044" t="s">
        <v>114</v>
      </c>
      <c r="S12044" t="s">
        <v>714</v>
      </c>
      <c r="T12044" t="s">
        <v>104</v>
      </c>
      <c r="U12044" t="s">
        <v>99</v>
      </c>
      <c r="V12044" t="s">
        <v>99</v>
      </c>
      <c r="W12044" t="s">
        <v>268</v>
      </c>
    </row>
    <row r="12045" spans="1:23" x14ac:dyDescent="0.3">
      <c r="A12045" t="s">
        <v>36</v>
      </c>
      <c r="B12045" t="s">
        <v>2682</v>
      </c>
      <c r="C12045">
        <v>157</v>
      </c>
      <c r="D12045" t="s">
        <v>700</v>
      </c>
      <c r="E12045" t="s">
        <v>158</v>
      </c>
      <c r="F12045" t="s">
        <v>150</v>
      </c>
      <c r="G12045" t="s">
        <v>138</v>
      </c>
      <c r="H12045" t="s">
        <v>107</v>
      </c>
      <c r="I12045" t="s">
        <v>1059</v>
      </c>
      <c r="J12045" t="s">
        <v>328</v>
      </c>
      <c r="K12045" t="s">
        <v>1105</v>
      </c>
      <c r="L12045" t="s">
        <v>680</v>
      </c>
      <c r="M12045" t="s">
        <v>463</v>
      </c>
      <c r="N12045" t="s">
        <v>379</v>
      </c>
      <c r="O12045" t="s">
        <v>319</v>
      </c>
      <c r="P12045" t="s">
        <v>895</v>
      </c>
      <c r="Q12045" t="s">
        <v>264</v>
      </c>
      <c r="R12045" t="s">
        <v>99</v>
      </c>
      <c r="S12045" t="s">
        <v>267</v>
      </c>
      <c r="T12045" t="s">
        <v>138</v>
      </c>
      <c r="U12045" t="s">
        <v>207</v>
      </c>
      <c r="V12045" t="s">
        <v>99</v>
      </c>
      <c r="W12045" t="s">
        <v>104</v>
      </c>
    </row>
    <row r="12046" spans="1:23" x14ac:dyDescent="0.3">
      <c r="A12046" t="s">
        <v>36</v>
      </c>
      <c r="B12046" t="s">
        <v>2683</v>
      </c>
      <c r="C12046">
        <v>343</v>
      </c>
      <c r="D12046" t="s">
        <v>2132</v>
      </c>
      <c r="E12046" t="s">
        <v>130</v>
      </c>
      <c r="F12046" t="s">
        <v>147</v>
      </c>
      <c r="G12046" t="s">
        <v>382</v>
      </c>
      <c r="H12046" t="s">
        <v>117</v>
      </c>
      <c r="I12046" t="s">
        <v>747</v>
      </c>
      <c r="J12046" t="s">
        <v>111</v>
      </c>
      <c r="K12046" t="s">
        <v>369</v>
      </c>
      <c r="L12046" t="s">
        <v>130</v>
      </c>
      <c r="M12046" t="s">
        <v>708</v>
      </c>
      <c r="N12046" t="s">
        <v>111</v>
      </c>
      <c r="O12046" t="s">
        <v>114</v>
      </c>
      <c r="P12046" t="s">
        <v>478</v>
      </c>
      <c r="Q12046" t="s">
        <v>147</v>
      </c>
      <c r="R12046" t="s">
        <v>141</v>
      </c>
      <c r="S12046" t="s">
        <v>110</v>
      </c>
      <c r="T12046" t="s">
        <v>104</v>
      </c>
      <c r="U12046" t="s">
        <v>99</v>
      </c>
      <c r="V12046" t="s">
        <v>99</v>
      </c>
      <c r="W12046" t="s">
        <v>151</v>
      </c>
    </row>
    <row r="12047" spans="1:23" x14ac:dyDescent="0.3">
      <c r="A12047" t="s">
        <v>36</v>
      </c>
      <c r="B12047" t="s">
        <v>2684</v>
      </c>
      <c r="C12047">
        <v>1434</v>
      </c>
      <c r="D12047" t="s">
        <v>578</v>
      </c>
      <c r="E12047" t="s">
        <v>72</v>
      </c>
      <c r="F12047" t="s">
        <v>125</v>
      </c>
      <c r="G12047" t="s">
        <v>712</v>
      </c>
      <c r="H12047" t="s">
        <v>184</v>
      </c>
      <c r="I12047" t="s">
        <v>440</v>
      </c>
      <c r="J12047" t="s">
        <v>120</v>
      </c>
      <c r="K12047" t="s">
        <v>76</v>
      </c>
      <c r="L12047" t="s">
        <v>147</v>
      </c>
      <c r="M12047" t="s">
        <v>294</v>
      </c>
      <c r="N12047" t="s">
        <v>147</v>
      </c>
      <c r="O12047" t="s">
        <v>120</v>
      </c>
      <c r="P12047" t="s">
        <v>727</v>
      </c>
      <c r="Q12047" t="s">
        <v>129</v>
      </c>
      <c r="R12047" t="s">
        <v>100</v>
      </c>
      <c r="S12047" t="s">
        <v>155</v>
      </c>
      <c r="T12047" t="s">
        <v>104</v>
      </c>
      <c r="U12047" t="s">
        <v>198</v>
      </c>
      <c r="V12047" t="s">
        <v>99</v>
      </c>
      <c r="W12047" t="s">
        <v>101</v>
      </c>
    </row>
    <row r="12048" spans="1:23" x14ac:dyDescent="0.3">
      <c r="A12048" t="s">
        <v>34</v>
      </c>
      <c r="B12048" t="s">
        <v>2681</v>
      </c>
      <c r="C12048">
        <v>452</v>
      </c>
      <c r="D12048" t="s">
        <v>689</v>
      </c>
      <c r="E12048" t="s">
        <v>149</v>
      </c>
      <c r="F12048" t="s">
        <v>315</v>
      </c>
      <c r="G12048" t="s">
        <v>154</v>
      </c>
      <c r="H12048" t="s">
        <v>41</v>
      </c>
      <c r="I12048" t="s">
        <v>749</v>
      </c>
      <c r="J12048" t="s">
        <v>461</v>
      </c>
      <c r="K12048" t="s">
        <v>706</v>
      </c>
      <c r="L12048" t="s">
        <v>41</v>
      </c>
      <c r="M12048" t="s">
        <v>42</v>
      </c>
      <c r="N12048" t="s">
        <v>663</v>
      </c>
      <c r="O12048" t="s">
        <v>155</v>
      </c>
      <c r="P12048" t="s">
        <v>631</v>
      </c>
      <c r="Q12048" t="s">
        <v>712</v>
      </c>
      <c r="R12048" t="s">
        <v>107</v>
      </c>
      <c r="S12048" t="s">
        <v>108</v>
      </c>
      <c r="T12048" t="s">
        <v>121</v>
      </c>
      <c r="U12048" t="s">
        <v>101</v>
      </c>
      <c r="V12048" t="s">
        <v>99</v>
      </c>
      <c r="W12048" t="s">
        <v>120</v>
      </c>
    </row>
    <row r="12049" spans="1:23" x14ac:dyDescent="0.3">
      <c r="A12049" t="s">
        <v>34</v>
      </c>
      <c r="B12049" t="s">
        <v>2682</v>
      </c>
      <c r="C12049">
        <v>113</v>
      </c>
      <c r="D12049" t="s">
        <v>201</v>
      </c>
      <c r="E12049" t="s">
        <v>158</v>
      </c>
      <c r="F12049" t="s">
        <v>39</v>
      </c>
      <c r="G12049" t="s">
        <v>68</v>
      </c>
      <c r="H12049" t="s">
        <v>173</v>
      </c>
      <c r="I12049" t="s">
        <v>741</v>
      </c>
      <c r="J12049" t="s">
        <v>470</v>
      </c>
      <c r="K12049" t="s">
        <v>686</v>
      </c>
      <c r="L12049" t="s">
        <v>465</v>
      </c>
      <c r="M12049" t="s">
        <v>1053</v>
      </c>
      <c r="N12049" t="s">
        <v>296</v>
      </c>
      <c r="O12049" t="s">
        <v>122</v>
      </c>
      <c r="P12049" t="s">
        <v>1110</v>
      </c>
      <c r="Q12049" t="s">
        <v>248</v>
      </c>
      <c r="R12049" t="s">
        <v>316</v>
      </c>
      <c r="S12049" t="s">
        <v>111</v>
      </c>
      <c r="T12049" t="s">
        <v>99</v>
      </c>
      <c r="U12049" t="s">
        <v>114</v>
      </c>
      <c r="V12049" t="s">
        <v>99</v>
      </c>
      <c r="W12049" t="s">
        <v>382</v>
      </c>
    </row>
    <row r="12050" spans="1:23" x14ac:dyDescent="0.3">
      <c r="A12050" t="s">
        <v>34</v>
      </c>
      <c r="B12050" t="s">
        <v>2683</v>
      </c>
      <c r="C12050">
        <v>269</v>
      </c>
      <c r="D12050" t="s">
        <v>670</v>
      </c>
      <c r="E12050" t="s">
        <v>123</v>
      </c>
      <c r="F12050" t="s">
        <v>353</v>
      </c>
      <c r="G12050" t="s">
        <v>129</v>
      </c>
      <c r="H12050" t="s">
        <v>175</v>
      </c>
      <c r="I12050" t="s">
        <v>373</v>
      </c>
      <c r="J12050" t="s">
        <v>311</v>
      </c>
      <c r="K12050" t="s">
        <v>482</v>
      </c>
      <c r="L12050" t="s">
        <v>267</v>
      </c>
      <c r="M12050" t="s">
        <v>197</v>
      </c>
      <c r="N12050" t="s">
        <v>98</v>
      </c>
      <c r="O12050" t="s">
        <v>242</v>
      </c>
      <c r="P12050" t="s">
        <v>102</v>
      </c>
      <c r="Q12050" t="s">
        <v>134</v>
      </c>
      <c r="R12050" t="s">
        <v>129</v>
      </c>
      <c r="S12050" t="s">
        <v>111</v>
      </c>
      <c r="T12050" t="s">
        <v>198</v>
      </c>
      <c r="U12050" t="s">
        <v>316</v>
      </c>
      <c r="V12050" t="s">
        <v>104</v>
      </c>
      <c r="W12050" t="s">
        <v>292</v>
      </c>
    </row>
    <row r="12051" spans="1:23" x14ac:dyDescent="0.3">
      <c r="A12051" t="s">
        <v>34</v>
      </c>
      <c r="B12051" t="s">
        <v>2684</v>
      </c>
      <c r="C12051">
        <v>1245</v>
      </c>
      <c r="D12051" t="s">
        <v>2115</v>
      </c>
      <c r="E12051" t="s">
        <v>277</v>
      </c>
      <c r="F12051" t="s">
        <v>150</v>
      </c>
      <c r="G12051" t="s">
        <v>129</v>
      </c>
      <c r="H12051" t="s">
        <v>184</v>
      </c>
      <c r="I12051" t="s">
        <v>177</v>
      </c>
      <c r="J12051" t="s">
        <v>142</v>
      </c>
      <c r="K12051" t="s">
        <v>355</v>
      </c>
      <c r="L12051" t="s">
        <v>242</v>
      </c>
      <c r="M12051" t="s">
        <v>222</v>
      </c>
      <c r="N12051" t="s">
        <v>128</v>
      </c>
      <c r="O12051" t="s">
        <v>127</v>
      </c>
      <c r="P12051" t="s">
        <v>437</v>
      </c>
      <c r="Q12051" t="s">
        <v>147</v>
      </c>
      <c r="R12051" t="s">
        <v>121</v>
      </c>
      <c r="S12051" t="s">
        <v>253</v>
      </c>
      <c r="T12051" t="s">
        <v>99</v>
      </c>
      <c r="U12051" t="s">
        <v>141</v>
      </c>
      <c r="V12051" t="s">
        <v>99</v>
      </c>
      <c r="W12051" t="s">
        <v>292</v>
      </c>
    </row>
    <row r="12052" spans="1:23" x14ac:dyDescent="0.3">
      <c r="A12052" t="s">
        <v>33</v>
      </c>
      <c r="B12052" t="s">
        <v>2681</v>
      </c>
      <c r="C12052">
        <v>209</v>
      </c>
      <c r="D12052" t="s">
        <v>298</v>
      </c>
      <c r="E12052" t="s">
        <v>74</v>
      </c>
      <c r="F12052" t="s">
        <v>165</v>
      </c>
      <c r="G12052" t="s">
        <v>103</v>
      </c>
      <c r="H12052" t="s">
        <v>100</v>
      </c>
      <c r="I12052" t="s">
        <v>146</v>
      </c>
      <c r="J12052" t="s">
        <v>126</v>
      </c>
      <c r="K12052" t="s">
        <v>672</v>
      </c>
      <c r="L12052" t="s">
        <v>671</v>
      </c>
      <c r="M12052" t="s">
        <v>456</v>
      </c>
      <c r="N12052" t="s">
        <v>98</v>
      </c>
      <c r="O12052" t="s">
        <v>126</v>
      </c>
      <c r="P12052" t="s">
        <v>913</v>
      </c>
      <c r="Q12052" t="s">
        <v>292</v>
      </c>
      <c r="R12052" t="s">
        <v>99</v>
      </c>
      <c r="S12052" t="s">
        <v>412</v>
      </c>
      <c r="T12052" t="s">
        <v>136</v>
      </c>
      <c r="U12052" t="s">
        <v>99</v>
      </c>
      <c r="V12052" t="s">
        <v>99</v>
      </c>
      <c r="W12052" t="s">
        <v>141</v>
      </c>
    </row>
    <row r="12053" spans="1:23" x14ac:dyDescent="0.3">
      <c r="A12053" t="s">
        <v>33</v>
      </c>
      <c r="B12053" t="s">
        <v>2682</v>
      </c>
      <c r="C12053">
        <v>37</v>
      </c>
      <c r="D12053" t="s">
        <v>220</v>
      </c>
      <c r="E12053" t="s">
        <v>70</v>
      </c>
      <c r="F12053" t="s">
        <v>107</v>
      </c>
      <c r="G12053" t="s">
        <v>99</v>
      </c>
      <c r="H12053" t="s">
        <v>99</v>
      </c>
      <c r="I12053" t="s">
        <v>197</v>
      </c>
      <c r="J12053" t="s">
        <v>99</v>
      </c>
      <c r="K12053" t="s">
        <v>574</v>
      </c>
      <c r="L12053" t="s">
        <v>117</v>
      </c>
      <c r="M12053" t="s">
        <v>621</v>
      </c>
      <c r="N12053" t="s">
        <v>737</v>
      </c>
      <c r="O12053" t="s">
        <v>124</v>
      </c>
      <c r="P12053" t="s">
        <v>532</v>
      </c>
      <c r="Q12053" t="s">
        <v>99</v>
      </c>
      <c r="R12053" t="s">
        <v>99</v>
      </c>
      <c r="S12053" t="s">
        <v>107</v>
      </c>
      <c r="T12053" t="s">
        <v>99</v>
      </c>
      <c r="U12053" t="s">
        <v>99</v>
      </c>
      <c r="V12053" t="s">
        <v>99</v>
      </c>
      <c r="W12053" t="s">
        <v>99</v>
      </c>
    </row>
    <row r="12054" spans="1:23" x14ac:dyDescent="0.3">
      <c r="A12054" t="s">
        <v>33</v>
      </c>
      <c r="B12054" t="s">
        <v>2683</v>
      </c>
      <c r="C12054">
        <v>186</v>
      </c>
      <c r="D12054" t="s">
        <v>843</v>
      </c>
      <c r="E12054" t="s">
        <v>315</v>
      </c>
      <c r="F12054" t="s">
        <v>150</v>
      </c>
      <c r="G12054" t="s">
        <v>127</v>
      </c>
      <c r="H12054" t="s">
        <v>101</v>
      </c>
      <c r="I12054" t="s">
        <v>534</v>
      </c>
      <c r="J12054" t="s">
        <v>123</v>
      </c>
      <c r="K12054" t="s">
        <v>704</v>
      </c>
      <c r="L12054" t="s">
        <v>110</v>
      </c>
      <c r="M12054" t="s">
        <v>197</v>
      </c>
      <c r="N12054" t="s">
        <v>242</v>
      </c>
      <c r="O12054" t="s">
        <v>111</v>
      </c>
      <c r="P12054" t="s">
        <v>952</v>
      </c>
      <c r="Q12054" t="s">
        <v>316</v>
      </c>
      <c r="R12054" t="s">
        <v>99</v>
      </c>
      <c r="S12054" t="s">
        <v>135</v>
      </c>
      <c r="T12054" t="s">
        <v>99</v>
      </c>
      <c r="U12054" t="s">
        <v>99</v>
      </c>
      <c r="V12054" t="s">
        <v>99</v>
      </c>
      <c r="W12054" t="s">
        <v>99</v>
      </c>
    </row>
    <row r="12055" spans="1:23" x14ac:dyDescent="0.3">
      <c r="A12055" t="s">
        <v>33</v>
      </c>
      <c r="B12055" t="s">
        <v>2684</v>
      </c>
      <c r="C12055">
        <v>1505</v>
      </c>
      <c r="D12055" t="s">
        <v>1258</v>
      </c>
      <c r="E12055" t="s">
        <v>688</v>
      </c>
      <c r="F12055" t="s">
        <v>254</v>
      </c>
      <c r="G12055" t="s">
        <v>100</v>
      </c>
      <c r="H12055" t="s">
        <v>123</v>
      </c>
      <c r="I12055" t="s">
        <v>231</v>
      </c>
      <c r="J12055" t="s">
        <v>128</v>
      </c>
      <c r="K12055" t="s">
        <v>664</v>
      </c>
      <c r="L12055" t="s">
        <v>107</v>
      </c>
      <c r="M12055" t="s">
        <v>408</v>
      </c>
      <c r="N12055" t="s">
        <v>268</v>
      </c>
      <c r="O12055" t="s">
        <v>121</v>
      </c>
      <c r="P12055" t="s">
        <v>175</v>
      </c>
      <c r="Q12055" t="s">
        <v>123</v>
      </c>
      <c r="R12055" t="s">
        <v>141</v>
      </c>
      <c r="S12055" t="s">
        <v>242</v>
      </c>
      <c r="T12055" t="s">
        <v>99</v>
      </c>
      <c r="U12055" t="s">
        <v>99</v>
      </c>
      <c r="V12055" t="s">
        <v>99</v>
      </c>
      <c r="W12055" t="s">
        <v>207</v>
      </c>
    </row>
    <row r="12056" spans="1:23" x14ac:dyDescent="0.3">
      <c r="A12056" t="s">
        <v>49</v>
      </c>
      <c r="B12056" t="s">
        <v>2681</v>
      </c>
      <c r="C12056">
        <v>2235</v>
      </c>
      <c r="D12056" t="s">
        <v>442</v>
      </c>
      <c r="E12056" t="s">
        <v>122</v>
      </c>
      <c r="F12056" t="s">
        <v>679</v>
      </c>
      <c r="G12056" t="s">
        <v>117</v>
      </c>
      <c r="H12056" t="s">
        <v>124</v>
      </c>
      <c r="I12056" t="s">
        <v>1209</v>
      </c>
      <c r="J12056" t="s">
        <v>325</v>
      </c>
      <c r="K12056" t="s">
        <v>463</v>
      </c>
      <c r="L12056" t="s">
        <v>70</v>
      </c>
      <c r="M12056" t="s">
        <v>446</v>
      </c>
      <c r="N12056" t="s">
        <v>325</v>
      </c>
      <c r="O12056" t="s">
        <v>316</v>
      </c>
      <c r="P12056" t="s">
        <v>666</v>
      </c>
      <c r="Q12056" t="s">
        <v>68</v>
      </c>
      <c r="R12056" t="s">
        <v>114</v>
      </c>
      <c r="S12056" t="s">
        <v>103</v>
      </c>
      <c r="T12056" t="s">
        <v>136</v>
      </c>
      <c r="U12056" t="s">
        <v>136</v>
      </c>
      <c r="V12056" t="s">
        <v>99</v>
      </c>
      <c r="W12056" t="s">
        <v>127</v>
      </c>
    </row>
    <row r="12057" spans="1:23" x14ac:dyDescent="0.3">
      <c r="A12057" t="s">
        <v>49</v>
      </c>
      <c r="B12057" t="s">
        <v>2682</v>
      </c>
      <c r="C12057">
        <v>651</v>
      </c>
      <c r="D12057" t="s">
        <v>672</v>
      </c>
      <c r="E12057" t="s">
        <v>68</v>
      </c>
      <c r="F12057" t="s">
        <v>671</v>
      </c>
      <c r="G12057" t="s">
        <v>157</v>
      </c>
      <c r="H12057" t="s">
        <v>144</v>
      </c>
      <c r="I12057" t="s">
        <v>647</v>
      </c>
      <c r="J12057" t="s">
        <v>328</v>
      </c>
      <c r="K12057" t="s">
        <v>106</v>
      </c>
      <c r="L12057" t="s">
        <v>405</v>
      </c>
      <c r="M12057" t="s">
        <v>473</v>
      </c>
      <c r="N12057" t="s">
        <v>299</v>
      </c>
      <c r="O12057" t="s">
        <v>242</v>
      </c>
      <c r="P12057" t="s">
        <v>829</v>
      </c>
      <c r="Q12057" t="s">
        <v>135</v>
      </c>
      <c r="R12057" t="s">
        <v>100</v>
      </c>
      <c r="S12057" t="s">
        <v>332</v>
      </c>
      <c r="T12057" t="s">
        <v>136</v>
      </c>
      <c r="U12057" t="s">
        <v>207</v>
      </c>
      <c r="V12057" t="s">
        <v>99</v>
      </c>
      <c r="W12057" t="s">
        <v>121</v>
      </c>
    </row>
    <row r="12058" spans="1:23" x14ac:dyDescent="0.3">
      <c r="A12058" t="s">
        <v>49</v>
      </c>
      <c r="B12058" t="s">
        <v>2683</v>
      </c>
      <c r="C12058">
        <v>1734</v>
      </c>
      <c r="D12058" t="s">
        <v>156</v>
      </c>
      <c r="E12058" t="s">
        <v>299</v>
      </c>
      <c r="F12058" t="s">
        <v>74</v>
      </c>
      <c r="G12058" t="s">
        <v>155</v>
      </c>
      <c r="H12058" t="s">
        <v>150</v>
      </c>
      <c r="I12058" t="s">
        <v>140</v>
      </c>
      <c r="J12058" t="s">
        <v>144</v>
      </c>
      <c r="K12058" t="s">
        <v>231</v>
      </c>
      <c r="L12058" t="s">
        <v>152</v>
      </c>
      <c r="M12058" t="s">
        <v>442</v>
      </c>
      <c r="N12058" t="s">
        <v>112</v>
      </c>
      <c r="O12058" t="s">
        <v>118</v>
      </c>
      <c r="P12058" t="s">
        <v>592</v>
      </c>
      <c r="Q12058" t="s">
        <v>138</v>
      </c>
      <c r="R12058" t="s">
        <v>126</v>
      </c>
      <c r="S12058" t="s">
        <v>134</v>
      </c>
      <c r="T12058" t="s">
        <v>104</v>
      </c>
      <c r="U12058" t="s">
        <v>253</v>
      </c>
      <c r="V12058" t="s">
        <v>99</v>
      </c>
      <c r="W12058" t="s">
        <v>319</v>
      </c>
    </row>
    <row r="12059" spans="1:23" x14ac:dyDescent="0.3">
      <c r="A12059" t="s">
        <v>49</v>
      </c>
      <c r="B12059" t="s">
        <v>2684</v>
      </c>
      <c r="C12059">
        <v>8691</v>
      </c>
      <c r="D12059" t="s">
        <v>963</v>
      </c>
      <c r="E12059" t="s">
        <v>814</v>
      </c>
      <c r="F12059" t="s">
        <v>171</v>
      </c>
      <c r="G12059" t="s">
        <v>130</v>
      </c>
      <c r="H12059" t="s">
        <v>135</v>
      </c>
      <c r="I12059" t="s">
        <v>440</v>
      </c>
      <c r="J12059" t="s">
        <v>328</v>
      </c>
      <c r="K12059" t="s">
        <v>804</v>
      </c>
      <c r="L12059" t="s">
        <v>128</v>
      </c>
      <c r="M12059" t="s">
        <v>179</v>
      </c>
      <c r="N12059" t="s">
        <v>117</v>
      </c>
      <c r="O12059" t="s">
        <v>111</v>
      </c>
      <c r="P12059" t="s">
        <v>432</v>
      </c>
      <c r="Q12059" t="s">
        <v>268</v>
      </c>
      <c r="R12059" t="s">
        <v>115</v>
      </c>
      <c r="S12059" t="s">
        <v>128</v>
      </c>
      <c r="T12059" t="s">
        <v>99</v>
      </c>
      <c r="U12059" t="s">
        <v>198</v>
      </c>
      <c r="V12059" t="s">
        <v>104</v>
      </c>
      <c r="W12059" t="s">
        <v>127</v>
      </c>
    </row>
    <row r="12061" spans="1:23" x14ac:dyDescent="0.3">
      <c r="A12061" t="s">
        <v>2741</v>
      </c>
    </row>
    <row r="12062" spans="1:23" x14ac:dyDescent="0.3">
      <c r="A12062" t="s">
        <v>44</v>
      </c>
      <c r="B12062" t="s">
        <v>32</v>
      </c>
      <c r="C12062" t="s">
        <v>2742</v>
      </c>
      <c r="D12062" t="s">
        <v>2743</v>
      </c>
      <c r="E12062" t="s">
        <v>2744</v>
      </c>
      <c r="F12062" t="s">
        <v>2745</v>
      </c>
      <c r="G12062" t="s">
        <v>2746</v>
      </c>
      <c r="H12062" t="s">
        <v>2747</v>
      </c>
      <c r="I12062" t="s">
        <v>2748</v>
      </c>
      <c r="J12062" t="s">
        <v>2749</v>
      </c>
      <c r="K12062" t="s">
        <v>2750</v>
      </c>
      <c r="L12062" t="s">
        <v>2751</v>
      </c>
      <c r="M12062" t="s">
        <v>2752</v>
      </c>
      <c r="N12062" t="s">
        <v>2753</v>
      </c>
      <c r="O12062" t="s">
        <v>2754</v>
      </c>
      <c r="P12062" t="s">
        <v>2755</v>
      </c>
      <c r="Q12062" t="s">
        <v>88</v>
      </c>
      <c r="R12062" t="s">
        <v>2756</v>
      </c>
    </row>
    <row r="12063" spans="1:23" x14ac:dyDescent="0.3">
      <c r="A12063" t="s">
        <v>35</v>
      </c>
      <c r="B12063">
        <v>3145</v>
      </c>
      <c r="C12063" t="s">
        <v>697</v>
      </c>
      <c r="D12063" t="s">
        <v>718</v>
      </c>
      <c r="E12063" t="s">
        <v>201</v>
      </c>
      <c r="F12063" t="s">
        <v>102</v>
      </c>
      <c r="G12063" t="s">
        <v>687</v>
      </c>
      <c r="H12063" t="s">
        <v>473</v>
      </c>
      <c r="I12063" t="s">
        <v>222</v>
      </c>
      <c r="J12063" t="s">
        <v>115</v>
      </c>
      <c r="K12063" t="s">
        <v>154</v>
      </c>
      <c r="L12063" t="s">
        <v>101</v>
      </c>
      <c r="M12063" t="s">
        <v>108</v>
      </c>
      <c r="N12063" t="s">
        <v>132</v>
      </c>
      <c r="O12063" t="s">
        <v>268</v>
      </c>
      <c r="P12063" t="s">
        <v>136</v>
      </c>
      <c r="Q12063" t="s">
        <v>104</v>
      </c>
      <c r="R12063" t="s">
        <v>368</v>
      </c>
    </row>
    <row r="12064" spans="1:23" x14ac:dyDescent="0.3">
      <c r="A12064" t="s">
        <v>37</v>
      </c>
      <c r="B12064">
        <v>3852</v>
      </c>
      <c r="C12064" t="s">
        <v>666</v>
      </c>
      <c r="D12064" t="s">
        <v>416</v>
      </c>
      <c r="E12064" t="s">
        <v>255</v>
      </c>
      <c r="F12064" t="s">
        <v>929</v>
      </c>
      <c r="G12064" t="s">
        <v>122</v>
      </c>
      <c r="H12064" t="s">
        <v>318</v>
      </c>
      <c r="I12064" t="s">
        <v>714</v>
      </c>
      <c r="J12064" t="s">
        <v>253</v>
      </c>
      <c r="K12064" t="s">
        <v>204</v>
      </c>
      <c r="L12064" t="s">
        <v>128</v>
      </c>
      <c r="M12064" t="s">
        <v>127</v>
      </c>
      <c r="N12064" t="s">
        <v>253</v>
      </c>
      <c r="O12064" t="s">
        <v>253</v>
      </c>
      <c r="P12064" t="s">
        <v>104</v>
      </c>
      <c r="Q12064" t="s">
        <v>104</v>
      </c>
      <c r="R12064" t="s">
        <v>687</v>
      </c>
    </row>
    <row r="12065" spans="1:19" x14ac:dyDescent="0.3">
      <c r="A12065" t="s">
        <v>36</v>
      </c>
      <c r="B12065">
        <v>2303</v>
      </c>
      <c r="C12065" t="s">
        <v>670</v>
      </c>
      <c r="D12065" t="s">
        <v>401</v>
      </c>
      <c r="E12065" t="s">
        <v>675</v>
      </c>
      <c r="F12065" t="s">
        <v>806</v>
      </c>
      <c r="G12065" t="s">
        <v>163</v>
      </c>
      <c r="H12065" t="s">
        <v>1107</v>
      </c>
      <c r="I12065" t="s">
        <v>184</v>
      </c>
      <c r="J12065" t="s">
        <v>141</v>
      </c>
      <c r="K12065" t="s">
        <v>292</v>
      </c>
      <c r="L12065" t="s">
        <v>128</v>
      </c>
      <c r="M12065" t="s">
        <v>107</v>
      </c>
      <c r="N12065" t="s">
        <v>138</v>
      </c>
      <c r="O12065" t="s">
        <v>382</v>
      </c>
      <c r="P12065" t="s">
        <v>253</v>
      </c>
      <c r="Q12065" t="s">
        <v>104</v>
      </c>
      <c r="R12065" t="s">
        <v>491</v>
      </c>
    </row>
    <row r="12066" spans="1:19" x14ac:dyDescent="0.3">
      <c r="A12066" t="s">
        <v>34</v>
      </c>
      <c r="B12066">
        <v>2079</v>
      </c>
      <c r="C12066" t="s">
        <v>1044</v>
      </c>
      <c r="D12066" t="s">
        <v>109</v>
      </c>
      <c r="E12066" t="s">
        <v>684</v>
      </c>
      <c r="F12066" t="s">
        <v>549</v>
      </c>
      <c r="G12066" t="s">
        <v>315</v>
      </c>
      <c r="H12066" t="s">
        <v>690</v>
      </c>
      <c r="I12066" t="s">
        <v>710</v>
      </c>
      <c r="J12066" t="s">
        <v>141</v>
      </c>
      <c r="K12066" t="s">
        <v>111</v>
      </c>
      <c r="L12066" t="s">
        <v>141</v>
      </c>
      <c r="M12066" t="s">
        <v>198</v>
      </c>
      <c r="N12066" t="s">
        <v>207</v>
      </c>
      <c r="O12066" t="s">
        <v>120</v>
      </c>
      <c r="P12066" t="s">
        <v>207</v>
      </c>
      <c r="Q12066" t="s">
        <v>198</v>
      </c>
      <c r="R12066" t="s">
        <v>373</v>
      </c>
    </row>
    <row r="12067" spans="1:19" x14ac:dyDescent="0.3">
      <c r="A12067" t="s">
        <v>33</v>
      </c>
      <c r="B12067">
        <v>1936</v>
      </c>
      <c r="C12067" t="s">
        <v>724</v>
      </c>
      <c r="D12067" t="s">
        <v>449</v>
      </c>
      <c r="E12067" t="s">
        <v>315</v>
      </c>
      <c r="F12067" t="s">
        <v>860</v>
      </c>
      <c r="G12067" t="s">
        <v>248</v>
      </c>
      <c r="H12067" t="s">
        <v>680</v>
      </c>
      <c r="I12067" t="s">
        <v>708</v>
      </c>
      <c r="J12067" t="s">
        <v>100</v>
      </c>
      <c r="K12067" t="s">
        <v>321</v>
      </c>
      <c r="L12067" t="s">
        <v>118</v>
      </c>
      <c r="M12067" t="s">
        <v>126</v>
      </c>
      <c r="N12067" t="s">
        <v>253</v>
      </c>
      <c r="O12067" t="s">
        <v>207</v>
      </c>
      <c r="P12067" t="s">
        <v>99</v>
      </c>
      <c r="Q12067" t="s">
        <v>99</v>
      </c>
      <c r="R12067" t="s">
        <v>309</v>
      </c>
    </row>
    <row r="12068" spans="1:19" x14ac:dyDescent="0.3">
      <c r="A12068" t="s">
        <v>49</v>
      </c>
      <c r="B12068">
        <v>13315</v>
      </c>
      <c r="C12068" t="s">
        <v>140</v>
      </c>
      <c r="D12068" t="s">
        <v>680</v>
      </c>
      <c r="E12068" t="s">
        <v>449</v>
      </c>
      <c r="F12068" t="s">
        <v>829</v>
      </c>
      <c r="G12068" t="s">
        <v>163</v>
      </c>
      <c r="H12068" t="s">
        <v>301</v>
      </c>
      <c r="I12068" t="s">
        <v>680</v>
      </c>
      <c r="J12068" t="s">
        <v>115</v>
      </c>
      <c r="K12068" t="s">
        <v>124</v>
      </c>
      <c r="L12068" t="s">
        <v>151</v>
      </c>
      <c r="M12068" t="s">
        <v>101</v>
      </c>
      <c r="N12068" t="s">
        <v>132</v>
      </c>
      <c r="O12068" t="s">
        <v>382</v>
      </c>
      <c r="P12068" t="s">
        <v>207</v>
      </c>
      <c r="Q12068" t="s">
        <v>104</v>
      </c>
      <c r="R12068" t="s">
        <v>739</v>
      </c>
    </row>
    <row r="12070" spans="1:19" x14ac:dyDescent="0.3">
      <c r="A12070" t="s">
        <v>2757</v>
      </c>
    </row>
    <row r="12071" spans="1:19" x14ac:dyDescent="0.3">
      <c r="A12071" t="s">
        <v>44</v>
      </c>
      <c r="B12071" t="s">
        <v>361</v>
      </c>
      <c r="C12071" t="s">
        <v>32</v>
      </c>
      <c r="D12071" t="s">
        <v>2742</v>
      </c>
      <c r="E12071" t="s">
        <v>2743</v>
      </c>
      <c r="F12071" t="s">
        <v>2744</v>
      </c>
      <c r="G12071" t="s">
        <v>2745</v>
      </c>
      <c r="H12071" t="s">
        <v>2746</v>
      </c>
      <c r="I12071" t="s">
        <v>2747</v>
      </c>
      <c r="J12071" t="s">
        <v>2748</v>
      </c>
      <c r="K12071" t="s">
        <v>2749</v>
      </c>
      <c r="L12071" t="s">
        <v>2750</v>
      </c>
      <c r="M12071" t="s">
        <v>2751</v>
      </c>
      <c r="N12071" t="s">
        <v>2752</v>
      </c>
      <c r="O12071" t="s">
        <v>2753</v>
      </c>
      <c r="P12071" t="s">
        <v>2754</v>
      </c>
      <c r="Q12071" t="s">
        <v>2755</v>
      </c>
      <c r="R12071" t="s">
        <v>88</v>
      </c>
      <c r="S12071" t="s">
        <v>2756</v>
      </c>
    </row>
    <row r="12072" spans="1:19" x14ac:dyDescent="0.3">
      <c r="A12072" t="s">
        <v>35</v>
      </c>
      <c r="B12072" t="s">
        <v>339</v>
      </c>
      <c r="C12072">
        <v>890</v>
      </c>
      <c r="D12072" t="s">
        <v>532</v>
      </c>
      <c r="E12072" t="s">
        <v>499</v>
      </c>
      <c r="F12072" t="s">
        <v>748</v>
      </c>
      <c r="G12072" t="s">
        <v>595</v>
      </c>
      <c r="H12072" t="s">
        <v>735</v>
      </c>
      <c r="I12072" t="s">
        <v>482</v>
      </c>
      <c r="J12072" t="s">
        <v>68</v>
      </c>
      <c r="K12072" t="s">
        <v>108</v>
      </c>
      <c r="L12072" t="s">
        <v>107</v>
      </c>
      <c r="M12072" t="s">
        <v>127</v>
      </c>
      <c r="N12072" t="s">
        <v>253</v>
      </c>
      <c r="O12072" t="s">
        <v>100</v>
      </c>
      <c r="P12072" t="s">
        <v>319</v>
      </c>
      <c r="Q12072" t="s">
        <v>253</v>
      </c>
      <c r="R12072" t="s">
        <v>104</v>
      </c>
      <c r="S12072" t="s">
        <v>305</v>
      </c>
    </row>
    <row r="12073" spans="1:19" x14ac:dyDescent="0.3">
      <c r="A12073" t="s">
        <v>35</v>
      </c>
      <c r="B12073" t="s">
        <v>340</v>
      </c>
      <c r="C12073">
        <v>2215</v>
      </c>
      <c r="D12073" t="s">
        <v>437</v>
      </c>
      <c r="E12073" t="s">
        <v>701</v>
      </c>
      <c r="F12073" t="s">
        <v>294</v>
      </c>
      <c r="G12073" t="s">
        <v>810</v>
      </c>
      <c r="H12073" t="s">
        <v>355</v>
      </c>
      <c r="I12073" t="s">
        <v>1167</v>
      </c>
      <c r="J12073" t="s">
        <v>173</v>
      </c>
      <c r="K12073" t="s">
        <v>253</v>
      </c>
      <c r="L12073" t="s">
        <v>110</v>
      </c>
      <c r="M12073" t="s">
        <v>100</v>
      </c>
      <c r="N12073" t="s">
        <v>114</v>
      </c>
      <c r="O12073" t="s">
        <v>115</v>
      </c>
      <c r="P12073" t="s">
        <v>128</v>
      </c>
      <c r="Q12073" t="s">
        <v>207</v>
      </c>
      <c r="R12073" t="s">
        <v>99</v>
      </c>
      <c r="S12073" t="s">
        <v>694</v>
      </c>
    </row>
    <row r="12074" spans="1:19" x14ac:dyDescent="0.3">
      <c r="A12074" t="s">
        <v>35</v>
      </c>
      <c r="B12074" t="s">
        <v>365</v>
      </c>
      <c r="C12074">
        <v>40</v>
      </c>
      <c r="D12074" t="s">
        <v>802</v>
      </c>
      <c r="E12074" t="s">
        <v>679</v>
      </c>
      <c r="F12074" t="s">
        <v>128</v>
      </c>
      <c r="G12074" t="s">
        <v>1044</v>
      </c>
      <c r="H12074" t="s">
        <v>116</v>
      </c>
      <c r="I12074" t="s">
        <v>103</v>
      </c>
      <c r="J12074" t="s">
        <v>697</v>
      </c>
      <c r="K12074" t="s">
        <v>99</v>
      </c>
      <c r="L12074" t="s">
        <v>117</v>
      </c>
      <c r="M12074" t="s">
        <v>99</v>
      </c>
      <c r="N12074" t="s">
        <v>117</v>
      </c>
      <c r="O12074" t="s">
        <v>99</v>
      </c>
      <c r="P12074" t="s">
        <v>99</v>
      </c>
      <c r="Q12074" t="s">
        <v>99</v>
      </c>
      <c r="R12074" t="s">
        <v>99</v>
      </c>
      <c r="S12074" t="s">
        <v>683</v>
      </c>
    </row>
    <row r="12075" spans="1:19" x14ac:dyDescent="0.3">
      <c r="A12075" t="s">
        <v>37</v>
      </c>
      <c r="B12075" t="s">
        <v>339</v>
      </c>
      <c r="C12075">
        <v>1092</v>
      </c>
      <c r="D12075" t="s">
        <v>578</v>
      </c>
      <c r="E12075" t="s">
        <v>289</v>
      </c>
      <c r="F12075" t="s">
        <v>463</v>
      </c>
      <c r="G12075" t="s">
        <v>965</v>
      </c>
      <c r="H12075" t="s">
        <v>125</v>
      </c>
      <c r="I12075" t="s">
        <v>716</v>
      </c>
      <c r="J12075" t="s">
        <v>675</v>
      </c>
      <c r="K12075" t="s">
        <v>121</v>
      </c>
      <c r="L12075" t="s">
        <v>160</v>
      </c>
      <c r="M12075" t="s">
        <v>157</v>
      </c>
      <c r="N12075" t="s">
        <v>114</v>
      </c>
      <c r="O12075" t="s">
        <v>132</v>
      </c>
      <c r="P12075" t="s">
        <v>104</v>
      </c>
      <c r="Q12075" t="s">
        <v>104</v>
      </c>
      <c r="R12075" t="s">
        <v>99</v>
      </c>
      <c r="S12075" t="s">
        <v>220</v>
      </c>
    </row>
    <row r="12076" spans="1:19" x14ac:dyDescent="0.3">
      <c r="A12076" t="s">
        <v>37</v>
      </c>
      <c r="B12076" t="s">
        <v>340</v>
      </c>
      <c r="C12076">
        <v>2719</v>
      </c>
      <c r="D12076" t="s">
        <v>349</v>
      </c>
      <c r="E12076" t="s">
        <v>315</v>
      </c>
      <c r="F12076" t="s">
        <v>368</v>
      </c>
      <c r="G12076" t="s">
        <v>699</v>
      </c>
      <c r="H12076" t="s">
        <v>663</v>
      </c>
      <c r="I12076" t="s">
        <v>444</v>
      </c>
      <c r="J12076" t="s">
        <v>465</v>
      </c>
      <c r="K12076" t="s">
        <v>207</v>
      </c>
      <c r="L12076" t="s">
        <v>98</v>
      </c>
      <c r="M12076" t="s">
        <v>103</v>
      </c>
      <c r="N12076" t="s">
        <v>292</v>
      </c>
      <c r="O12076" t="s">
        <v>141</v>
      </c>
      <c r="P12076" t="s">
        <v>132</v>
      </c>
      <c r="Q12076" t="s">
        <v>104</v>
      </c>
      <c r="R12076" t="s">
        <v>104</v>
      </c>
      <c r="S12076" t="s">
        <v>673</v>
      </c>
    </row>
    <row r="12077" spans="1:19" x14ac:dyDescent="0.3">
      <c r="A12077" t="s">
        <v>37</v>
      </c>
      <c r="B12077" t="s">
        <v>365</v>
      </c>
      <c r="C12077">
        <v>41</v>
      </c>
      <c r="D12077" t="s">
        <v>566</v>
      </c>
      <c r="E12077" t="s">
        <v>167</v>
      </c>
      <c r="F12077" t="s">
        <v>131</v>
      </c>
      <c r="G12077" t="s">
        <v>736</v>
      </c>
      <c r="H12077" t="s">
        <v>128</v>
      </c>
      <c r="I12077" t="s">
        <v>727</v>
      </c>
      <c r="J12077" t="s">
        <v>425</v>
      </c>
      <c r="K12077" t="s">
        <v>292</v>
      </c>
      <c r="L12077" t="s">
        <v>363</v>
      </c>
      <c r="M12077" t="s">
        <v>99</v>
      </c>
      <c r="N12077" t="s">
        <v>129</v>
      </c>
      <c r="O12077" t="s">
        <v>129</v>
      </c>
      <c r="P12077" t="s">
        <v>99</v>
      </c>
      <c r="Q12077" t="s">
        <v>292</v>
      </c>
      <c r="R12077" t="s">
        <v>99</v>
      </c>
      <c r="S12077" t="s">
        <v>749</v>
      </c>
    </row>
    <row r="12078" spans="1:19" x14ac:dyDescent="0.3">
      <c r="A12078" t="s">
        <v>36</v>
      </c>
      <c r="B12078" t="s">
        <v>339</v>
      </c>
      <c r="C12078">
        <v>769</v>
      </c>
      <c r="D12078" t="s">
        <v>1206</v>
      </c>
      <c r="E12078" t="s">
        <v>160</v>
      </c>
      <c r="F12078" t="s">
        <v>248</v>
      </c>
      <c r="G12078" t="s">
        <v>955</v>
      </c>
      <c r="H12078" t="s">
        <v>78</v>
      </c>
      <c r="I12078" t="s">
        <v>240</v>
      </c>
      <c r="J12078" t="s">
        <v>242</v>
      </c>
      <c r="K12078" t="s">
        <v>99</v>
      </c>
      <c r="L12078" t="s">
        <v>151</v>
      </c>
      <c r="M12078" t="s">
        <v>155</v>
      </c>
      <c r="N12078" t="s">
        <v>117</v>
      </c>
      <c r="O12078" t="s">
        <v>129</v>
      </c>
      <c r="P12078" t="s">
        <v>253</v>
      </c>
      <c r="Q12078" t="s">
        <v>99</v>
      </c>
      <c r="R12078" t="s">
        <v>104</v>
      </c>
      <c r="S12078" t="s">
        <v>318</v>
      </c>
    </row>
    <row r="12079" spans="1:19" x14ac:dyDescent="0.3">
      <c r="A12079" t="s">
        <v>36</v>
      </c>
      <c r="B12079" t="s">
        <v>340</v>
      </c>
      <c r="C12079">
        <v>1471</v>
      </c>
      <c r="D12079" t="s">
        <v>689</v>
      </c>
      <c r="E12079" t="s">
        <v>113</v>
      </c>
      <c r="F12079" t="s">
        <v>144</v>
      </c>
      <c r="G12079" t="s">
        <v>1067</v>
      </c>
      <c r="H12079" t="s">
        <v>746</v>
      </c>
      <c r="I12079" t="s">
        <v>1209</v>
      </c>
      <c r="J12079" t="s">
        <v>113</v>
      </c>
      <c r="K12079" t="s">
        <v>132</v>
      </c>
      <c r="L12079" t="s">
        <v>268</v>
      </c>
      <c r="M12079" t="s">
        <v>117</v>
      </c>
      <c r="N12079" t="s">
        <v>155</v>
      </c>
      <c r="O12079" t="s">
        <v>157</v>
      </c>
      <c r="P12079" t="s">
        <v>151</v>
      </c>
      <c r="Q12079" t="s">
        <v>108</v>
      </c>
      <c r="R12079" t="s">
        <v>104</v>
      </c>
      <c r="S12079" t="s">
        <v>734</v>
      </c>
    </row>
    <row r="12080" spans="1:19" x14ac:dyDescent="0.3">
      <c r="A12080" t="s">
        <v>36</v>
      </c>
      <c r="B12080" t="s">
        <v>365</v>
      </c>
      <c r="C12080">
        <v>63</v>
      </c>
      <c r="D12080" t="s">
        <v>671</v>
      </c>
      <c r="E12080" t="s">
        <v>708</v>
      </c>
      <c r="F12080" t="s">
        <v>128</v>
      </c>
      <c r="G12080" t="s">
        <v>1061</v>
      </c>
      <c r="H12080" t="s">
        <v>98</v>
      </c>
      <c r="I12080" t="s">
        <v>62</v>
      </c>
      <c r="J12080" t="s">
        <v>267</v>
      </c>
      <c r="K12080" t="s">
        <v>99</v>
      </c>
      <c r="L12080" t="s">
        <v>99</v>
      </c>
      <c r="M12080" t="s">
        <v>99</v>
      </c>
      <c r="N12080" t="s">
        <v>253</v>
      </c>
      <c r="O12080" t="s">
        <v>99</v>
      </c>
      <c r="P12080" t="s">
        <v>105</v>
      </c>
      <c r="Q12080" t="s">
        <v>99</v>
      </c>
      <c r="R12080" t="s">
        <v>99</v>
      </c>
      <c r="S12080" t="s">
        <v>727</v>
      </c>
    </row>
    <row r="12081" spans="1:19" x14ac:dyDescent="0.3">
      <c r="A12081" t="s">
        <v>34</v>
      </c>
      <c r="B12081" t="s">
        <v>339</v>
      </c>
      <c r="C12081">
        <v>555</v>
      </c>
      <c r="D12081" t="s">
        <v>676</v>
      </c>
      <c r="E12081" t="s">
        <v>78</v>
      </c>
      <c r="F12081" t="s">
        <v>663</v>
      </c>
      <c r="G12081" t="s">
        <v>1576</v>
      </c>
      <c r="H12081" t="s">
        <v>244</v>
      </c>
      <c r="I12081" t="s">
        <v>683</v>
      </c>
      <c r="J12081" t="s">
        <v>671</v>
      </c>
      <c r="K12081" t="s">
        <v>115</v>
      </c>
      <c r="L12081" t="s">
        <v>151</v>
      </c>
      <c r="M12081" t="s">
        <v>104</v>
      </c>
      <c r="N12081" t="s">
        <v>198</v>
      </c>
      <c r="O12081" t="s">
        <v>207</v>
      </c>
      <c r="P12081" t="s">
        <v>117</v>
      </c>
      <c r="Q12081" t="s">
        <v>141</v>
      </c>
      <c r="R12081" t="s">
        <v>99</v>
      </c>
      <c r="S12081" t="s">
        <v>708</v>
      </c>
    </row>
    <row r="12082" spans="1:19" x14ac:dyDescent="0.3">
      <c r="A12082" t="s">
        <v>34</v>
      </c>
      <c r="B12082" t="s">
        <v>340</v>
      </c>
      <c r="C12082">
        <v>1496</v>
      </c>
      <c r="D12082" t="s">
        <v>720</v>
      </c>
      <c r="E12082" t="s">
        <v>254</v>
      </c>
      <c r="F12082" t="s">
        <v>712</v>
      </c>
      <c r="G12082" t="s">
        <v>963</v>
      </c>
      <c r="H12082" t="s">
        <v>804</v>
      </c>
      <c r="I12082" t="s">
        <v>457</v>
      </c>
      <c r="J12082" t="s">
        <v>368</v>
      </c>
      <c r="K12082" t="s">
        <v>198</v>
      </c>
      <c r="L12082" t="s">
        <v>292</v>
      </c>
      <c r="M12082" t="s">
        <v>253</v>
      </c>
      <c r="N12082" t="s">
        <v>99</v>
      </c>
      <c r="O12082" t="s">
        <v>104</v>
      </c>
      <c r="P12082" t="s">
        <v>147</v>
      </c>
      <c r="Q12082" t="s">
        <v>104</v>
      </c>
      <c r="R12082" t="s">
        <v>207</v>
      </c>
      <c r="S12082" t="s">
        <v>720</v>
      </c>
    </row>
    <row r="12083" spans="1:19" x14ac:dyDescent="0.3">
      <c r="A12083" t="s">
        <v>34</v>
      </c>
      <c r="B12083" t="s">
        <v>365</v>
      </c>
      <c r="C12083">
        <v>28</v>
      </c>
      <c r="D12083" t="s">
        <v>738</v>
      </c>
      <c r="E12083" t="s">
        <v>468</v>
      </c>
      <c r="F12083" t="s">
        <v>206</v>
      </c>
      <c r="G12083" t="s">
        <v>591</v>
      </c>
      <c r="H12083" t="s">
        <v>116</v>
      </c>
      <c r="I12083" t="s">
        <v>611</v>
      </c>
      <c r="J12083" t="s">
        <v>432</v>
      </c>
      <c r="K12083" t="s">
        <v>468</v>
      </c>
      <c r="L12083" t="s">
        <v>677</v>
      </c>
      <c r="M12083" t="s">
        <v>468</v>
      </c>
      <c r="N12083" t="s">
        <v>468</v>
      </c>
      <c r="O12083" t="s">
        <v>468</v>
      </c>
      <c r="P12083" t="s">
        <v>41</v>
      </c>
      <c r="Q12083" t="s">
        <v>468</v>
      </c>
      <c r="R12083" t="s">
        <v>99</v>
      </c>
      <c r="S12083" t="s">
        <v>434</v>
      </c>
    </row>
    <row r="12084" spans="1:19" x14ac:dyDescent="0.3">
      <c r="A12084" t="s">
        <v>33</v>
      </c>
      <c r="B12084" t="s">
        <v>339</v>
      </c>
      <c r="C12084">
        <v>503</v>
      </c>
      <c r="D12084" t="s">
        <v>106</v>
      </c>
      <c r="E12084" t="s">
        <v>716</v>
      </c>
      <c r="F12084" t="s">
        <v>726</v>
      </c>
      <c r="G12084" t="s">
        <v>64</v>
      </c>
      <c r="H12084" t="s">
        <v>74</v>
      </c>
      <c r="I12084" t="s">
        <v>353</v>
      </c>
      <c r="J12084" t="s">
        <v>160</v>
      </c>
      <c r="K12084" t="s">
        <v>151</v>
      </c>
      <c r="L12084" t="s">
        <v>726</v>
      </c>
      <c r="M12084" t="s">
        <v>155</v>
      </c>
      <c r="N12084" t="s">
        <v>99</v>
      </c>
      <c r="O12084" t="s">
        <v>115</v>
      </c>
      <c r="P12084" t="s">
        <v>99</v>
      </c>
      <c r="Q12084" t="s">
        <v>99</v>
      </c>
      <c r="R12084" t="s">
        <v>99</v>
      </c>
      <c r="S12084" t="s">
        <v>501</v>
      </c>
    </row>
    <row r="12085" spans="1:19" x14ac:dyDescent="0.3">
      <c r="A12085" t="s">
        <v>33</v>
      </c>
      <c r="B12085" t="s">
        <v>340</v>
      </c>
      <c r="C12085">
        <v>1414</v>
      </c>
      <c r="D12085" t="s">
        <v>540</v>
      </c>
      <c r="E12085" t="s">
        <v>206</v>
      </c>
      <c r="F12085" t="s">
        <v>379</v>
      </c>
      <c r="G12085" t="s">
        <v>702</v>
      </c>
      <c r="H12085" t="s">
        <v>113</v>
      </c>
      <c r="I12085" t="s">
        <v>267</v>
      </c>
      <c r="J12085" t="s">
        <v>726</v>
      </c>
      <c r="K12085" t="s">
        <v>132</v>
      </c>
      <c r="L12085" t="s">
        <v>814</v>
      </c>
      <c r="M12085" t="s">
        <v>129</v>
      </c>
      <c r="N12085" t="s">
        <v>151</v>
      </c>
      <c r="O12085" t="s">
        <v>253</v>
      </c>
      <c r="P12085" t="s">
        <v>141</v>
      </c>
      <c r="Q12085" t="s">
        <v>99</v>
      </c>
      <c r="R12085" t="s">
        <v>99</v>
      </c>
      <c r="S12085" t="s">
        <v>683</v>
      </c>
    </row>
    <row r="12086" spans="1:19" x14ac:dyDescent="0.3">
      <c r="A12086" t="s">
        <v>33</v>
      </c>
      <c r="B12086" t="s">
        <v>365</v>
      </c>
      <c r="C12086">
        <v>19</v>
      </c>
      <c r="D12086" t="s">
        <v>478</v>
      </c>
      <c r="E12086" t="s">
        <v>379</v>
      </c>
      <c r="F12086" t="s">
        <v>299</v>
      </c>
      <c r="G12086" t="s">
        <v>805</v>
      </c>
      <c r="H12086" t="s">
        <v>737</v>
      </c>
      <c r="I12086" t="s">
        <v>328</v>
      </c>
      <c r="J12086" t="s">
        <v>328</v>
      </c>
      <c r="K12086" t="s">
        <v>99</v>
      </c>
      <c r="L12086" t="s">
        <v>74</v>
      </c>
      <c r="M12086" t="s">
        <v>99</v>
      </c>
      <c r="N12086" t="s">
        <v>99</v>
      </c>
      <c r="O12086" t="s">
        <v>99</v>
      </c>
      <c r="P12086" t="s">
        <v>99</v>
      </c>
      <c r="Q12086" t="s">
        <v>99</v>
      </c>
      <c r="R12086" t="s">
        <v>99</v>
      </c>
      <c r="S12086" t="s">
        <v>532</v>
      </c>
    </row>
    <row r="12087" spans="1:19" x14ac:dyDescent="0.3">
      <c r="A12087" t="s">
        <v>49</v>
      </c>
      <c r="B12087" t="s">
        <v>339</v>
      </c>
      <c r="C12087">
        <v>3809</v>
      </c>
      <c r="D12087" t="s">
        <v>1094</v>
      </c>
      <c r="E12087" t="s">
        <v>688</v>
      </c>
      <c r="F12087" t="s">
        <v>255</v>
      </c>
      <c r="G12087" t="s">
        <v>614</v>
      </c>
      <c r="H12087" t="s">
        <v>355</v>
      </c>
      <c r="I12087" t="s">
        <v>694</v>
      </c>
      <c r="J12087" t="s">
        <v>675</v>
      </c>
      <c r="K12087" t="s">
        <v>114</v>
      </c>
      <c r="L12087" t="s">
        <v>98</v>
      </c>
      <c r="M12087" t="s">
        <v>111</v>
      </c>
      <c r="N12087" t="s">
        <v>115</v>
      </c>
      <c r="O12087" t="s">
        <v>100</v>
      </c>
      <c r="P12087" t="s">
        <v>114</v>
      </c>
      <c r="Q12087" t="s">
        <v>207</v>
      </c>
      <c r="R12087" t="s">
        <v>99</v>
      </c>
      <c r="S12087" t="s">
        <v>449</v>
      </c>
    </row>
    <row r="12088" spans="1:19" x14ac:dyDescent="0.3">
      <c r="A12088" t="s">
        <v>49</v>
      </c>
      <c r="B12088" t="s">
        <v>340</v>
      </c>
      <c r="C12088">
        <v>9315</v>
      </c>
      <c r="D12088" t="s">
        <v>529</v>
      </c>
      <c r="E12088" t="s">
        <v>416</v>
      </c>
      <c r="F12088" t="s">
        <v>262</v>
      </c>
      <c r="G12088" t="s">
        <v>1094</v>
      </c>
      <c r="H12088" t="s">
        <v>251</v>
      </c>
      <c r="I12088" t="s">
        <v>802</v>
      </c>
      <c r="J12088" t="s">
        <v>672</v>
      </c>
      <c r="K12088" t="s">
        <v>141</v>
      </c>
      <c r="L12088" t="s">
        <v>124</v>
      </c>
      <c r="M12088" t="s">
        <v>151</v>
      </c>
      <c r="N12088" t="s">
        <v>126</v>
      </c>
      <c r="O12088" t="s">
        <v>115</v>
      </c>
      <c r="P12088" t="s">
        <v>127</v>
      </c>
      <c r="Q12088" t="s">
        <v>198</v>
      </c>
      <c r="R12088" t="s">
        <v>104</v>
      </c>
      <c r="S12088" t="s">
        <v>303</v>
      </c>
    </row>
    <row r="12089" spans="1:19" x14ac:dyDescent="0.3">
      <c r="A12089" t="s">
        <v>49</v>
      </c>
      <c r="B12089" t="s">
        <v>365</v>
      </c>
      <c r="C12089">
        <v>191</v>
      </c>
      <c r="D12089" t="s">
        <v>1059</v>
      </c>
      <c r="E12089" t="s">
        <v>262</v>
      </c>
      <c r="F12089" t="s">
        <v>405</v>
      </c>
      <c r="G12089" t="s">
        <v>934</v>
      </c>
      <c r="H12089" t="s">
        <v>718</v>
      </c>
      <c r="I12089" t="s">
        <v>1059</v>
      </c>
      <c r="J12089" t="s">
        <v>478</v>
      </c>
      <c r="K12089" t="s">
        <v>215</v>
      </c>
      <c r="L12089" t="s">
        <v>143</v>
      </c>
      <c r="M12089" t="s">
        <v>121</v>
      </c>
      <c r="N12089" t="s">
        <v>147</v>
      </c>
      <c r="O12089" t="s">
        <v>111</v>
      </c>
      <c r="P12089" t="s">
        <v>103</v>
      </c>
      <c r="Q12089" t="s">
        <v>215</v>
      </c>
      <c r="R12089" t="s">
        <v>99</v>
      </c>
      <c r="S12089" t="s">
        <v>740</v>
      </c>
    </row>
    <row r="12091" spans="1:19" x14ac:dyDescent="0.3">
      <c r="A12091" t="s">
        <v>2758</v>
      </c>
    </row>
    <row r="12092" spans="1:19" x14ac:dyDescent="0.3">
      <c r="A12092" t="s">
        <v>44</v>
      </c>
      <c r="B12092" t="s">
        <v>209</v>
      </c>
      <c r="C12092" t="s">
        <v>32</v>
      </c>
      <c r="D12092" t="s">
        <v>2742</v>
      </c>
      <c r="E12092" t="s">
        <v>2743</v>
      </c>
      <c r="F12092" t="s">
        <v>2744</v>
      </c>
      <c r="G12092" t="s">
        <v>2745</v>
      </c>
      <c r="H12092" t="s">
        <v>2746</v>
      </c>
      <c r="I12092" t="s">
        <v>2747</v>
      </c>
      <c r="J12092" t="s">
        <v>2748</v>
      </c>
      <c r="K12092" t="s">
        <v>2749</v>
      </c>
      <c r="L12092" t="s">
        <v>2750</v>
      </c>
      <c r="M12092" t="s">
        <v>2751</v>
      </c>
      <c r="N12092" t="s">
        <v>2752</v>
      </c>
      <c r="O12092" t="s">
        <v>2753</v>
      </c>
      <c r="P12092" t="s">
        <v>2754</v>
      </c>
      <c r="Q12092" t="s">
        <v>2755</v>
      </c>
      <c r="R12092" t="s">
        <v>88</v>
      </c>
      <c r="S12092" t="s">
        <v>2756</v>
      </c>
    </row>
    <row r="12093" spans="1:19" x14ac:dyDescent="0.3">
      <c r="A12093" t="s">
        <v>35</v>
      </c>
      <c r="B12093" t="s">
        <v>210</v>
      </c>
      <c r="C12093">
        <v>136</v>
      </c>
      <c r="D12093" t="s">
        <v>650</v>
      </c>
      <c r="E12093" t="s">
        <v>704</v>
      </c>
      <c r="F12093" t="s">
        <v>746</v>
      </c>
      <c r="G12093" t="s">
        <v>498</v>
      </c>
      <c r="H12093" t="s">
        <v>706</v>
      </c>
      <c r="I12093" t="s">
        <v>429</v>
      </c>
      <c r="J12093" t="s">
        <v>175</v>
      </c>
      <c r="K12093" t="s">
        <v>99</v>
      </c>
      <c r="L12093" t="s">
        <v>215</v>
      </c>
      <c r="M12093" t="s">
        <v>99</v>
      </c>
      <c r="N12093" t="s">
        <v>198</v>
      </c>
      <c r="O12093" t="s">
        <v>198</v>
      </c>
      <c r="P12093" t="s">
        <v>115</v>
      </c>
      <c r="Q12093" t="s">
        <v>99</v>
      </c>
      <c r="R12093" t="s">
        <v>99</v>
      </c>
      <c r="S12093" t="s">
        <v>218</v>
      </c>
    </row>
    <row r="12094" spans="1:19" x14ac:dyDescent="0.3">
      <c r="A12094" t="s">
        <v>35</v>
      </c>
      <c r="B12094" t="s">
        <v>212</v>
      </c>
      <c r="C12094">
        <v>2442</v>
      </c>
      <c r="D12094" t="s">
        <v>681</v>
      </c>
      <c r="E12094" t="s">
        <v>303</v>
      </c>
      <c r="F12094" t="s">
        <v>186</v>
      </c>
      <c r="G12094" t="s">
        <v>843</v>
      </c>
      <c r="H12094" t="s">
        <v>173</v>
      </c>
      <c r="I12094" t="s">
        <v>463</v>
      </c>
      <c r="J12094" t="s">
        <v>313</v>
      </c>
      <c r="K12094" t="s">
        <v>108</v>
      </c>
      <c r="L12094" t="s">
        <v>118</v>
      </c>
      <c r="M12094" t="s">
        <v>382</v>
      </c>
      <c r="N12094" t="s">
        <v>108</v>
      </c>
      <c r="O12094" t="s">
        <v>108</v>
      </c>
      <c r="P12094" t="s">
        <v>123</v>
      </c>
      <c r="Q12094" t="s">
        <v>207</v>
      </c>
      <c r="R12094" t="s">
        <v>99</v>
      </c>
      <c r="S12094" t="s">
        <v>737</v>
      </c>
    </row>
    <row r="12095" spans="1:19" x14ac:dyDescent="0.3">
      <c r="A12095" t="s">
        <v>35</v>
      </c>
      <c r="B12095" t="s">
        <v>216</v>
      </c>
      <c r="C12095">
        <v>567</v>
      </c>
      <c r="D12095" t="s">
        <v>395</v>
      </c>
      <c r="E12095" t="s">
        <v>218</v>
      </c>
      <c r="F12095" t="s">
        <v>163</v>
      </c>
      <c r="G12095" t="s">
        <v>489</v>
      </c>
      <c r="H12095" t="s">
        <v>811</v>
      </c>
      <c r="I12095" t="s">
        <v>666</v>
      </c>
      <c r="J12095" t="s">
        <v>718</v>
      </c>
      <c r="K12095" t="s">
        <v>207</v>
      </c>
      <c r="L12095" t="s">
        <v>154</v>
      </c>
      <c r="M12095" t="s">
        <v>115</v>
      </c>
      <c r="N12095" t="s">
        <v>100</v>
      </c>
      <c r="O12095" t="s">
        <v>115</v>
      </c>
      <c r="P12095" t="s">
        <v>134</v>
      </c>
      <c r="Q12095" t="s">
        <v>253</v>
      </c>
      <c r="R12095" t="s">
        <v>104</v>
      </c>
      <c r="S12095" t="s">
        <v>482</v>
      </c>
    </row>
    <row r="12096" spans="1:19" x14ac:dyDescent="0.3">
      <c r="A12096" t="s">
        <v>37</v>
      </c>
      <c r="B12096" t="s">
        <v>210</v>
      </c>
      <c r="C12096">
        <v>138</v>
      </c>
      <c r="D12096" t="s">
        <v>697</v>
      </c>
      <c r="E12096" t="s">
        <v>470</v>
      </c>
      <c r="F12096" t="s">
        <v>328</v>
      </c>
      <c r="G12096" t="s">
        <v>940</v>
      </c>
      <c r="H12096" t="s">
        <v>291</v>
      </c>
      <c r="I12096" t="s">
        <v>519</v>
      </c>
      <c r="J12096" t="s">
        <v>678</v>
      </c>
      <c r="K12096" t="s">
        <v>99</v>
      </c>
      <c r="L12096" t="s">
        <v>155</v>
      </c>
      <c r="M12096" t="s">
        <v>99</v>
      </c>
      <c r="N12096" t="s">
        <v>99</v>
      </c>
      <c r="O12096" t="s">
        <v>99</v>
      </c>
      <c r="P12096" t="s">
        <v>132</v>
      </c>
      <c r="Q12096" t="s">
        <v>99</v>
      </c>
      <c r="R12096" t="s">
        <v>99</v>
      </c>
      <c r="S12096" t="s">
        <v>701</v>
      </c>
    </row>
    <row r="12097" spans="1:19" x14ac:dyDescent="0.3">
      <c r="A12097" t="s">
        <v>37</v>
      </c>
      <c r="B12097" t="s">
        <v>212</v>
      </c>
      <c r="C12097">
        <v>3603</v>
      </c>
      <c r="D12097" t="s">
        <v>924</v>
      </c>
      <c r="E12097" t="s">
        <v>449</v>
      </c>
      <c r="F12097" t="s">
        <v>38</v>
      </c>
      <c r="G12097" t="s">
        <v>662</v>
      </c>
      <c r="H12097" t="s">
        <v>109</v>
      </c>
      <c r="I12097" t="s">
        <v>355</v>
      </c>
      <c r="J12097" t="s">
        <v>289</v>
      </c>
      <c r="K12097" t="s">
        <v>253</v>
      </c>
      <c r="L12097" t="s">
        <v>143</v>
      </c>
      <c r="M12097" t="s">
        <v>147</v>
      </c>
      <c r="N12097" t="s">
        <v>123</v>
      </c>
      <c r="O12097" t="s">
        <v>253</v>
      </c>
      <c r="P12097" t="s">
        <v>253</v>
      </c>
      <c r="Q12097" t="s">
        <v>104</v>
      </c>
      <c r="R12097" t="s">
        <v>104</v>
      </c>
      <c r="S12097" t="s">
        <v>739</v>
      </c>
    </row>
    <row r="12098" spans="1:19" x14ac:dyDescent="0.3">
      <c r="A12098" t="s">
        <v>37</v>
      </c>
      <c r="B12098" t="s">
        <v>216</v>
      </c>
      <c r="C12098">
        <v>111</v>
      </c>
      <c r="D12098" t="s">
        <v>542</v>
      </c>
      <c r="E12098" t="s">
        <v>679</v>
      </c>
      <c r="F12098" t="s">
        <v>675</v>
      </c>
      <c r="G12098" t="s">
        <v>944</v>
      </c>
      <c r="H12098" t="s">
        <v>440</v>
      </c>
      <c r="I12098" t="s">
        <v>952</v>
      </c>
      <c r="J12098" t="s">
        <v>1414</v>
      </c>
      <c r="K12098" t="s">
        <v>99</v>
      </c>
      <c r="L12098" t="s">
        <v>134</v>
      </c>
      <c r="M12098" t="s">
        <v>99</v>
      </c>
      <c r="N12098" t="s">
        <v>138</v>
      </c>
      <c r="O12098" t="s">
        <v>99</v>
      </c>
      <c r="P12098" t="s">
        <v>99</v>
      </c>
      <c r="Q12098" t="s">
        <v>99</v>
      </c>
      <c r="R12098" t="s">
        <v>99</v>
      </c>
      <c r="S12098" t="s">
        <v>726</v>
      </c>
    </row>
    <row r="12099" spans="1:19" x14ac:dyDescent="0.3">
      <c r="A12099" t="s">
        <v>36</v>
      </c>
      <c r="B12099" t="s">
        <v>210</v>
      </c>
      <c r="C12099">
        <v>165</v>
      </c>
      <c r="D12099" t="s">
        <v>482</v>
      </c>
      <c r="E12099" t="s">
        <v>321</v>
      </c>
      <c r="F12099" t="s">
        <v>160</v>
      </c>
      <c r="G12099" t="s">
        <v>948</v>
      </c>
      <c r="H12099" t="s">
        <v>722</v>
      </c>
      <c r="I12099" t="s">
        <v>591</v>
      </c>
      <c r="J12099" t="s">
        <v>125</v>
      </c>
      <c r="K12099" t="s">
        <v>104</v>
      </c>
      <c r="L12099" t="s">
        <v>157</v>
      </c>
      <c r="M12099" t="s">
        <v>139</v>
      </c>
      <c r="N12099" t="s">
        <v>104</v>
      </c>
      <c r="O12099" t="s">
        <v>98</v>
      </c>
      <c r="P12099" t="s">
        <v>126</v>
      </c>
      <c r="Q12099" t="s">
        <v>104</v>
      </c>
      <c r="R12099" t="s">
        <v>115</v>
      </c>
      <c r="S12099" t="s">
        <v>680</v>
      </c>
    </row>
    <row r="12100" spans="1:19" x14ac:dyDescent="0.3">
      <c r="A12100" t="s">
        <v>36</v>
      </c>
      <c r="B12100" t="s">
        <v>212</v>
      </c>
      <c r="C12100">
        <v>1873</v>
      </c>
      <c r="D12100" t="s">
        <v>106</v>
      </c>
      <c r="E12100" t="s">
        <v>78</v>
      </c>
      <c r="F12100" t="s">
        <v>664</v>
      </c>
      <c r="G12100" t="s">
        <v>862</v>
      </c>
      <c r="H12100" t="s">
        <v>313</v>
      </c>
      <c r="I12100" t="s">
        <v>732</v>
      </c>
      <c r="J12100" t="s">
        <v>150</v>
      </c>
      <c r="K12100" t="s">
        <v>253</v>
      </c>
      <c r="L12100" t="s">
        <v>268</v>
      </c>
      <c r="M12100" t="s">
        <v>128</v>
      </c>
      <c r="N12100" t="s">
        <v>118</v>
      </c>
      <c r="O12100" t="s">
        <v>155</v>
      </c>
      <c r="P12100" t="s">
        <v>126</v>
      </c>
      <c r="Q12100" t="s">
        <v>115</v>
      </c>
      <c r="R12100" t="s">
        <v>99</v>
      </c>
      <c r="S12100" t="s">
        <v>748</v>
      </c>
    </row>
    <row r="12101" spans="1:19" x14ac:dyDescent="0.3">
      <c r="A12101" t="s">
        <v>36</v>
      </c>
      <c r="B12101" t="s">
        <v>216</v>
      </c>
      <c r="C12101">
        <v>265</v>
      </c>
      <c r="D12101" t="s">
        <v>701</v>
      </c>
      <c r="E12101" t="s">
        <v>712</v>
      </c>
      <c r="F12101" t="s">
        <v>382</v>
      </c>
      <c r="G12101" t="s">
        <v>565</v>
      </c>
      <c r="H12101" t="s">
        <v>255</v>
      </c>
      <c r="I12101" t="s">
        <v>934</v>
      </c>
      <c r="J12101" t="s">
        <v>299</v>
      </c>
      <c r="K12101" t="s">
        <v>104</v>
      </c>
      <c r="L12101" t="s">
        <v>207</v>
      </c>
      <c r="M12101" t="s">
        <v>115</v>
      </c>
      <c r="N12101" t="s">
        <v>198</v>
      </c>
      <c r="O12101" t="s">
        <v>207</v>
      </c>
      <c r="P12101" t="s">
        <v>117</v>
      </c>
      <c r="Q12101" t="s">
        <v>99</v>
      </c>
      <c r="R12101" t="s">
        <v>99</v>
      </c>
      <c r="S12101" t="s">
        <v>39</v>
      </c>
    </row>
    <row r="12102" spans="1:19" x14ac:dyDescent="0.3">
      <c r="A12102" t="s">
        <v>34</v>
      </c>
      <c r="B12102" t="s">
        <v>210</v>
      </c>
      <c r="C12102">
        <v>256</v>
      </c>
      <c r="D12102" t="s">
        <v>262</v>
      </c>
      <c r="E12102" t="s">
        <v>470</v>
      </c>
      <c r="F12102" t="s">
        <v>434</v>
      </c>
      <c r="G12102" t="s">
        <v>1163</v>
      </c>
      <c r="H12102" t="s">
        <v>255</v>
      </c>
      <c r="I12102" t="s">
        <v>146</v>
      </c>
      <c r="J12102" t="s">
        <v>301</v>
      </c>
      <c r="K12102" t="s">
        <v>319</v>
      </c>
      <c r="L12102" t="s">
        <v>319</v>
      </c>
      <c r="M12102" t="s">
        <v>141</v>
      </c>
      <c r="N12102" t="s">
        <v>141</v>
      </c>
      <c r="O12102" t="s">
        <v>141</v>
      </c>
      <c r="P12102" t="s">
        <v>155</v>
      </c>
      <c r="Q12102" t="s">
        <v>141</v>
      </c>
      <c r="R12102" t="s">
        <v>132</v>
      </c>
      <c r="S12102" t="s">
        <v>78</v>
      </c>
    </row>
    <row r="12103" spans="1:19" x14ac:dyDescent="0.3">
      <c r="A12103" t="s">
        <v>34</v>
      </c>
      <c r="B12103" t="s">
        <v>212</v>
      </c>
      <c r="C12103">
        <v>1581</v>
      </c>
      <c r="D12103" t="s">
        <v>246</v>
      </c>
      <c r="E12103" t="s">
        <v>143</v>
      </c>
      <c r="F12103" t="s">
        <v>149</v>
      </c>
      <c r="G12103" t="s">
        <v>2115</v>
      </c>
      <c r="H12103" t="s">
        <v>722</v>
      </c>
      <c r="I12103" t="s">
        <v>255</v>
      </c>
      <c r="J12103" t="s">
        <v>671</v>
      </c>
      <c r="K12103" t="s">
        <v>136</v>
      </c>
      <c r="L12103" t="s">
        <v>120</v>
      </c>
      <c r="M12103" t="s">
        <v>141</v>
      </c>
      <c r="N12103" t="s">
        <v>104</v>
      </c>
      <c r="O12103" t="s">
        <v>207</v>
      </c>
      <c r="P12103" t="s">
        <v>382</v>
      </c>
      <c r="Q12103" t="s">
        <v>207</v>
      </c>
      <c r="R12103" t="s">
        <v>104</v>
      </c>
      <c r="S12103" t="s">
        <v>508</v>
      </c>
    </row>
    <row r="12104" spans="1:19" x14ac:dyDescent="0.3">
      <c r="A12104" t="s">
        <v>34</v>
      </c>
      <c r="B12104" t="s">
        <v>216</v>
      </c>
      <c r="C12104">
        <v>242</v>
      </c>
      <c r="D12104" t="s">
        <v>139</v>
      </c>
      <c r="E12104" t="s">
        <v>664</v>
      </c>
      <c r="F12104" t="s">
        <v>72</v>
      </c>
      <c r="G12104" t="s">
        <v>622</v>
      </c>
      <c r="H12104" t="s">
        <v>38</v>
      </c>
      <c r="I12104" t="s">
        <v>557</v>
      </c>
      <c r="J12104" t="s">
        <v>700</v>
      </c>
      <c r="K12104" t="s">
        <v>104</v>
      </c>
      <c r="L12104" t="s">
        <v>136</v>
      </c>
      <c r="M12104" t="s">
        <v>99</v>
      </c>
      <c r="N12104" t="s">
        <v>99</v>
      </c>
      <c r="O12104" t="s">
        <v>99</v>
      </c>
      <c r="P12104" t="s">
        <v>679</v>
      </c>
      <c r="Q12104" t="s">
        <v>99</v>
      </c>
      <c r="R12104" t="s">
        <v>99</v>
      </c>
      <c r="S12104" t="s">
        <v>291</v>
      </c>
    </row>
    <row r="12105" spans="1:19" x14ac:dyDescent="0.3">
      <c r="A12105" t="s">
        <v>33</v>
      </c>
      <c r="B12105" t="s">
        <v>210</v>
      </c>
      <c r="C12105">
        <v>68</v>
      </c>
      <c r="D12105" t="s">
        <v>690</v>
      </c>
      <c r="E12105" t="s">
        <v>368</v>
      </c>
      <c r="F12105" t="s">
        <v>107</v>
      </c>
      <c r="G12105" t="s">
        <v>1704</v>
      </c>
      <c r="H12105" t="s">
        <v>716</v>
      </c>
      <c r="I12105" t="s">
        <v>1094</v>
      </c>
      <c r="J12105" t="s">
        <v>218</v>
      </c>
      <c r="K12105" t="s">
        <v>99</v>
      </c>
      <c r="L12105" t="s">
        <v>412</v>
      </c>
      <c r="M12105" t="s">
        <v>100</v>
      </c>
      <c r="N12105" t="s">
        <v>99</v>
      </c>
      <c r="O12105" t="s">
        <v>99</v>
      </c>
      <c r="P12105" t="s">
        <v>268</v>
      </c>
      <c r="Q12105" t="s">
        <v>99</v>
      </c>
      <c r="R12105" t="s">
        <v>99</v>
      </c>
      <c r="S12105" t="s">
        <v>663</v>
      </c>
    </row>
    <row r="12106" spans="1:19" x14ac:dyDescent="0.3">
      <c r="A12106" t="s">
        <v>33</v>
      </c>
      <c r="B12106" t="s">
        <v>212</v>
      </c>
      <c r="C12106">
        <v>1799</v>
      </c>
      <c r="D12106" t="s">
        <v>803</v>
      </c>
      <c r="E12106" t="s">
        <v>179</v>
      </c>
      <c r="F12106" t="s">
        <v>206</v>
      </c>
      <c r="G12106" t="s">
        <v>534</v>
      </c>
      <c r="H12106" t="s">
        <v>70</v>
      </c>
      <c r="I12106" t="s">
        <v>171</v>
      </c>
      <c r="J12106" t="s">
        <v>289</v>
      </c>
      <c r="K12106" t="s">
        <v>100</v>
      </c>
      <c r="L12106" t="s">
        <v>264</v>
      </c>
      <c r="M12106" t="s">
        <v>129</v>
      </c>
      <c r="N12106" t="s">
        <v>126</v>
      </c>
      <c r="O12106" t="s">
        <v>115</v>
      </c>
      <c r="P12106" t="s">
        <v>198</v>
      </c>
      <c r="Q12106" t="s">
        <v>99</v>
      </c>
      <c r="R12106" t="s">
        <v>99</v>
      </c>
      <c r="S12106" t="s">
        <v>508</v>
      </c>
    </row>
    <row r="12107" spans="1:19" x14ac:dyDescent="0.3">
      <c r="A12107" t="s">
        <v>33</v>
      </c>
      <c r="B12107" t="s">
        <v>216</v>
      </c>
      <c r="C12107">
        <v>69</v>
      </c>
      <c r="D12107" t="s">
        <v>716</v>
      </c>
      <c r="E12107" t="s">
        <v>152</v>
      </c>
      <c r="F12107" t="s">
        <v>268</v>
      </c>
      <c r="G12107" t="s">
        <v>503</v>
      </c>
      <c r="H12107" t="s">
        <v>142</v>
      </c>
      <c r="I12107" t="s">
        <v>58</v>
      </c>
      <c r="J12107" t="s">
        <v>214</v>
      </c>
      <c r="K12107" t="s">
        <v>319</v>
      </c>
      <c r="L12107" t="s">
        <v>291</v>
      </c>
      <c r="M12107" t="s">
        <v>103</v>
      </c>
      <c r="N12107" t="s">
        <v>382</v>
      </c>
      <c r="O12107" t="s">
        <v>99</v>
      </c>
      <c r="P12107" t="s">
        <v>382</v>
      </c>
      <c r="Q12107" t="s">
        <v>99</v>
      </c>
      <c r="R12107" t="s">
        <v>99</v>
      </c>
      <c r="S12107" t="s">
        <v>491</v>
      </c>
    </row>
    <row r="12108" spans="1:19" x14ac:dyDescent="0.3">
      <c r="A12108" t="s">
        <v>49</v>
      </c>
      <c r="B12108" t="s">
        <v>210</v>
      </c>
      <c r="C12108">
        <v>763</v>
      </c>
      <c r="D12108" t="s">
        <v>298</v>
      </c>
      <c r="E12108" t="s">
        <v>179</v>
      </c>
      <c r="F12108" t="s">
        <v>663</v>
      </c>
      <c r="G12108" t="s">
        <v>1386</v>
      </c>
      <c r="H12108" t="s">
        <v>726</v>
      </c>
      <c r="I12108" t="s">
        <v>662</v>
      </c>
      <c r="J12108" t="s">
        <v>406</v>
      </c>
      <c r="K12108" t="s">
        <v>253</v>
      </c>
      <c r="L12108" t="s">
        <v>268</v>
      </c>
      <c r="M12108" t="s">
        <v>108</v>
      </c>
      <c r="N12108" t="s">
        <v>207</v>
      </c>
      <c r="O12108" t="s">
        <v>114</v>
      </c>
      <c r="P12108" t="s">
        <v>292</v>
      </c>
      <c r="Q12108" t="s">
        <v>198</v>
      </c>
      <c r="R12108" t="s">
        <v>136</v>
      </c>
      <c r="S12108" t="s">
        <v>233</v>
      </c>
    </row>
    <row r="12109" spans="1:19" x14ac:dyDescent="0.3">
      <c r="A12109" t="s">
        <v>49</v>
      </c>
      <c r="B12109" t="s">
        <v>212</v>
      </c>
      <c r="C12109">
        <v>11298</v>
      </c>
      <c r="D12109" t="s">
        <v>723</v>
      </c>
      <c r="E12109" t="s">
        <v>206</v>
      </c>
      <c r="F12109" t="s">
        <v>222</v>
      </c>
      <c r="G12109" t="s">
        <v>924</v>
      </c>
      <c r="H12109" t="s">
        <v>470</v>
      </c>
      <c r="I12109" t="s">
        <v>38</v>
      </c>
      <c r="J12109" t="s">
        <v>716</v>
      </c>
      <c r="K12109" t="s">
        <v>115</v>
      </c>
      <c r="L12109" t="s">
        <v>74</v>
      </c>
      <c r="M12109" t="s">
        <v>117</v>
      </c>
      <c r="N12109" t="s">
        <v>126</v>
      </c>
      <c r="O12109" t="s">
        <v>108</v>
      </c>
      <c r="P12109" t="s">
        <v>100</v>
      </c>
      <c r="Q12109" t="s">
        <v>198</v>
      </c>
      <c r="R12109" t="s">
        <v>99</v>
      </c>
      <c r="S12109" t="s">
        <v>373</v>
      </c>
    </row>
    <row r="12110" spans="1:19" x14ac:dyDescent="0.3">
      <c r="A12110" t="s">
        <v>49</v>
      </c>
      <c r="B12110" t="s">
        <v>216</v>
      </c>
      <c r="C12110">
        <v>1254</v>
      </c>
      <c r="D12110" t="s">
        <v>672</v>
      </c>
      <c r="E12110" t="s">
        <v>262</v>
      </c>
      <c r="F12110" t="s">
        <v>182</v>
      </c>
      <c r="G12110" t="s">
        <v>597</v>
      </c>
      <c r="H12110" t="s">
        <v>542</v>
      </c>
      <c r="I12110" t="s">
        <v>580</v>
      </c>
      <c r="J12110" t="s">
        <v>177</v>
      </c>
      <c r="K12110" t="s">
        <v>207</v>
      </c>
      <c r="L12110" t="s">
        <v>107</v>
      </c>
      <c r="M12110" t="s">
        <v>253</v>
      </c>
      <c r="N12110" t="s">
        <v>114</v>
      </c>
      <c r="O12110" t="s">
        <v>136</v>
      </c>
      <c r="P12110" t="s">
        <v>130</v>
      </c>
      <c r="Q12110" t="s">
        <v>136</v>
      </c>
      <c r="R12110" t="s">
        <v>104</v>
      </c>
      <c r="S12110" t="s">
        <v>255</v>
      </c>
    </row>
    <row r="12112" spans="1:19" x14ac:dyDescent="0.3">
      <c r="A12112" t="s">
        <v>2759</v>
      </c>
    </row>
    <row r="12113" spans="1:19" x14ac:dyDescent="0.3">
      <c r="A12113" t="s">
        <v>44</v>
      </c>
      <c r="B12113" t="s">
        <v>388</v>
      </c>
      <c r="C12113" t="s">
        <v>32</v>
      </c>
      <c r="D12113" t="s">
        <v>2742</v>
      </c>
      <c r="E12113" t="s">
        <v>2743</v>
      </c>
      <c r="F12113" t="s">
        <v>2744</v>
      </c>
      <c r="G12113" t="s">
        <v>2745</v>
      </c>
      <c r="H12113" t="s">
        <v>2746</v>
      </c>
      <c r="I12113" t="s">
        <v>2747</v>
      </c>
      <c r="J12113" t="s">
        <v>2748</v>
      </c>
      <c r="K12113" t="s">
        <v>2749</v>
      </c>
      <c r="L12113" t="s">
        <v>2750</v>
      </c>
      <c r="M12113" t="s">
        <v>2751</v>
      </c>
      <c r="N12113" t="s">
        <v>2752</v>
      </c>
      <c r="O12113" t="s">
        <v>2753</v>
      </c>
      <c r="P12113" t="s">
        <v>2754</v>
      </c>
      <c r="Q12113" t="s">
        <v>2755</v>
      </c>
      <c r="R12113" t="s">
        <v>88</v>
      </c>
      <c r="S12113" t="s">
        <v>2756</v>
      </c>
    </row>
    <row r="12114" spans="1:19" x14ac:dyDescent="0.3">
      <c r="A12114" t="s">
        <v>35</v>
      </c>
      <c r="B12114" t="s">
        <v>389</v>
      </c>
      <c r="C12114">
        <v>2141</v>
      </c>
      <c r="D12114" t="s">
        <v>795</v>
      </c>
      <c r="E12114" t="s">
        <v>694</v>
      </c>
      <c r="F12114" t="s">
        <v>726</v>
      </c>
      <c r="G12114" t="s">
        <v>1415</v>
      </c>
      <c r="H12114" t="s">
        <v>167</v>
      </c>
      <c r="I12114" t="s">
        <v>540</v>
      </c>
      <c r="J12114" t="s">
        <v>746</v>
      </c>
      <c r="K12114" t="s">
        <v>253</v>
      </c>
      <c r="L12114" t="s">
        <v>138</v>
      </c>
      <c r="M12114" t="s">
        <v>101</v>
      </c>
      <c r="N12114" t="s">
        <v>132</v>
      </c>
      <c r="O12114" t="s">
        <v>115</v>
      </c>
      <c r="P12114" t="s">
        <v>147</v>
      </c>
      <c r="Q12114" t="s">
        <v>136</v>
      </c>
      <c r="R12114" t="s">
        <v>99</v>
      </c>
      <c r="S12114" t="s">
        <v>291</v>
      </c>
    </row>
    <row r="12115" spans="1:19" x14ac:dyDescent="0.3">
      <c r="A12115" t="s">
        <v>35</v>
      </c>
      <c r="B12115" t="s">
        <v>390</v>
      </c>
      <c r="C12115">
        <v>875</v>
      </c>
      <c r="D12115" t="s">
        <v>240</v>
      </c>
      <c r="E12115" t="s">
        <v>730</v>
      </c>
      <c r="F12115" t="s">
        <v>701</v>
      </c>
      <c r="G12115" t="s">
        <v>838</v>
      </c>
      <c r="H12115" t="s">
        <v>811</v>
      </c>
      <c r="I12115" t="s">
        <v>201</v>
      </c>
      <c r="J12115" t="s">
        <v>287</v>
      </c>
      <c r="K12115" t="s">
        <v>100</v>
      </c>
      <c r="L12115" t="s">
        <v>712</v>
      </c>
      <c r="M12115" t="s">
        <v>319</v>
      </c>
      <c r="N12115" t="s">
        <v>319</v>
      </c>
      <c r="O12115" t="s">
        <v>121</v>
      </c>
      <c r="P12115" t="s">
        <v>100</v>
      </c>
      <c r="Q12115" t="s">
        <v>136</v>
      </c>
      <c r="R12115" t="s">
        <v>104</v>
      </c>
      <c r="S12115" t="s">
        <v>738</v>
      </c>
    </row>
    <row r="12116" spans="1:19" x14ac:dyDescent="0.3">
      <c r="A12116" t="s">
        <v>35</v>
      </c>
      <c r="B12116" t="s">
        <v>365</v>
      </c>
      <c r="C12116">
        <v>129</v>
      </c>
      <c r="D12116" t="s">
        <v>673</v>
      </c>
      <c r="E12116" t="s">
        <v>722</v>
      </c>
      <c r="F12116" t="s">
        <v>675</v>
      </c>
      <c r="G12116" t="s">
        <v>1159</v>
      </c>
      <c r="H12116" t="s">
        <v>262</v>
      </c>
      <c r="I12116" t="s">
        <v>42</v>
      </c>
      <c r="J12116" t="s">
        <v>372</v>
      </c>
      <c r="K12116" t="s">
        <v>99</v>
      </c>
      <c r="L12116" t="s">
        <v>139</v>
      </c>
      <c r="M12116" t="s">
        <v>253</v>
      </c>
      <c r="N12116" t="s">
        <v>207</v>
      </c>
      <c r="O12116" t="s">
        <v>99</v>
      </c>
      <c r="P12116" t="s">
        <v>99</v>
      </c>
      <c r="Q12116" t="s">
        <v>99</v>
      </c>
      <c r="R12116" t="s">
        <v>99</v>
      </c>
      <c r="S12116" t="s">
        <v>264</v>
      </c>
    </row>
    <row r="12117" spans="1:19" x14ac:dyDescent="0.3">
      <c r="A12117" t="s">
        <v>37</v>
      </c>
      <c r="B12117" t="s">
        <v>389</v>
      </c>
      <c r="C12117">
        <v>2303</v>
      </c>
      <c r="D12117" t="s">
        <v>592</v>
      </c>
      <c r="E12117" t="s">
        <v>291</v>
      </c>
      <c r="F12117" t="s">
        <v>201</v>
      </c>
      <c r="G12117" t="s">
        <v>1068</v>
      </c>
      <c r="H12117" t="s">
        <v>248</v>
      </c>
      <c r="I12117" t="s">
        <v>167</v>
      </c>
      <c r="J12117" t="s">
        <v>677</v>
      </c>
      <c r="K12117" t="s">
        <v>115</v>
      </c>
      <c r="L12117" t="s">
        <v>663</v>
      </c>
      <c r="M12117" t="s">
        <v>157</v>
      </c>
      <c r="N12117" t="s">
        <v>151</v>
      </c>
      <c r="O12117" t="s">
        <v>253</v>
      </c>
      <c r="P12117" t="s">
        <v>253</v>
      </c>
      <c r="Q12117" t="s">
        <v>104</v>
      </c>
      <c r="R12117" t="s">
        <v>104</v>
      </c>
      <c r="S12117" t="s">
        <v>798</v>
      </c>
    </row>
    <row r="12118" spans="1:19" x14ac:dyDescent="0.3">
      <c r="A12118" t="s">
        <v>37</v>
      </c>
      <c r="B12118" t="s">
        <v>390</v>
      </c>
      <c r="C12118">
        <v>1308</v>
      </c>
      <c r="D12118" t="s">
        <v>666</v>
      </c>
      <c r="E12118" t="s">
        <v>206</v>
      </c>
      <c r="F12118" t="s">
        <v>700</v>
      </c>
      <c r="G12118" t="s">
        <v>723</v>
      </c>
      <c r="H12118" t="s">
        <v>135</v>
      </c>
      <c r="I12118" t="s">
        <v>291</v>
      </c>
      <c r="J12118" t="s">
        <v>311</v>
      </c>
      <c r="K12118" t="s">
        <v>136</v>
      </c>
      <c r="L12118" t="s">
        <v>468</v>
      </c>
      <c r="M12118" t="s">
        <v>117</v>
      </c>
      <c r="N12118" t="s">
        <v>123</v>
      </c>
      <c r="O12118" t="s">
        <v>115</v>
      </c>
      <c r="P12118" t="s">
        <v>136</v>
      </c>
      <c r="Q12118" t="s">
        <v>104</v>
      </c>
      <c r="R12118" t="s">
        <v>99</v>
      </c>
      <c r="S12118" t="s">
        <v>301</v>
      </c>
    </row>
    <row r="12119" spans="1:19" x14ac:dyDescent="0.3">
      <c r="A12119" t="s">
        <v>37</v>
      </c>
      <c r="B12119" t="s">
        <v>365</v>
      </c>
      <c r="C12119">
        <v>241</v>
      </c>
      <c r="D12119" t="s">
        <v>604</v>
      </c>
      <c r="E12119" t="s">
        <v>379</v>
      </c>
      <c r="F12119" t="s">
        <v>251</v>
      </c>
      <c r="G12119" t="s">
        <v>662</v>
      </c>
      <c r="H12119" t="s">
        <v>468</v>
      </c>
      <c r="I12119" t="s">
        <v>738</v>
      </c>
      <c r="J12119" t="s">
        <v>218</v>
      </c>
      <c r="K12119" t="s">
        <v>141</v>
      </c>
      <c r="L12119" t="s">
        <v>382</v>
      </c>
      <c r="M12119" t="s">
        <v>198</v>
      </c>
      <c r="N12119" t="s">
        <v>99</v>
      </c>
      <c r="O12119" t="s">
        <v>99</v>
      </c>
      <c r="P12119" t="s">
        <v>111</v>
      </c>
      <c r="Q12119" t="s">
        <v>99</v>
      </c>
      <c r="R12119" t="s">
        <v>99</v>
      </c>
      <c r="S12119" t="s">
        <v>321</v>
      </c>
    </row>
    <row r="12120" spans="1:19" x14ac:dyDescent="0.3">
      <c r="A12120" t="s">
        <v>36</v>
      </c>
      <c r="B12120" t="s">
        <v>389</v>
      </c>
      <c r="C12120">
        <v>1576</v>
      </c>
      <c r="D12120" t="s">
        <v>298</v>
      </c>
      <c r="E12120" t="s">
        <v>113</v>
      </c>
      <c r="F12120" t="s">
        <v>254</v>
      </c>
      <c r="G12120" t="s">
        <v>619</v>
      </c>
      <c r="H12120" t="s">
        <v>313</v>
      </c>
      <c r="I12120" t="s">
        <v>592</v>
      </c>
      <c r="J12120" t="s">
        <v>113</v>
      </c>
      <c r="K12120" t="s">
        <v>207</v>
      </c>
      <c r="L12120" t="s">
        <v>292</v>
      </c>
      <c r="M12120" t="s">
        <v>268</v>
      </c>
      <c r="N12120" t="s">
        <v>316</v>
      </c>
      <c r="O12120" t="s">
        <v>316</v>
      </c>
      <c r="P12120" t="s">
        <v>100</v>
      </c>
      <c r="Q12120" t="s">
        <v>104</v>
      </c>
      <c r="R12120" t="s">
        <v>198</v>
      </c>
      <c r="S12120" t="s">
        <v>177</v>
      </c>
    </row>
    <row r="12121" spans="1:19" x14ac:dyDescent="0.3">
      <c r="A12121" t="s">
        <v>36</v>
      </c>
      <c r="B12121" t="s">
        <v>390</v>
      </c>
      <c r="C12121">
        <v>627</v>
      </c>
      <c r="D12121" t="s">
        <v>1057</v>
      </c>
      <c r="E12121" t="s">
        <v>675</v>
      </c>
      <c r="F12121" t="s">
        <v>328</v>
      </c>
      <c r="G12121" t="s">
        <v>801</v>
      </c>
      <c r="H12121" t="s">
        <v>721</v>
      </c>
      <c r="I12121" t="s">
        <v>692</v>
      </c>
      <c r="J12121" t="s">
        <v>242</v>
      </c>
      <c r="K12121" t="s">
        <v>101</v>
      </c>
      <c r="L12121" t="s">
        <v>215</v>
      </c>
      <c r="M12121" t="s">
        <v>712</v>
      </c>
      <c r="N12121" t="s">
        <v>134</v>
      </c>
      <c r="O12121" t="s">
        <v>68</v>
      </c>
      <c r="P12121" t="s">
        <v>268</v>
      </c>
      <c r="Q12121" t="s">
        <v>151</v>
      </c>
      <c r="R12121" t="s">
        <v>99</v>
      </c>
      <c r="S12121" t="s">
        <v>933</v>
      </c>
    </row>
    <row r="12122" spans="1:19" x14ac:dyDescent="0.3">
      <c r="A12122" t="s">
        <v>36</v>
      </c>
      <c r="B12122" t="s">
        <v>365</v>
      </c>
      <c r="C12122">
        <v>100</v>
      </c>
      <c r="D12122" t="s">
        <v>713</v>
      </c>
      <c r="E12122" t="s">
        <v>408</v>
      </c>
      <c r="F12122" t="s">
        <v>416</v>
      </c>
      <c r="G12122" t="s">
        <v>636</v>
      </c>
      <c r="H12122" t="s">
        <v>152</v>
      </c>
      <c r="I12122" t="s">
        <v>1185</v>
      </c>
      <c r="J12122" t="s">
        <v>70</v>
      </c>
      <c r="K12122" t="s">
        <v>198</v>
      </c>
      <c r="L12122" t="s">
        <v>130</v>
      </c>
      <c r="M12122" t="s">
        <v>99</v>
      </c>
      <c r="N12122" t="s">
        <v>110</v>
      </c>
      <c r="O12122" t="s">
        <v>474</v>
      </c>
      <c r="P12122" t="s">
        <v>110</v>
      </c>
      <c r="Q12122" t="s">
        <v>99</v>
      </c>
      <c r="R12122" t="s">
        <v>99</v>
      </c>
      <c r="S12122" t="s">
        <v>715</v>
      </c>
    </row>
    <row r="12123" spans="1:19" x14ac:dyDescent="0.3">
      <c r="A12123" t="s">
        <v>34</v>
      </c>
      <c r="B12123" t="s">
        <v>389</v>
      </c>
      <c r="C12123">
        <v>1384</v>
      </c>
      <c r="D12123" t="s">
        <v>197</v>
      </c>
      <c r="E12123" t="s">
        <v>679</v>
      </c>
      <c r="F12123" t="s">
        <v>468</v>
      </c>
      <c r="G12123" t="s">
        <v>591</v>
      </c>
      <c r="H12123" t="s">
        <v>746</v>
      </c>
      <c r="I12123" t="s">
        <v>741</v>
      </c>
      <c r="J12123" t="s">
        <v>416</v>
      </c>
      <c r="K12123" t="s">
        <v>253</v>
      </c>
      <c r="L12123" t="s">
        <v>126</v>
      </c>
      <c r="M12123" t="s">
        <v>136</v>
      </c>
      <c r="N12123" t="s">
        <v>104</v>
      </c>
      <c r="O12123" t="s">
        <v>99</v>
      </c>
      <c r="P12123" t="s">
        <v>103</v>
      </c>
      <c r="Q12123" t="s">
        <v>99</v>
      </c>
      <c r="R12123" t="s">
        <v>207</v>
      </c>
      <c r="S12123" t="s">
        <v>798</v>
      </c>
    </row>
    <row r="12124" spans="1:19" x14ac:dyDescent="0.3">
      <c r="A12124" t="s">
        <v>34</v>
      </c>
      <c r="B12124" t="s">
        <v>390</v>
      </c>
      <c r="C12124">
        <v>615</v>
      </c>
      <c r="D12124" t="s">
        <v>811</v>
      </c>
      <c r="E12124" t="s">
        <v>325</v>
      </c>
      <c r="F12124" t="s">
        <v>149</v>
      </c>
      <c r="G12124" t="s">
        <v>580</v>
      </c>
      <c r="H12124" t="s">
        <v>70</v>
      </c>
      <c r="I12124" t="s">
        <v>802</v>
      </c>
      <c r="J12124" t="s">
        <v>163</v>
      </c>
      <c r="K12124" t="s">
        <v>207</v>
      </c>
      <c r="L12124" t="s">
        <v>155</v>
      </c>
      <c r="M12124" t="s">
        <v>253</v>
      </c>
      <c r="N12124" t="s">
        <v>207</v>
      </c>
      <c r="O12124" t="s">
        <v>141</v>
      </c>
      <c r="P12124" t="s">
        <v>155</v>
      </c>
      <c r="Q12124" t="s">
        <v>132</v>
      </c>
      <c r="R12124" t="s">
        <v>99</v>
      </c>
      <c r="S12124" t="s">
        <v>894</v>
      </c>
    </row>
    <row r="12125" spans="1:19" x14ac:dyDescent="0.3">
      <c r="A12125" t="s">
        <v>34</v>
      </c>
      <c r="B12125" t="s">
        <v>365</v>
      </c>
      <c r="C12125">
        <v>80</v>
      </c>
      <c r="D12125" t="s">
        <v>491</v>
      </c>
      <c r="E12125" t="s">
        <v>474</v>
      </c>
      <c r="F12125" t="s">
        <v>151</v>
      </c>
      <c r="G12125" t="s">
        <v>1123</v>
      </c>
      <c r="H12125" t="s">
        <v>379</v>
      </c>
      <c r="I12125" t="s">
        <v>897</v>
      </c>
      <c r="J12125" t="s">
        <v>959</v>
      </c>
      <c r="K12125" t="s">
        <v>99</v>
      </c>
      <c r="L12125" t="s">
        <v>412</v>
      </c>
      <c r="M12125" t="s">
        <v>99</v>
      </c>
      <c r="N12125" t="s">
        <v>99</v>
      </c>
      <c r="O12125" t="s">
        <v>151</v>
      </c>
      <c r="P12125" t="s">
        <v>105</v>
      </c>
      <c r="Q12125" t="s">
        <v>132</v>
      </c>
      <c r="R12125" t="s">
        <v>99</v>
      </c>
      <c r="S12125" t="s">
        <v>680</v>
      </c>
    </row>
    <row r="12126" spans="1:19" x14ac:dyDescent="0.3">
      <c r="A12126" t="s">
        <v>33</v>
      </c>
      <c r="B12126" t="s">
        <v>389</v>
      </c>
      <c r="C12126">
        <v>1089</v>
      </c>
      <c r="D12126" t="s">
        <v>485</v>
      </c>
      <c r="E12126" t="s">
        <v>408</v>
      </c>
      <c r="F12126" t="s">
        <v>379</v>
      </c>
      <c r="G12126" t="s">
        <v>834</v>
      </c>
      <c r="H12126" t="s">
        <v>671</v>
      </c>
      <c r="I12126" t="s">
        <v>355</v>
      </c>
      <c r="J12126" t="s">
        <v>179</v>
      </c>
      <c r="K12126" t="s">
        <v>253</v>
      </c>
      <c r="L12126" t="s">
        <v>368</v>
      </c>
      <c r="M12126" t="s">
        <v>316</v>
      </c>
      <c r="N12126" t="s">
        <v>319</v>
      </c>
      <c r="O12126" t="s">
        <v>207</v>
      </c>
      <c r="P12126" t="s">
        <v>136</v>
      </c>
      <c r="Q12126" t="s">
        <v>99</v>
      </c>
      <c r="R12126" t="s">
        <v>99</v>
      </c>
      <c r="S12126" t="s">
        <v>739</v>
      </c>
    </row>
    <row r="12127" spans="1:19" x14ac:dyDescent="0.3">
      <c r="A12127" t="s">
        <v>33</v>
      </c>
      <c r="B12127" t="s">
        <v>390</v>
      </c>
      <c r="C12127">
        <v>708</v>
      </c>
      <c r="D12127" t="s">
        <v>842</v>
      </c>
      <c r="E12127" t="s">
        <v>313</v>
      </c>
      <c r="F12127" t="s">
        <v>291</v>
      </c>
      <c r="G12127" t="s">
        <v>442</v>
      </c>
      <c r="H12127" t="s">
        <v>135</v>
      </c>
      <c r="I12127" t="s">
        <v>262</v>
      </c>
      <c r="J12127" t="s">
        <v>708</v>
      </c>
      <c r="K12127" t="s">
        <v>121</v>
      </c>
      <c r="L12127" t="s">
        <v>201</v>
      </c>
      <c r="M12127" t="s">
        <v>98</v>
      </c>
      <c r="N12127" t="s">
        <v>126</v>
      </c>
      <c r="O12127" t="s">
        <v>132</v>
      </c>
      <c r="P12127" t="s">
        <v>104</v>
      </c>
      <c r="Q12127" t="s">
        <v>104</v>
      </c>
      <c r="R12127" t="s">
        <v>99</v>
      </c>
      <c r="S12127" t="s">
        <v>276</v>
      </c>
    </row>
    <row r="12128" spans="1:19" x14ac:dyDescent="0.3">
      <c r="A12128" t="s">
        <v>33</v>
      </c>
      <c r="B12128" t="s">
        <v>365</v>
      </c>
      <c r="C12128">
        <v>139</v>
      </c>
      <c r="D12128" t="s">
        <v>157</v>
      </c>
      <c r="E12128" t="s">
        <v>491</v>
      </c>
      <c r="F12128" t="s">
        <v>131</v>
      </c>
      <c r="G12128" t="s">
        <v>165</v>
      </c>
      <c r="H12128" t="s">
        <v>151</v>
      </c>
      <c r="I12128" t="s">
        <v>296</v>
      </c>
      <c r="J12128" t="s">
        <v>523</v>
      </c>
      <c r="K12128" t="s">
        <v>474</v>
      </c>
      <c r="L12128" t="s">
        <v>726</v>
      </c>
      <c r="M12128" t="s">
        <v>242</v>
      </c>
      <c r="N12128" t="s">
        <v>319</v>
      </c>
      <c r="O12128" t="s">
        <v>215</v>
      </c>
      <c r="P12128" t="s">
        <v>108</v>
      </c>
      <c r="Q12128" t="s">
        <v>99</v>
      </c>
      <c r="R12128" t="s">
        <v>99</v>
      </c>
      <c r="S12128" t="s">
        <v>717</v>
      </c>
    </row>
    <row r="12129" spans="1:19" x14ac:dyDescent="0.3">
      <c r="A12129" t="s">
        <v>49</v>
      </c>
      <c r="B12129" t="s">
        <v>389</v>
      </c>
      <c r="C12129">
        <v>8493</v>
      </c>
      <c r="D12129" t="s">
        <v>1167</v>
      </c>
      <c r="E12129" t="s">
        <v>416</v>
      </c>
      <c r="F12129" t="s">
        <v>408</v>
      </c>
      <c r="G12129" t="s">
        <v>913</v>
      </c>
      <c r="H12129" t="s">
        <v>710</v>
      </c>
      <c r="I12129" t="s">
        <v>131</v>
      </c>
      <c r="J12129" t="s">
        <v>206</v>
      </c>
      <c r="K12129" t="s">
        <v>253</v>
      </c>
      <c r="L12129" t="s">
        <v>277</v>
      </c>
      <c r="M12129" t="s">
        <v>123</v>
      </c>
      <c r="N12129" t="s">
        <v>121</v>
      </c>
      <c r="O12129" t="s">
        <v>115</v>
      </c>
      <c r="P12129" t="s">
        <v>215</v>
      </c>
      <c r="Q12129" t="s">
        <v>198</v>
      </c>
      <c r="R12129" t="s">
        <v>104</v>
      </c>
      <c r="S12129" t="s">
        <v>76</v>
      </c>
    </row>
    <row r="12130" spans="1:19" x14ac:dyDescent="0.3">
      <c r="A12130" t="s">
        <v>49</v>
      </c>
      <c r="B12130" t="s">
        <v>390</v>
      </c>
      <c r="C12130">
        <v>4133</v>
      </c>
      <c r="D12130" t="s">
        <v>54</v>
      </c>
      <c r="E12130" t="s">
        <v>218</v>
      </c>
      <c r="F12130" t="s">
        <v>737</v>
      </c>
      <c r="G12130" t="s">
        <v>485</v>
      </c>
      <c r="H12130" t="s">
        <v>251</v>
      </c>
      <c r="I12130" t="s">
        <v>726</v>
      </c>
      <c r="J12130" t="s">
        <v>287</v>
      </c>
      <c r="K12130" t="s">
        <v>132</v>
      </c>
      <c r="L12130" t="s">
        <v>145</v>
      </c>
      <c r="M12130" t="s">
        <v>103</v>
      </c>
      <c r="N12130" t="s">
        <v>382</v>
      </c>
      <c r="O12130" t="s">
        <v>100</v>
      </c>
      <c r="P12130" t="s">
        <v>121</v>
      </c>
      <c r="Q12130" t="s">
        <v>141</v>
      </c>
      <c r="R12130" t="s">
        <v>99</v>
      </c>
      <c r="S12130" t="s">
        <v>802</v>
      </c>
    </row>
    <row r="12131" spans="1:19" x14ac:dyDescent="0.3">
      <c r="A12131" t="s">
        <v>49</v>
      </c>
      <c r="B12131" t="s">
        <v>365</v>
      </c>
      <c r="C12131">
        <v>689</v>
      </c>
      <c r="D12131" t="s">
        <v>959</v>
      </c>
      <c r="E12131" t="s">
        <v>163</v>
      </c>
      <c r="F12131" t="s">
        <v>233</v>
      </c>
      <c r="G12131" t="s">
        <v>650</v>
      </c>
      <c r="H12131" t="s">
        <v>135</v>
      </c>
      <c r="I12131" t="s">
        <v>670</v>
      </c>
      <c r="J12131" t="s">
        <v>38</v>
      </c>
      <c r="K12131" t="s">
        <v>114</v>
      </c>
      <c r="L12131" t="s">
        <v>124</v>
      </c>
      <c r="M12131" t="s">
        <v>121</v>
      </c>
      <c r="N12131" t="s">
        <v>132</v>
      </c>
      <c r="O12131" t="s">
        <v>100</v>
      </c>
      <c r="P12131" t="s">
        <v>127</v>
      </c>
      <c r="Q12131" t="s">
        <v>104</v>
      </c>
      <c r="R12131" t="s">
        <v>99</v>
      </c>
      <c r="S12131" t="s">
        <v>678</v>
      </c>
    </row>
    <row r="12133" spans="1:19" x14ac:dyDescent="0.3">
      <c r="A12133" t="s">
        <v>2760</v>
      </c>
    </row>
    <row r="12134" spans="1:19" x14ac:dyDescent="0.3">
      <c r="A12134" t="s">
        <v>44</v>
      </c>
      <c r="B12134" t="s">
        <v>235</v>
      </c>
      <c r="C12134" t="s">
        <v>32</v>
      </c>
      <c r="D12134" t="s">
        <v>2742</v>
      </c>
      <c r="E12134" t="s">
        <v>2743</v>
      </c>
      <c r="F12134" t="s">
        <v>2744</v>
      </c>
      <c r="G12134" t="s">
        <v>2745</v>
      </c>
      <c r="H12134" t="s">
        <v>2746</v>
      </c>
      <c r="I12134" t="s">
        <v>2747</v>
      </c>
      <c r="J12134" t="s">
        <v>2748</v>
      </c>
      <c r="K12134" t="s">
        <v>2749</v>
      </c>
      <c r="L12134" t="s">
        <v>2750</v>
      </c>
      <c r="M12134" t="s">
        <v>2751</v>
      </c>
      <c r="N12134" t="s">
        <v>2752</v>
      </c>
      <c r="O12134" t="s">
        <v>2753</v>
      </c>
      <c r="P12134" t="s">
        <v>2754</v>
      </c>
      <c r="Q12134" t="s">
        <v>2755</v>
      </c>
      <c r="R12134" t="s">
        <v>88</v>
      </c>
      <c r="S12134" t="s">
        <v>2756</v>
      </c>
    </row>
    <row r="12135" spans="1:19" x14ac:dyDescent="0.3">
      <c r="A12135" t="s">
        <v>35</v>
      </c>
      <c r="B12135" t="s">
        <v>236</v>
      </c>
      <c r="C12135">
        <v>1610</v>
      </c>
      <c r="D12135" t="s">
        <v>456</v>
      </c>
      <c r="E12135" t="s">
        <v>70</v>
      </c>
      <c r="F12135" t="s">
        <v>748</v>
      </c>
      <c r="G12135" t="s">
        <v>843</v>
      </c>
      <c r="H12135" t="s">
        <v>244</v>
      </c>
      <c r="I12135" t="s">
        <v>177</v>
      </c>
      <c r="J12135" t="s">
        <v>721</v>
      </c>
      <c r="K12135" t="s">
        <v>101</v>
      </c>
      <c r="L12135" t="s">
        <v>277</v>
      </c>
      <c r="M12135" t="s">
        <v>111</v>
      </c>
      <c r="N12135" t="s">
        <v>123</v>
      </c>
      <c r="O12135" t="s">
        <v>382</v>
      </c>
      <c r="P12135" t="s">
        <v>114</v>
      </c>
      <c r="Q12135" t="s">
        <v>115</v>
      </c>
      <c r="R12135" t="s">
        <v>104</v>
      </c>
      <c r="S12135" t="s">
        <v>294</v>
      </c>
    </row>
    <row r="12136" spans="1:19" x14ac:dyDescent="0.3">
      <c r="A12136" t="s">
        <v>35</v>
      </c>
      <c r="B12136" t="s">
        <v>238</v>
      </c>
      <c r="C12136">
        <v>1535</v>
      </c>
      <c r="D12136" t="s">
        <v>1053</v>
      </c>
      <c r="E12136" t="s">
        <v>683</v>
      </c>
      <c r="F12136" t="s">
        <v>710</v>
      </c>
      <c r="G12136" t="s">
        <v>932</v>
      </c>
      <c r="H12136" t="s">
        <v>676</v>
      </c>
      <c r="I12136" t="s">
        <v>488</v>
      </c>
      <c r="J12136" t="s">
        <v>737</v>
      </c>
      <c r="K12136" t="s">
        <v>136</v>
      </c>
      <c r="L12136" t="s">
        <v>107</v>
      </c>
      <c r="M12136" t="s">
        <v>108</v>
      </c>
      <c r="N12136" t="s">
        <v>253</v>
      </c>
      <c r="O12136" t="s">
        <v>141</v>
      </c>
      <c r="P12136" t="s">
        <v>147</v>
      </c>
      <c r="Q12136" t="s">
        <v>207</v>
      </c>
      <c r="R12136" t="s">
        <v>99</v>
      </c>
      <c r="S12136" t="s">
        <v>814</v>
      </c>
    </row>
    <row r="12137" spans="1:19" x14ac:dyDescent="0.3">
      <c r="A12137" t="s">
        <v>37</v>
      </c>
      <c r="B12137" t="s">
        <v>236</v>
      </c>
      <c r="C12137">
        <v>2210</v>
      </c>
      <c r="D12137" t="s">
        <v>829</v>
      </c>
      <c r="E12137" t="s">
        <v>142</v>
      </c>
      <c r="F12137" t="s">
        <v>432</v>
      </c>
      <c r="G12137" t="s">
        <v>1214</v>
      </c>
      <c r="H12137" t="s">
        <v>679</v>
      </c>
      <c r="I12137" t="s">
        <v>710</v>
      </c>
      <c r="J12137" t="s">
        <v>296</v>
      </c>
      <c r="K12137" t="s">
        <v>132</v>
      </c>
      <c r="L12137" t="s">
        <v>98</v>
      </c>
      <c r="M12137" t="s">
        <v>128</v>
      </c>
      <c r="N12137" t="s">
        <v>382</v>
      </c>
      <c r="O12137" t="s">
        <v>136</v>
      </c>
      <c r="P12137" t="s">
        <v>198</v>
      </c>
      <c r="Q12137" t="s">
        <v>104</v>
      </c>
      <c r="R12137" t="s">
        <v>104</v>
      </c>
      <c r="S12137" t="s">
        <v>701</v>
      </c>
    </row>
    <row r="12138" spans="1:19" x14ac:dyDescent="0.3">
      <c r="A12138" t="s">
        <v>37</v>
      </c>
      <c r="B12138" t="s">
        <v>238</v>
      </c>
      <c r="C12138">
        <v>1642</v>
      </c>
      <c r="D12138" t="s">
        <v>1157</v>
      </c>
      <c r="E12138" t="s">
        <v>76</v>
      </c>
      <c r="F12138" t="s">
        <v>315</v>
      </c>
      <c r="G12138" t="s">
        <v>64</v>
      </c>
      <c r="H12138" t="s">
        <v>152</v>
      </c>
      <c r="I12138" t="s">
        <v>691</v>
      </c>
      <c r="J12138" t="s">
        <v>700</v>
      </c>
      <c r="K12138" t="s">
        <v>207</v>
      </c>
      <c r="L12138" t="s">
        <v>663</v>
      </c>
      <c r="M12138" t="s">
        <v>128</v>
      </c>
      <c r="N12138" t="s">
        <v>292</v>
      </c>
      <c r="O12138" t="s">
        <v>132</v>
      </c>
      <c r="P12138" t="s">
        <v>121</v>
      </c>
      <c r="Q12138" t="s">
        <v>104</v>
      </c>
      <c r="R12138" t="s">
        <v>104</v>
      </c>
      <c r="S12138" t="s">
        <v>689</v>
      </c>
    </row>
    <row r="12139" spans="1:19" x14ac:dyDescent="0.3">
      <c r="A12139" t="s">
        <v>36</v>
      </c>
      <c r="B12139" t="s">
        <v>236</v>
      </c>
      <c r="C12139">
        <v>1564</v>
      </c>
      <c r="D12139" t="s">
        <v>833</v>
      </c>
      <c r="E12139" t="s">
        <v>152</v>
      </c>
      <c r="F12139" t="s">
        <v>251</v>
      </c>
      <c r="G12139" t="s">
        <v>607</v>
      </c>
      <c r="H12139" t="s">
        <v>714</v>
      </c>
      <c r="I12139" t="s">
        <v>1105</v>
      </c>
      <c r="J12139" t="s">
        <v>242</v>
      </c>
      <c r="K12139" t="s">
        <v>141</v>
      </c>
      <c r="L12139" t="s">
        <v>108</v>
      </c>
      <c r="M12139" t="s">
        <v>319</v>
      </c>
      <c r="N12139" t="s">
        <v>117</v>
      </c>
      <c r="O12139" t="s">
        <v>120</v>
      </c>
      <c r="P12139" t="s">
        <v>141</v>
      </c>
      <c r="Q12139" t="s">
        <v>104</v>
      </c>
      <c r="R12139" t="s">
        <v>104</v>
      </c>
      <c r="S12139" t="s">
        <v>406</v>
      </c>
    </row>
    <row r="12140" spans="1:19" x14ac:dyDescent="0.3">
      <c r="A12140" t="s">
        <v>36</v>
      </c>
      <c r="B12140" t="s">
        <v>238</v>
      </c>
      <c r="C12140">
        <v>739</v>
      </c>
      <c r="D12140" t="s">
        <v>933</v>
      </c>
      <c r="E12140" t="s">
        <v>296</v>
      </c>
      <c r="F12140" t="s">
        <v>129</v>
      </c>
      <c r="G12140" t="s">
        <v>952</v>
      </c>
      <c r="H12140" t="s">
        <v>171</v>
      </c>
      <c r="I12140" t="s">
        <v>836</v>
      </c>
      <c r="J12140" t="s">
        <v>671</v>
      </c>
      <c r="K12140" t="s">
        <v>141</v>
      </c>
      <c r="L12140" t="s">
        <v>157</v>
      </c>
      <c r="M12140" t="s">
        <v>154</v>
      </c>
      <c r="N12140" t="s">
        <v>155</v>
      </c>
      <c r="O12140" t="s">
        <v>134</v>
      </c>
      <c r="P12140" t="s">
        <v>117</v>
      </c>
      <c r="Q12140" t="s">
        <v>108</v>
      </c>
      <c r="R12140" t="s">
        <v>104</v>
      </c>
      <c r="S12140" t="s">
        <v>734</v>
      </c>
    </row>
    <row r="12141" spans="1:19" x14ac:dyDescent="0.3">
      <c r="A12141" t="s">
        <v>34</v>
      </c>
      <c r="B12141" t="s">
        <v>236</v>
      </c>
      <c r="C12141">
        <v>716</v>
      </c>
      <c r="D12141" t="s">
        <v>131</v>
      </c>
      <c r="E12141" t="s">
        <v>277</v>
      </c>
      <c r="F12141" t="s">
        <v>664</v>
      </c>
      <c r="G12141" t="s">
        <v>591</v>
      </c>
      <c r="H12141" t="s">
        <v>251</v>
      </c>
      <c r="I12141" t="s">
        <v>303</v>
      </c>
      <c r="J12141" t="s">
        <v>369</v>
      </c>
      <c r="K12141" t="s">
        <v>99</v>
      </c>
      <c r="L12141" t="s">
        <v>382</v>
      </c>
      <c r="M12141" t="s">
        <v>115</v>
      </c>
      <c r="N12141" t="s">
        <v>99</v>
      </c>
      <c r="O12141" t="s">
        <v>207</v>
      </c>
      <c r="P12141" t="s">
        <v>111</v>
      </c>
      <c r="Q12141" t="s">
        <v>141</v>
      </c>
      <c r="R12141" t="s">
        <v>99</v>
      </c>
      <c r="S12141" t="s">
        <v>694</v>
      </c>
    </row>
    <row r="12142" spans="1:19" x14ac:dyDescent="0.3">
      <c r="A12142" t="s">
        <v>34</v>
      </c>
      <c r="B12142" t="s">
        <v>238</v>
      </c>
      <c r="C12142">
        <v>1363</v>
      </c>
      <c r="D12142" t="s">
        <v>478</v>
      </c>
      <c r="E12142" t="s">
        <v>70</v>
      </c>
      <c r="F12142" t="s">
        <v>712</v>
      </c>
      <c r="G12142" t="s">
        <v>527</v>
      </c>
      <c r="H12142" t="s">
        <v>680</v>
      </c>
      <c r="I12142" t="s">
        <v>529</v>
      </c>
      <c r="J12142" t="s">
        <v>218</v>
      </c>
      <c r="K12142" t="s">
        <v>115</v>
      </c>
      <c r="L12142" t="s">
        <v>103</v>
      </c>
      <c r="M12142" t="s">
        <v>136</v>
      </c>
      <c r="N12142" t="s">
        <v>198</v>
      </c>
      <c r="O12142" t="s">
        <v>198</v>
      </c>
      <c r="P12142" t="s">
        <v>157</v>
      </c>
      <c r="Q12142" t="s">
        <v>198</v>
      </c>
      <c r="R12142" t="s">
        <v>207</v>
      </c>
      <c r="S12142" t="s">
        <v>478</v>
      </c>
    </row>
    <row r="12143" spans="1:19" x14ac:dyDescent="0.3">
      <c r="A12143" t="s">
        <v>33</v>
      </c>
      <c r="B12143" t="s">
        <v>236</v>
      </c>
      <c r="C12143">
        <v>1115</v>
      </c>
      <c r="D12143" t="s">
        <v>699</v>
      </c>
      <c r="E12143" t="s">
        <v>716</v>
      </c>
      <c r="F12143" t="s">
        <v>373</v>
      </c>
      <c r="G12143" t="s">
        <v>488</v>
      </c>
      <c r="H12143" t="s">
        <v>675</v>
      </c>
      <c r="I12143" t="s">
        <v>401</v>
      </c>
      <c r="J12143" t="s">
        <v>142</v>
      </c>
      <c r="K12143" t="s">
        <v>121</v>
      </c>
      <c r="L12143" t="s">
        <v>685</v>
      </c>
      <c r="M12143" t="s">
        <v>130</v>
      </c>
      <c r="N12143" t="s">
        <v>115</v>
      </c>
      <c r="O12143" t="s">
        <v>141</v>
      </c>
      <c r="P12143" t="s">
        <v>104</v>
      </c>
      <c r="Q12143" t="s">
        <v>104</v>
      </c>
      <c r="R12143" t="s">
        <v>99</v>
      </c>
      <c r="S12143" t="s">
        <v>432</v>
      </c>
    </row>
    <row r="12144" spans="1:19" x14ac:dyDescent="0.3">
      <c r="A12144" t="s">
        <v>33</v>
      </c>
      <c r="B12144" t="s">
        <v>238</v>
      </c>
      <c r="C12144">
        <v>821</v>
      </c>
      <c r="D12144" t="s">
        <v>727</v>
      </c>
      <c r="E12144" t="s">
        <v>218</v>
      </c>
      <c r="F12144" t="s">
        <v>684</v>
      </c>
      <c r="G12144" t="s">
        <v>276</v>
      </c>
      <c r="H12144" t="s">
        <v>671</v>
      </c>
      <c r="I12144" t="s">
        <v>186</v>
      </c>
      <c r="J12144" t="s">
        <v>38</v>
      </c>
      <c r="K12144" t="s">
        <v>114</v>
      </c>
      <c r="L12144" t="s">
        <v>321</v>
      </c>
      <c r="M12144" t="s">
        <v>332</v>
      </c>
      <c r="N12144" t="s">
        <v>111</v>
      </c>
      <c r="O12144" t="s">
        <v>115</v>
      </c>
      <c r="P12144" t="s">
        <v>253</v>
      </c>
      <c r="Q12144" t="s">
        <v>99</v>
      </c>
      <c r="R12144" t="s">
        <v>99</v>
      </c>
      <c r="S12144" t="s">
        <v>670</v>
      </c>
    </row>
    <row r="12145" spans="1:19" x14ac:dyDescent="0.3">
      <c r="A12145" t="s">
        <v>49</v>
      </c>
      <c r="B12145" t="s">
        <v>236</v>
      </c>
      <c r="C12145">
        <v>7215</v>
      </c>
      <c r="D12145" t="s">
        <v>736</v>
      </c>
      <c r="E12145" t="s">
        <v>420</v>
      </c>
      <c r="F12145" t="s">
        <v>406</v>
      </c>
      <c r="G12145" t="s">
        <v>1214</v>
      </c>
      <c r="H12145" t="s">
        <v>133</v>
      </c>
      <c r="I12145" t="s">
        <v>726</v>
      </c>
      <c r="J12145" t="s">
        <v>220</v>
      </c>
      <c r="K12145" t="s">
        <v>108</v>
      </c>
      <c r="L12145" t="s">
        <v>144</v>
      </c>
      <c r="M12145" t="s">
        <v>103</v>
      </c>
      <c r="N12145" t="s">
        <v>319</v>
      </c>
      <c r="O12145" t="s">
        <v>108</v>
      </c>
      <c r="P12145" t="s">
        <v>253</v>
      </c>
      <c r="Q12145" t="s">
        <v>207</v>
      </c>
      <c r="R12145" t="s">
        <v>99</v>
      </c>
      <c r="S12145" t="s">
        <v>704</v>
      </c>
    </row>
    <row r="12146" spans="1:19" x14ac:dyDescent="0.3">
      <c r="A12146" t="s">
        <v>49</v>
      </c>
      <c r="B12146" t="s">
        <v>238</v>
      </c>
      <c r="C12146">
        <v>6100</v>
      </c>
      <c r="D12146" t="s">
        <v>1059</v>
      </c>
      <c r="E12146" t="s">
        <v>264</v>
      </c>
      <c r="F12146" t="s">
        <v>420</v>
      </c>
      <c r="G12146" t="s">
        <v>146</v>
      </c>
      <c r="H12146" t="s">
        <v>294</v>
      </c>
      <c r="I12146" t="s">
        <v>692</v>
      </c>
      <c r="J12146" t="s">
        <v>267</v>
      </c>
      <c r="K12146" t="s">
        <v>253</v>
      </c>
      <c r="L12146" t="s">
        <v>277</v>
      </c>
      <c r="M12146" t="s">
        <v>215</v>
      </c>
      <c r="N12146" t="s">
        <v>101</v>
      </c>
      <c r="O12146" t="s">
        <v>132</v>
      </c>
      <c r="P12146" t="s">
        <v>111</v>
      </c>
      <c r="Q12146" t="s">
        <v>198</v>
      </c>
      <c r="R12146" t="s">
        <v>104</v>
      </c>
      <c r="S12146" t="s">
        <v>177</v>
      </c>
    </row>
    <row r="12148" spans="1:19" x14ac:dyDescent="0.3">
      <c r="A12148" t="s">
        <v>2761</v>
      </c>
    </row>
    <row r="12149" spans="1:19" x14ac:dyDescent="0.3">
      <c r="A12149" t="s">
        <v>44</v>
      </c>
      <c r="B12149" t="s">
        <v>257</v>
      </c>
      <c r="C12149" t="s">
        <v>32</v>
      </c>
      <c r="D12149" t="s">
        <v>2742</v>
      </c>
      <c r="E12149" t="s">
        <v>2743</v>
      </c>
      <c r="F12149" t="s">
        <v>2744</v>
      </c>
      <c r="G12149" t="s">
        <v>2745</v>
      </c>
      <c r="H12149" t="s">
        <v>2746</v>
      </c>
      <c r="I12149" t="s">
        <v>2747</v>
      </c>
      <c r="J12149" t="s">
        <v>2748</v>
      </c>
      <c r="K12149" t="s">
        <v>2749</v>
      </c>
      <c r="L12149" t="s">
        <v>2750</v>
      </c>
      <c r="M12149" t="s">
        <v>2751</v>
      </c>
      <c r="N12149" t="s">
        <v>2752</v>
      </c>
      <c r="O12149" t="s">
        <v>2753</v>
      </c>
      <c r="P12149" t="s">
        <v>2754</v>
      </c>
      <c r="Q12149" t="s">
        <v>2755</v>
      </c>
      <c r="R12149" t="s">
        <v>88</v>
      </c>
      <c r="S12149" t="s">
        <v>2756</v>
      </c>
    </row>
    <row r="12150" spans="1:19" x14ac:dyDescent="0.3">
      <c r="A12150" t="s">
        <v>35</v>
      </c>
      <c r="B12150" t="s">
        <v>258</v>
      </c>
      <c r="C12150">
        <v>2873</v>
      </c>
      <c r="D12150" t="s">
        <v>626</v>
      </c>
      <c r="E12150" t="s">
        <v>676</v>
      </c>
      <c r="F12150" t="s">
        <v>701</v>
      </c>
      <c r="G12150" t="s">
        <v>669</v>
      </c>
      <c r="H12150" t="s">
        <v>542</v>
      </c>
      <c r="I12150" t="s">
        <v>735</v>
      </c>
      <c r="J12150" t="s">
        <v>218</v>
      </c>
      <c r="K12150" t="s">
        <v>132</v>
      </c>
      <c r="L12150" t="s">
        <v>110</v>
      </c>
      <c r="M12150" t="s">
        <v>101</v>
      </c>
      <c r="N12150" t="s">
        <v>108</v>
      </c>
      <c r="O12150" t="s">
        <v>108</v>
      </c>
      <c r="P12150" t="s">
        <v>268</v>
      </c>
      <c r="Q12150" t="s">
        <v>207</v>
      </c>
      <c r="R12150" t="s">
        <v>99</v>
      </c>
      <c r="S12150" t="s">
        <v>222</v>
      </c>
    </row>
    <row r="12151" spans="1:19" x14ac:dyDescent="0.3">
      <c r="A12151" t="s">
        <v>35</v>
      </c>
      <c r="B12151" t="s">
        <v>260</v>
      </c>
      <c r="C12151">
        <v>272</v>
      </c>
      <c r="D12151" t="s">
        <v>434</v>
      </c>
      <c r="E12151" t="s">
        <v>804</v>
      </c>
      <c r="F12151" t="s">
        <v>152</v>
      </c>
      <c r="G12151" t="s">
        <v>615</v>
      </c>
      <c r="H12151" t="s">
        <v>201</v>
      </c>
      <c r="I12151" t="s">
        <v>517</v>
      </c>
      <c r="J12151" t="s">
        <v>262</v>
      </c>
      <c r="K12151" t="s">
        <v>99</v>
      </c>
      <c r="L12151" t="s">
        <v>382</v>
      </c>
      <c r="M12151" t="s">
        <v>100</v>
      </c>
      <c r="N12151" t="s">
        <v>121</v>
      </c>
      <c r="O12151" t="s">
        <v>136</v>
      </c>
      <c r="P12151" t="s">
        <v>316</v>
      </c>
      <c r="Q12151" t="s">
        <v>100</v>
      </c>
      <c r="R12151" t="s">
        <v>207</v>
      </c>
      <c r="S12151" t="s">
        <v>501</v>
      </c>
    </row>
    <row r="12152" spans="1:19" x14ac:dyDescent="0.3">
      <c r="A12152" t="s">
        <v>37</v>
      </c>
      <c r="B12152" t="s">
        <v>258</v>
      </c>
      <c r="C12152">
        <v>3852</v>
      </c>
      <c r="D12152" t="s">
        <v>666</v>
      </c>
      <c r="E12152" t="s">
        <v>416</v>
      </c>
      <c r="F12152" t="s">
        <v>255</v>
      </c>
      <c r="G12152" t="s">
        <v>929</v>
      </c>
      <c r="H12152" t="s">
        <v>122</v>
      </c>
      <c r="I12152" t="s">
        <v>318</v>
      </c>
      <c r="J12152" t="s">
        <v>714</v>
      </c>
      <c r="K12152" t="s">
        <v>253</v>
      </c>
      <c r="L12152" t="s">
        <v>204</v>
      </c>
      <c r="M12152" t="s">
        <v>128</v>
      </c>
      <c r="N12152" t="s">
        <v>127</v>
      </c>
      <c r="O12152" t="s">
        <v>253</v>
      </c>
      <c r="P12152" t="s">
        <v>253</v>
      </c>
      <c r="Q12152" t="s">
        <v>104</v>
      </c>
      <c r="R12152" t="s">
        <v>104</v>
      </c>
      <c r="S12152" t="s">
        <v>687</v>
      </c>
    </row>
    <row r="12153" spans="1:19" x14ac:dyDescent="0.3">
      <c r="A12153" t="s">
        <v>36</v>
      </c>
      <c r="B12153" t="s">
        <v>258</v>
      </c>
      <c r="C12153">
        <v>2099</v>
      </c>
      <c r="D12153" t="s">
        <v>702</v>
      </c>
      <c r="E12153" t="s">
        <v>401</v>
      </c>
      <c r="F12153" t="s">
        <v>675</v>
      </c>
      <c r="G12153" t="s">
        <v>806</v>
      </c>
      <c r="H12153" t="s">
        <v>163</v>
      </c>
      <c r="I12153" t="s">
        <v>1107</v>
      </c>
      <c r="J12153" t="s">
        <v>122</v>
      </c>
      <c r="K12153" t="s">
        <v>141</v>
      </c>
      <c r="L12153" t="s">
        <v>292</v>
      </c>
      <c r="M12153" t="s">
        <v>128</v>
      </c>
      <c r="N12153" t="s">
        <v>107</v>
      </c>
      <c r="O12153" t="s">
        <v>138</v>
      </c>
      <c r="P12153" t="s">
        <v>382</v>
      </c>
      <c r="Q12153" t="s">
        <v>253</v>
      </c>
      <c r="R12153" t="s">
        <v>104</v>
      </c>
      <c r="S12153" t="s">
        <v>1044</v>
      </c>
    </row>
    <row r="12154" spans="1:19" x14ac:dyDescent="0.3">
      <c r="A12154" t="s">
        <v>36</v>
      </c>
      <c r="B12154" t="s">
        <v>260</v>
      </c>
      <c r="C12154">
        <v>204</v>
      </c>
      <c r="D12154" t="s">
        <v>405</v>
      </c>
      <c r="E12154" t="s">
        <v>315</v>
      </c>
      <c r="F12154" t="s">
        <v>204</v>
      </c>
      <c r="G12154" t="s">
        <v>952</v>
      </c>
      <c r="H12154" t="s">
        <v>731</v>
      </c>
      <c r="I12154" t="s">
        <v>224</v>
      </c>
      <c r="J12154" t="s">
        <v>179</v>
      </c>
      <c r="K12154" t="s">
        <v>99</v>
      </c>
      <c r="L12154" t="s">
        <v>141</v>
      </c>
      <c r="M12154" t="s">
        <v>141</v>
      </c>
      <c r="N12154" t="s">
        <v>126</v>
      </c>
      <c r="O12154" t="s">
        <v>114</v>
      </c>
      <c r="P12154" t="s">
        <v>103</v>
      </c>
      <c r="Q12154" t="s">
        <v>99</v>
      </c>
      <c r="R12154" t="s">
        <v>99</v>
      </c>
      <c r="S12154" t="s">
        <v>700</v>
      </c>
    </row>
    <row r="12155" spans="1:19" x14ac:dyDescent="0.3">
      <c r="A12155" t="s">
        <v>34</v>
      </c>
      <c r="B12155" t="s">
        <v>258</v>
      </c>
      <c r="C12155">
        <v>1220</v>
      </c>
      <c r="D12155" t="s">
        <v>653</v>
      </c>
      <c r="E12155" t="s">
        <v>130</v>
      </c>
      <c r="F12155" t="s">
        <v>129</v>
      </c>
      <c r="G12155" t="s">
        <v>838</v>
      </c>
      <c r="H12155" t="s">
        <v>143</v>
      </c>
      <c r="I12155" t="s">
        <v>122</v>
      </c>
      <c r="J12155" t="s">
        <v>716</v>
      </c>
      <c r="K12155" t="s">
        <v>207</v>
      </c>
      <c r="L12155" t="s">
        <v>129</v>
      </c>
      <c r="M12155" t="s">
        <v>114</v>
      </c>
      <c r="N12155" t="s">
        <v>99</v>
      </c>
      <c r="O12155" t="s">
        <v>198</v>
      </c>
      <c r="P12155" t="s">
        <v>253</v>
      </c>
      <c r="Q12155" t="s">
        <v>104</v>
      </c>
      <c r="R12155" t="s">
        <v>104</v>
      </c>
      <c r="S12155" t="s">
        <v>529</v>
      </c>
    </row>
    <row r="12156" spans="1:19" x14ac:dyDescent="0.3">
      <c r="A12156" t="s">
        <v>34</v>
      </c>
      <c r="B12156" t="s">
        <v>260</v>
      </c>
      <c r="C12156">
        <v>859</v>
      </c>
      <c r="D12156" t="s">
        <v>124</v>
      </c>
      <c r="E12156" t="s">
        <v>420</v>
      </c>
      <c r="F12156" t="s">
        <v>204</v>
      </c>
      <c r="G12156" t="s">
        <v>907</v>
      </c>
      <c r="H12156" t="s">
        <v>201</v>
      </c>
      <c r="I12156" t="s">
        <v>1062</v>
      </c>
      <c r="J12156" t="s">
        <v>218</v>
      </c>
      <c r="K12156" t="s">
        <v>253</v>
      </c>
      <c r="L12156" t="s">
        <v>100</v>
      </c>
      <c r="M12156" t="s">
        <v>104</v>
      </c>
      <c r="N12156" t="s">
        <v>198</v>
      </c>
      <c r="O12156" t="s">
        <v>207</v>
      </c>
      <c r="P12156" t="s">
        <v>130</v>
      </c>
      <c r="Q12156" t="s">
        <v>136</v>
      </c>
      <c r="R12156" t="s">
        <v>198</v>
      </c>
      <c r="S12156" t="s">
        <v>731</v>
      </c>
    </row>
    <row r="12157" spans="1:19" x14ac:dyDescent="0.3">
      <c r="A12157" t="s">
        <v>33</v>
      </c>
      <c r="B12157" t="s">
        <v>258</v>
      </c>
      <c r="C12157">
        <v>1936</v>
      </c>
      <c r="D12157" t="s">
        <v>724</v>
      </c>
      <c r="E12157" t="s">
        <v>449</v>
      </c>
      <c r="F12157" t="s">
        <v>315</v>
      </c>
      <c r="G12157" t="s">
        <v>860</v>
      </c>
      <c r="H12157" t="s">
        <v>248</v>
      </c>
      <c r="I12157" t="s">
        <v>680</v>
      </c>
      <c r="J12157" t="s">
        <v>708</v>
      </c>
      <c r="K12157" t="s">
        <v>100</v>
      </c>
      <c r="L12157" t="s">
        <v>321</v>
      </c>
      <c r="M12157" t="s">
        <v>118</v>
      </c>
      <c r="N12157" t="s">
        <v>126</v>
      </c>
      <c r="O12157" t="s">
        <v>253</v>
      </c>
      <c r="P12157" t="s">
        <v>207</v>
      </c>
      <c r="Q12157" t="s">
        <v>99</v>
      </c>
      <c r="R12157" t="s">
        <v>99</v>
      </c>
      <c r="S12157" t="s">
        <v>309</v>
      </c>
    </row>
    <row r="12158" spans="1:19" x14ac:dyDescent="0.3">
      <c r="A12158" t="s">
        <v>49</v>
      </c>
      <c r="B12158" t="s">
        <v>258</v>
      </c>
      <c r="C12158">
        <v>11980</v>
      </c>
      <c r="D12158" t="s">
        <v>828</v>
      </c>
      <c r="E12158" t="s">
        <v>737</v>
      </c>
      <c r="F12158" t="s">
        <v>222</v>
      </c>
      <c r="G12158" t="s">
        <v>344</v>
      </c>
      <c r="H12158" t="s">
        <v>233</v>
      </c>
      <c r="I12158" t="s">
        <v>432</v>
      </c>
      <c r="J12158" t="s">
        <v>179</v>
      </c>
      <c r="K12158" t="s">
        <v>115</v>
      </c>
      <c r="L12158" t="s">
        <v>74</v>
      </c>
      <c r="M12158" t="s">
        <v>268</v>
      </c>
      <c r="N12158" t="s">
        <v>126</v>
      </c>
      <c r="O12158" t="s">
        <v>108</v>
      </c>
      <c r="P12158" t="s">
        <v>121</v>
      </c>
      <c r="Q12158" t="s">
        <v>198</v>
      </c>
      <c r="R12158" t="s">
        <v>99</v>
      </c>
      <c r="S12158" t="s">
        <v>440</v>
      </c>
    </row>
    <row r="12159" spans="1:19" x14ac:dyDescent="0.3">
      <c r="A12159" t="s">
        <v>49</v>
      </c>
      <c r="B12159" t="s">
        <v>260</v>
      </c>
      <c r="C12159">
        <v>1335</v>
      </c>
      <c r="D12159" t="s">
        <v>684</v>
      </c>
      <c r="E12159" t="s">
        <v>296</v>
      </c>
      <c r="F12159" t="s">
        <v>143</v>
      </c>
      <c r="G12159" t="s">
        <v>1116</v>
      </c>
      <c r="H12159" t="s">
        <v>201</v>
      </c>
      <c r="I12159" t="s">
        <v>525</v>
      </c>
      <c r="J12159" t="s">
        <v>294</v>
      </c>
      <c r="K12159" t="s">
        <v>141</v>
      </c>
      <c r="L12159" t="s">
        <v>121</v>
      </c>
      <c r="M12159" t="s">
        <v>207</v>
      </c>
      <c r="N12159" t="s">
        <v>136</v>
      </c>
      <c r="O12159" t="s">
        <v>207</v>
      </c>
      <c r="P12159" t="s">
        <v>118</v>
      </c>
      <c r="Q12159" t="s">
        <v>141</v>
      </c>
      <c r="R12159" t="s">
        <v>207</v>
      </c>
      <c r="S12159" t="s">
        <v>465</v>
      </c>
    </row>
    <row r="12161" spans="1:36" x14ac:dyDescent="0.3">
      <c r="A12161" t="s">
        <v>2762</v>
      </c>
    </row>
    <row r="12162" spans="1:36" x14ac:dyDescent="0.3">
      <c r="A12162" t="s">
        <v>44</v>
      </c>
      <c r="B12162" t="s">
        <v>2763</v>
      </c>
      <c r="C12162" t="s">
        <v>2764</v>
      </c>
      <c r="D12162" t="s">
        <v>2765</v>
      </c>
      <c r="E12162" t="s">
        <v>2766</v>
      </c>
      <c r="F12162" t="s">
        <v>2767</v>
      </c>
      <c r="G12162" t="s">
        <v>2768</v>
      </c>
      <c r="H12162" t="s">
        <v>2769</v>
      </c>
      <c r="I12162" t="s">
        <v>2770</v>
      </c>
      <c r="J12162" t="s">
        <v>2771</v>
      </c>
      <c r="K12162" t="s">
        <v>2772</v>
      </c>
      <c r="L12162" t="s">
        <v>2773</v>
      </c>
      <c r="M12162" t="s">
        <v>2774</v>
      </c>
      <c r="N12162" t="s">
        <v>2775</v>
      </c>
      <c r="O12162" t="s">
        <v>2776</v>
      </c>
      <c r="P12162" t="s">
        <v>2777</v>
      </c>
      <c r="Q12162" t="s">
        <v>2778</v>
      </c>
      <c r="R12162" t="s">
        <v>2779</v>
      </c>
      <c r="S12162" t="s">
        <v>2780</v>
      </c>
      <c r="T12162" t="s">
        <v>2781</v>
      </c>
      <c r="U12162" t="s">
        <v>2782</v>
      </c>
      <c r="V12162" t="s">
        <v>2783</v>
      </c>
      <c r="W12162" t="s">
        <v>2784</v>
      </c>
      <c r="X12162" t="s">
        <v>2785</v>
      </c>
      <c r="Y12162" t="s">
        <v>2786</v>
      </c>
      <c r="Z12162" t="s">
        <v>2787</v>
      </c>
      <c r="AA12162" t="s">
        <v>2788</v>
      </c>
      <c r="AB12162" t="s">
        <v>2789</v>
      </c>
      <c r="AC12162" t="s">
        <v>2790</v>
      </c>
      <c r="AD12162" t="s">
        <v>2791</v>
      </c>
      <c r="AE12162" t="s">
        <v>2792</v>
      </c>
      <c r="AF12162" t="s">
        <v>2793</v>
      </c>
      <c r="AG12162" t="s">
        <v>2794</v>
      </c>
      <c r="AH12162" t="s">
        <v>2795</v>
      </c>
      <c r="AI12162" t="s">
        <v>2796</v>
      </c>
    </row>
    <row r="12163" spans="1:36" x14ac:dyDescent="0.3">
      <c r="A12163" t="s">
        <v>35</v>
      </c>
      <c r="B12163">
        <v>370</v>
      </c>
      <c r="C12163" t="s">
        <v>410</v>
      </c>
      <c r="D12163" t="s">
        <v>763</v>
      </c>
      <c r="E12163" t="s">
        <v>99</v>
      </c>
      <c r="F12163">
        <v>370</v>
      </c>
      <c r="G12163" t="s">
        <v>758</v>
      </c>
      <c r="H12163" t="s">
        <v>124</v>
      </c>
      <c r="I12163" t="s">
        <v>99</v>
      </c>
      <c r="J12163" t="s">
        <v>99</v>
      </c>
      <c r="K12163">
        <v>370</v>
      </c>
      <c r="L12163" t="s">
        <v>172</v>
      </c>
      <c r="M12163" t="s">
        <v>369</v>
      </c>
      <c r="N12163" t="s">
        <v>207</v>
      </c>
      <c r="O12163" t="s">
        <v>99</v>
      </c>
      <c r="P12163">
        <v>370</v>
      </c>
      <c r="Q12163" t="s">
        <v>1451</v>
      </c>
      <c r="R12163" t="s">
        <v>342</v>
      </c>
      <c r="S12163" t="s">
        <v>99</v>
      </c>
      <c r="T12163" t="s">
        <v>207</v>
      </c>
      <c r="U12163">
        <v>370</v>
      </c>
      <c r="V12163" t="s">
        <v>249</v>
      </c>
      <c r="W12163" t="s">
        <v>268</v>
      </c>
      <c r="X12163" t="s">
        <v>104</v>
      </c>
      <c r="Y12163" t="s">
        <v>207</v>
      </c>
      <c r="Z12163">
        <v>370</v>
      </c>
      <c r="AA12163" t="s">
        <v>1364</v>
      </c>
      <c r="AB12163" t="s">
        <v>281</v>
      </c>
      <c r="AC12163" t="s">
        <v>99</v>
      </c>
      <c r="AD12163" t="s">
        <v>207</v>
      </c>
      <c r="AE12163">
        <v>370</v>
      </c>
      <c r="AF12163" t="s">
        <v>998</v>
      </c>
      <c r="AG12163" t="s">
        <v>104</v>
      </c>
      <c r="AH12163" t="s">
        <v>128</v>
      </c>
      <c r="AI12163" t="s">
        <v>207</v>
      </c>
    </row>
    <row r="12164" spans="1:36" x14ac:dyDescent="0.3">
      <c r="A12164" t="s">
        <v>37</v>
      </c>
      <c r="B12164">
        <v>227</v>
      </c>
      <c r="C12164" t="s">
        <v>523</v>
      </c>
      <c r="D12164" t="s">
        <v>475</v>
      </c>
      <c r="E12164" t="s">
        <v>207</v>
      </c>
      <c r="F12164">
        <v>227</v>
      </c>
      <c r="G12164" t="s">
        <v>290</v>
      </c>
      <c r="H12164" t="s">
        <v>368</v>
      </c>
      <c r="I12164" t="s">
        <v>99</v>
      </c>
      <c r="J12164" t="s">
        <v>99</v>
      </c>
      <c r="K12164">
        <v>227</v>
      </c>
      <c r="L12164" t="s">
        <v>991</v>
      </c>
      <c r="M12164" t="s">
        <v>990</v>
      </c>
      <c r="N12164" t="s">
        <v>99</v>
      </c>
      <c r="O12164" t="s">
        <v>99</v>
      </c>
      <c r="P12164">
        <v>227</v>
      </c>
      <c r="Q12164" t="s">
        <v>445</v>
      </c>
      <c r="R12164" t="s">
        <v>667</v>
      </c>
      <c r="S12164" t="s">
        <v>99</v>
      </c>
      <c r="T12164" t="s">
        <v>99</v>
      </c>
      <c r="U12164">
        <v>227</v>
      </c>
      <c r="V12164" t="s">
        <v>71</v>
      </c>
      <c r="W12164" t="s">
        <v>664</v>
      </c>
      <c r="X12164" t="s">
        <v>141</v>
      </c>
      <c r="Y12164" t="s">
        <v>99</v>
      </c>
      <c r="Z12164">
        <v>227</v>
      </c>
      <c r="AA12164" t="s">
        <v>575</v>
      </c>
      <c r="AB12164" t="s">
        <v>574</v>
      </c>
      <c r="AC12164" t="s">
        <v>99</v>
      </c>
      <c r="AD12164" t="s">
        <v>99</v>
      </c>
      <c r="AE12164">
        <v>227</v>
      </c>
      <c r="AF12164" t="s">
        <v>414</v>
      </c>
      <c r="AG12164" t="s">
        <v>138</v>
      </c>
      <c r="AH12164" t="s">
        <v>157</v>
      </c>
      <c r="AI12164" t="s">
        <v>99</v>
      </c>
    </row>
    <row r="12165" spans="1:36" x14ac:dyDescent="0.3">
      <c r="A12165" t="s">
        <v>36</v>
      </c>
      <c r="B12165">
        <v>878</v>
      </c>
      <c r="C12165" t="s">
        <v>103</v>
      </c>
      <c r="D12165" t="s">
        <v>851</v>
      </c>
      <c r="E12165" t="s">
        <v>99</v>
      </c>
      <c r="F12165">
        <v>878</v>
      </c>
      <c r="G12165" t="s">
        <v>505</v>
      </c>
      <c r="H12165" t="s">
        <v>158</v>
      </c>
      <c r="I12165" t="s">
        <v>99</v>
      </c>
      <c r="J12165" t="s">
        <v>99</v>
      </c>
      <c r="K12165">
        <v>878</v>
      </c>
      <c r="L12165" t="s">
        <v>391</v>
      </c>
      <c r="M12165" t="s">
        <v>145</v>
      </c>
      <c r="N12165" t="s">
        <v>99</v>
      </c>
      <c r="O12165" t="s">
        <v>198</v>
      </c>
      <c r="P12165">
        <v>878</v>
      </c>
      <c r="Q12165" t="s">
        <v>300</v>
      </c>
      <c r="R12165" t="s">
        <v>668</v>
      </c>
      <c r="S12165" t="s">
        <v>141</v>
      </c>
      <c r="T12165" t="s">
        <v>99</v>
      </c>
      <c r="U12165">
        <v>878</v>
      </c>
      <c r="V12165" t="s">
        <v>185</v>
      </c>
      <c r="W12165" t="s">
        <v>184</v>
      </c>
      <c r="X12165" t="s">
        <v>99</v>
      </c>
      <c r="Y12165" t="s">
        <v>99</v>
      </c>
      <c r="Z12165">
        <v>878</v>
      </c>
      <c r="AA12165" t="s">
        <v>785</v>
      </c>
      <c r="AB12165" t="s">
        <v>718</v>
      </c>
      <c r="AC12165" t="s">
        <v>104</v>
      </c>
      <c r="AD12165" t="s">
        <v>99</v>
      </c>
      <c r="AE12165">
        <v>878</v>
      </c>
      <c r="AF12165" t="s">
        <v>782</v>
      </c>
      <c r="AG12165" t="s">
        <v>104</v>
      </c>
      <c r="AH12165" t="s">
        <v>110</v>
      </c>
      <c r="AI12165" t="s">
        <v>99</v>
      </c>
    </row>
    <row r="12166" spans="1:36" x14ac:dyDescent="0.3">
      <c r="A12166" t="s">
        <v>34</v>
      </c>
      <c r="B12166">
        <v>743</v>
      </c>
      <c r="C12166" t="s">
        <v>147</v>
      </c>
      <c r="D12166" t="s">
        <v>398</v>
      </c>
      <c r="E12166" t="s">
        <v>99</v>
      </c>
      <c r="F12166">
        <v>743</v>
      </c>
      <c r="G12166" t="s">
        <v>414</v>
      </c>
      <c r="H12166" t="s">
        <v>204</v>
      </c>
      <c r="I12166" t="s">
        <v>207</v>
      </c>
      <c r="J12166" t="s">
        <v>198</v>
      </c>
      <c r="K12166">
        <v>743</v>
      </c>
      <c r="L12166" t="s">
        <v>286</v>
      </c>
      <c r="M12166" t="s">
        <v>222</v>
      </c>
      <c r="N12166" t="s">
        <v>99</v>
      </c>
      <c r="O12166" t="s">
        <v>104</v>
      </c>
      <c r="P12166">
        <v>743</v>
      </c>
      <c r="Q12166" t="s">
        <v>1144</v>
      </c>
      <c r="R12166" t="s">
        <v>545</v>
      </c>
      <c r="S12166" t="s">
        <v>141</v>
      </c>
      <c r="T12166" t="s">
        <v>99</v>
      </c>
      <c r="U12166">
        <v>743</v>
      </c>
      <c r="V12166" t="s">
        <v>79</v>
      </c>
      <c r="W12166" t="s">
        <v>150</v>
      </c>
      <c r="X12166" t="s">
        <v>141</v>
      </c>
      <c r="Y12166" t="s">
        <v>198</v>
      </c>
      <c r="Z12166">
        <v>743</v>
      </c>
      <c r="AA12166" t="s">
        <v>912</v>
      </c>
      <c r="AB12166" t="s">
        <v>508</v>
      </c>
      <c r="AC12166" t="s">
        <v>104</v>
      </c>
      <c r="AD12166" t="s">
        <v>198</v>
      </c>
      <c r="AE12166">
        <v>741</v>
      </c>
      <c r="AF12166" t="s">
        <v>433</v>
      </c>
      <c r="AG12166" t="s">
        <v>114</v>
      </c>
      <c r="AH12166" t="s">
        <v>105</v>
      </c>
      <c r="AI12166" t="s">
        <v>99</v>
      </c>
    </row>
    <row r="12167" spans="1:36" x14ac:dyDescent="0.3">
      <c r="A12167" t="s">
        <v>33</v>
      </c>
      <c r="B12167">
        <v>92</v>
      </c>
      <c r="C12167" t="s">
        <v>393</v>
      </c>
      <c r="D12167" t="s">
        <v>394</v>
      </c>
      <c r="E12167" t="s">
        <v>99</v>
      </c>
      <c r="F12167">
        <v>92</v>
      </c>
      <c r="G12167" t="s">
        <v>986</v>
      </c>
      <c r="H12167" t="s">
        <v>292</v>
      </c>
      <c r="I12167" t="s">
        <v>99</v>
      </c>
      <c r="J12167" t="s">
        <v>99</v>
      </c>
      <c r="K12167">
        <v>92</v>
      </c>
      <c r="L12167" t="s">
        <v>232</v>
      </c>
      <c r="M12167" t="s">
        <v>233</v>
      </c>
      <c r="N12167" t="s">
        <v>99</v>
      </c>
      <c r="O12167" t="s">
        <v>99</v>
      </c>
      <c r="P12167">
        <v>92</v>
      </c>
      <c r="Q12167" t="s">
        <v>1012</v>
      </c>
      <c r="R12167" t="s">
        <v>692</v>
      </c>
      <c r="S12167" t="s">
        <v>99</v>
      </c>
      <c r="T12167" t="s">
        <v>99</v>
      </c>
      <c r="U12167">
        <v>92</v>
      </c>
      <c r="V12167" t="s">
        <v>329</v>
      </c>
      <c r="W12167" t="s">
        <v>122</v>
      </c>
      <c r="X12167" t="s">
        <v>99</v>
      </c>
      <c r="Y12167" t="s">
        <v>99</v>
      </c>
      <c r="Z12167">
        <v>92</v>
      </c>
      <c r="AA12167" t="s">
        <v>1619</v>
      </c>
      <c r="AB12167" t="s">
        <v>933</v>
      </c>
      <c r="AC12167" t="s">
        <v>99</v>
      </c>
      <c r="AD12167" t="s">
        <v>99</v>
      </c>
      <c r="AE12167">
        <v>92</v>
      </c>
      <c r="AF12167" t="s">
        <v>211</v>
      </c>
      <c r="AG12167" t="s">
        <v>99</v>
      </c>
      <c r="AH12167" t="s">
        <v>99</v>
      </c>
      <c r="AI12167" t="s">
        <v>99</v>
      </c>
    </row>
    <row r="12168" spans="1:36" x14ac:dyDescent="0.3">
      <c r="A12168" t="s">
        <v>49</v>
      </c>
      <c r="B12168">
        <v>2310</v>
      </c>
      <c r="C12168" t="s">
        <v>72</v>
      </c>
      <c r="D12168" t="s">
        <v>73</v>
      </c>
      <c r="E12168" t="s">
        <v>99</v>
      </c>
      <c r="F12168">
        <v>2310</v>
      </c>
      <c r="G12168" t="s">
        <v>391</v>
      </c>
      <c r="H12168" t="s">
        <v>145</v>
      </c>
      <c r="I12168" t="s">
        <v>104</v>
      </c>
      <c r="J12168" t="s">
        <v>104</v>
      </c>
      <c r="K12168">
        <v>2310</v>
      </c>
      <c r="L12168" t="s">
        <v>417</v>
      </c>
      <c r="M12168" t="s">
        <v>408</v>
      </c>
      <c r="N12168" t="s">
        <v>104</v>
      </c>
      <c r="O12168" t="s">
        <v>104</v>
      </c>
      <c r="P12168">
        <v>2310</v>
      </c>
      <c r="Q12168" t="s">
        <v>770</v>
      </c>
      <c r="R12168" t="s">
        <v>834</v>
      </c>
      <c r="S12168" t="s">
        <v>207</v>
      </c>
      <c r="T12168" t="s">
        <v>104</v>
      </c>
      <c r="U12168">
        <v>2310</v>
      </c>
      <c r="V12168" t="s">
        <v>391</v>
      </c>
      <c r="W12168" t="s">
        <v>143</v>
      </c>
      <c r="X12168" t="s">
        <v>207</v>
      </c>
      <c r="Y12168" t="s">
        <v>198</v>
      </c>
      <c r="Z12168">
        <v>2310</v>
      </c>
      <c r="AA12168" t="s">
        <v>865</v>
      </c>
      <c r="AB12168" t="s">
        <v>749</v>
      </c>
      <c r="AC12168" t="s">
        <v>99</v>
      </c>
      <c r="AD12168" t="s">
        <v>198</v>
      </c>
      <c r="AE12168">
        <v>2308</v>
      </c>
      <c r="AF12168" t="s">
        <v>768</v>
      </c>
      <c r="AG12168" t="s">
        <v>132</v>
      </c>
      <c r="AH12168" t="s">
        <v>157</v>
      </c>
      <c r="AI12168" t="s">
        <v>104</v>
      </c>
    </row>
    <row r="12170" spans="1:36" x14ac:dyDescent="0.3">
      <c r="A12170" t="s">
        <v>2797</v>
      </c>
    </row>
    <row r="12171" spans="1:36" x14ac:dyDescent="0.3">
      <c r="A12171" t="s">
        <v>44</v>
      </c>
      <c r="B12171" t="s">
        <v>388</v>
      </c>
      <c r="C12171" t="s">
        <v>2763</v>
      </c>
      <c r="D12171" t="s">
        <v>2764</v>
      </c>
      <c r="E12171" t="s">
        <v>2765</v>
      </c>
      <c r="F12171" t="s">
        <v>2766</v>
      </c>
      <c r="G12171" t="s">
        <v>2767</v>
      </c>
      <c r="H12171" t="s">
        <v>2768</v>
      </c>
      <c r="I12171" t="s">
        <v>2769</v>
      </c>
      <c r="J12171" t="s">
        <v>2771</v>
      </c>
      <c r="K12171" t="s">
        <v>2770</v>
      </c>
      <c r="L12171" t="s">
        <v>2772</v>
      </c>
      <c r="M12171" t="s">
        <v>2773</v>
      </c>
      <c r="N12171" t="s">
        <v>2774</v>
      </c>
      <c r="O12171" t="s">
        <v>2776</v>
      </c>
      <c r="P12171" t="s">
        <v>2775</v>
      </c>
      <c r="Q12171" t="s">
        <v>2777</v>
      </c>
      <c r="R12171" t="s">
        <v>2778</v>
      </c>
      <c r="S12171" t="s">
        <v>2779</v>
      </c>
      <c r="T12171" t="s">
        <v>2780</v>
      </c>
      <c r="U12171" t="s">
        <v>2781</v>
      </c>
      <c r="V12171" t="s">
        <v>2782</v>
      </c>
      <c r="W12171" t="s">
        <v>2783</v>
      </c>
      <c r="X12171" t="s">
        <v>2784</v>
      </c>
      <c r="Y12171" t="s">
        <v>2785</v>
      </c>
      <c r="Z12171" t="s">
        <v>2786</v>
      </c>
      <c r="AA12171" t="s">
        <v>2787</v>
      </c>
      <c r="AB12171" t="s">
        <v>2788</v>
      </c>
      <c r="AC12171" t="s">
        <v>2789</v>
      </c>
      <c r="AD12171" t="s">
        <v>2791</v>
      </c>
      <c r="AE12171" t="s">
        <v>2790</v>
      </c>
      <c r="AF12171" t="s">
        <v>2792</v>
      </c>
      <c r="AG12171" t="s">
        <v>2793</v>
      </c>
      <c r="AH12171" t="s">
        <v>2794</v>
      </c>
      <c r="AI12171" t="s">
        <v>2795</v>
      </c>
      <c r="AJ12171" t="s">
        <v>2796</v>
      </c>
    </row>
    <row r="12172" spans="1:36" x14ac:dyDescent="0.3">
      <c r="A12172" t="s">
        <v>35</v>
      </c>
      <c r="B12172" t="s">
        <v>389</v>
      </c>
      <c r="C12172">
        <v>280</v>
      </c>
      <c r="D12172" t="s">
        <v>501</v>
      </c>
      <c r="E12172" t="s">
        <v>502</v>
      </c>
      <c r="F12172" t="s">
        <v>99</v>
      </c>
      <c r="G12172">
        <v>280</v>
      </c>
      <c r="H12172" t="s">
        <v>413</v>
      </c>
      <c r="I12172" t="s">
        <v>412</v>
      </c>
      <c r="J12172" t="s">
        <v>99</v>
      </c>
      <c r="K12172" t="s">
        <v>99</v>
      </c>
      <c r="L12172">
        <v>280</v>
      </c>
      <c r="M12172" t="s">
        <v>199</v>
      </c>
      <c r="N12172" t="s">
        <v>716</v>
      </c>
      <c r="O12172" t="s">
        <v>99</v>
      </c>
      <c r="P12172" t="s">
        <v>136</v>
      </c>
      <c r="Q12172">
        <v>280</v>
      </c>
      <c r="R12172" t="s">
        <v>1050</v>
      </c>
      <c r="S12172" t="s">
        <v>156</v>
      </c>
      <c r="T12172" t="s">
        <v>99</v>
      </c>
      <c r="U12172" t="s">
        <v>136</v>
      </c>
      <c r="V12172">
        <v>280</v>
      </c>
      <c r="W12172" t="s">
        <v>466</v>
      </c>
      <c r="X12172" t="s">
        <v>268</v>
      </c>
      <c r="Y12172" t="s">
        <v>104</v>
      </c>
      <c r="Z12172" t="s">
        <v>136</v>
      </c>
      <c r="AA12172">
        <v>280</v>
      </c>
      <c r="AB12172" t="s">
        <v>535</v>
      </c>
      <c r="AC12172" t="s">
        <v>240</v>
      </c>
      <c r="AD12172" t="s">
        <v>136</v>
      </c>
      <c r="AE12172" t="s">
        <v>99</v>
      </c>
      <c r="AF12172">
        <v>280</v>
      </c>
      <c r="AG12172" t="s">
        <v>851</v>
      </c>
      <c r="AH12172" t="s">
        <v>104</v>
      </c>
      <c r="AI12172" t="s">
        <v>292</v>
      </c>
      <c r="AJ12172" t="s">
        <v>136</v>
      </c>
    </row>
    <row r="12173" spans="1:36" x14ac:dyDescent="0.3">
      <c r="A12173" t="s">
        <v>35</v>
      </c>
      <c r="B12173" t="s">
        <v>390</v>
      </c>
      <c r="C12173">
        <v>77</v>
      </c>
      <c r="D12173" t="s">
        <v>676</v>
      </c>
      <c r="E12173" t="s">
        <v>1640</v>
      </c>
      <c r="F12173" t="s">
        <v>99</v>
      </c>
      <c r="G12173">
        <v>77</v>
      </c>
      <c r="H12173" t="s">
        <v>79</v>
      </c>
      <c r="I12173" t="s">
        <v>78</v>
      </c>
      <c r="J12173" t="s">
        <v>99</v>
      </c>
      <c r="K12173" t="s">
        <v>99</v>
      </c>
      <c r="L12173">
        <v>77</v>
      </c>
      <c r="M12173" t="s">
        <v>377</v>
      </c>
      <c r="N12173" t="s">
        <v>220</v>
      </c>
      <c r="O12173" t="s">
        <v>99</v>
      </c>
      <c r="P12173" t="s">
        <v>99</v>
      </c>
      <c r="Q12173">
        <v>77</v>
      </c>
      <c r="R12173" t="s">
        <v>426</v>
      </c>
      <c r="S12173" t="s">
        <v>197</v>
      </c>
      <c r="T12173" t="s">
        <v>99</v>
      </c>
      <c r="U12173" t="s">
        <v>99</v>
      </c>
      <c r="V12173">
        <v>77</v>
      </c>
      <c r="W12173" t="s">
        <v>398</v>
      </c>
      <c r="X12173" t="s">
        <v>147</v>
      </c>
      <c r="Y12173" t="s">
        <v>99</v>
      </c>
      <c r="Z12173" t="s">
        <v>99</v>
      </c>
      <c r="AA12173">
        <v>77</v>
      </c>
      <c r="AB12173" t="s">
        <v>1064</v>
      </c>
      <c r="AC12173" t="s">
        <v>730</v>
      </c>
      <c r="AD12173" t="s">
        <v>99</v>
      </c>
      <c r="AE12173" t="s">
        <v>99</v>
      </c>
      <c r="AF12173">
        <v>77</v>
      </c>
      <c r="AG12173" t="s">
        <v>162</v>
      </c>
      <c r="AH12173" t="s">
        <v>99</v>
      </c>
      <c r="AI12173" t="s">
        <v>143</v>
      </c>
      <c r="AJ12173" t="s">
        <v>99</v>
      </c>
    </row>
    <row r="12174" spans="1:36" x14ac:dyDescent="0.3">
      <c r="A12174" t="s">
        <v>35</v>
      </c>
      <c r="B12174" t="s">
        <v>365</v>
      </c>
      <c r="C12174">
        <v>13</v>
      </c>
      <c r="D12174" t="s">
        <v>580</v>
      </c>
      <c r="E12174" t="s">
        <v>581</v>
      </c>
      <c r="F12174" t="s">
        <v>99</v>
      </c>
      <c r="G12174">
        <v>13</v>
      </c>
      <c r="H12174" t="s">
        <v>162</v>
      </c>
      <c r="I12174" t="s">
        <v>143</v>
      </c>
      <c r="J12174" t="s">
        <v>99</v>
      </c>
      <c r="K12174" t="s">
        <v>99</v>
      </c>
      <c r="L12174">
        <v>13</v>
      </c>
      <c r="M12174" t="s">
        <v>265</v>
      </c>
      <c r="N12174" t="s">
        <v>332</v>
      </c>
      <c r="O12174" t="s">
        <v>99</v>
      </c>
      <c r="P12174" t="s">
        <v>99</v>
      </c>
      <c r="Q12174">
        <v>13</v>
      </c>
      <c r="R12174" t="s">
        <v>116</v>
      </c>
      <c r="S12174" t="s">
        <v>494</v>
      </c>
      <c r="T12174" t="s">
        <v>99</v>
      </c>
      <c r="U12174" t="s">
        <v>99</v>
      </c>
      <c r="V12174">
        <v>13</v>
      </c>
      <c r="W12174" t="s">
        <v>211</v>
      </c>
      <c r="X12174" t="s">
        <v>99</v>
      </c>
      <c r="Y12174" t="s">
        <v>99</v>
      </c>
      <c r="Z12174" t="s">
        <v>99</v>
      </c>
      <c r="AA12174">
        <v>13</v>
      </c>
      <c r="AB12174" t="s">
        <v>419</v>
      </c>
      <c r="AC12174" t="s">
        <v>353</v>
      </c>
      <c r="AD12174" t="s">
        <v>99</v>
      </c>
      <c r="AE12174" t="s">
        <v>99</v>
      </c>
      <c r="AF12174">
        <v>13</v>
      </c>
      <c r="AG12174" t="s">
        <v>211</v>
      </c>
      <c r="AH12174" t="s">
        <v>99</v>
      </c>
      <c r="AI12174" t="s">
        <v>99</v>
      </c>
      <c r="AJ12174" t="s">
        <v>99</v>
      </c>
    </row>
    <row r="12175" spans="1:36" x14ac:dyDescent="0.3">
      <c r="A12175" t="s">
        <v>37</v>
      </c>
      <c r="B12175" t="s">
        <v>389</v>
      </c>
      <c r="C12175">
        <v>142</v>
      </c>
      <c r="D12175" t="s">
        <v>106</v>
      </c>
      <c r="E12175" t="s">
        <v>869</v>
      </c>
      <c r="F12175" t="s">
        <v>141</v>
      </c>
      <c r="G12175">
        <v>142</v>
      </c>
      <c r="H12175" t="s">
        <v>399</v>
      </c>
      <c r="I12175" t="s">
        <v>804</v>
      </c>
      <c r="J12175" t="s">
        <v>99</v>
      </c>
      <c r="K12175" t="s">
        <v>99</v>
      </c>
      <c r="L12175">
        <v>142</v>
      </c>
      <c r="M12175" t="s">
        <v>166</v>
      </c>
      <c r="N12175" t="s">
        <v>165</v>
      </c>
      <c r="O12175" t="s">
        <v>99</v>
      </c>
      <c r="P12175" t="s">
        <v>99</v>
      </c>
      <c r="Q12175">
        <v>142</v>
      </c>
      <c r="R12175" t="s">
        <v>63</v>
      </c>
      <c r="S12175" t="s">
        <v>64</v>
      </c>
      <c r="T12175" t="s">
        <v>99</v>
      </c>
      <c r="U12175" t="s">
        <v>99</v>
      </c>
      <c r="V12175">
        <v>142</v>
      </c>
      <c r="W12175" t="s">
        <v>329</v>
      </c>
      <c r="X12175" t="s">
        <v>254</v>
      </c>
      <c r="Y12175" t="s">
        <v>108</v>
      </c>
      <c r="Z12175" t="s">
        <v>99</v>
      </c>
      <c r="AA12175">
        <v>142</v>
      </c>
      <c r="AB12175" t="s">
        <v>55</v>
      </c>
      <c r="AC12175" t="s">
        <v>56</v>
      </c>
      <c r="AD12175" t="s">
        <v>99</v>
      </c>
      <c r="AE12175" t="s">
        <v>99</v>
      </c>
      <c r="AF12175">
        <v>142</v>
      </c>
      <c r="AG12175" t="s">
        <v>786</v>
      </c>
      <c r="AH12175" t="s">
        <v>121</v>
      </c>
      <c r="AI12175" t="s">
        <v>332</v>
      </c>
      <c r="AJ12175" t="s">
        <v>99</v>
      </c>
    </row>
    <row r="12176" spans="1:36" x14ac:dyDescent="0.3">
      <c r="A12176" t="s">
        <v>37</v>
      </c>
      <c r="B12176" t="s">
        <v>390</v>
      </c>
      <c r="C12176">
        <v>71</v>
      </c>
      <c r="D12176" t="s">
        <v>722</v>
      </c>
      <c r="E12176" t="s">
        <v>961</v>
      </c>
      <c r="F12176" t="s">
        <v>99</v>
      </c>
      <c r="G12176">
        <v>71</v>
      </c>
      <c r="H12176" t="s">
        <v>547</v>
      </c>
      <c r="I12176" t="s">
        <v>303</v>
      </c>
      <c r="J12176" t="s">
        <v>99</v>
      </c>
      <c r="K12176" t="s">
        <v>99</v>
      </c>
      <c r="L12176">
        <v>71</v>
      </c>
      <c r="M12176" t="s">
        <v>1228</v>
      </c>
      <c r="N12176" t="s">
        <v>715</v>
      </c>
      <c r="O12176" t="s">
        <v>99</v>
      </c>
      <c r="P12176" t="s">
        <v>99</v>
      </c>
      <c r="Q12176">
        <v>71</v>
      </c>
      <c r="R12176" t="s">
        <v>1063</v>
      </c>
      <c r="S12176" t="s">
        <v>1048</v>
      </c>
      <c r="T12176" t="s">
        <v>99</v>
      </c>
      <c r="U12176" t="s">
        <v>99</v>
      </c>
      <c r="V12176">
        <v>71</v>
      </c>
      <c r="W12176" t="s">
        <v>354</v>
      </c>
      <c r="X12176" t="s">
        <v>401</v>
      </c>
      <c r="Y12176" t="s">
        <v>99</v>
      </c>
      <c r="Z12176" t="s">
        <v>99</v>
      </c>
      <c r="AA12176">
        <v>71</v>
      </c>
      <c r="AB12176" t="s">
        <v>514</v>
      </c>
      <c r="AC12176" t="s">
        <v>513</v>
      </c>
      <c r="AD12176" t="s">
        <v>99</v>
      </c>
      <c r="AE12176" t="s">
        <v>99</v>
      </c>
      <c r="AF12176">
        <v>71</v>
      </c>
      <c r="AG12176" t="s">
        <v>161</v>
      </c>
      <c r="AH12176" t="s">
        <v>130</v>
      </c>
      <c r="AI12176" t="s">
        <v>107</v>
      </c>
      <c r="AJ12176" t="s">
        <v>99</v>
      </c>
    </row>
    <row r="12177" spans="1:36" x14ac:dyDescent="0.3">
      <c r="A12177" t="s">
        <v>37</v>
      </c>
      <c r="B12177" t="s">
        <v>365</v>
      </c>
      <c r="C12177">
        <v>14</v>
      </c>
      <c r="D12177" t="s">
        <v>173</v>
      </c>
      <c r="E12177" t="s">
        <v>174</v>
      </c>
      <c r="F12177" t="s">
        <v>99</v>
      </c>
      <c r="G12177">
        <v>14</v>
      </c>
      <c r="H12177" t="s">
        <v>314</v>
      </c>
      <c r="I12177" t="s">
        <v>685</v>
      </c>
      <c r="J12177" t="s">
        <v>99</v>
      </c>
      <c r="K12177" t="s">
        <v>99</v>
      </c>
      <c r="L12177">
        <v>14</v>
      </c>
      <c r="M12177" t="s">
        <v>1146</v>
      </c>
      <c r="N12177" t="s">
        <v>707</v>
      </c>
      <c r="O12177" t="s">
        <v>99</v>
      </c>
      <c r="P12177" t="s">
        <v>99</v>
      </c>
      <c r="Q12177">
        <v>14</v>
      </c>
      <c r="R12177" t="s">
        <v>176</v>
      </c>
      <c r="S12177" t="s">
        <v>175</v>
      </c>
      <c r="T12177" t="s">
        <v>99</v>
      </c>
      <c r="U12177" t="s">
        <v>99</v>
      </c>
      <c r="V12177">
        <v>14</v>
      </c>
      <c r="W12177" t="s">
        <v>252</v>
      </c>
      <c r="X12177" t="s">
        <v>299</v>
      </c>
      <c r="Y12177" t="s">
        <v>99</v>
      </c>
      <c r="Z12177" t="s">
        <v>99</v>
      </c>
      <c r="AA12177">
        <v>14</v>
      </c>
      <c r="AB12177" t="s">
        <v>180</v>
      </c>
      <c r="AC12177" t="s">
        <v>179</v>
      </c>
      <c r="AD12177" t="s">
        <v>99</v>
      </c>
      <c r="AE12177" t="s">
        <v>99</v>
      </c>
      <c r="AF12177">
        <v>14</v>
      </c>
      <c r="AG12177" t="s">
        <v>374</v>
      </c>
      <c r="AH12177" t="s">
        <v>373</v>
      </c>
      <c r="AI12177" t="s">
        <v>99</v>
      </c>
      <c r="AJ12177" t="s">
        <v>99</v>
      </c>
    </row>
    <row r="12178" spans="1:36" x14ac:dyDescent="0.3">
      <c r="A12178" t="s">
        <v>36</v>
      </c>
      <c r="B12178" t="s">
        <v>389</v>
      </c>
      <c r="C12178">
        <v>631</v>
      </c>
      <c r="D12178" t="s">
        <v>120</v>
      </c>
      <c r="E12178" t="s">
        <v>466</v>
      </c>
      <c r="F12178" t="s">
        <v>99</v>
      </c>
      <c r="G12178">
        <v>631</v>
      </c>
      <c r="H12178" t="s">
        <v>391</v>
      </c>
      <c r="I12178" t="s">
        <v>254</v>
      </c>
      <c r="J12178" t="s">
        <v>99</v>
      </c>
      <c r="K12178" t="s">
        <v>104</v>
      </c>
      <c r="L12178">
        <v>631</v>
      </c>
      <c r="M12178" t="s">
        <v>419</v>
      </c>
      <c r="N12178" t="s">
        <v>70</v>
      </c>
      <c r="O12178" t="s">
        <v>207</v>
      </c>
      <c r="P12178" t="s">
        <v>99</v>
      </c>
      <c r="Q12178">
        <v>631</v>
      </c>
      <c r="R12178" t="s">
        <v>1233</v>
      </c>
      <c r="S12178" t="s">
        <v>481</v>
      </c>
      <c r="T12178" t="s">
        <v>253</v>
      </c>
      <c r="U12178" t="s">
        <v>99</v>
      </c>
      <c r="V12178">
        <v>631</v>
      </c>
      <c r="W12178" t="s">
        <v>354</v>
      </c>
      <c r="X12178" t="s">
        <v>401</v>
      </c>
      <c r="Y12178" t="s">
        <v>99</v>
      </c>
      <c r="Z12178" t="s">
        <v>99</v>
      </c>
      <c r="AA12178">
        <v>631</v>
      </c>
      <c r="AB12178" t="s">
        <v>1226</v>
      </c>
      <c r="AC12178" t="s">
        <v>676</v>
      </c>
      <c r="AD12178" t="s">
        <v>99</v>
      </c>
      <c r="AE12178" t="s">
        <v>104</v>
      </c>
      <c r="AF12178">
        <v>631</v>
      </c>
      <c r="AG12178" t="s">
        <v>759</v>
      </c>
      <c r="AH12178" t="s">
        <v>104</v>
      </c>
      <c r="AI12178" t="s">
        <v>332</v>
      </c>
      <c r="AJ12178" t="s">
        <v>99</v>
      </c>
    </row>
    <row r="12179" spans="1:36" x14ac:dyDescent="0.3">
      <c r="A12179" t="s">
        <v>36</v>
      </c>
      <c r="B12179" t="s">
        <v>390</v>
      </c>
      <c r="C12179">
        <v>207</v>
      </c>
      <c r="D12179" t="s">
        <v>127</v>
      </c>
      <c r="E12179" t="s">
        <v>1026</v>
      </c>
      <c r="F12179" t="s">
        <v>99</v>
      </c>
      <c r="G12179">
        <v>207</v>
      </c>
      <c r="H12179" t="s">
        <v>398</v>
      </c>
      <c r="I12179" t="s">
        <v>147</v>
      </c>
      <c r="J12179" t="s">
        <v>99</v>
      </c>
      <c r="K12179" t="s">
        <v>99</v>
      </c>
      <c r="L12179">
        <v>207</v>
      </c>
      <c r="M12179" t="s">
        <v>202</v>
      </c>
      <c r="N12179" t="s">
        <v>111</v>
      </c>
      <c r="O12179" t="s">
        <v>99</v>
      </c>
      <c r="P12179" t="s">
        <v>99</v>
      </c>
      <c r="Q12179">
        <v>207</v>
      </c>
      <c r="R12179" t="s">
        <v>441</v>
      </c>
      <c r="S12179" t="s">
        <v>727</v>
      </c>
      <c r="T12179" t="s">
        <v>99</v>
      </c>
      <c r="U12179" t="s">
        <v>99</v>
      </c>
      <c r="V12179">
        <v>207</v>
      </c>
      <c r="W12179" t="s">
        <v>771</v>
      </c>
      <c r="X12179" t="s">
        <v>663</v>
      </c>
      <c r="Y12179" t="s">
        <v>99</v>
      </c>
      <c r="Z12179" t="s">
        <v>99</v>
      </c>
      <c r="AA12179">
        <v>207</v>
      </c>
      <c r="AB12179" t="s">
        <v>961</v>
      </c>
      <c r="AC12179" t="s">
        <v>722</v>
      </c>
      <c r="AD12179" t="s">
        <v>99</v>
      </c>
      <c r="AE12179" t="s">
        <v>104</v>
      </c>
      <c r="AF12179">
        <v>207</v>
      </c>
      <c r="AG12179" t="s">
        <v>391</v>
      </c>
      <c r="AH12179" t="s">
        <v>99</v>
      </c>
      <c r="AI12179" t="s">
        <v>675</v>
      </c>
      <c r="AJ12179" t="s">
        <v>99</v>
      </c>
    </row>
    <row r="12180" spans="1:36" x14ac:dyDescent="0.3">
      <c r="A12180" t="s">
        <v>36</v>
      </c>
      <c r="B12180" t="s">
        <v>365</v>
      </c>
      <c r="C12180">
        <v>40</v>
      </c>
      <c r="D12180" t="s">
        <v>141</v>
      </c>
      <c r="E12180" t="s">
        <v>970</v>
      </c>
      <c r="F12180" t="s">
        <v>99</v>
      </c>
      <c r="G12180">
        <v>40</v>
      </c>
      <c r="H12180" t="s">
        <v>996</v>
      </c>
      <c r="I12180" t="s">
        <v>115</v>
      </c>
      <c r="J12180" t="s">
        <v>99</v>
      </c>
      <c r="K12180" t="s">
        <v>99</v>
      </c>
      <c r="L12180">
        <v>40</v>
      </c>
      <c r="M12180" t="s">
        <v>782</v>
      </c>
      <c r="N12180" t="s">
        <v>129</v>
      </c>
      <c r="O12180" t="s">
        <v>99</v>
      </c>
      <c r="P12180" t="s">
        <v>99</v>
      </c>
      <c r="Q12180">
        <v>40</v>
      </c>
      <c r="R12180" t="s">
        <v>773</v>
      </c>
      <c r="S12180" t="s">
        <v>682</v>
      </c>
      <c r="T12180" t="s">
        <v>99</v>
      </c>
      <c r="U12180" t="s">
        <v>99</v>
      </c>
      <c r="V12180">
        <v>40</v>
      </c>
      <c r="W12180" t="s">
        <v>782</v>
      </c>
      <c r="X12180" t="s">
        <v>129</v>
      </c>
      <c r="Y12180" t="s">
        <v>99</v>
      </c>
      <c r="Z12180" t="s">
        <v>99</v>
      </c>
      <c r="AA12180">
        <v>40</v>
      </c>
      <c r="AB12180" t="s">
        <v>63</v>
      </c>
      <c r="AC12180" t="s">
        <v>153</v>
      </c>
      <c r="AD12180" t="s">
        <v>198</v>
      </c>
      <c r="AE12180" t="s">
        <v>99</v>
      </c>
      <c r="AF12180">
        <v>40</v>
      </c>
      <c r="AG12180" t="s">
        <v>453</v>
      </c>
      <c r="AH12180" t="s">
        <v>198</v>
      </c>
      <c r="AI12180" t="s">
        <v>99</v>
      </c>
      <c r="AJ12180" t="s">
        <v>99</v>
      </c>
    </row>
    <row r="12181" spans="1:36" x14ac:dyDescent="0.3">
      <c r="A12181" t="s">
        <v>34</v>
      </c>
      <c r="B12181" t="s">
        <v>389</v>
      </c>
      <c r="C12181">
        <v>530</v>
      </c>
      <c r="D12181" t="s">
        <v>120</v>
      </c>
      <c r="E12181" t="s">
        <v>466</v>
      </c>
      <c r="F12181" t="s">
        <v>99</v>
      </c>
      <c r="G12181">
        <v>530</v>
      </c>
      <c r="H12181" t="s">
        <v>505</v>
      </c>
      <c r="I12181" t="s">
        <v>277</v>
      </c>
      <c r="J12181" t="s">
        <v>207</v>
      </c>
      <c r="K12181" t="s">
        <v>99</v>
      </c>
      <c r="L12181">
        <v>530</v>
      </c>
      <c r="M12181" t="s">
        <v>200</v>
      </c>
      <c r="N12181" t="s">
        <v>465</v>
      </c>
      <c r="O12181" t="s">
        <v>104</v>
      </c>
      <c r="P12181" t="s">
        <v>99</v>
      </c>
      <c r="Q12181">
        <v>530</v>
      </c>
      <c r="R12181" t="s">
        <v>1257</v>
      </c>
      <c r="S12181" t="s">
        <v>666</v>
      </c>
      <c r="T12181" t="s">
        <v>207</v>
      </c>
      <c r="U12181" t="s">
        <v>99</v>
      </c>
      <c r="V12181">
        <v>530</v>
      </c>
      <c r="W12181" t="s">
        <v>183</v>
      </c>
      <c r="X12181" t="s">
        <v>113</v>
      </c>
      <c r="Y12181" t="s">
        <v>136</v>
      </c>
      <c r="Z12181" t="s">
        <v>207</v>
      </c>
      <c r="AA12181">
        <v>530</v>
      </c>
      <c r="AB12181" t="s">
        <v>371</v>
      </c>
      <c r="AC12181" t="s">
        <v>425</v>
      </c>
      <c r="AD12181" t="s">
        <v>207</v>
      </c>
      <c r="AE12181" t="s">
        <v>99</v>
      </c>
      <c r="AF12181">
        <v>528</v>
      </c>
      <c r="AG12181" t="s">
        <v>779</v>
      </c>
      <c r="AH12181" t="s">
        <v>115</v>
      </c>
      <c r="AI12181" t="s">
        <v>157</v>
      </c>
      <c r="AJ12181" t="s">
        <v>99</v>
      </c>
    </row>
    <row r="12182" spans="1:36" x14ac:dyDescent="0.3">
      <c r="A12182" t="s">
        <v>34</v>
      </c>
      <c r="B12182" t="s">
        <v>390</v>
      </c>
      <c r="C12182">
        <v>185</v>
      </c>
      <c r="D12182" t="s">
        <v>332</v>
      </c>
      <c r="E12182" t="s">
        <v>265</v>
      </c>
      <c r="F12182" t="s">
        <v>99</v>
      </c>
      <c r="G12182">
        <v>185</v>
      </c>
      <c r="H12182" t="s">
        <v>419</v>
      </c>
      <c r="I12182" t="s">
        <v>109</v>
      </c>
      <c r="J12182" t="s">
        <v>99</v>
      </c>
      <c r="K12182" t="s">
        <v>100</v>
      </c>
      <c r="L12182">
        <v>185</v>
      </c>
      <c r="M12182" t="s">
        <v>203</v>
      </c>
      <c r="N12182" t="s">
        <v>113</v>
      </c>
      <c r="O12182" t="s">
        <v>99</v>
      </c>
      <c r="P12182" t="s">
        <v>104</v>
      </c>
      <c r="Q12182">
        <v>185</v>
      </c>
      <c r="R12182" t="s">
        <v>569</v>
      </c>
      <c r="S12182" t="s">
        <v>42</v>
      </c>
      <c r="T12182" t="s">
        <v>100</v>
      </c>
      <c r="U12182" t="s">
        <v>99</v>
      </c>
      <c r="V12182">
        <v>185</v>
      </c>
      <c r="W12182" t="s">
        <v>1017</v>
      </c>
      <c r="X12182" t="s">
        <v>332</v>
      </c>
      <c r="Y12182" t="s">
        <v>115</v>
      </c>
      <c r="Z12182" t="s">
        <v>99</v>
      </c>
      <c r="AA12182">
        <v>185</v>
      </c>
      <c r="AB12182" t="s">
        <v>1235</v>
      </c>
      <c r="AC12182" t="s">
        <v>529</v>
      </c>
      <c r="AD12182" t="s">
        <v>99</v>
      </c>
      <c r="AE12182" t="s">
        <v>198</v>
      </c>
      <c r="AF12182">
        <v>185</v>
      </c>
      <c r="AG12182" t="s">
        <v>1438</v>
      </c>
      <c r="AH12182" t="s">
        <v>127</v>
      </c>
      <c r="AI12182" t="s">
        <v>332</v>
      </c>
      <c r="AJ12182" t="s">
        <v>99</v>
      </c>
    </row>
    <row r="12183" spans="1:36" x14ac:dyDescent="0.3">
      <c r="A12183" t="s">
        <v>34</v>
      </c>
      <c r="B12183" t="s">
        <v>365</v>
      </c>
      <c r="C12183">
        <v>28</v>
      </c>
      <c r="D12183" t="s">
        <v>101</v>
      </c>
      <c r="E12183" t="s">
        <v>999</v>
      </c>
      <c r="F12183" t="s">
        <v>99</v>
      </c>
      <c r="G12183">
        <v>28</v>
      </c>
      <c r="H12183" t="s">
        <v>1010</v>
      </c>
      <c r="I12183" t="s">
        <v>267</v>
      </c>
      <c r="J12183" t="s">
        <v>99</v>
      </c>
      <c r="K12183" t="s">
        <v>99</v>
      </c>
      <c r="L12183">
        <v>28</v>
      </c>
      <c r="M12183" t="s">
        <v>873</v>
      </c>
      <c r="N12183" t="s">
        <v>716</v>
      </c>
      <c r="O12183" t="s">
        <v>99</v>
      </c>
      <c r="P12183" t="s">
        <v>99</v>
      </c>
      <c r="Q12183">
        <v>28</v>
      </c>
      <c r="R12183" t="s">
        <v>1386</v>
      </c>
      <c r="S12183" t="s">
        <v>1326</v>
      </c>
      <c r="T12183" t="s">
        <v>99</v>
      </c>
      <c r="U12183" t="s">
        <v>99</v>
      </c>
      <c r="V12183">
        <v>28</v>
      </c>
      <c r="W12183" t="s">
        <v>75</v>
      </c>
      <c r="X12183" t="s">
        <v>74</v>
      </c>
      <c r="Y12183" t="s">
        <v>99</v>
      </c>
      <c r="Z12183" t="s">
        <v>99</v>
      </c>
      <c r="AA12183">
        <v>28</v>
      </c>
      <c r="AB12183" t="s">
        <v>436</v>
      </c>
      <c r="AC12183" t="s">
        <v>437</v>
      </c>
      <c r="AD12183" t="s">
        <v>99</v>
      </c>
      <c r="AE12183" t="s">
        <v>99</v>
      </c>
      <c r="AF12183">
        <v>28</v>
      </c>
      <c r="AG12183" t="s">
        <v>404</v>
      </c>
      <c r="AH12183" t="s">
        <v>99</v>
      </c>
      <c r="AI12183" t="s">
        <v>157</v>
      </c>
      <c r="AJ12183" t="s">
        <v>99</v>
      </c>
    </row>
    <row r="12184" spans="1:36" x14ac:dyDescent="0.3">
      <c r="A12184" t="s">
        <v>33</v>
      </c>
      <c r="B12184" t="s">
        <v>389</v>
      </c>
      <c r="C12184">
        <v>62</v>
      </c>
      <c r="D12184" t="s">
        <v>186</v>
      </c>
      <c r="E12184" t="s">
        <v>187</v>
      </c>
      <c r="F12184" t="s">
        <v>99</v>
      </c>
      <c r="G12184">
        <v>62</v>
      </c>
      <c r="H12184" t="s">
        <v>384</v>
      </c>
      <c r="I12184" t="s">
        <v>105</v>
      </c>
      <c r="J12184" t="s">
        <v>99</v>
      </c>
      <c r="K12184" t="s">
        <v>99</v>
      </c>
      <c r="L12184">
        <v>62</v>
      </c>
      <c r="M12184" t="s">
        <v>403</v>
      </c>
      <c r="N12184" t="s">
        <v>461</v>
      </c>
      <c r="O12184" t="s">
        <v>99</v>
      </c>
      <c r="P12184" t="s">
        <v>99</v>
      </c>
      <c r="Q12184">
        <v>62</v>
      </c>
      <c r="R12184" t="s">
        <v>514</v>
      </c>
      <c r="S12184" t="s">
        <v>513</v>
      </c>
      <c r="T12184" t="s">
        <v>99</v>
      </c>
      <c r="U12184" t="s">
        <v>99</v>
      </c>
      <c r="V12184">
        <v>62</v>
      </c>
      <c r="W12184" t="s">
        <v>857</v>
      </c>
      <c r="X12184" t="s">
        <v>142</v>
      </c>
      <c r="Y12184" t="s">
        <v>99</v>
      </c>
      <c r="Z12184" t="s">
        <v>99</v>
      </c>
      <c r="AA12184">
        <v>62</v>
      </c>
      <c r="AB12184" t="s">
        <v>371</v>
      </c>
      <c r="AC12184" t="s">
        <v>298</v>
      </c>
      <c r="AD12184" t="s">
        <v>99</v>
      </c>
      <c r="AE12184" t="s">
        <v>99</v>
      </c>
      <c r="AF12184">
        <v>62</v>
      </c>
      <c r="AG12184" t="s">
        <v>211</v>
      </c>
      <c r="AH12184" t="s">
        <v>99</v>
      </c>
      <c r="AI12184" t="s">
        <v>99</v>
      </c>
      <c r="AJ12184" t="s">
        <v>99</v>
      </c>
    </row>
    <row r="12185" spans="1:36" s="5" customFormat="1" x14ac:dyDescent="0.3">
      <c r="A12185" s="5" t="s">
        <v>33</v>
      </c>
      <c r="B12185" s="5" t="s">
        <v>390</v>
      </c>
      <c r="C12185" s="5">
        <v>26</v>
      </c>
      <c r="D12185" s="5" t="s">
        <v>231</v>
      </c>
      <c r="E12185" s="5" t="s">
        <v>769</v>
      </c>
      <c r="F12185" s="5" t="s">
        <v>99</v>
      </c>
      <c r="G12185" s="5">
        <v>26</v>
      </c>
      <c r="H12185" s="5" t="s">
        <v>211</v>
      </c>
      <c r="I12185" s="5" t="s">
        <v>99</v>
      </c>
      <c r="J12185" s="5" t="s">
        <v>99</v>
      </c>
      <c r="K12185" s="5" t="s">
        <v>99</v>
      </c>
      <c r="L12185" s="5">
        <v>26</v>
      </c>
      <c r="M12185" s="5" t="s">
        <v>447</v>
      </c>
      <c r="N12185" s="5" t="s">
        <v>206</v>
      </c>
      <c r="O12185" s="5" t="s">
        <v>99</v>
      </c>
      <c r="P12185" s="5" t="s">
        <v>99</v>
      </c>
      <c r="Q12185" s="5">
        <v>26</v>
      </c>
      <c r="R12185" s="5" t="s">
        <v>966</v>
      </c>
      <c r="S12185" s="5" t="s">
        <v>315</v>
      </c>
      <c r="T12185" s="5" t="s">
        <v>99</v>
      </c>
      <c r="U12185" s="5" t="s">
        <v>99</v>
      </c>
      <c r="V12185" s="5">
        <v>26</v>
      </c>
      <c r="W12185" s="5" t="s">
        <v>237</v>
      </c>
      <c r="X12185" s="5" t="s">
        <v>130</v>
      </c>
      <c r="Y12185" s="5" t="s">
        <v>99</v>
      </c>
      <c r="Z12185" s="5" t="s">
        <v>99</v>
      </c>
      <c r="AA12185" s="5">
        <v>26</v>
      </c>
      <c r="AB12185" s="5" t="s">
        <v>1619</v>
      </c>
      <c r="AC12185" s="5" t="s">
        <v>933</v>
      </c>
      <c r="AD12185" s="5" t="s">
        <v>99</v>
      </c>
      <c r="AE12185" s="5" t="s">
        <v>99</v>
      </c>
      <c r="AF12185" s="5">
        <v>26</v>
      </c>
      <c r="AG12185" s="5" t="s">
        <v>211</v>
      </c>
      <c r="AH12185" s="5" t="s">
        <v>99</v>
      </c>
      <c r="AI12185" s="5" t="s">
        <v>99</v>
      </c>
      <c r="AJ12185" s="5" t="s">
        <v>99</v>
      </c>
    </row>
    <row r="12186" spans="1:36" x14ac:dyDescent="0.3">
      <c r="A12186" t="s">
        <v>33</v>
      </c>
      <c r="B12186" t="s">
        <v>365</v>
      </c>
      <c r="C12186">
        <v>4</v>
      </c>
      <c r="D12186" t="s">
        <v>670</v>
      </c>
      <c r="E12186" t="s">
        <v>1020</v>
      </c>
      <c r="F12186" t="s">
        <v>99</v>
      </c>
      <c r="G12186">
        <v>4</v>
      </c>
      <c r="H12186" t="s">
        <v>211</v>
      </c>
      <c r="I12186" t="s">
        <v>99</v>
      </c>
      <c r="J12186" t="s">
        <v>99</v>
      </c>
      <c r="K12186" t="s">
        <v>99</v>
      </c>
      <c r="L12186">
        <v>4</v>
      </c>
      <c r="M12186" t="s">
        <v>1020</v>
      </c>
      <c r="N12186" t="s">
        <v>670</v>
      </c>
      <c r="O12186" t="s">
        <v>99</v>
      </c>
      <c r="P12186" t="s">
        <v>99</v>
      </c>
      <c r="Q12186">
        <v>4</v>
      </c>
      <c r="R12186" t="s">
        <v>1132</v>
      </c>
      <c r="S12186" t="s">
        <v>702</v>
      </c>
      <c r="T12186" t="s">
        <v>99</v>
      </c>
      <c r="U12186" t="s">
        <v>99</v>
      </c>
      <c r="V12186">
        <v>4</v>
      </c>
      <c r="W12186" t="s">
        <v>211</v>
      </c>
      <c r="X12186" t="s">
        <v>99</v>
      </c>
      <c r="Y12186" t="s">
        <v>99</v>
      </c>
      <c r="Z12186" t="s">
        <v>99</v>
      </c>
      <c r="AA12186">
        <v>4</v>
      </c>
      <c r="AB12186" t="s">
        <v>909</v>
      </c>
      <c r="AC12186" t="s">
        <v>909</v>
      </c>
      <c r="AD12186" t="s">
        <v>99</v>
      </c>
      <c r="AE12186" t="s">
        <v>99</v>
      </c>
      <c r="AF12186">
        <v>4</v>
      </c>
      <c r="AG12186" t="s">
        <v>211</v>
      </c>
      <c r="AH12186" t="s">
        <v>99</v>
      </c>
      <c r="AI12186" t="s">
        <v>99</v>
      </c>
      <c r="AJ12186" t="s">
        <v>99</v>
      </c>
    </row>
    <row r="12187" spans="1:36" x14ac:dyDescent="0.3">
      <c r="A12187" t="s">
        <v>49</v>
      </c>
      <c r="B12187" t="s">
        <v>389</v>
      </c>
      <c r="C12187">
        <v>1645</v>
      </c>
      <c r="D12187" t="s">
        <v>41</v>
      </c>
      <c r="E12187" t="s">
        <v>421</v>
      </c>
      <c r="F12187" t="s">
        <v>99</v>
      </c>
      <c r="G12187">
        <v>1645</v>
      </c>
      <c r="H12187" t="s">
        <v>358</v>
      </c>
      <c r="I12187" t="s">
        <v>468</v>
      </c>
      <c r="J12187" t="s">
        <v>104</v>
      </c>
      <c r="K12187" t="s">
        <v>99</v>
      </c>
      <c r="L12187">
        <v>1645</v>
      </c>
      <c r="M12187" t="s">
        <v>764</v>
      </c>
      <c r="N12187" t="s">
        <v>179</v>
      </c>
      <c r="O12187" t="s">
        <v>104</v>
      </c>
      <c r="P12187" t="s">
        <v>104</v>
      </c>
      <c r="Q12187">
        <v>1645</v>
      </c>
      <c r="R12187" t="s">
        <v>275</v>
      </c>
      <c r="S12187" t="s">
        <v>916</v>
      </c>
      <c r="T12187" t="s">
        <v>198</v>
      </c>
      <c r="U12187" t="s">
        <v>104</v>
      </c>
      <c r="V12187">
        <v>1645</v>
      </c>
      <c r="W12187" t="s">
        <v>362</v>
      </c>
      <c r="X12187" t="s">
        <v>135</v>
      </c>
      <c r="Y12187" t="s">
        <v>207</v>
      </c>
      <c r="Z12187" t="s">
        <v>198</v>
      </c>
      <c r="AA12187">
        <v>1645</v>
      </c>
      <c r="AB12187" t="s">
        <v>865</v>
      </c>
      <c r="AC12187" t="s">
        <v>131</v>
      </c>
      <c r="AD12187" t="s">
        <v>198</v>
      </c>
      <c r="AE12187" t="s">
        <v>99</v>
      </c>
      <c r="AF12187">
        <v>1643</v>
      </c>
      <c r="AG12187" t="s">
        <v>776</v>
      </c>
      <c r="AH12187" t="s">
        <v>141</v>
      </c>
      <c r="AI12187" t="s">
        <v>120</v>
      </c>
      <c r="AJ12187" t="s">
        <v>104</v>
      </c>
    </row>
    <row r="12188" spans="1:36" x14ac:dyDescent="0.3">
      <c r="A12188" t="s">
        <v>49</v>
      </c>
      <c r="B12188" t="s">
        <v>390</v>
      </c>
      <c r="C12188">
        <v>566</v>
      </c>
      <c r="D12188" t="s">
        <v>150</v>
      </c>
      <c r="E12188" t="s">
        <v>226</v>
      </c>
      <c r="F12188" t="s">
        <v>99</v>
      </c>
      <c r="G12188">
        <v>566</v>
      </c>
      <c r="H12188" t="s">
        <v>323</v>
      </c>
      <c r="I12188" t="s">
        <v>78</v>
      </c>
      <c r="J12188" t="s">
        <v>99</v>
      </c>
      <c r="K12188" t="s">
        <v>253</v>
      </c>
      <c r="L12188">
        <v>566</v>
      </c>
      <c r="M12188" t="s">
        <v>172</v>
      </c>
      <c r="N12188" t="s">
        <v>171</v>
      </c>
      <c r="O12188" t="s">
        <v>99</v>
      </c>
      <c r="P12188" t="s">
        <v>104</v>
      </c>
      <c r="Q12188">
        <v>566</v>
      </c>
      <c r="R12188" t="s">
        <v>608</v>
      </c>
      <c r="S12188" t="s">
        <v>724</v>
      </c>
      <c r="T12188" t="s">
        <v>253</v>
      </c>
      <c r="U12188" t="s">
        <v>99</v>
      </c>
      <c r="V12188">
        <v>566</v>
      </c>
      <c r="W12188" t="s">
        <v>375</v>
      </c>
      <c r="X12188" t="s">
        <v>139</v>
      </c>
      <c r="Y12188" t="s">
        <v>136</v>
      </c>
      <c r="Z12188" t="s">
        <v>99</v>
      </c>
      <c r="AA12188">
        <v>566</v>
      </c>
      <c r="AB12188" t="s">
        <v>1515</v>
      </c>
      <c r="AC12188" t="s">
        <v>686</v>
      </c>
      <c r="AD12188" t="s">
        <v>99</v>
      </c>
      <c r="AE12188" t="s">
        <v>104</v>
      </c>
      <c r="AF12188">
        <v>566</v>
      </c>
      <c r="AG12188" t="s">
        <v>758</v>
      </c>
      <c r="AH12188" t="s">
        <v>126</v>
      </c>
      <c r="AI12188" t="s">
        <v>130</v>
      </c>
      <c r="AJ12188" t="s">
        <v>99</v>
      </c>
    </row>
    <row r="12189" spans="1:36" x14ac:dyDescent="0.3">
      <c r="A12189" t="s">
        <v>49</v>
      </c>
      <c r="B12189" t="s">
        <v>365</v>
      </c>
      <c r="C12189">
        <v>99</v>
      </c>
      <c r="D12189" t="s">
        <v>680</v>
      </c>
      <c r="E12189" t="s">
        <v>380</v>
      </c>
      <c r="F12189" t="s">
        <v>99</v>
      </c>
      <c r="G12189">
        <v>99</v>
      </c>
      <c r="H12189" t="s">
        <v>323</v>
      </c>
      <c r="I12189" t="s">
        <v>113</v>
      </c>
      <c r="J12189" t="s">
        <v>99</v>
      </c>
      <c r="K12189" t="s">
        <v>99</v>
      </c>
      <c r="L12189">
        <v>99</v>
      </c>
      <c r="M12189" t="s">
        <v>409</v>
      </c>
      <c r="N12189" t="s">
        <v>408</v>
      </c>
      <c r="O12189" t="s">
        <v>99</v>
      </c>
      <c r="P12189" t="s">
        <v>99</v>
      </c>
      <c r="Q12189">
        <v>99</v>
      </c>
      <c r="R12189" t="s">
        <v>634</v>
      </c>
      <c r="S12189" t="s">
        <v>613</v>
      </c>
      <c r="T12189" t="s">
        <v>99</v>
      </c>
      <c r="U12189" t="s">
        <v>99</v>
      </c>
      <c r="V12189">
        <v>99</v>
      </c>
      <c r="W12189" t="s">
        <v>433</v>
      </c>
      <c r="X12189" t="s">
        <v>434</v>
      </c>
      <c r="Y12189" t="s">
        <v>99</v>
      </c>
      <c r="Z12189" t="s">
        <v>99</v>
      </c>
      <c r="AA12189">
        <v>99</v>
      </c>
      <c r="AB12189" t="s">
        <v>1475</v>
      </c>
      <c r="AC12189" t="s">
        <v>499</v>
      </c>
      <c r="AD12189" t="s">
        <v>99</v>
      </c>
      <c r="AE12189" t="s">
        <v>99</v>
      </c>
      <c r="AF12189">
        <v>99</v>
      </c>
      <c r="AG12189" t="s">
        <v>265</v>
      </c>
      <c r="AH12189" t="s">
        <v>117</v>
      </c>
      <c r="AI12189" t="s">
        <v>100</v>
      </c>
      <c r="AJ12189" t="s">
        <v>99</v>
      </c>
    </row>
    <row r="12191" spans="1:36" x14ac:dyDescent="0.3">
      <c r="A12191" t="s">
        <v>2798</v>
      </c>
    </row>
    <row r="12192" spans="1:36" x14ac:dyDescent="0.3">
      <c r="A12192" t="s">
        <v>44</v>
      </c>
      <c r="B12192" t="s">
        <v>235</v>
      </c>
      <c r="C12192" t="s">
        <v>2763</v>
      </c>
      <c r="D12192" t="s">
        <v>2764</v>
      </c>
      <c r="E12192" t="s">
        <v>2765</v>
      </c>
      <c r="F12192" t="s">
        <v>2766</v>
      </c>
      <c r="G12192" t="s">
        <v>2767</v>
      </c>
      <c r="H12192" t="s">
        <v>2768</v>
      </c>
      <c r="I12192" t="s">
        <v>2769</v>
      </c>
      <c r="J12192" t="s">
        <v>2770</v>
      </c>
      <c r="K12192" t="s">
        <v>2771</v>
      </c>
      <c r="L12192" t="s">
        <v>2772</v>
      </c>
      <c r="M12192" t="s">
        <v>2773</v>
      </c>
      <c r="N12192" t="s">
        <v>2774</v>
      </c>
      <c r="O12192" t="s">
        <v>2775</v>
      </c>
      <c r="P12192" t="s">
        <v>2776</v>
      </c>
      <c r="Q12192" t="s">
        <v>2777</v>
      </c>
      <c r="R12192" t="s">
        <v>2778</v>
      </c>
      <c r="S12192" t="s">
        <v>2779</v>
      </c>
      <c r="T12192" t="s">
        <v>2780</v>
      </c>
      <c r="U12192" t="s">
        <v>2781</v>
      </c>
      <c r="V12192" t="s">
        <v>2782</v>
      </c>
      <c r="W12192" t="s">
        <v>2783</v>
      </c>
      <c r="X12192" t="s">
        <v>2784</v>
      </c>
      <c r="Y12192" t="s">
        <v>2785</v>
      </c>
      <c r="Z12192" t="s">
        <v>2786</v>
      </c>
      <c r="AA12192" t="s">
        <v>2787</v>
      </c>
      <c r="AB12192" t="s">
        <v>2788</v>
      </c>
      <c r="AC12192" t="s">
        <v>2789</v>
      </c>
      <c r="AD12192" t="s">
        <v>2790</v>
      </c>
      <c r="AE12192" t="s">
        <v>2791</v>
      </c>
      <c r="AF12192" t="s">
        <v>2792</v>
      </c>
      <c r="AG12192" t="s">
        <v>2793</v>
      </c>
      <c r="AH12192" t="s">
        <v>2795</v>
      </c>
      <c r="AI12192" t="s">
        <v>2794</v>
      </c>
      <c r="AJ12192" t="s">
        <v>2796</v>
      </c>
    </row>
    <row r="12193" spans="1:36" x14ac:dyDescent="0.3">
      <c r="A12193" t="s">
        <v>35</v>
      </c>
      <c r="B12193" t="s">
        <v>236</v>
      </c>
      <c r="C12193">
        <v>147</v>
      </c>
      <c r="D12193" t="s">
        <v>499</v>
      </c>
      <c r="E12193" t="s">
        <v>1475</v>
      </c>
      <c r="F12193" t="s">
        <v>99</v>
      </c>
      <c r="G12193">
        <v>147</v>
      </c>
      <c r="H12193" t="s">
        <v>73</v>
      </c>
      <c r="I12193" t="s">
        <v>72</v>
      </c>
      <c r="J12193" t="s">
        <v>99</v>
      </c>
      <c r="K12193" t="s">
        <v>99</v>
      </c>
      <c r="L12193">
        <v>147</v>
      </c>
      <c r="M12193" t="s">
        <v>908</v>
      </c>
      <c r="N12193" t="s">
        <v>739</v>
      </c>
      <c r="O12193" t="s">
        <v>99</v>
      </c>
      <c r="P12193" t="s">
        <v>99</v>
      </c>
      <c r="Q12193">
        <v>147</v>
      </c>
      <c r="R12193" t="s">
        <v>2118</v>
      </c>
      <c r="S12193" t="s">
        <v>713</v>
      </c>
      <c r="T12193" t="s">
        <v>99</v>
      </c>
      <c r="U12193" t="s">
        <v>99</v>
      </c>
      <c r="V12193">
        <v>147</v>
      </c>
      <c r="W12193" t="s">
        <v>778</v>
      </c>
      <c r="X12193" t="s">
        <v>68</v>
      </c>
      <c r="Y12193" t="s">
        <v>207</v>
      </c>
      <c r="Z12193" t="s">
        <v>99</v>
      </c>
      <c r="AA12193">
        <v>147</v>
      </c>
      <c r="AB12193" t="s">
        <v>875</v>
      </c>
      <c r="AC12193" t="s">
        <v>677</v>
      </c>
      <c r="AD12193" t="s">
        <v>99</v>
      </c>
      <c r="AE12193" t="s">
        <v>99</v>
      </c>
      <c r="AF12193">
        <v>147</v>
      </c>
      <c r="AG12193" t="s">
        <v>364</v>
      </c>
      <c r="AH12193" t="s">
        <v>248</v>
      </c>
      <c r="AI12193" t="s">
        <v>207</v>
      </c>
      <c r="AJ12193" t="s">
        <v>99</v>
      </c>
    </row>
    <row r="12194" spans="1:36" x14ac:dyDescent="0.3">
      <c r="A12194" t="s">
        <v>35</v>
      </c>
      <c r="B12194" t="s">
        <v>238</v>
      </c>
      <c r="C12194">
        <v>223</v>
      </c>
      <c r="D12194" t="s">
        <v>463</v>
      </c>
      <c r="E12194" t="s">
        <v>1277</v>
      </c>
      <c r="F12194" t="s">
        <v>99</v>
      </c>
      <c r="G12194">
        <v>223</v>
      </c>
      <c r="H12194" t="s">
        <v>786</v>
      </c>
      <c r="I12194" t="s">
        <v>149</v>
      </c>
      <c r="J12194" t="s">
        <v>99</v>
      </c>
      <c r="K12194" t="s">
        <v>99</v>
      </c>
      <c r="L12194">
        <v>223</v>
      </c>
      <c r="M12194" t="s">
        <v>1308</v>
      </c>
      <c r="N12194" t="s">
        <v>305</v>
      </c>
      <c r="O12194" t="s">
        <v>136</v>
      </c>
      <c r="P12194" t="s">
        <v>99</v>
      </c>
      <c r="Q12194">
        <v>223</v>
      </c>
      <c r="R12194" t="s">
        <v>1480</v>
      </c>
      <c r="S12194" t="s">
        <v>697</v>
      </c>
      <c r="T12194" t="s">
        <v>99</v>
      </c>
      <c r="U12194" t="s">
        <v>136</v>
      </c>
      <c r="V12194">
        <v>223</v>
      </c>
      <c r="W12194" t="s">
        <v>766</v>
      </c>
      <c r="X12194" t="s">
        <v>382</v>
      </c>
      <c r="Y12194" t="s">
        <v>99</v>
      </c>
      <c r="Z12194" t="s">
        <v>136</v>
      </c>
      <c r="AA12194">
        <v>223</v>
      </c>
      <c r="AB12194" t="s">
        <v>53</v>
      </c>
      <c r="AC12194" t="s">
        <v>488</v>
      </c>
      <c r="AD12194" t="s">
        <v>99</v>
      </c>
      <c r="AE12194" t="s">
        <v>136</v>
      </c>
      <c r="AF12194">
        <v>223</v>
      </c>
      <c r="AG12194" t="s">
        <v>383</v>
      </c>
      <c r="AH12194" t="s">
        <v>101</v>
      </c>
      <c r="AI12194" t="s">
        <v>99</v>
      </c>
      <c r="AJ12194" t="s">
        <v>136</v>
      </c>
    </row>
    <row r="12195" spans="1:36" x14ac:dyDescent="0.3">
      <c r="A12195" t="s">
        <v>37</v>
      </c>
      <c r="B12195" t="s">
        <v>236</v>
      </c>
      <c r="C12195">
        <v>104</v>
      </c>
      <c r="D12195" t="s">
        <v>740</v>
      </c>
      <c r="E12195" t="s">
        <v>411</v>
      </c>
      <c r="F12195" t="s">
        <v>99</v>
      </c>
      <c r="G12195">
        <v>104</v>
      </c>
      <c r="H12195" t="s">
        <v>543</v>
      </c>
      <c r="I12195" t="s">
        <v>700</v>
      </c>
      <c r="J12195" t="s">
        <v>99</v>
      </c>
      <c r="K12195" t="s">
        <v>99</v>
      </c>
      <c r="L12195">
        <v>104</v>
      </c>
      <c r="M12195" t="s">
        <v>448</v>
      </c>
      <c r="N12195" t="s">
        <v>449</v>
      </c>
      <c r="O12195" t="s">
        <v>99</v>
      </c>
      <c r="P12195" t="s">
        <v>99</v>
      </c>
      <c r="Q12195">
        <v>104</v>
      </c>
      <c r="R12195" t="s">
        <v>57</v>
      </c>
      <c r="S12195" t="s">
        <v>58</v>
      </c>
      <c r="T12195" t="s">
        <v>99</v>
      </c>
      <c r="U12195" t="s">
        <v>99</v>
      </c>
      <c r="V12195">
        <v>104</v>
      </c>
      <c r="W12195" t="s">
        <v>75</v>
      </c>
      <c r="X12195" t="s">
        <v>412</v>
      </c>
      <c r="Y12195" t="s">
        <v>100</v>
      </c>
      <c r="Z12195" t="s">
        <v>99</v>
      </c>
      <c r="AA12195">
        <v>104</v>
      </c>
      <c r="AB12195" t="s">
        <v>915</v>
      </c>
      <c r="AC12195" t="s">
        <v>916</v>
      </c>
      <c r="AD12195" t="s">
        <v>99</v>
      </c>
      <c r="AE12195" t="s">
        <v>99</v>
      </c>
      <c r="AF12195">
        <v>104</v>
      </c>
      <c r="AG12195" t="s">
        <v>786</v>
      </c>
      <c r="AH12195" t="s">
        <v>118</v>
      </c>
      <c r="AI12195" t="s">
        <v>108</v>
      </c>
      <c r="AJ12195" t="s">
        <v>99</v>
      </c>
    </row>
    <row r="12196" spans="1:36" x14ac:dyDescent="0.3">
      <c r="A12196" t="s">
        <v>37</v>
      </c>
      <c r="B12196" t="s">
        <v>238</v>
      </c>
      <c r="C12196">
        <v>123</v>
      </c>
      <c r="D12196" t="s">
        <v>990</v>
      </c>
      <c r="E12196" t="s">
        <v>477</v>
      </c>
      <c r="F12196" t="s">
        <v>141</v>
      </c>
      <c r="G12196">
        <v>123</v>
      </c>
      <c r="H12196" t="s">
        <v>166</v>
      </c>
      <c r="I12196" t="s">
        <v>165</v>
      </c>
      <c r="J12196" t="s">
        <v>99</v>
      </c>
      <c r="K12196" t="s">
        <v>99</v>
      </c>
      <c r="L12196">
        <v>123</v>
      </c>
      <c r="M12196" t="s">
        <v>1064</v>
      </c>
      <c r="N12196" t="s">
        <v>730</v>
      </c>
      <c r="O12196" t="s">
        <v>99</v>
      </c>
      <c r="P12196" t="s">
        <v>99</v>
      </c>
      <c r="Q12196">
        <v>123</v>
      </c>
      <c r="R12196" t="s">
        <v>346</v>
      </c>
      <c r="S12196" t="s">
        <v>283</v>
      </c>
      <c r="T12196" t="s">
        <v>99</v>
      </c>
      <c r="U12196" t="s">
        <v>99</v>
      </c>
      <c r="V12196">
        <v>123</v>
      </c>
      <c r="W12196" t="s">
        <v>403</v>
      </c>
      <c r="X12196" t="s">
        <v>461</v>
      </c>
      <c r="Y12196" t="s">
        <v>99</v>
      </c>
      <c r="Z12196" t="s">
        <v>99</v>
      </c>
      <c r="AA12196">
        <v>123</v>
      </c>
      <c r="AB12196" t="s">
        <v>304</v>
      </c>
      <c r="AC12196" t="s">
        <v>1102</v>
      </c>
      <c r="AD12196" t="s">
        <v>99</v>
      </c>
      <c r="AE12196" t="s">
        <v>99</v>
      </c>
      <c r="AF12196">
        <v>123</v>
      </c>
      <c r="AG12196" t="s">
        <v>79</v>
      </c>
      <c r="AH12196" t="s">
        <v>316</v>
      </c>
      <c r="AI12196" t="s">
        <v>277</v>
      </c>
      <c r="AJ12196" t="s">
        <v>99</v>
      </c>
    </row>
    <row r="12197" spans="1:36" x14ac:dyDescent="0.3">
      <c r="A12197" t="s">
        <v>36</v>
      </c>
      <c r="B12197" t="s">
        <v>236</v>
      </c>
      <c r="C12197">
        <v>629</v>
      </c>
      <c r="D12197" t="s">
        <v>118</v>
      </c>
      <c r="E12197" t="s">
        <v>779</v>
      </c>
      <c r="F12197" t="s">
        <v>99</v>
      </c>
      <c r="G12197">
        <v>629</v>
      </c>
      <c r="H12197" t="s">
        <v>335</v>
      </c>
      <c r="I12197" t="s">
        <v>158</v>
      </c>
      <c r="J12197" t="s">
        <v>99</v>
      </c>
      <c r="K12197" t="s">
        <v>99</v>
      </c>
      <c r="L12197">
        <v>629</v>
      </c>
      <c r="M12197" t="s">
        <v>857</v>
      </c>
      <c r="N12197" t="s">
        <v>296</v>
      </c>
      <c r="O12197" t="s">
        <v>99</v>
      </c>
      <c r="P12197" t="s">
        <v>253</v>
      </c>
      <c r="Q12197">
        <v>629</v>
      </c>
      <c r="R12197" t="s">
        <v>520</v>
      </c>
      <c r="S12197" t="s">
        <v>347</v>
      </c>
      <c r="T12197" t="s">
        <v>253</v>
      </c>
      <c r="U12197" t="s">
        <v>99</v>
      </c>
      <c r="V12197">
        <v>629</v>
      </c>
      <c r="W12197" t="s">
        <v>359</v>
      </c>
      <c r="X12197" t="s">
        <v>671</v>
      </c>
      <c r="Y12197" t="s">
        <v>99</v>
      </c>
      <c r="Z12197" t="s">
        <v>99</v>
      </c>
      <c r="AA12197">
        <v>629</v>
      </c>
      <c r="AB12197" t="s">
        <v>464</v>
      </c>
      <c r="AC12197" t="s">
        <v>173</v>
      </c>
      <c r="AD12197" t="s">
        <v>104</v>
      </c>
      <c r="AE12197" t="s">
        <v>99</v>
      </c>
      <c r="AF12197">
        <v>629</v>
      </c>
      <c r="AG12197" t="s">
        <v>337</v>
      </c>
      <c r="AH12197" t="s">
        <v>434</v>
      </c>
      <c r="AI12197" t="s">
        <v>104</v>
      </c>
      <c r="AJ12197" t="s">
        <v>99</v>
      </c>
    </row>
    <row r="12198" spans="1:36" x14ac:dyDescent="0.3">
      <c r="A12198" t="s">
        <v>36</v>
      </c>
      <c r="B12198" t="s">
        <v>238</v>
      </c>
      <c r="C12198">
        <v>249</v>
      </c>
      <c r="D12198" t="s">
        <v>126</v>
      </c>
      <c r="E12198" t="s">
        <v>229</v>
      </c>
      <c r="F12198" t="s">
        <v>99</v>
      </c>
      <c r="G12198">
        <v>249</v>
      </c>
      <c r="H12198" t="s">
        <v>505</v>
      </c>
      <c r="I12198" t="s">
        <v>158</v>
      </c>
      <c r="J12198" t="s">
        <v>104</v>
      </c>
      <c r="K12198" t="s">
        <v>99</v>
      </c>
      <c r="L12198">
        <v>249</v>
      </c>
      <c r="M12198" t="s">
        <v>337</v>
      </c>
      <c r="N12198" t="s">
        <v>474</v>
      </c>
      <c r="O12198" t="s">
        <v>99</v>
      </c>
      <c r="P12198" t="s">
        <v>99</v>
      </c>
      <c r="Q12198">
        <v>249</v>
      </c>
      <c r="R12198" t="s">
        <v>1187</v>
      </c>
      <c r="S12198" t="s">
        <v>626</v>
      </c>
      <c r="T12198" t="s">
        <v>136</v>
      </c>
      <c r="U12198" t="s">
        <v>99</v>
      </c>
      <c r="V12198">
        <v>249</v>
      </c>
      <c r="W12198" t="s">
        <v>75</v>
      </c>
      <c r="X12198" t="s">
        <v>74</v>
      </c>
      <c r="Y12198" t="s">
        <v>99</v>
      </c>
      <c r="Z12198" t="s">
        <v>99</v>
      </c>
      <c r="AA12198">
        <v>249</v>
      </c>
      <c r="AB12198" t="s">
        <v>991</v>
      </c>
      <c r="AC12198" t="s">
        <v>689</v>
      </c>
      <c r="AD12198" t="s">
        <v>104</v>
      </c>
      <c r="AE12198" t="s">
        <v>99</v>
      </c>
      <c r="AF12198">
        <v>249</v>
      </c>
      <c r="AG12198" t="s">
        <v>333</v>
      </c>
      <c r="AH12198" t="s">
        <v>134</v>
      </c>
      <c r="AI12198" t="s">
        <v>99</v>
      </c>
      <c r="AJ12198" t="s">
        <v>99</v>
      </c>
    </row>
    <row r="12199" spans="1:36" x14ac:dyDescent="0.3">
      <c r="A12199" t="s">
        <v>34</v>
      </c>
      <c r="B12199" t="s">
        <v>236</v>
      </c>
      <c r="C12199">
        <v>194</v>
      </c>
      <c r="D12199" t="s">
        <v>128</v>
      </c>
      <c r="E12199" t="s">
        <v>780</v>
      </c>
      <c r="F12199" t="s">
        <v>99</v>
      </c>
      <c r="G12199">
        <v>194</v>
      </c>
      <c r="H12199" t="s">
        <v>232</v>
      </c>
      <c r="I12199" t="s">
        <v>804</v>
      </c>
      <c r="J12199" t="s">
        <v>108</v>
      </c>
      <c r="K12199" t="s">
        <v>99</v>
      </c>
      <c r="L12199">
        <v>194</v>
      </c>
      <c r="M12199" t="s">
        <v>1135</v>
      </c>
      <c r="N12199" t="s">
        <v>318</v>
      </c>
      <c r="O12199" t="s">
        <v>99</v>
      </c>
      <c r="P12199" t="s">
        <v>99</v>
      </c>
      <c r="Q12199">
        <v>194</v>
      </c>
      <c r="R12199" t="s">
        <v>915</v>
      </c>
      <c r="S12199" t="s">
        <v>119</v>
      </c>
      <c r="T12199" t="s">
        <v>108</v>
      </c>
      <c r="U12199" t="s">
        <v>99</v>
      </c>
      <c r="V12199">
        <v>194</v>
      </c>
      <c r="W12199" t="s">
        <v>889</v>
      </c>
      <c r="X12199" t="s">
        <v>142</v>
      </c>
      <c r="Y12199" t="s">
        <v>108</v>
      </c>
      <c r="Z12199" t="s">
        <v>99</v>
      </c>
      <c r="AA12199">
        <v>194</v>
      </c>
      <c r="AB12199" t="s">
        <v>1137</v>
      </c>
      <c r="AC12199" t="s">
        <v>678</v>
      </c>
      <c r="AD12199" t="s">
        <v>99</v>
      </c>
      <c r="AE12199" t="s">
        <v>99</v>
      </c>
      <c r="AF12199">
        <v>193</v>
      </c>
      <c r="AG12199" t="s">
        <v>336</v>
      </c>
      <c r="AH12199" t="s">
        <v>138</v>
      </c>
      <c r="AI12199" t="s">
        <v>99</v>
      </c>
      <c r="AJ12199" t="s">
        <v>99</v>
      </c>
    </row>
    <row r="12200" spans="1:36" x14ac:dyDescent="0.3">
      <c r="A12200" t="s">
        <v>34</v>
      </c>
      <c r="B12200" t="s">
        <v>238</v>
      </c>
      <c r="C12200">
        <v>549</v>
      </c>
      <c r="D12200" t="s">
        <v>107</v>
      </c>
      <c r="E12200" t="s">
        <v>998</v>
      </c>
      <c r="F12200" t="s">
        <v>99</v>
      </c>
      <c r="G12200">
        <v>549</v>
      </c>
      <c r="H12200" t="s">
        <v>237</v>
      </c>
      <c r="I12200" t="s">
        <v>118</v>
      </c>
      <c r="J12200" t="s">
        <v>99</v>
      </c>
      <c r="K12200" t="s">
        <v>207</v>
      </c>
      <c r="L12200">
        <v>549</v>
      </c>
      <c r="M12200" t="s">
        <v>448</v>
      </c>
      <c r="N12200" t="s">
        <v>416</v>
      </c>
      <c r="O12200" t="s">
        <v>99</v>
      </c>
      <c r="P12200" t="s">
        <v>198</v>
      </c>
      <c r="Q12200">
        <v>549</v>
      </c>
      <c r="R12200" t="s">
        <v>1001</v>
      </c>
      <c r="S12200" t="s">
        <v>344</v>
      </c>
      <c r="T12200" t="s">
        <v>207</v>
      </c>
      <c r="U12200" t="s">
        <v>99</v>
      </c>
      <c r="V12200">
        <v>549</v>
      </c>
      <c r="W12200" t="s">
        <v>334</v>
      </c>
      <c r="X12200" t="s">
        <v>328</v>
      </c>
      <c r="Y12200" t="s">
        <v>207</v>
      </c>
      <c r="Z12200" t="s">
        <v>207</v>
      </c>
      <c r="AA12200">
        <v>549</v>
      </c>
      <c r="AB12200" t="s">
        <v>1170</v>
      </c>
      <c r="AC12200" t="s">
        <v>670</v>
      </c>
      <c r="AD12200" t="s">
        <v>104</v>
      </c>
      <c r="AE12200" t="s">
        <v>207</v>
      </c>
      <c r="AF12200">
        <v>548</v>
      </c>
      <c r="AG12200" t="s">
        <v>786</v>
      </c>
      <c r="AH12200" t="s">
        <v>105</v>
      </c>
      <c r="AI12200" t="s">
        <v>126</v>
      </c>
      <c r="AJ12200" t="s">
        <v>99</v>
      </c>
    </row>
    <row r="12201" spans="1:36" x14ac:dyDescent="0.3">
      <c r="A12201" t="s">
        <v>33</v>
      </c>
      <c r="B12201" t="s">
        <v>236</v>
      </c>
      <c r="C12201">
        <v>44</v>
      </c>
      <c r="D12201" t="s">
        <v>536</v>
      </c>
      <c r="E12201" t="s">
        <v>537</v>
      </c>
      <c r="F12201" t="s">
        <v>99</v>
      </c>
      <c r="G12201">
        <v>44</v>
      </c>
      <c r="H12201" t="s">
        <v>375</v>
      </c>
      <c r="I12201" t="s">
        <v>242</v>
      </c>
      <c r="J12201" t="s">
        <v>99</v>
      </c>
      <c r="K12201" t="s">
        <v>99</v>
      </c>
      <c r="L12201">
        <v>44</v>
      </c>
      <c r="M12201" t="s">
        <v>400</v>
      </c>
      <c r="N12201" t="s">
        <v>420</v>
      </c>
      <c r="O12201" t="s">
        <v>99</v>
      </c>
      <c r="P12201" t="s">
        <v>99</v>
      </c>
      <c r="Q12201">
        <v>44</v>
      </c>
      <c r="R12201" t="s">
        <v>350</v>
      </c>
      <c r="S12201" t="s">
        <v>349</v>
      </c>
      <c r="T12201" t="s">
        <v>99</v>
      </c>
      <c r="U12201" t="s">
        <v>99</v>
      </c>
      <c r="V12201">
        <v>44</v>
      </c>
      <c r="W12201" t="s">
        <v>961</v>
      </c>
      <c r="X12201" t="s">
        <v>722</v>
      </c>
      <c r="Y12201" t="s">
        <v>99</v>
      </c>
      <c r="Z12201" t="s">
        <v>99</v>
      </c>
      <c r="AA12201">
        <v>44</v>
      </c>
      <c r="AB12201" t="s">
        <v>492</v>
      </c>
      <c r="AC12201" t="s">
        <v>1044</v>
      </c>
      <c r="AD12201" t="s">
        <v>99</v>
      </c>
      <c r="AE12201" t="s">
        <v>99</v>
      </c>
      <c r="AF12201">
        <v>44</v>
      </c>
      <c r="AG12201" t="s">
        <v>211</v>
      </c>
      <c r="AH12201" t="s">
        <v>99</v>
      </c>
      <c r="AI12201" t="s">
        <v>99</v>
      </c>
      <c r="AJ12201" t="s">
        <v>99</v>
      </c>
    </row>
    <row r="12202" spans="1:36" x14ac:dyDescent="0.3">
      <c r="A12202" t="s">
        <v>33</v>
      </c>
      <c r="B12202" t="s">
        <v>238</v>
      </c>
      <c r="C12202">
        <v>48</v>
      </c>
      <c r="D12202" t="s">
        <v>406</v>
      </c>
      <c r="E12202" t="s">
        <v>407</v>
      </c>
      <c r="F12202" t="s">
        <v>99</v>
      </c>
      <c r="G12202">
        <v>48</v>
      </c>
      <c r="H12202" t="s">
        <v>211</v>
      </c>
      <c r="I12202" t="s">
        <v>99</v>
      </c>
      <c r="J12202" t="s">
        <v>99</v>
      </c>
      <c r="K12202" t="s">
        <v>99</v>
      </c>
      <c r="L12202">
        <v>48</v>
      </c>
      <c r="M12202" t="s">
        <v>380</v>
      </c>
      <c r="N12202" t="s">
        <v>680</v>
      </c>
      <c r="O12202" t="s">
        <v>99</v>
      </c>
      <c r="P12202" t="s">
        <v>99</v>
      </c>
      <c r="Q12202">
        <v>48</v>
      </c>
      <c r="R12202" t="s">
        <v>761</v>
      </c>
      <c r="S12202" t="s">
        <v>691</v>
      </c>
      <c r="T12202" t="s">
        <v>99</v>
      </c>
      <c r="U12202" t="s">
        <v>99</v>
      </c>
      <c r="V12202">
        <v>48</v>
      </c>
      <c r="W12202" t="s">
        <v>327</v>
      </c>
      <c r="X12202" t="s">
        <v>325</v>
      </c>
      <c r="Y12202" t="s">
        <v>99</v>
      </c>
      <c r="Z12202" t="s">
        <v>99</v>
      </c>
      <c r="AA12202">
        <v>48</v>
      </c>
      <c r="AB12202" t="s">
        <v>530</v>
      </c>
      <c r="AC12202" t="s">
        <v>529</v>
      </c>
      <c r="AD12202" t="s">
        <v>99</v>
      </c>
      <c r="AE12202" t="s">
        <v>99</v>
      </c>
      <c r="AF12202">
        <v>48</v>
      </c>
      <c r="AG12202" t="s">
        <v>211</v>
      </c>
      <c r="AH12202" t="s">
        <v>99</v>
      </c>
      <c r="AI12202" t="s">
        <v>99</v>
      </c>
      <c r="AJ12202" t="s">
        <v>99</v>
      </c>
    </row>
    <row r="12203" spans="1:36" x14ac:dyDescent="0.3">
      <c r="A12203" t="s">
        <v>49</v>
      </c>
      <c r="B12203" t="s">
        <v>236</v>
      </c>
      <c r="C12203">
        <v>1118</v>
      </c>
      <c r="D12203" t="s">
        <v>401</v>
      </c>
      <c r="E12203" t="s">
        <v>354</v>
      </c>
      <c r="F12203" t="s">
        <v>99</v>
      </c>
      <c r="G12203">
        <v>1118</v>
      </c>
      <c r="H12203" t="s">
        <v>377</v>
      </c>
      <c r="I12203" t="s">
        <v>671</v>
      </c>
      <c r="J12203" t="s">
        <v>136</v>
      </c>
      <c r="K12203" t="s">
        <v>99</v>
      </c>
      <c r="L12203">
        <v>1118</v>
      </c>
      <c r="M12203" t="s">
        <v>866</v>
      </c>
      <c r="N12203" t="s">
        <v>721</v>
      </c>
      <c r="O12203" t="s">
        <v>99</v>
      </c>
      <c r="P12203" t="s">
        <v>104</v>
      </c>
      <c r="Q12203">
        <v>1118</v>
      </c>
      <c r="R12203" t="s">
        <v>308</v>
      </c>
      <c r="S12203" t="s">
        <v>485</v>
      </c>
      <c r="T12203" t="s">
        <v>141</v>
      </c>
      <c r="U12203" t="s">
        <v>99</v>
      </c>
      <c r="V12203">
        <v>1118</v>
      </c>
      <c r="W12203" t="s">
        <v>1308</v>
      </c>
      <c r="X12203" t="s">
        <v>363</v>
      </c>
      <c r="Y12203" t="s">
        <v>253</v>
      </c>
      <c r="Z12203" t="s">
        <v>99</v>
      </c>
      <c r="AA12203">
        <v>1118</v>
      </c>
      <c r="AB12203" t="s">
        <v>189</v>
      </c>
      <c r="AC12203" t="s">
        <v>990</v>
      </c>
      <c r="AD12203" t="s">
        <v>99</v>
      </c>
      <c r="AE12203" t="s">
        <v>99</v>
      </c>
      <c r="AF12203">
        <v>1117</v>
      </c>
      <c r="AG12203" t="s">
        <v>433</v>
      </c>
      <c r="AH12203" t="s">
        <v>129</v>
      </c>
      <c r="AI12203" t="s">
        <v>198</v>
      </c>
      <c r="AJ12203" t="s">
        <v>99</v>
      </c>
    </row>
    <row r="12204" spans="1:36" x14ac:dyDescent="0.3">
      <c r="A12204" t="s">
        <v>49</v>
      </c>
      <c r="B12204" t="s">
        <v>238</v>
      </c>
      <c r="C12204">
        <v>1192</v>
      </c>
      <c r="D12204" t="s">
        <v>296</v>
      </c>
      <c r="E12204" t="s">
        <v>421</v>
      </c>
      <c r="F12204" t="s">
        <v>99</v>
      </c>
      <c r="G12204">
        <v>1192</v>
      </c>
      <c r="H12204" t="s">
        <v>375</v>
      </c>
      <c r="I12204" t="s">
        <v>149</v>
      </c>
      <c r="J12204" t="s">
        <v>99</v>
      </c>
      <c r="K12204" t="s">
        <v>104</v>
      </c>
      <c r="L12204">
        <v>1192</v>
      </c>
      <c r="M12204" t="s">
        <v>1282</v>
      </c>
      <c r="N12204" t="s">
        <v>716</v>
      </c>
      <c r="O12204" t="s">
        <v>104</v>
      </c>
      <c r="P12204" t="s">
        <v>104</v>
      </c>
      <c r="Q12204">
        <v>1192</v>
      </c>
      <c r="R12204" t="s">
        <v>915</v>
      </c>
      <c r="S12204" t="s">
        <v>481</v>
      </c>
      <c r="T12204" t="s">
        <v>198</v>
      </c>
      <c r="U12204" t="s">
        <v>104</v>
      </c>
      <c r="V12204">
        <v>1192</v>
      </c>
      <c r="W12204" t="s">
        <v>335</v>
      </c>
      <c r="X12204" t="s">
        <v>242</v>
      </c>
      <c r="Y12204" t="s">
        <v>104</v>
      </c>
      <c r="Z12204" t="s">
        <v>198</v>
      </c>
      <c r="AA12204">
        <v>1192</v>
      </c>
      <c r="AB12204" t="s">
        <v>1060</v>
      </c>
      <c r="AC12204" t="s">
        <v>517</v>
      </c>
      <c r="AD12204" t="s">
        <v>104</v>
      </c>
      <c r="AE12204" t="s">
        <v>198</v>
      </c>
      <c r="AF12204">
        <v>1191</v>
      </c>
      <c r="AG12204" t="s">
        <v>779</v>
      </c>
      <c r="AH12204" t="s">
        <v>316</v>
      </c>
      <c r="AI12204" t="s">
        <v>100</v>
      </c>
      <c r="AJ12204" t="s">
        <v>104</v>
      </c>
    </row>
    <row r="12206" spans="1:36" x14ac:dyDescent="0.3">
      <c r="A12206" t="s">
        <v>2799</v>
      </c>
    </row>
    <row r="12207" spans="1:36" x14ac:dyDescent="0.3">
      <c r="A12207" t="s">
        <v>44</v>
      </c>
      <c r="B12207" t="s">
        <v>209</v>
      </c>
      <c r="C12207" t="s">
        <v>2763</v>
      </c>
      <c r="D12207" t="s">
        <v>2764</v>
      </c>
      <c r="E12207" t="s">
        <v>2765</v>
      </c>
      <c r="F12207" t="s">
        <v>2766</v>
      </c>
      <c r="G12207" t="s">
        <v>2767</v>
      </c>
      <c r="H12207" t="s">
        <v>2768</v>
      </c>
      <c r="I12207" t="s">
        <v>2769</v>
      </c>
      <c r="J12207" t="s">
        <v>2771</v>
      </c>
      <c r="K12207" t="s">
        <v>2770</v>
      </c>
      <c r="L12207" t="s">
        <v>2772</v>
      </c>
      <c r="M12207" t="s">
        <v>2773</v>
      </c>
      <c r="N12207" t="s">
        <v>2774</v>
      </c>
      <c r="O12207" t="s">
        <v>2775</v>
      </c>
      <c r="P12207" t="s">
        <v>2776</v>
      </c>
      <c r="Q12207" t="s">
        <v>2777</v>
      </c>
      <c r="R12207" t="s">
        <v>2778</v>
      </c>
      <c r="S12207" t="s">
        <v>2779</v>
      </c>
      <c r="T12207" t="s">
        <v>2780</v>
      </c>
      <c r="U12207" t="s">
        <v>2781</v>
      </c>
      <c r="V12207" t="s">
        <v>2782</v>
      </c>
      <c r="W12207" t="s">
        <v>2783</v>
      </c>
      <c r="X12207" t="s">
        <v>2784</v>
      </c>
      <c r="Y12207" t="s">
        <v>2785</v>
      </c>
      <c r="Z12207" t="s">
        <v>2786</v>
      </c>
      <c r="AA12207" t="s">
        <v>2787</v>
      </c>
      <c r="AB12207" t="s">
        <v>2788</v>
      </c>
      <c r="AC12207" t="s">
        <v>2789</v>
      </c>
      <c r="AD12207" t="s">
        <v>2791</v>
      </c>
      <c r="AE12207" t="s">
        <v>2790</v>
      </c>
      <c r="AF12207" t="s">
        <v>2792</v>
      </c>
      <c r="AG12207" t="s">
        <v>2793</v>
      </c>
      <c r="AH12207" t="s">
        <v>2794</v>
      </c>
      <c r="AI12207" t="s">
        <v>2795</v>
      </c>
      <c r="AJ12207" t="s">
        <v>2796</v>
      </c>
    </row>
    <row r="12208" spans="1:36" x14ac:dyDescent="0.3">
      <c r="A12208" t="s">
        <v>35</v>
      </c>
      <c r="B12208" t="s">
        <v>210</v>
      </c>
      <c r="C12208">
        <v>63</v>
      </c>
      <c r="D12208" t="s">
        <v>420</v>
      </c>
      <c r="E12208" t="s">
        <v>400</v>
      </c>
      <c r="F12208" t="s">
        <v>99</v>
      </c>
      <c r="G12208">
        <v>63</v>
      </c>
      <c r="H12208" t="s">
        <v>413</v>
      </c>
      <c r="I12208" t="s">
        <v>412</v>
      </c>
      <c r="J12208" t="s">
        <v>99</v>
      </c>
      <c r="K12208" t="s">
        <v>99</v>
      </c>
      <c r="L12208">
        <v>63</v>
      </c>
      <c r="M12208" t="s">
        <v>324</v>
      </c>
      <c r="N12208" t="s">
        <v>679</v>
      </c>
      <c r="O12208" t="s">
        <v>99</v>
      </c>
      <c r="P12208" t="s">
        <v>99</v>
      </c>
      <c r="Q12208">
        <v>63</v>
      </c>
      <c r="R12208" t="s">
        <v>1163</v>
      </c>
      <c r="S12208" t="s">
        <v>1179</v>
      </c>
      <c r="T12208" t="s">
        <v>99</v>
      </c>
      <c r="U12208" t="s">
        <v>99</v>
      </c>
      <c r="V12208">
        <v>63</v>
      </c>
      <c r="W12208" t="s">
        <v>1438</v>
      </c>
      <c r="X12208" t="s">
        <v>68</v>
      </c>
      <c r="Y12208" t="s">
        <v>136</v>
      </c>
      <c r="Z12208" t="s">
        <v>99</v>
      </c>
      <c r="AA12208">
        <v>63</v>
      </c>
      <c r="AB12208" t="s">
        <v>623</v>
      </c>
      <c r="AC12208" t="s">
        <v>309</v>
      </c>
      <c r="AD12208" t="s">
        <v>99</v>
      </c>
      <c r="AE12208" t="s">
        <v>99</v>
      </c>
      <c r="AF12208">
        <v>63</v>
      </c>
      <c r="AG12208" t="s">
        <v>202</v>
      </c>
      <c r="AH12208" t="s">
        <v>99</v>
      </c>
      <c r="AI12208" t="s">
        <v>111</v>
      </c>
      <c r="AJ12208" t="s">
        <v>99</v>
      </c>
    </row>
    <row r="12209" spans="1:36" x14ac:dyDescent="0.3">
      <c r="A12209" t="s">
        <v>35</v>
      </c>
      <c r="B12209" t="s">
        <v>212</v>
      </c>
      <c r="C12209">
        <v>238</v>
      </c>
      <c r="D12209" t="s">
        <v>38</v>
      </c>
      <c r="E12209" t="s">
        <v>460</v>
      </c>
      <c r="F12209" t="s">
        <v>99</v>
      </c>
      <c r="G12209">
        <v>238</v>
      </c>
      <c r="H12209" t="s">
        <v>413</v>
      </c>
      <c r="I12209" t="s">
        <v>412</v>
      </c>
      <c r="J12209" t="s">
        <v>99</v>
      </c>
      <c r="K12209" t="s">
        <v>99</v>
      </c>
      <c r="L12209">
        <v>238</v>
      </c>
      <c r="M12209" t="s">
        <v>877</v>
      </c>
      <c r="N12209" t="s">
        <v>287</v>
      </c>
      <c r="O12209" t="s">
        <v>141</v>
      </c>
      <c r="P12209" t="s">
        <v>99</v>
      </c>
      <c r="Q12209">
        <v>238</v>
      </c>
      <c r="R12209" t="s">
        <v>1475</v>
      </c>
      <c r="S12209" t="s">
        <v>309</v>
      </c>
      <c r="T12209" t="s">
        <v>99</v>
      </c>
      <c r="U12209" t="s">
        <v>141</v>
      </c>
      <c r="V12209">
        <v>238</v>
      </c>
      <c r="W12209" t="s">
        <v>999</v>
      </c>
      <c r="X12209" t="s">
        <v>132</v>
      </c>
      <c r="Y12209" t="s">
        <v>99</v>
      </c>
      <c r="Z12209" t="s">
        <v>141</v>
      </c>
      <c r="AA12209">
        <v>238</v>
      </c>
      <c r="AB12209" t="s">
        <v>1362</v>
      </c>
      <c r="AC12209" t="s">
        <v>301</v>
      </c>
      <c r="AD12209" t="s">
        <v>141</v>
      </c>
      <c r="AE12209" t="s">
        <v>99</v>
      </c>
      <c r="AF12209">
        <v>238</v>
      </c>
      <c r="AG12209" t="s">
        <v>331</v>
      </c>
      <c r="AH12209" t="s">
        <v>104</v>
      </c>
      <c r="AI12209" t="s">
        <v>118</v>
      </c>
      <c r="AJ12209" t="s">
        <v>141</v>
      </c>
    </row>
    <row r="12210" spans="1:36" x14ac:dyDescent="0.3">
      <c r="A12210" t="s">
        <v>35</v>
      </c>
      <c r="B12210" t="s">
        <v>216</v>
      </c>
      <c r="C12210">
        <v>69</v>
      </c>
      <c r="D12210" t="s">
        <v>703</v>
      </c>
      <c r="E12210" t="s">
        <v>1350</v>
      </c>
      <c r="F12210" t="s">
        <v>99</v>
      </c>
      <c r="G12210">
        <v>69</v>
      </c>
      <c r="H12210" t="s">
        <v>978</v>
      </c>
      <c r="I12210" t="s">
        <v>152</v>
      </c>
      <c r="J12210" t="s">
        <v>99</v>
      </c>
      <c r="K12210" t="s">
        <v>99</v>
      </c>
      <c r="L12210">
        <v>69</v>
      </c>
      <c r="M12210" t="s">
        <v>232</v>
      </c>
      <c r="N12210" t="s">
        <v>233</v>
      </c>
      <c r="O12210" t="s">
        <v>99</v>
      </c>
      <c r="P12210" t="s">
        <v>99</v>
      </c>
      <c r="Q12210">
        <v>69</v>
      </c>
      <c r="R12210" t="s">
        <v>213</v>
      </c>
      <c r="S12210" t="s">
        <v>1214</v>
      </c>
      <c r="T12210" t="s">
        <v>99</v>
      </c>
      <c r="U12210" t="s">
        <v>99</v>
      </c>
      <c r="V12210">
        <v>69</v>
      </c>
      <c r="W12210" t="s">
        <v>768</v>
      </c>
      <c r="X12210" t="s">
        <v>110</v>
      </c>
      <c r="Y12210" t="s">
        <v>99</v>
      </c>
      <c r="Z12210" t="s">
        <v>99</v>
      </c>
      <c r="AA12210">
        <v>69</v>
      </c>
      <c r="AB12210" t="s">
        <v>284</v>
      </c>
      <c r="AC12210" t="s">
        <v>695</v>
      </c>
      <c r="AD12210" t="s">
        <v>99</v>
      </c>
      <c r="AE12210" t="s">
        <v>99</v>
      </c>
      <c r="AF12210">
        <v>69</v>
      </c>
      <c r="AG12210" t="s">
        <v>981</v>
      </c>
      <c r="AH12210" t="s">
        <v>99</v>
      </c>
      <c r="AI12210" t="s">
        <v>207</v>
      </c>
      <c r="AJ12210" t="s">
        <v>99</v>
      </c>
    </row>
    <row r="12211" spans="1:36" x14ac:dyDescent="0.3">
      <c r="A12211" t="s">
        <v>37</v>
      </c>
      <c r="B12211" t="s">
        <v>210</v>
      </c>
      <c r="C12211">
        <v>82</v>
      </c>
      <c r="D12211" t="s">
        <v>233</v>
      </c>
      <c r="E12211" t="s">
        <v>232</v>
      </c>
      <c r="F12211" t="s">
        <v>99</v>
      </c>
      <c r="G12211">
        <v>82</v>
      </c>
      <c r="H12211" t="s">
        <v>855</v>
      </c>
      <c r="I12211" t="s">
        <v>672</v>
      </c>
      <c r="J12211" t="s">
        <v>99</v>
      </c>
      <c r="K12211" t="s">
        <v>99</v>
      </c>
      <c r="L12211">
        <v>82</v>
      </c>
      <c r="M12211" t="s">
        <v>183</v>
      </c>
      <c r="N12211" t="s">
        <v>182</v>
      </c>
      <c r="O12211" t="s">
        <v>99</v>
      </c>
      <c r="P12211" t="s">
        <v>99</v>
      </c>
      <c r="Q12211">
        <v>82</v>
      </c>
      <c r="R12211" t="s">
        <v>622</v>
      </c>
      <c r="S12211" t="s">
        <v>621</v>
      </c>
      <c r="T12211" t="s">
        <v>99</v>
      </c>
      <c r="U12211" t="s">
        <v>99</v>
      </c>
      <c r="V12211">
        <v>82</v>
      </c>
      <c r="W12211" t="s">
        <v>266</v>
      </c>
      <c r="X12211" t="s">
        <v>465</v>
      </c>
      <c r="Y12211" t="s">
        <v>99</v>
      </c>
      <c r="Z12211" t="s">
        <v>99</v>
      </c>
      <c r="AA12211">
        <v>82</v>
      </c>
      <c r="AB12211" t="s">
        <v>987</v>
      </c>
      <c r="AC12211" t="s">
        <v>941</v>
      </c>
      <c r="AD12211" t="s">
        <v>99</v>
      </c>
      <c r="AE12211" t="s">
        <v>99</v>
      </c>
      <c r="AF12211">
        <v>82</v>
      </c>
      <c r="AG12211" t="s">
        <v>324</v>
      </c>
      <c r="AH12211" t="s">
        <v>242</v>
      </c>
      <c r="AI12211" t="s">
        <v>316</v>
      </c>
      <c r="AJ12211" t="s">
        <v>99</v>
      </c>
    </row>
    <row r="12212" spans="1:36" x14ac:dyDescent="0.3">
      <c r="A12212" t="s">
        <v>37</v>
      </c>
      <c r="B12212" t="s">
        <v>212</v>
      </c>
      <c r="C12212">
        <v>136</v>
      </c>
      <c r="D12212" t="s">
        <v>747</v>
      </c>
      <c r="E12212" t="s">
        <v>424</v>
      </c>
      <c r="F12212" t="s">
        <v>141</v>
      </c>
      <c r="G12212">
        <v>136</v>
      </c>
      <c r="H12212" t="s">
        <v>430</v>
      </c>
      <c r="I12212" t="s">
        <v>321</v>
      </c>
      <c r="J12212" t="s">
        <v>99</v>
      </c>
      <c r="K12212" t="s">
        <v>99</v>
      </c>
      <c r="L12212">
        <v>136</v>
      </c>
      <c r="M12212" t="s">
        <v>436</v>
      </c>
      <c r="N12212" t="s">
        <v>437</v>
      </c>
      <c r="O12212" t="s">
        <v>99</v>
      </c>
      <c r="P12212" t="s">
        <v>99</v>
      </c>
      <c r="Q12212">
        <v>136</v>
      </c>
      <c r="R12212" t="s">
        <v>1170</v>
      </c>
      <c r="S12212" t="s">
        <v>735</v>
      </c>
      <c r="T12212" t="s">
        <v>99</v>
      </c>
      <c r="U12212" t="s">
        <v>99</v>
      </c>
      <c r="V12212">
        <v>136</v>
      </c>
      <c r="W12212" t="s">
        <v>249</v>
      </c>
      <c r="X12212" t="s">
        <v>316</v>
      </c>
      <c r="Y12212" t="s">
        <v>99</v>
      </c>
      <c r="Z12212" t="s">
        <v>99</v>
      </c>
      <c r="AA12212">
        <v>136</v>
      </c>
      <c r="AB12212" t="s">
        <v>524</v>
      </c>
      <c r="AC12212" t="s">
        <v>523</v>
      </c>
      <c r="AD12212" t="s">
        <v>99</v>
      </c>
      <c r="AE12212" t="s">
        <v>99</v>
      </c>
      <c r="AF12212">
        <v>136</v>
      </c>
      <c r="AG12212" t="s">
        <v>75</v>
      </c>
      <c r="AH12212" t="s">
        <v>316</v>
      </c>
      <c r="AI12212" t="s">
        <v>154</v>
      </c>
      <c r="AJ12212" t="s">
        <v>99</v>
      </c>
    </row>
    <row r="12213" spans="1:36" s="5" customFormat="1" x14ac:dyDescent="0.3">
      <c r="A12213" s="5" t="s">
        <v>37</v>
      </c>
      <c r="B12213" s="5" t="s">
        <v>216</v>
      </c>
      <c r="C12213" s="5">
        <v>9</v>
      </c>
      <c r="D12213" s="5" t="s">
        <v>930</v>
      </c>
      <c r="E12213" s="5" t="s">
        <v>1474</v>
      </c>
      <c r="F12213" s="5" t="s">
        <v>99</v>
      </c>
      <c r="G12213" s="5">
        <v>9</v>
      </c>
      <c r="H12213" s="5" t="s">
        <v>211</v>
      </c>
      <c r="I12213" s="5" t="s">
        <v>99</v>
      </c>
      <c r="J12213" s="5" t="s">
        <v>99</v>
      </c>
      <c r="K12213" s="5" t="s">
        <v>99</v>
      </c>
      <c r="L12213" s="5">
        <v>9</v>
      </c>
      <c r="M12213" s="5" t="s">
        <v>1383</v>
      </c>
      <c r="N12213" s="5" t="s">
        <v>793</v>
      </c>
      <c r="O12213" s="5" t="s">
        <v>99</v>
      </c>
      <c r="P12213" s="5" t="s">
        <v>99</v>
      </c>
      <c r="Q12213" s="5">
        <v>9</v>
      </c>
      <c r="R12213" s="5" t="s">
        <v>1370</v>
      </c>
      <c r="S12213" s="5" t="s">
        <v>832</v>
      </c>
      <c r="T12213" s="5" t="s">
        <v>99</v>
      </c>
      <c r="U12213" s="5" t="s">
        <v>99</v>
      </c>
      <c r="V12213" s="5">
        <v>9</v>
      </c>
      <c r="W12213" s="5" t="s">
        <v>547</v>
      </c>
      <c r="X12213" s="5" t="s">
        <v>135</v>
      </c>
      <c r="Y12213" s="5" t="s">
        <v>179</v>
      </c>
      <c r="Z12213" s="5" t="s">
        <v>99</v>
      </c>
      <c r="AA12213" s="5">
        <v>9</v>
      </c>
      <c r="AB12213" s="5" t="s">
        <v>498</v>
      </c>
      <c r="AC12213" s="5" t="s">
        <v>497</v>
      </c>
      <c r="AD12213" s="5" t="s">
        <v>99</v>
      </c>
      <c r="AE12213" s="5" t="s">
        <v>99</v>
      </c>
      <c r="AF12213" s="5">
        <v>9</v>
      </c>
      <c r="AG12213" s="5" t="s">
        <v>211</v>
      </c>
      <c r="AH12213" s="5" t="s">
        <v>99</v>
      </c>
      <c r="AI12213" s="5" t="s">
        <v>99</v>
      </c>
      <c r="AJ12213" s="5" t="s">
        <v>99</v>
      </c>
    </row>
    <row r="12214" spans="1:36" x14ac:dyDescent="0.3">
      <c r="A12214" t="s">
        <v>36</v>
      </c>
      <c r="B12214" t="s">
        <v>210</v>
      </c>
      <c r="C12214">
        <v>120</v>
      </c>
      <c r="D12214" t="s">
        <v>138</v>
      </c>
      <c r="E12214" t="s">
        <v>336</v>
      </c>
      <c r="F12214" t="s">
        <v>99</v>
      </c>
      <c r="G12214">
        <v>120</v>
      </c>
      <c r="H12214" t="s">
        <v>384</v>
      </c>
      <c r="I12214" t="s">
        <v>157</v>
      </c>
      <c r="J12214" t="s">
        <v>99</v>
      </c>
      <c r="K12214" t="s">
        <v>198</v>
      </c>
      <c r="L12214">
        <v>120</v>
      </c>
      <c r="M12214" t="s">
        <v>326</v>
      </c>
      <c r="N12214" t="s">
        <v>204</v>
      </c>
      <c r="O12214" t="s">
        <v>99</v>
      </c>
      <c r="P12214" t="s">
        <v>108</v>
      </c>
      <c r="Q12214">
        <v>120</v>
      </c>
      <c r="R12214" t="s">
        <v>887</v>
      </c>
      <c r="S12214" t="s">
        <v>886</v>
      </c>
      <c r="T12214" t="s">
        <v>99</v>
      </c>
      <c r="U12214" t="s">
        <v>99</v>
      </c>
      <c r="V12214">
        <v>120</v>
      </c>
      <c r="W12214" t="s">
        <v>430</v>
      </c>
      <c r="X12214" t="s">
        <v>321</v>
      </c>
      <c r="Y12214" t="s">
        <v>99</v>
      </c>
      <c r="Z12214" t="s">
        <v>99</v>
      </c>
      <c r="AA12214">
        <v>120</v>
      </c>
      <c r="AB12214" t="s">
        <v>504</v>
      </c>
      <c r="AC12214" t="s">
        <v>503</v>
      </c>
      <c r="AD12214" t="s">
        <v>99</v>
      </c>
      <c r="AE12214" t="s">
        <v>99</v>
      </c>
      <c r="AF12214">
        <v>120</v>
      </c>
      <c r="AG12214" t="s">
        <v>782</v>
      </c>
      <c r="AH12214" t="s">
        <v>104</v>
      </c>
      <c r="AI12214" t="s">
        <v>110</v>
      </c>
      <c r="AJ12214" t="s">
        <v>99</v>
      </c>
    </row>
    <row r="12215" spans="1:36" x14ac:dyDescent="0.3">
      <c r="A12215" t="s">
        <v>36</v>
      </c>
      <c r="B12215" t="s">
        <v>212</v>
      </c>
      <c r="C12215">
        <v>571</v>
      </c>
      <c r="D12215" t="s">
        <v>101</v>
      </c>
      <c r="E12215" t="s">
        <v>999</v>
      </c>
      <c r="F12215" t="s">
        <v>99</v>
      </c>
      <c r="G12215">
        <v>571</v>
      </c>
      <c r="H12215" t="s">
        <v>398</v>
      </c>
      <c r="I12215" t="s">
        <v>147</v>
      </c>
      <c r="J12215" t="s">
        <v>99</v>
      </c>
      <c r="K12215" t="s">
        <v>99</v>
      </c>
      <c r="L12215">
        <v>571</v>
      </c>
      <c r="M12215" t="s">
        <v>75</v>
      </c>
      <c r="N12215" t="s">
        <v>74</v>
      </c>
      <c r="O12215" t="s">
        <v>99</v>
      </c>
      <c r="P12215" t="s">
        <v>99</v>
      </c>
      <c r="Q12215">
        <v>571</v>
      </c>
      <c r="R12215" t="s">
        <v>374</v>
      </c>
      <c r="S12215" t="s">
        <v>357</v>
      </c>
      <c r="T12215" t="s">
        <v>136</v>
      </c>
      <c r="U12215" t="s">
        <v>99</v>
      </c>
      <c r="V12215">
        <v>571</v>
      </c>
      <c r="W12215" t="s">
        <v>398</v>
      </c>
      <c r="X12215" t="s">
        <v>147</v>
      </c>
      <c r="Y12215" t="s">
        <v>99</v>
      </c>
      <c r="Z12215" t="s">
        <v>99</v>
      </c>
      <c r="AA12215">
        <v>571</v>
      </c>
      <c r="AB12215" t="s">
        <v>199</v>
      </c>
      <c r="AC12215" t="s">
        <v>313</v>
      </c>
      <c r="AD12215" t="s">
        <v>99</v>
      </c>
      <c r="AE12215" t="s">
        <v>198</v>
      </c>
      <c r="AF12215">
        <v>571</v>
      </c>
      <c r="AG12215" t="s">
        <v>780</v>
      </c>
      <c r="AH12215" t="s">
        <v>99</v>
      </c>
      <c r="AI12215" t="s">
        <v>128</v>
      </c>
      <c r="AJ12215" t="s">
        <v>99</v>
      </c>
    </row>
    <row r="12216" spans="1:36" x14ac:dyDescent="0.3">
      <c r="A12216" t="s">
        <v>36</v>
      </c>
      <c r="B12216" t="s">
        <v>216</v>
      </c>
      <c r="C12216">
        <v>187</v>
      </c>
      <c r="D12216" t="s">
        <v>328</v>
      </c>
      <c r="E12216" t="s">
        <v>358</v>
      </c>
      <c r="F12216" t="s">
        <v>99</v>
      </c>
      <c r="G12216">
        <v>187</v>
      </c>
      <c r="H12216" t="s">
        <v>502</v>
      </c>
      <c r="I12216" t="s">
        <v>501</v>
      </c>
      <c r="J12216" t="s">
        <v>99</v>
      </c>
      <c r="K12216" t="s">
        <v>99</v>
      </c>
      <c r="L12216">
        <v>187</v>
      </c>
      <c r="M12216" t="s">
        <v>226</v>
      </c>
      <c r="N12216" t="s">
        <v>150</v>
      </c>
      <c r="O12216" t="s">
        <v>99</v>
      </c>
      <c r="P12216" t="s">
        <v>99</v>
      </c>
      <c r="Q12216">
        <v>187</v>
      </c>
      <c r="R12216" t="s">
        <v>581</v>
      </c>
      <c r="S12216" t="s">
        <v>924</v>
      </c>
      <c r="T12216" t="s">
        <v>382</v>
      </c>
      <c r="U12216" t="s">
        <v>99</v>
      </c>
      <c r="V12216">
        <v>187</v>
      </c>
      <c r="W12216" t="s">
        <v>1135</v>
      </c>
      <c r="X12216" t="s">
        <v>318</v>
      </c>
      <c r="Y12216" t="s">
        <v>99</v>
      </c>
      <c r="Z12216" t="s">
        <v>99</v>
      </c>
      <c r="AA12216">
        <v>187</v>
      </c>
      <c r="AB12216" t="s">
        <v>504</v>
      </c>
      <c r="AC12216" t="s">
        <v>868</v>
      </c>
      <c r="AD12216" t="s">
        <v>104</v>
      </c>
      <c r="AE12216" t="s">
        <v>198</v>
      </c>
      <c r="AF12216">
        <v>187</v>
      </c>
      <c r="AG12216" t="s">
        <v>378</v>
      </c>
      <c r="AH12216" t="s">
        <v>198</v>
      </c>
      <c r="AI12216" t="s">
        <v>41</v>
      </c>
      <c r="AJ12216" t="s">
        <v>99</v>
      </c>
    </row>
    <row r="12217" spans="1:36" x14ac:dyDescent="0.3">
      <c r="A12217" t="s">
        <v>34</v>
      </c>
      <c r="B12217" t="s">
        <v>210</v>
      </c>
      <c r="C12217">
        <v>167</v>
      </c>
      <c r="D12217" t="s">
        <v>712</v>
      </c>
      <c r="E12217" t="s">
        <v>1017</v>
      </c>
      <c r="F12217" t="s">
        <v>99</v>
      </c>
      <c r="G12217">
        <v>167</v>
      </c>
      <c r="H12217" t="s">
        <v>362</v>
      </c>
      <c r="I12217" t="s">
        <v>254</v>
      </c>
      <c r="J12217" t="s">
        <v>132</v>
      </c>
      <c r="K12217" t="s">
        <v>99</v>
      </c>
      <c r="L12217">
        <v>167</v>
      </c>
      <c r="M12217" t="s">
        <v>232</v>
      </c>
      <c r="N12217" t="s">
        <v>251</v>
      </c>
      <c r="O12217" t="s">
        <v>104</v>
      </c>
      <c r="P12217" t="s">
        <v>136</v>
      </c>
      <c r="Q12217">
        <v>167</v>
      </c>
      <c r="R12217" t="s">
        <v>1472</v>
      </c>
      <c r="S12217" t="s">
        <v>604</v>
      </c>
      <c r="T12217" t="s">
        <v>99</v>
      </c>
      <c r="U12217" t="s">
        <v>99</v>
      </c>
      <c r="V12217">
        <v>167</v>
      </c>
      <c r="W12217" t="s">
        <v>377</v>
      </c>
      <c r="X12217" t="s">
        <v>296</v>
      </c>
      <c r="Y12217" t="s">
        <v>132</v>
      </c>
      <c r="Z12217" t="s">
        <v>99</v>
      </c>
      <c r="AA12217">
        <v>167</v>
      </c>
      <c r="AB12217" t="s">
        <v>2120</v>
      </c>
      <c r="AC12217" t="s">
        <v>600</v>
      </c>
      <c r="AD12217" t="s">
        <v>132</v>
      </c>
      <c r="AE12217" t="s">
        <v>99</v>
      </c>
      <c r="AF12217">
        <v>165</v>
      </c>
      <c r="AG12217" t="s">
        <v>358</v>
      </c>
      <c r="AH12217" t="s">
        <v>117</v>
      </c>
      <c r="AI12217" t="s">
        <v>138</v>
      </c>
      <c r="AJ12217" t="s">
        <v>99</v>
      </c>
    </row>
    <row r="12218" spans="1:36" x14ac:dyDescent="0.3">
      <c r="A12218" t="s">
        <v>34</v>
      </c>
      <c r="B12218" t="s">
        <v>212</v>
      </c>
      <c r="C12218">
        <v>436</v>
      </c>
      <c r="D12218" t="s">
        <v>268</v>
      </c>
      <c r="E12218" t="s">
        <v>386</v>
      </c>
      <c r="F12218" t="s">
        <v>99</v>
      </c>
      <c r="G12218">
        <v>436</v>
      </c>
      <c r="H12218" t="s">
        <v>1017</v>
      </c>
      <c r="I12218" t="s">
        <v>118</v>
      </c>
      <c r="J12218" t="s">
        <v>99</v>
      </c>
      <c r="K12218" t="s">
        <v>141</v>
      </c>
      <c r="L12218">
        <v>436</v>
      </c>
      <c r="M12218" t="s">
        <v>883</v>
      </c>
      <c r="N12218" t="s">
        <v>694</v>
      </c>
      <c r="O12218" t="s">
        <v>99</v>
      </c>
      <c r="P12218" t="s">
        <v>99</v>
      </c>
      <c r="Q12218">
        <v>436</v>
      </c>
      <c r="R12218" t="s">
        <v>1075</v>
      </c>
      <c r="S12218" t="s">
        <v>1167</v>
      </c>
      <c r="T12218" t="s">
        <v>108</v>
      </c>
      <c r="U12218" t="s">
        <v>99</v>
      </c>
      <c r="V12218">
        <v>436</v>
      </c>
      <c r="W12218" t="s">
        <v>337</v>
      </c>
      <c r="X12218" t="s">
        <v>332</v>
      </c>
      <c r="Y12218" t="s">
        <v>141</v>
      </c>
      <c r="Z12218" t="s">
        <v>207</v>
      </c>
      <c r="AA12218">
        <v>436</v>
      </c>
      <c r="AB12218" t="s">
        <v>858</v>
      </c>
      <c r="AC12218" t="s">
        <v>731</v>
      </c>
      <c r="AD12218" t="s">
        <v>99</v>
      </c>
      <c r="AE12218" t="s">
        <v>99</v>
      </c>
      <c r="AF12218">
        <v>436</v>
      </c>
      <c r="AG12218" t="s">
        <v>333</v>
      </c>
      <c r="AH12218" t="s">
        <v>207</v>
      </c>
      <c r="AI12218" t="s">
        <v>155</v>
      </c>
      <c r="AJ12218" t="s">
        <v>99</v>
      </c>
    </row>
    <row r="12219" spans="1:36" x14ac:dyDescent="0.3">
      <c r="A12219" t="s">
        <v>34</v>
      </c>
      <c r="B12219" t="s">
        <v>216</v>
      </c>
      <c r="C12219">
        <v>140</v>
      </c>
      <c r="D12219" t="s">
        <v>120</v>
      </c>
      <c r="E12219" t="s">
        <v>466</v>
      </c>
      <c r="F12219" t="s">
        <v>99</v>
      </c>
      <c r="G12219">
        <v>140</v>
      </c>
      <c r="H12219" t="s">
        <v>966</v>
      </c>
      <c r="I12219" t="s">
        <v>315</v>
      </c>
      <c r="J12219" t="s">
        <v>99</v>
      </c>
      <c r="K12219" t="s">
        <v>99</v>
      </c>
      <c r="L12219">
        <v>140</v>
      </c>
      <c r="M12219" t="s">
        <v>421</v>
      </c>
      <c r="N12219" t="s">
        <v>41</v>
      </c>
      <c r="O12219" t="s">
        <v>99</v>
      </c>
      <c r="P12219" t="s">
        <v>99</v>
      </c>
      <c r="Q12219">
        <v>140</v>
      </c>
      <c r="R12219" t="s">
        <v>213</v>
      </c>
      <c r="S12219" t="s">
        <v>1214</v>
      </c>
      <c r="T12219" t="s">
        <v>99</v>
      </c>
      <c r="U12219" t="s">
        <v>99</v>
      </c>
      <c r="V12219">
        <v>140</v>
      </c>
      <c r="W12219" t="s">
        <v>885</v>
      </c>
      <c r="X12219" t="s">
        <v>726</v>
      </c>
      <c r="Y12219" t="s">
        <v>99</v>
      </c>
      <c r="Z12219" t="s">
        <v>99</v>
      </c>
      <c r="AA12219">
        <v>140</v>
      </c>
      <c r="AB12219" t="s">
        <v>530</v>
      </c>
      <c r="AC12219" t="s">
        <v>833</v>
      </c>
      <c r="AD12219" t="s">
        <v>99</v>
      </c>
      <c r="AE12219" t="s">
        <v>198</v>
      </c>
      <c r="AF12219">
        <v>140</v>
      </c>
      <c r="AG12219" t="s">
        <v>759</v>
      </c>
      <c r="AH12219" t="s">
        <v>114</v>
      </c>
      <c r="AI12219" t="s">
        <v>316</v>
      </c>
      <c r="AJ12219" t="s">
        <v>99</v>
      </c>
    </row>
    <row r="12220" spans="1:36" x14ac:dyDescent="0.3">
      <c r="A12220" t="s">
        <v>33</v>
      </c>
      <c r="B12220" t="s">
        <v>210</v>
      </c>
      <c r="C12220">
        <v>35</v>
      </c>
      <c r="D12220" t="s">
        <v>814</v>
      </c>
      <c r="E12220" t="s">
        <v>356</v>
      </c>
      <c r="F12220" t="s">
        <v>99</v>
      </c>
      <c r="G12220">
        <v>35</v>
      </c>
      <c r="H12220" t="s">
        <v>780</v>
      </c>
      <c r="I12220" t="s">
        <v>128</v>
      </c>
      <c r="J12220" t="s">
        <v>99</v>
      </c>
      <c r="K12220" t="s">
        <v>99</v>
      </c>
      <c r="L12220">
        <v>35</v>
      </c>
      <c r="M12220" t="s">
        <v>323</v>
      </c>
      <c r="N12220" t="s">
        <v>113</v>
      </c>
      <c r="O12220" t="s">
        <v>99</v>
      </c>
      <c r="P12220" t="s">
        <v>99</v>
      </c>
      <c r="Q12220">
        <v>35</v>
      </c>
      <c r="R12220" t="s">
        <v>635</v>
      </c>
      <c r="S12220" t="s">
        <v>822</v>
      </c>
      <c r="T12220" t="s">
        <v>99</v>
      </c>
      <c r="U12220" t="s">
        <v>99</v>
      </c>
      <c r="V12220">
        <v>35</v>
      </c>
      <c r="W12220" t="s">
        <v>164</v>
      </c>
      <c r="X12220" t="s">
        <v>163</v>
      </c>
      <c r="Y12220" t="s">
        <v>99</v>
      </c>
      <c r="Z12220" t="s">
        <v>99</v>
      </c>
      <c r="AA12220">
        <v>35</v>
      </c>
      <c r="AB12220" t="s">
        <v>953</v>
      </c>
      <c r="AC12220" t="s">
        <v>1415</v>
      </c>
      <c r="AD12220" t="s">
        <v>99</v>
      </c>
      <c r="AE12220" t="s">
        <v>99</v>
      </c>
      <c r="AF12220">
        <v>35</v>
      </c>
      <c r="AG12220" t="s">
        <v>211</v>
      </c>
      <c r="AH12220" t="s">
        <v>99</v>
      </c>
      <c r="AI12220" t="s">
        <v>99</v>
      </c>
      <c r="AJ12220" t="s">
        <v>99</v>
      </c>
    </row>
    <row r="12221" spans="1:36" x14ac:dyDescent="0.3">
      <c r="A12221" t="s">
        <v>33</v>
      </c>
      <c r="B12221" t="s">
        <v>212</v>
      </c>
      <c r="C12221">
        <v>52</v>
      </c>
      <c r="D12221" t="s">
        <v>231</v>
      </c>
      <c r="E12221" t="s">
        <v>769</v>
      </c>
      <c r="F12221" t="s">
        <v>99</v>
      </c>
      <c r="G12221">
        <v>52</v>
      </c>
      <c r="H12221" t="s">
        <v>438</v>
      </c>
      <c r="I12221" t="s">
        <v>123</v>
      </c>
      <c r="J12221" t="s">
        <v>99</v>
      </c>
      <c r="K12221" t="s">
        <v>99</v>
      </c>
      <c r="L12221">
        <v>52</v>
      </c>
      <c r="M12221" t="s">
        <v>217</v>
      </c>
      <c r="N12221" t="s">
        <v>218</v>
      </c>
      <c r="O12221" t="s">
        <v>99</v>
      </c>
      <c r="P12221" t="s">
        <v>99</v>
      </c>
      <c r="Q12221">
        <v>52</v>
      </c>
      <c r="R12221" t="s">
        <v>180</v>
      </c>
      <c r="S12221" t="s">
        <v>179</v>
      </c>
      <c r="T12221" t="s">
        <v>99</v>
      </c>
      <c r="U12221" t="s">
        <v>99</v>
      </c>
      <c r="V12221">
        <v>52</v>
      </c>
      <c r="W12221" t="s">
        <v>759</v>
      </c>
      <c r="X12221" t="s">
        <v>154</v>
      </c>
      <c r="Y12221" t="s">
        <v>99</v>
      </c>
      <c r="Z12221" t="s">
        <v>99</v>
      </c>
      <c r="AA12221">
        <v>52</v>
      </c>
      <c r="AB12221" t="s">
        <v>854</v>
      </c>
      <c r="AC12221" t="s">
        <v>714</v>
      </c>
      <c r="AD12221" t="s">
        <v>99</v>
      </c>
      <c r="AE12221" t="s">
        <v>99</v>
      </c>
      <c r="AF12221">
        <v>52</v>
      </c>
      <c r="AG12221" t="s">
        <v>211</v>
      </c>
      <c r="AH12221" t="s">
        <v>99</v>
      </c>
      <c r="AI12221" t="s">
        <v>99</v>
      </c>
      <c r="AJ12221" t="s">
        <v>99</v>
      </c>
    </row>
    <row r="12222" spans="1:36" s="5" customFormat="1" x14ac:dyDescent="0.3">
      <c r="A12222" s="5" t="s">
        <v>33</v>
      </c>
      <c r="B12222" s="5" t="s">
        <v>216</v>
      </c>
      <c r="C12222" s="5">
        <v>5</v>
      </c>
      <c r="D12222" s="5" t="s">
        <v>613</v>
      </c>
      <c r="E12222" s="5" t="s">
        <v>634</v>
      </c>
      <c r="F12222" s="5" t="s">
        <v>99</v>
      </c>
      <c r="G12222" s="5">
        <v>5</v>
      </c>
      <c r="H12222" s="5" t="s">
        <v>211</v>
      </c>
      <c r="I12222" s="5" t="s">
        <v>99</v>
      </c>
      <c r="J12222" s="5" t="s">
        <v>99</v>
      </c>
      <c r="K12222" s="5" t="s">
        <v>99</v>
      </c>
      <c r="L12222" s="5">
        <v>5</v>
      </c>
      <c r="M12222" s="5" t="s">
        <v>211</v>
      </c>
      <c r="N12222" s="5" t="s">
        <v>99</v>
      </c>
      <c r="O12222" s="5" t="s">
        <v>99</v>
      </c>
      <c r="P12222" s="5" t="s">
        <v>99</v>
      </c>
      <c r="Q12222" s="5">
        <v>5</v>
      </c>
      <c r="R12222" s="5" t="s">
        <v>554</v>
      </c>
      <c r="S12222" s="5" t="s">
        <v>1098</v>
      </c>
      <c r="T12222" s="5" t="s">
        <v>99</v>
      </c>
      <c r="U12222" s="5" t="s">
        <v>99</v>
      </c>
      <c r="V12222" s="5">
        <v>5</v>
      </c>
      <c r="W12222" s="5" t="s">
        <v>974</v>
      </c>
      <c r="X12222" s="5" t="s">
        <v>741</v>
      </c>
      <c r="Y12222" s="5" t="s">
        <v>99</v>
      </c>
      <c r="Z12222" s="5" t="s">
        <v>99</v>
      </c>
      <c r="AA12222" s="5">
        <v>5</v>
      </c>
      <c r="AB12222" s="5" t="s">
        <v>623</v>
      </c>
      <c r="AC12222" s="5" t="s">
        <v>309</v>
      </c>
      <c r="AD12222" s="5" t="s">
        <v>99</v>
      </c>
      <c r="AE12222" s="5" t="s">
        <v>99</v>
      </c>
      <c r="AF12222" s="5">
        <v>5</v>
      </c>
      <c r="AG12222" s="5" t="s">
        <v>211</v>
      </c>
      <c r="AH12222" s="5" t="s">
        <v>99</v>
      </c>
      <c r="AI12222" s="5" t="s">
        <v>99</v>
      </c>
      <c r="AJ12222" s="5" t="s">
        <v>99</v>
      </c>
    </row>
    <row r="12223" spans="1:36" x14ac:dyDescent="0.3">
      <c r="A12223" t="s">
        <v>49</v>
      </c>
      <c r="B12223" t="s">
        <v>210</v>
      </c>
      <c r="C12223">
        <v>467</v>
      </c>
      <c r="D12223" t="s">
        <v>145</v>
      </c>
      <c r="E12223" t="s">
        <v>334</v>
      </c>
      <c r="F12223" t="s">
        <v>99</v>
      </c>
      <c r="G12223">
        <v>467</v>
      </c>
      <c r="H12223" t="s">
        <v>326</v>
      </c>
      <c r="I12223" t="s">
        <v>254</v>
      </c>
      <c r="J12223" t="s">
        <v>136</v>
      </c>
      <c r="K12223" t="s">
        <v>99</v>
      </c>
      <c r="L12223">
        <v>467</v>
      </c>
      <c r="M12223" t="s">
        <v>183</v>
      </c>
      <c r="N12223" t="s">
        <v>461</v>
      </c>
      <c r="O12223" t="s">
        <v>104</v>
      </c>
      <c r="P12223" t="s">
        <v>207</v>
      </c>
      <c r="Q12223">
        <v>467</v>
      </c>
      <c r="R12223" t="s">
        <v>567</v>
      </c>
      <c r="S12223" t="s">
        <v>566</v>
      </c>
      <c r="T12223" t="s">
        <v>99</v>
      </c>
      <c r="U12223" t="s">
        <v>99</v>
      </c>
      <c r="V12223">
        <v>467</v>
      </c>
      <c r="W12223" t="s">
        <v>172</v>
      </c>
      <c r="X12223" t="s">
        <v>251</v>
      </c>
      <c r="Y12223" t="s">
        <v>136</v>
      </c>
      <c r="Z12223" t="s">
        <v>99</v>
      </c>
      <c r="AA12223">
        <v>467</v>
      </c>
      <c r="AB12223" t="s">
        <v>346</v>
      </c>
      <c r="AC12223" t="s">
        <v>1115</v>
      </c>
      <c r="AD12223" t="s">
        <v>136</v>
      </c>
      <c r="AE12223" t="s">
        <v>99</v>
      </c>
      <c r="AF12223">
        <v>465</v>
      </c>
      <c r="AG12223" t="s">
        <v>786</v>
      </c>
      <c r="AH12223" t="s">
        <v>127</v>
      </c>
      <c r="AI12223" t="s">
        <v>147</v>
      </c>
      <c r="AJ12223" t="s">
        <v>99</v>
      </c>
    </row>
    <row r="12224" spans="1:36" x14ac:dyDescent="0.3">
      <c r="A12224" t="s">
        <v>49</v>
      </c>
      <c r="B12224" t="s">
        <v>212</v>
      </c>
      <c r="C12224">
        <v>1433</v>
      </c>
      <c r="D12224" t="s">
        <v>78</v>
      </c>
      <c r="E12224" t="s">
        <v>79</v>
      </c>
      <c r="F12224" t="s">
        <v>99</v>
      </c>
      <c r="G12224">
        <v>1433</v>
      </c>
      <c r="H12224" t="s">
        <v>778</v>
      </c>
      <c r="I12224" t="s">
        <v>68</v>
      </c>
      <c r="J12224" t="s">
        <v>99</v>
      </c>
      <c r="K12224" t="s">
        <v>198</v>
      </c>
      <c r="L12224">
        <v>1433</v>
      </c>
      <c r="M12224" t="s">
        <v>858</v>
      </c>
      <c r="N12224" t="s">
        <v>746</v>
      </c>
      <c r="O12224" t="s">
        <v>104</v>
      </c>
      <c r="P12224" t="s">
        <v>99</v>
      </c>
      <c r="Q12224">
        <v>1433</v>
      </c>
      <c r="R12224" t="s">
        <v>1246</v>
      </c>
      <c r="S12224" t="s">
        <v>730</v>
      </c>
      <c r="T12224" t="s">
        <v>141</v>
      </c>
      <c r="U12224" t="s">
        <v>104</v>
      </c>
      <c r="V12224">
        <v>1433</v>
      </c>
      <c r="W12224" t="s">
        <v>384</v>
      </c>
      <c r="X12224" t="s">
        <v>128</v>
      </c>
      <c r="Y12224" t="s">
        <v>198</v>
      </c>
      <c r="Z12224" t="s">
        <v>207</v>
      </c>
      <c r="AA12224">
        <v>1433</v>
      </c>
      <c r="AB12224" t="s">
        <v>1707</v>
      </c>
      <c r="AC12224" t="s">
        <v>318</v>
      </c>
      <c r="AD12224" t="s">
        <v>104</v>
      </c>
      <c r="AE12224" t="s">
        <v>99</v>
      </c>
      <c r="AF12224">
        <v>1433</v>
      </c>
      <c r="AG12224" t="s">
        <v>779</v>
      </c>
      <c r="AH12224" t="s">
        <v>136</v>
      </c>
      <c r="AI12224" t="s">
        <v>105</v>
      </c>
      <c r="AJ12224" t="s">
        <v>104</v>
      </c>
    </row>
    <row r="12225" spans="1:36" x14ac:dyDescent="0.3">
      <c r="A12225" t="s">
        <v>49</v>
      </c>
      <c r="B12225" t="s">
        <v>216</v>
      </c>
      <c r="C12225">
        <v>410</v>
      </c>
      <c r="D12225" t="s">
        <v>726</v>
      </c>
      <c r="E12225" t="s">
        <v>885</v>
      </c>
      <c r="F12225" t="s">
        <v>99</v>
      </c>
      <c r="G12225">
        <v>410</v>
      </c>
      <c r="H12225" t="s">
        <v>873</v>
      </c>
      <c r="I12225" t="s">
        <v>716</v>
      </c>
      <c r="J12225" t="s">
        <v>99</v>
      </c>
      <c r="K12225" t="s">
        <v>99</v>
      </c>
      <c r="L12225">
        <v>410</v>
      </c>
      <c r="M12225" t="s">
        <v>422</v>
      </c>
      <c r="N12225" t="s">
        <v>405</v>
      </c>
      <c r="O12225" t="s">
        <v>99</v>
      </c>
      <c r="P12225" t="s">
        <v>99</v>
      </c>
      <c r="Q12225">
        <v>410</v>
      </c>
      <c r="R12225" t="s">
        <v>61</v>
      </c>
      <c r="S12225" t="s">
        <v>843</v>
      </c>
      <c r="T12225" t="s">
        <v>198</v>
      </c>
      <c r="U12225" t="s">
        <v>99</v>
      </c>
      <c r="V12225">
        <v>410</v>
      </c>
      <c r="W12225" t="s">
        <v>417</v>
      </c>
      <c r="X12225" t="s">
        <v>315</v>
      </c>
      <c r="Y12225" t="s">
        <v>207</v>
      </c>
      <c r="Z12225" t="s">
        <v>99</v>
      </c>
      <c r="AA12225">
        <v>410</v>
      </c>
      <c r="AB12225" t="s">
        <v>520</v>
      </c>
      <c r="AC12225" t="s">
        <v>1105</v>
      </c>
      <c r="AD12225" t="s">
        <v>99</v>
      </c>
      <c r="AE12225" t="s">
        <v>198</v>
      </c>
      <c r="AF12225">
        <v>410</v>
      </c>
      <c r="AG12225" t="s">
        <v>336</v>
      </c>
      <c r="AH12225" t="s">
        <v>141</v>
      </c>
      <c r="AI12225" t="s">
        <v>128</v>
      </c>
      <c r="AJ12225" t="s">
        <v>99</v>
      </c>
    </row>
    <row r="12227" spans="1:36" x14ac:dyDescent="0.3">
      <c r="A12227" t="s">
        <v>2800</v>
      </c>
    </row>
    <row r="12228" spans="1:36" x14ac:dyDescent="0.3">
      <c r="A12228" t="s">
        <v>44</v>
      </c>
      <c r="B12228" t="s">
        <v>32</v>
      </c>
      <c r="C12228" t="s">
        <v>2801</v>
      </c>
      <c r="D12228" t="s">
        <v>2802</v>
      </c>
      <c r="E12228" t="s">
        <v>2803</v>
      </c>
      <c r="F12228" t="s">
        <v>2804</v>
      </c>
      <c r="G12228" t="s">
        <v>193</v>
      </c>
      <c r="H12228" t="s">
        <v>2805</v>
      </c>
    </row>
    <row r="12229" spans="1:36" x14ac:dyDescent="0.3">
      <c r="A12229" t="s">
        <v>35</v>
      </c>
      <c r="B12229">
        <v>302</v>
      </c>
      <c r="C12229" t="s">
        <v>676</v>
      </c>
      <c r="D12229" t="s">
        <v>1077</v>
      </c>
      <c r="E12229" t="s">
        <v>1167</v>
      </c>
      <c r="F12229" t="s">
        <v>113</v>
      </c>
      <c r="G12229" t="s">
        <v>136</v>
      </c>
      <c r="H12229" t="s">
        <v>141</v>
      </c>
    </row>
    <row r="12230" spans="1:36" x14ac:dyDescent="0.3">
      <c r="A12230" t="s">
        <v>37</v>
      </c>
      <c r="B12230">
        <v>181</v>
      </c>
      <c r="C12230" t="s">
        <v>675</v>
      </c>
      <c r="D12230" t="s">
        <v>918</v>
      </c>
      <c r="E12230" t="s">
        <v>496</v>
      </c>
      <c r="F12230" t="s">
        <v>117</v>
      </c>
      <c r="G12230" t="s">
        <v>99</v>
      </c>
      <c r="H12230" t="s">
        <v>136</v>
      </c>
    </row>
    <row r="12231" spans="1:36" x14ac:dyDescent="0.3">
      <c r="A12231" t="s">
        <v>36</v>
      </c>
      <c r="B12231">
        <v>847</v>
      </c>
      <c r="C12231" t="s">
        <v>201</v>
      </c>
      <c r="D12231" t="s">
        <v>558</v>
      </c>
      <c r="E12231" t="s">
        <v>933</v>
      </c>
      <c r="F12231" t="s">
        <v>277</v>
      </c>
      <c r="G12231" t="s">
        <v>99</v>
      </c>
      <c r="H12231" t="s">
        <v>101</v>
      </c>
    </row>
    <row r="12232" spans="1:36" x14ac:dyDescent="0.3">
      <c r="A12232" t="s">
        <v>34</v>
      </c>
      <c r="B12232">
        <v>724</v>
      </c>
      <c r="C12232" t="s">
        <v>746</v>
      </c>
      <c r="D12232" t="s">
        <v>1163</v>
      </c>
      <c r="E12232" t="s">
        <v>473</v>
      </c>
      <c r="F12232" t="s">
        <v>332</v>
      </c>
      <c r="G12232" t="s">
        <v>115</v>
      </c>
      <c r="H12232" t="s">
        <v>108</v>
      </c>
    </row>
    <row r="12233" spans="1:36" x14ac:dyDescent="0.3">
      <c r="A12233" t="s">
        <v>33</v>
      </c>
      <c r="B12233">
        <v>77</v>
      </c>
      <c r="C12233" t="s">
        <v>379</v>
      </c>
      <c r="D12233" t="s">
        <v>1291</v>
      </c>
      <c r="E12233" t="s">
        <v>803</v>
      </c>
      <c r="F12233" t="s">
        <v>99</v>
      </c>
      <c r="G12233" t="s">
        <v>99</v>
      </c>
      <c r="H12233" t="s">
        <v>99</v>
      </c>
    </row>
    <row r="12234" spans="1:36" x14ac:dyDescent="0.3">
      <c r="A12234" t="s">
        <v>49</v>
      </c>
      <c r="B12234">
        <v>2131</v>
      </c>
      <c r="C12234" t="s">
        <v>267</v>
      </c>
      <c r="D12234" t="s">
        <v>630</v>
      </c>
      <c r="E12234" t="s">
        <v>868</v>
      </c>
      <c r="F12234" t="s">
        <v>112</v>
      </c>
      <c r="G12234" t="s">
        <v>136</v>
      </c>
      <c r="H12234" t="s">
        <v>132</v>
      </c>
    </row>
    <row r="12236" spans="1:36" x14ac:dyDescent="0.3">
      <c r="A12236" t="s">
        <v>2806</v>
      </c>
    </row>
    <row r="12237" spans="1:36" x14ac:dyDescent="0.3">
      <c r="A12237" t="s">
        <v>44</v>
      </c>
      <c r="B12237" t="s">
        <v>32</v>
      </c>
      <c r="C12237" t="s">
        <v>2802</v>
      </c>
      <c r="D12237" t="s">
        <v>2803</v>
      </c>
      <c r="E12237" t="s">
        <v>2804</v>
      </c>
      <c r="F12237" t="s">
        <v>2801</v>
      </c>
      <c r="G12237" t="s">
        <v>2805</v>
      </c>
    </row>
    <row r="12238" spans="1:36" s="5" customFormat="1" x14ac:dyDescent="0.3">
      <c r="A12238" s="5" t="s">
        <v>35</v>
      </c>
      <c r="B12238" s="5">
        <v>26</v>
      </c>
      <c r="C12238" s="5" t="s">
        <v>948</v>
      </c>
      <c r="D12238" s="5" t="s">
        <v>1533</v>
      </c>
      <c r="E12238" s="5" t="s">
        <v>99</v>
      </c>
      <c r="F12238" s="5" t="s">
        <v>101</v>
      </c>
      <c r="G12238" s="5" t="s">
        <v>99</v>
      </c>
    </row>
    <row r="12239" spans="1:36" s="5" customFormat="1" x14ac:dyDescent="0.3">
      <c r="A12239" s="5" t="s">
        <v>37</v>
      </c>
      <c r="B12239" s="5">
        <v>26</v>
      </c>
      <c r="C12239" s="5" t="s">
        <v>564</v>
      </c>
      <c r="D12239" s="5" t="s">
        <v>696</v>
      </c>
      <c r="E12239" s="5" t="s">
        <v>99</v>
      </c>
      <c r="F12239" s="5" t="s">
        <v>442</v>
      </c>
      <c r="G12239" s="5" t="s">
        <v>99</v>
      </c>
    </row>
    <row r="12240" spans="1:36" x14ac:dyDescent="0.3">
      <c r="A12240" t="s">
        <v>36</v>
      </c>
      <c r="B12240">
        <v>59</v>
      </c>
      <c r="C12240" t="s">
        <v>1143</v>
      </c>
      <c r="D12240" t="s">
        <v>58</v>
      </c>
      <c r="E12240" t="s">
        <v>267</v>
      </c>
      <c r="F12240" t="s">
        <v>663</v>
      </c>
      <c r="G12240" t="s">
        <v>198</v>
      </c>
    </row>
    <row r="12241" spans="1:8" x14ac:dyDescent="0.3">
      <c r="A12241" t="s">
        <v>34</v>
      </c>
      <c r="B12241">
        <v>31</v>
      </c>
      <c r="C12241" t="s">
        <v>942</v>
      </c>
      <c r="D12241" t="s">
        <v>840</v>
      </c>
      <c r="E12241" t="s">
        <v>132</v>
      </c>
      <c r="F12241" t="s">
        <v>231</v>
      </c>
      <c r="G12241" t="s">
        <v>99</v>
      </c>
    </row>
    <row r="12242" spans="1:8" s="5" customFormat="1" x14ac:dyDescent="0.3">
      <c r="A12242" s="5" t="s">
        <v>33</v>
      </c>
      <c r="B12242" s="5">
        <v>2</v>
      </c>
      <c r="C12242" s="5" t="s">
        <v>594</v>
      </c>
      <c r="D12242" s="5" t="s">
        <v>955</v>
      </c>
      <c r="E12242" s="5" t="s">
        <v>99</v>
      </c>
      <c r="F12242" s="5" t="s">
        <v>99</v>
      </c>
      <c r="G12242" s="5" t="s">
        <v>99</v>
      </c>
    </row>
    <row r="12243" spans="1:8" x14ac:dyDescent="0.3">
      <c r="A12243" t="s">
        <v>49</v>
      </c>
      <c r="B12243">
        <v>144</v>
      </c>
      <c r="C12243" t="s">
        <v>572</v>
      </c>
      <c r="D12243" t="s">
        <v>1206</v>
      </c>
      <c r="E12243" t="s">
        <v>268</v>
      </c>
      <c r="F12243" t="s">
        <v>710</v>
      </c>
      <c r="G12243" t="s">
        <v>99</v>
      </c>
    </row>
    <row r="12245" spans="1:8" x14ac:dyDescent="0.3">
      <c r="A12245" t="s">
        <v>2807</v>
      </c>
    </row>
    <row r="12246" spans="1:8" x14ac:dyDescent="0.3">
      <c r="A12246" t="s">
        <v>44</v>
      </c>
      <c r="B12246" t="s">
        <v>32</v>
      </c>
      <c r="C12246" t="s">
        <v>2801</v>
      </c>
      <c r="D12246" t="s">
        <v>2802</v>
      </c>
      <c r="E12246" t="s">
        <v>2803</v>
      </c>
      <c r="F12246" t="s">
        <v>2804</v>
      </c>
      <c r="G12246" t="s">
        <v>193</v>
      </c>
      <c r="H12246" t="s">
        <v>2805</v>
      </c>
    </row>
    <row r="12247" spans="1:8" x14ac:dyDescent="0.3">
      <c r="A12247" t="s">
        <v>35</v>
      </c>
      <c r="B12247">
        <v>39</v>
      </c>
      <c r="C12247" t="s">
        <v>911</v>
      </c>
      <c r="D12247" t="s">
        <v>567</v>
      </c>
      <c r="E12247" t="s">
        <v>410</v>
      </c>
      <c r="F12247" t="s">
        <v>111</v>
      </c>
      <c r="G12247" t="s">
        <v>99</v>
      </c>
      <c r="H12247" t="s">
        <v>115</v>
      </c>
    </row>
    <row r="12248" spans="1:8" x14ac:dyDescent="0.3">
      <c r="A12248" t="s">
        <v>37</v>
      </c>
      <c r="B12248">
        <v>34</v>
      </c>
      <c r="C12248" t="s">
        <v>287</v>
      </c>
      <c r="D12248" t="s">
        <v>1188</v>
      </c>
      <c r="E12248" t="s">
        <v>698</v>
      </c>
      <c r="F12248" t="s">
        <v>99</v>
      </c>
      <c r="G12248" t="s">
        <v>99</v>
      </c>
      <c r="H12248" t="s">
        <v>99</v>
      </c>
    </row>
    <row r="12249" spans="1:8" x14ac:dyDescent="0.3">
      <c r="A12249" t="s">
        <v>36</v>
      </c>
      <c r="B12249">
        <v>83</v>
      </c>
      <c r="C12249" t="s">
        <v>220</v>
      </c>
      <c r="D12249" t="s">
        <v>607</v>
      </c>
      <c r="E12249" t="s">
        <v>906</v>
      </c>
      <c r="F12249" t="s">
        <v>99</v>
      </c>
      <c r="G12249" t="s">
        <v>99</v>
      </c>
      <c r="H12249" t="s">
        <v>99</v>
      </c>
    </row>
    <row r="12250" spans="1:8" x14ac:dyDescent="0.3">
      <c r="A12250" t="s">
        <v>34</v>
      </c>
      <c r="B12250">
        <v>75</v>
      </c>
      <c r="C12250" t="s">
        <v>233</v>
      </c>
      <c r="D12250" t="s">
        <v>1497</v>
      </c>
      <c r="E12250" t="s">
        <v>1062</v>
      </c>
      <c r="F12250" t="s">
        <v>332</v>
      </c>
      <c r="G12250" t="s">
        <v>207</v>
      </c>
      <c r="H12250" t="s">
        <v>99</v>
      </c>
    </row>
    <row r="12251" spans="1:8" s="5" customFormat="1" x14ac:dyDescent="0.3">
      <c r="A12251" s="5" t="s">
        <v>33</v>
      </c>
      <c r="B12251" s="5">
        <v>10</v>
      </c>
      <c r="C12251" s="5" t="s">
        <v>248</v>
      </c>
      <c r="D12251" s="5" t="s">
        <v>469</v>
      </c>
      <c r="E12251" s="5" t="s">
        <v>72</v>
      </c>
      <c r="F12251" s="5" t="s">
        <v>99</v>
      </c>
      <c r="G12251" s="5" t="s">
        <v>99</v>
      </c>
      <c r="H12251" s="5" t="s">
        <v>99</v>
      </c>
    </row>
    <row r="12252" spans="1:8" x14ac:dyDescent="0.3">
      <c r="A12252" t="s">
        <v>49</v>
      </c>
      <c r="B12252">
        <v>241</v>
      </c>
      <c r="C12252" t="s">
        <v>737</v>
      </c>
      <c r="D12252" t="s">
        <v>1182</v>
      </c>
      <c r="E12252" t="s">
        <v>456</v>
      </c>
      <c r="F12252" t="s">
        <v>111</v>
      </c>
      <c r="G12252" t="s">
        <v>104</v>
      </c>
      <c r="H12252" t="s">
        <v>104</v>
      </c>
    </row>
    <row r="12254" spans="1:8" x14ac:dyDescent="0.3">
      <c r="A12254" t="s">
        <v>2808</v>
      </c>
    </row>
    <row r="12255" spans="1:8" x14ac:dyDescent="0.3">
      <c r="A12255" t="s">
        <v>44</v>
      </c>
      <c r="B12255" t="s">
        <v>32</v>
      </c>
      <c r="C12255" t="s">
        <v>2801</v>
      </c>
      <c r="D12255" t="s">
        <v>2802</v>
      </c>
      <c r="E12255" t="s">
        <v>2803</v>
      </c>
      <c r="F12255" t="s">
        <v>2804</v>
      </c>
    </row>
    <row r="12256" spans="1:8" x14ac:dyDescent="0.3">
      <c r="A12256" t="s">
        <v>35</v>
      </c>
      <c r="B12256">
        <v>101</v>
      </c>
      <c r="C12256" t="s">
        <v>105</v>
      </c>
      <c r="D12256" t="s">
        <v>863</v>
      </c>
      <c r="E12256" t="s">
        <v>929</v>
      </c>
      <c r="F12256" t="s">
        <v>123</v>
      </c>
    </row>
    <row r="12257" spans="1:7" x14ac:dyDescent="0.3">
      <c r="A12257" t="s">
        <v>37</v>
      </c>
      <c r="B12257">
        <v>70</v>
      </c>
      <c r="C12257" t="s">
        <v>716</v>
      </c>
      <c r="D12257" t="s">
        <v>1329</v>
      </c>
      <c r="E12257" t="s">
        <v>665</v>
      </c>
      <c r="F12257" t="s">
        <v>99</v>
      </c>
    </row>
    <row r="12258" spans="1:7" x14ac:dyDescent="0.3">
      <c r="A12258" t="s">
        <v>36</v>
      </c>
      <c r="B12258">
        <v>273</v>
      </c>
      <c r="C12258" t="s">
        <v>710</v>
      </c>
      <c r="D12258" t="s">
        <v>1160</v>
      </c>
      <c r="E12258" t="s">
        <v>437</v>
      </c>
      <c r="F12258" t="s">
        <v>207</v>
      </c>
    </row>
    <row r="12259" spans="1:7" x14ac:dyDescent="0.3">
      <c r="A12259" t="s">
        <v>34</v>
      </c>
      <c r="B12259">
        <v>197</v>
      </c>
      <c r="C12259" t="s">
        <v>379</v>
      </c>
      <c r="D12259" t="s">
        <v>516</v>
      </c>
      <c r="E12259" t="s">
        <v>960</v>
      </c>
      <c r="F12259" t="s">
        <v>215</v>
      </c>
    </row>
    <row r="12260" spans="1:7" s="5" customFormat="1" x14ac:dyDescent="0.3">
      <c r="A12260" s="5" t="s">
        <v>33</v>
      </c>
      <c r="B12260" s="5">
        <v>22</v>
      </c>
      <c r="C12260" s="5" t="s">
        <v>691</v>
      </c>
      <c r="D12260" s="5" t="s">
        <v>472</v>
      </c>
      <c r="E12260" s="5" t="s">
        <v>158</v>
      </c>
      <c r="F12260" s="5" t="s">
        <v>99</v>
      </c>
    </row>
    <row r="12261" spans="1:7" x14ac:dyDescent="0.3">
      <c r="A12261" t="s">
        <v>49</v>
      </c>
      <c r="B12261">
        <v>663</v>
      </c>
      <c r="C12261" t="s">
        <v>142</v>
      </c>
      <c r="D12261" t="s">
        <v>896</v>
      </c>
      <c r="E12261" t="s">
        <v>1157</v>
      </c>
      <c r="F12261" t="s">
        <v>101</v>
      </c>
    </row>
    <row r="12263" spans="1:7" x14ac:dyDescent="0.3">
      <c r="A12263" t="s">
        <v>2809</v>
      </c>
    </row>
    <row r="12264" spans="1:7" x14ac:dyDescent="0.3">
      <c r="A12264" t="s">
        <v>44</v>
      </c>
      <c r="B12264" t="s">
        <v>32</v>
      </c>
      <c r="C12264" t="s">
        <v>2804</v>
      </c>
      <c r="D12264" t="s">
        <v>2801</v>
      </c>
      <c r="E12264" t="s">
        <v>2802</v>
      </c>
      <c r="F12264" t="s">
        <v>2803</v>
      </c>
      <c r="G12264" t="s">
        <v>193</v>
      </c>
    </row>
    <row r="12265" spans="1:7" s="5" customFormat="1" x14ac:dyDescent="0.3">
      <c r="A12265" s="5" t="s">
        <v>35</v>
      </c>
      <c r="B12265" s="5">
        <v>11</v>
      </c>
      <c r="C12265" s="5" t="s">
        <v>99</v>
      </c>
      <c r="D12265" s="5" t="s">
        <v>804</v>
      </c>
      <c r="E12265" s="5" t="s">
        <v>1277</v>
      </c>
      <c r="F12265" s="5" t="s">
        <v>133</v>
      </c>
      <c r="G12265" s="5" t="s">
        <v>99</v>
      </c>
    </row>
    <row r="12266" spans="1:7" s="5" customFormat="1" x14ac:dyDescent="0.3">
      <c r="A12266" s="5" t="s">
        <v>37</v>
      </c>
      <c r="B12266" s="5">
        <v>16</v>
      </c>
      <c r="C12266" s="5" t="s">
        <v>113</v>
      </c>
      <c r="D12266" s="5" t="s">
        <v>122</v>
      </c>
      <c r="E12266" s="5" t="s">
        <v>939</v>
      </c>
      <c r="F12266" s="5" t="s">
        <v>220</v>
      </c>
      <c r="G12266" s="5" t="s">
        <v>99</v>
      </c>
    </row>
    <row r="12267" spans="1:7" x14ac:dyDescent="0.3">
      <c r="A12267" t="s">
        <v>36</v>
      </c>
      <c r="B12267">
        <v>58</v>
      </c>
      <c r="C12267" t="s">
        <v>99</v>
      </c>
      <c r="D12267" t="s">
        <v>175</v>
      </c>
      <c r="E12267" t="s">
        <v>1193</v>
      </c>
      <c r="F12267" t="s">
        <v>700</v>
      </c>
      <c r="G12267" t="s">
        <v>105</v>
      </c>
    </row>
    <row r="12268" spans="1:7" x14ac:dyDescent="0.3">
      <c r="A12268" t="s">
        <v>34</v>
      </c>
      <c r="B12268">
        <v>36</v>
      </c>
      <c r="C12268" t="s">
        <v>99</v>
      </c>
      <c r="D12268" t="s">
        <v>134</v>
      </c>
      <c r="E12268" t="s">
        <v>1455</v>
      </c>
      <c r="F12268" t="s">
        <v>140</v>
      </c>
      <c r="G12268" t="s">
        <v>99</v>
      </c>
    </row>
    <row r="12269" spans="1:7" s="5" customFormat="1" x14ac:dyDescent="0.3">
      <c r="A12269" s="5" t="s">
        <v>33</v>
      </c>
      <c r="B12269" s="5">
        <v>7</v>
      </c>
      <c r="C12269" s="5" t="s">
        <v>694</v>
      </c>
      <c r="D12269" s="5" t="s">
        <v>542</v>
      </c>
      <c r="E12269" s="5" t="s">
        <v>997</v>
      </c>
      <c r="F12269" s="5" t="s">
        <v>99</v>
      </c>
      <c r="G12269" s="5" t="s">
        <v>99</v>
      </c>
    </row>
    <row r="12270" spans="1:7" x14ac:dyDescent="0.3">
      <c r="A12270" t="s">
        <v>49</v>
      </c>
      <c r="B12270">
        <v>128</v>
      </c>
      <c r="C12270" t="s">
        <v>127</v>
      </c>
      <c r="D12270" t="s">
        <v>679</v>
      </c>
      <c r="E12270" t="s">
        <v>297</v>
      </c>
      <c r="F12270" t="s">
        <v>425</v>
      </c>
      <c r="G12270" t="s">
        <v>115</v>
      </c>
    </row>
    <row r="12272" spans="1:7" x14ac:dyDescent="0.3">
      <c r="A12272" t="s">
        <v>2810</v>
      </c>
    </row>
    <row r="12273" spans="1:7" x14ac:dyDescent="0.3">
      <c r="A12273" t="s">
        <v>44</v>
      </c>
      <c r="B12273" t="s">
        <v>32</v>
      </c>
      <c r="C12273" t="s">
        <v>2804</v>
      </c>
      <c r="D12273" t="s">
        <v>2802</v>
      </c>
      <c r="E12273" t="s">
        <v>2803</v>
      </c>
      <c r="F12273" t="s">
        <v>2801</v>
      </c>
      <c r="G12273" t="s">
        <v>2805</v>
      </c>
    </row>
    <row r="12274" spans="1:7" x14ac:dyDescent="0.3">
      <c r="A12274" t="s">
        <v>35</v>
      </c>
      <c r="B12274">
        <v>75</v>
      </c>
      <c r="C12274" t="s">
        <v>726</v>
      </c>
      <c r="D12274" t="s">
        <v>620</v>
      </c>
      <c r="E12274" t="s">
        <v>2115</v>
      </c>
      <c r="F12274" t="s">
        <v>118</v>
      </c>
      <c r="G12274" t="s">
        <v>99</v>
      </c>
    </row>
    <row r="12275" spans="1:7" x14ac:dyDescent="0.3">
      <c r="A12275" t="s">
        <v>37</v>
      </c>
      <c r="B12275">
        <v>63</v>
      </c>
      <c r="C12275" t="s">
        <v>99</v>
      </c>
      <c r="D12275" t="s">
        <v>1236</v>
      </c>
      <c r="E12275" t="s">
        <v>707</v>
      </c>
      <c r="F12275" t="s">
        <v>135</v>
      </c>
      <c r="G12275" t="s">
        <v>99</v>
      </c>
    </row>
    <row r="12276" spans="1:7" x14ac:dyDescent="0.3">
      <c r="A12276" t="s">
        <v>36</v>
      </c>
      <c r="B12276">
        <v>168</v>
      </c>
      <c r="C12276" t="s">
        <v>299</v>
      </c>
      <c r="D12276" t="s">
        <v>2132</v>
      </c>
      <c r="E12276" t="s">
        <v>488</v>
      </c>
      <c r="F12276" t="s">
        <v>315</v>
      </c>
      <c r="G12276" t="s">
        <v>319</v>
      </c>
    </row>
    <row r="12277" spans="1:7" x14ac:dyDescent="0.3">
      <c r="A12277" t="s">
        <v>34</v>
      </c>
      <c r="B12277">
        <v>128</v>
      </c>
      <c r="C12277" t="s">
        <v>105</v>
      </c>
      <c r="D12277" t="s">
        <v>839</v>
      </c>
      <c r="E12277" t="s">
        <v>636</v>
      </c>
      <c r="F12277" t="s">
        <v>254</v>
      </c>
      <c r="G12277" t="s">
        <v>99</v>
      </c>
    </row>
    <row r="12278" spans="1:7" s="5" customFormat="1" x14ac:dyDescent="0.3">
      <c r="A12278" s="5" t="s">
        <v>33</v>
      </c>
      <c r="B12278" s="5">
        <v>21</v>
      </c>
      <c r="C12278" s="5" t="s">
        <v>675</v>
      </c>
      <c r="D12278" s="5" t="s">
        <v>1362</v>
      </c>
      <c r="E12278" s="5" t="s">
        <v>244</v>
      </c>
      <c r="F12278" s="5" t="s">
        <v>99</v>
      </c>
      <c r="G12278" s="5" t="s">
        <v>99</v>
      </c>
    </row>
    <row r="12279" spans="1:7" x14ac:dyDescent="0.3">
      <c r="A12279" t="s">
        <v>49</v>
      </c>
      <c r="B12279">
        <v>455</v>
      </c>
      <c r="C12279" t="s">
        <v>74</v>
      </c>
      <c r="D12279" t="s">
        <v>818</v>
      </c>
      <c r="E12279" t="s">
        <v>56</v>
      </c>
      <c r="F12279" t="s">
        <v>74</v>
      </c>
      <c r="G12279" t="s">
        <v>198</v>
      </c>
    </row>
    <row r="12281" spans="1:7" x14ac:dyDescent="0.3">
      <c r="A12281" t="s">
        <v>2811</v>
      </c>
    </row>
    <row r="12282" spans="1:7" x14ac:dyDescent="0.3">
      <c r="A12282" t="s">
        <v>44</v>
      </c>
      <c r="B12282" t="s">
        <v>32</v>
      </c>
      <c r="C12282" t="s">
        <v>2801</v>
      </c>
      <c r="D12282" t="s">
        <v>2802</v>
      </c>
      <c r="E12282" t="s">
        <v>2803</v>
      </c>
      <c r="F12282" t="s">
        <v>2804</v>
      </c>
      <c r="G12282" t="s">
        <v>2805</v>
      </c>
    </row>
    <row r="12283" spans="1:7" s="5" customFormat="1" x14ac:dyDescent="0.3">
      <c r="A12283" s="5" t="s">
        <v>35</v>
      </c>
      <c r="B12283" s="5">
        <v>16</v>
      </c>
      <c r="C12283" s="5" t="s">
        <v>147</v>
      </c>
      <c r="D12283" s="5" t="s">
        <v>455</v>
      </c>
      <c r="E12283" s="5" t="s">
        <v>795</v>
      </c>
      <c r="F12283" s="5" t="s">
        <v>99</v>
      </c>
      <c r="G12283" s="5" t="s">
        <v>99</v>
      </c>
    </row>
    <row r="12284" spans="1:7" s="5" customFormat="1" x14ac:dyDescent="0.3">
      <c r="A12284" s="5" t="s">
        <v>37</v>
      </c>
      <c r="B12284" s="5">
        <v>10</v>
      </c>
      <c r="C12284" s="5" t="s">
        <v>233</v>
      </c>
      <c r="D12284" s="5" t="s">
        <v>957</v>
      </c>
      <c r="E12284" s="5" t="s">
        <v>624</v>
      </c>
      <c r="F12284" s="5" t="s">
        <v>99</v>
      </c>
      <c r="G12284" s="5" t="s">
        <v>99</v>
      </c>
    </row>
    <row r="12285" spans="1:7" s="5" customFormat="1" x14ac:dyDescent="0.3">
      <c r="A12285" s="5" t="s">
        <v>36</v>
      </c>
      <c r="B12285" s="5">
        <v>28</v>
      </c>
      <c r="C12285" s="5" t="s">
        <v>145</v>
      </c>
      <c r="D12285" s="5" t="s">
        <v>223</v>
      </c>
      <c r="E12285" s="5" t="s">
        <v>437</v>
      </c>
      <c r="F12285" s="5" t="s">
        <v>121</v>
      </c>
      <c r="G12285" s="5" t="s">
        <v>101</v>
      </c>
    </row>
    <row r="12286" spans="1:7" s="5" customFormat="1" x14ac:dyDescent="0.3">
      <c r="A12286" s="5" t="s">
        <v>34</v>
      </c>
      <c r="B12286" s="5">
        <v>21</v>
      </c>
      <c r="C12286" s="5" t="s">
        <v>313</v>
      </c>
      <c r="D12286" s="5" t="s">
        <v>1159</v>
      </c>
      <c r="E12286" s="5" t="s">
        <v>642</v>
      </c>
      <c r="F12286" s="5" t="s">
        <v>99</v>
      </c>
      <c r="G12286" s="5" t="s">
        <v>99</v>
      </c>
    </row>
    <row r="12287" spans="1:7" x14ac:dyDescent="0.3">
      <c r="A12287" t="s">
        <v>33</v>
      </c>
    </row>
    <row r="12288" spans="1:7" x14ac:dyDescent="0.3">
      <c r="A12288" t="s">
        <v>49</v>
      </c>
      <c r="B12288">
        <v>75</v>
      </c>
      <c r="C12288" t="s">
        <v>113</v>
      </c>
      <c r="D12288" t="s">
        <v>1106</v>
      </c>
      <c r="E12288" t="s">
        <v>669</v>
      </c>
      <c r="F12288" t="s">
        <v>207</v>
      </c>
      <c r="G12288" t="s">
        <v>207</v>
      </c>
    </row>
    <row r="12290" spans="1:9" x14ac:dyDescent="0.3">
      <c r="A12290" t="s">
        <v>2812</v>
      </c>
    </row>
    <row r="12291" spans="1:9" x14ac:dyDescent="0.3">
      <c r="A12291" t="s">
        <v>44</v>
      </c>
      <c r="B12291" t="s">
        <v>388</v>
      </c>
      <c r="C12291" t="s">
        <v>32</v>
      </c>
      <c r="D12291" t="s">
        <v>2801</v>
      </c>
      <c r="E12291" t="s">
        <v>2802</v>
      </c>
      <c r="F12291" t="s">
        <v>2803</v>
      </c>
      <c r="G12291" t="s">
        <v>2804</v>
      </c>
      <c r="H12291" t="s">
        <v>193</v>
      </c>
      <c r="I12291" t="s">
        <v>2805</v>
      </c>
    </row>
    <row r="12292" spans="1:9" x14ac:dyDescent="0.3">
      <c r="A12292" t="s">
        <v>35</v>
      </c>
      <c r="B12292" t="s">
        <v>389</v>
      </c>
      <c r="C12292">
        <v>228</v>
      </c>
      <c r="D12292" t="s">
        <v>689</v>
      </c>
      <c r="E12292" t="s">
        <v>1149</v>
      </c>
      <c r="F12292" t="s">
        <v>519</v>
      </c>
      <c r="G12292" t="s">
        <v>70</v>
      </c>
      <c r="H12292" t="s">
        <v>99</v>
      </c>
      <c r="I12292" t="s">
        <v>104</v>
      </c>
    </row>
    <row r="12293" spans="1:9" x14ac:dyDescent="0.3">
      <c r="A12293" t="s">
        <v>35</v>
      </c>
      <c r="B12293" t="s">
        <v>390</v>
      </c>
      <c r="C12293">
        <v>64</v>
      </c>
      <c r="D12293" t="s">
        <v>738</v>
      </c>
      <c r="E12293" t="s">
        <v>987</v>
      </c>
      <c r="F12293" t="s">
        <v>1053</v>
      </c>
      <c r="G12293" t="s">
        <v>138</v>
      </c>
      <c r="H12293" t="s">
        <v>292</v>
      </c>
      <c r="I12293" t="s">
        <v>292</v>
      </c>
    </row>
    <row r="12294" spans="1:9" x14ac:dyDescent="0.3">
      <c r="A12294" t="s">
        <v>35</v>
      </c>
      <c r="B12294" t="s">
        <v>365</v>
      </c>
      <c r="C12294">
        <v>10</v>
      </c>
      <c r="D12294" t="s">
        <v>325</v>
      </c>
      <c r="E12294" t="s">
        <v>42</v>
      </c>
      <c r="F12294" t="s">
        <v>131</v>
      </c>
      <c r="G12294" t="s">
        <v>831</v>
      </c>
      <c r="H12294" t="s">
        <v>99</v>
      </c>
      <c r="I12294" t="s">
        <v>99</v>
      </c>
    </row>
    <row r="12295" spans="1:9" x14ac:dyDescent="0.3">
      <c r="A12295" t="s">
        <v>37</v>
      </c>
      <c r="B12295" t="s">
        <v>389</v>
      </c>
      <c r="C12295">
        <v>109</v>
      </c>
      <c r="D12295" t="s">
        <v>262</v>
      </c>
      <c r="E12295" t="s">
        <v>571</v>
      </c>
      <c r="F12295" t="s">
        <v>913</v>
      </c>
      <c r="G12295" t="s">
        <v>128</v>
      </c>
      <c r="H12295" t="s">
        <v>99</v>
      </c>
      <c r="I12295" t="s">
        <v>99</v>
      </c>
    </row>
    <row r="12296" spans="1:9" x14ac:dyDescent="0.3">
      <c r="A12296" t="s">
        <v>37</v>
      </c>
      <c r="B12296" t="s">
        <v>390</v>
      </c>
      <c r="C12296">
        <v>61</v>
      </c>
      <c r="D12296" t="s">
        <v>147</v>
      </c>
      <c r="E12296" t="s">
        <v>590</v>
      </c>
      <c r="F12296" t="s">
        <v>1179</v>
      </c>
      <c r="G12296" t="s">
        <v>114</v>
      </c>
      <c r="H12296" t="s">
        <v>99</v>
      </c>
      <c r="I12296" t="s">
        <v>108</v>
      </c>
    </row>
    <row r="12297" spans="1:9" x14ac:dyDescent="0.3">
      <c r="A12297" t="s">
        <v>37</v>
      </c>
      <c r="B12297" t="s">
        <v>365</v>
      </c>
      <c r="C12297">
        <v>11</v>
      </c>
      <c r="D12297" t="s">
        <v>99</v>
      </c>
      <c r="E12297" t="s">
        <v>451</v>
      </c>
      <c r="F12297" t="s">
        <v>346</v>
      </c>
      <c r="G12297" t="s">
        <v>182</v>
      </c>
      <c r="H12297" t="s">
        <v>99</v>
      </c>
      <c r="I12297" t="s">
        <v>99</v>
      </c>
    </row>
    <row r="12298" spans="1:9" x14ac:dyDescent="0.3">
      <c r="A12298" t="s">
        <v>36</v>
      </c>
      <c r="B12298" t="s">
        <v>389</v>
      </c>
      <c r="C12298">
        <v>606</v>
      </c>
      <c r="D12298" t="s">
        <v>465</v>
      </c>
      <c r="E12298" t="s">
        <v>498</v>
      </c>
      <c r="F12298" t="s">
        <v>665</v>
      </c>
      <c r="G12298" t="s">
        <v>474</v>
      </c>
      <c r="H12298" t="s">
        <v>99</v>
      </c>
      <c r="I12298" t="s">
        <v>319</v>
      </c>
    </row>
    <row r="12299" spans="1:9" x14ac:dyDescent="0.3">
      <c r="A12299" t="s">
        <v>36</v>
      </c>
      <c r="B12299" t="s">
        <v>390</v>
      </c>
      <c r="C12299">
        <v>202</v>
      </c>
      <c r="D12299" t="s">
        <v>264</v>
      </c>
      <c r="E12299" t="s">
        <v>1227</v>
      </c>
      <c r="F12299" t="s">
        <v>373</v>
      </c>
      <c r="G12299" t="s">
        <v>277</v>
      </c>
      <c r="H12299" t="s">
        <v>99</v>
      </c>
      <c r="I12299" t="s">
        <v>253</v>
      </c>
    </row>
    <row r="12300" spans="1:9" x14ac:dyDescent="0.3">
      <c r="A12300" t="s">
        <v>36</v>
      </c>
      <c r="B12300" t="s">
        <v>365</v>
      </c>
      <c r="C12300">
        <v>39</v>
      </c>
      <c r="D12300" t="s">
        <v>705</v>
      </c>
      <c r="E12300" t="s">
        <v>618</v>
      </c>
      <c r="F12300" t="s">
        <v>179</v>
      </c>
      <c r="G12300" t="s">
        <v>677</v>
      </c>
      <c r="H12300" t="s">
        <v>99</v>
      </c>
      <c r="I12300" t="s">
        <v>121</v>
      </c>
    </row>
    <row r="12301" spans="1:9" x14ac:dyDescent="0.3">
      <c r="A12301" t="s">
        <v>34</v>
      </c>
      <c r="B12301" t="s">
        <v>389</v>
      </c>
      <c r="C12301">
        <v>517</v>
      </c>
      <c r="D12301" t="s">
        <v>714</v>
      </c>
      <c r="E12301" t="s">
        <v>1176</v>
      </c>
      <c r="F12301" t="s">
        <v>959</v>
      </c>
      <c r="G12301" t="s">
        <v>129</v>
      </c>
      <c r="H12301" t="s">
        <v>253</v>
      </c>
      <c r="I12301" t="s">
        <v>101</v>
      </c>
    </row>
    <row r="12302" spans="1:9" x14ac:dyDescent="0.3">
      <c r="A12302" t="s">
        <v>34</v>
      </c>
      <c r="B12302" t="s">
        <v>390</v>
      </c>
      <c r="C12302">
        <v>180</v>
      </c>
      <c r="D12302" t="s">
        <v>718</v>
      </c>
      <c r="E12302" t="s">
        <v>1150</v>
      </c>
      <c r="F12302" t="s">
        <v>694</v>
      </c>
      <c r="G12302" t="s">
        <v>316</v>
      </c>
      <c r="H12302" t="s">
        <v>121</v>
      </c>
      <c r="I12302" t="s">
        <v>198</v>
      </c>
    </row>
    <row r="12303" spans="1:9" x14ac:dyDescent="0.3">
      <c r="A12303" t="s">
        <v>34</v>
      </c>
      <c r="B12303" t="s">
        <v>365</v>
      </c>
      <c r="C12303">
        <v>27</v>
      </c>
      <c r="D12303" t="s">
        <v>129</v>
      </c>
      <c r="E12303" t="s">
        <v>884</v>
      </c>
      <c r="F12303" t="s">
        <v>938</v>
      </c>
      <c r="G12303" t="s">
        <v>99</v>
      </c>
      <c r="H12303" t="s">
        <v>99</v>
      </c>
      <c r="I12303" t="s">
        <v>99</v>
      </c>
    </row>
    <row r="12304" spans="1:9" x14ac:dyDescent="0.3">
      <c r="A12304" t="s">
        <v>33</v>
      </c>
      <c r="B12304" t="s">
        <v>389</v>
      </c>
      <c r="C12304">
        <v>52</v>
      </c>
      <c r="D12304" t="s">
        <v>672</v>
      </c>
      <c r="E12304" t="s">
        <v>528</v>
      </c>
      <c r="F12304" t="s">
        <v>42</v>
      </c>
      <c r="G12304" t="s">
        <v>99</v>
      </c>
      <c r="H12304" t="s">
        <v>99</v>
      </c>
      <c r="I12304" t="s">
        <v>99</v>
      </c>
    </row>
    <row r="12305" spans="1:9" s="5" customFormat="1" x14ac:dyDescent="0.3">
      <c r="A12305" s="5" t="s">
        <v>33</v>
      </c>
      <c r="B12305" s="5" t="s">
        <v>390</v>
      </c>
      <c r="C12305" s="5">
        <v>22</v>
      </c>
      <c r="D12305" s="5" t="s">
        <v>154</v>
      </c>
      <c r="E12305" s="5" t="s">
        <v>348</v>
      </c>
      <c r="F12305" s="5" t="s">
        <v>307</v>
      </c>
      <c r="G12305" s="5" t="s">
        <v>99</v>
      </c>
      <c r="H12305" s="5" t="s">
        <v>99</v>
      </c>
      <c r="I12305" s="5" t="s">
        <v>99</v>
      </c>
    </row>
    <row r="12306" spans="1:9" x14ac:dyDescent="0.3">
      <c r="A12306" t="s">
        <v>33</v>
      </c>
      <c r="B12306" t="s">
        <v>365</v>
      </c>
      <c r="C12306">
        <v>3</v>
      </c>
      <c r="D12306" t="s">
        <v>99</v>
      </c>
      <c r="E12306" t="s">
        <v>350</v>
      </c>
      <c r="F12306" t="s">
        <v>349</v>
      </c>
      <c r="G12306" t="s">
        <v>99</v>
      </c>
      <c r="H12306" t="s">
        <v>99</v>
      </c>
      <c r="I12306" t="s">
        <v>99</v>
      </c>
    </row>
    <row r="12307" spans="1:9" x14ac:dyDescent="0.3">
      <c r="A12307" t="s">
        <v>49</v>
      </c>
      <c r="B12307" t="s">
        <v>389</v>
      </c>
      <c r="C12307">
        <v>1512</v>
      </c>
      <c r="D12307" t="s">
        <v>321</v>
      </c>
      <c r="E12307" t="s">
        <v>1215</v>
      </c>
      <c r="F12307" t="s">
        <v>140</v>
      </c>
      <c r="G12307" t="s">
        <v>139</v>
      </c>
      <c r="H12307" t="s">
        <v>207</v>
      </c>
      <c r="I12307" t="s">
        <v>108</v>
      </c>
    </row>
    <row r="12308" spans="1:9" x14ac:dyDescent="0.3">
      <c r="A12308" t="s">
        <v>49</v>
      </c>
      <c r="B12308" t="s">
        <v>390</v>
      </c>
      <c r="C12308">
        <v>529</v>
      </c>
      <c r="D12308" t="s">
        <v>76</v>
      </c>
      <c r="E12308" t="s">
        <v>863</v>
      </c>
      <c r="F12308" t="s">
        <v>706</v>
      </c>
      <c r="G12308" t="s">
        <v>128</v>
      </c>
      <c r="H12308" t="s">
        <v>108</v>
      </c>
      <c r="I12308" t="s">
        <v>253</v>
      </c>
    </row>
    <row r="12309" spans="1:9" x14ac:dyDescent="0.3">
      <c r="A12309" t="s">
        <v>49</v>
      </c>
      <c r="B12309" t="s">
        <v>365</v>
      </c>
      <c r="C12309">
        <v>90</v>
      </c>
      <c r="D12309" t="s">
        <v>150</v>
      </c>
      <c r="E12309" t="s">
        <v>565</v>
      </c>
      <c r="F12309" t="s">
        <v>489</v>
      </c>
      <c r="G12309" t="s">
        <v>680</v>
      </c>
      <c r="H12309" t="s">
        <v>99</v>
      </c>
      <c r="I12309" t="s">
        <v>207</v>
      </c>
    </row>
    <row r="12311" spans="1:9" x14ac:dyDescent="0.3">
      <c r="A12311" t="s">
        <v>2813</v>
      </c>
    </row>
    <row r="12312" spans="1:9" x14ac:dyDescent="0.3">
      <c r="A12312" t="s">
        <v>44</v>
      </c>
      <c r="B12312" t="s">
        <v>388</v>
      </c>
      <c r="C12312" t="s">
        <v>32</v>
      </c>
      <c r="D12312" t="s">
        <v>2802</v>
      </c>
      <c r="E12312" t="s">
        <v>2803</v>
      </c>
      <c r="F12312" t="s">
        <v>2804</v>
      </c>
      <c r="G12312" t="s">
        <v>2801</v>
      </c>
      <c r="H12312" t="s">
        <v>2805</v>
      </c>
    </row>
    <row r="12313" spans="1:9" s="5" customFormat="1" x14ac:dyDescent="0.3">
      <c r="A12313" s="5" t="s">
        <v>35</v>
      </c>
      <c r="B12313" s="5" t="s">
        <v>389</v>
      </c>
      <c r="C12313" s="5">
        <v>19</v>
      </c>
      <c r="D12313" s="5" t="s">
        <v>905</v>
      </c>
      <c r="E12313" s="5" t="s">
        <v>895</v>
      </c>
      <c r="F12313" s="5" t="s">
        <v>99</v>
      </c>
      <c r="G12313" s="5" t="s">
        <v>127</v>
      </c>
      <c r="H12313" s="5" t="s">
        <v>99</v>
      </c>
    </row>
    <row r="12314" spans="1:9" s="5" customFormat="1" x14ac:dyDescent="0.3">
      <c r="A12314" s="5" t="s">
        <v>35</v>
      </c>
      <c r="B12314" s="5" t="s">
        <v>390</v>
      </c>
      <c r="C12314" s="5">
        <v>6</v>
      </c>
      <c r="D12314" s="5" t="s">
        <v>1066</v>
      </c>
      <c r="E12314" s="5" t="s">
        <v>1067</v>
      </c>
      <c r="F12314" s="5" t="s">
        <v>99</v>
      </c>
      <c r="G12314" s="5" t="s">
        <v>99</v>
      </c>
      <c r="H12314" s="5" t="s">
        <v>99</v>
      </c>
    </row>
    <row r="12315" spans="1:9" x14ac:dyDescent="0.3">
      <c r="A12315" t="s">
        <v>35</v>
      </c>
      <c r="B12315" t="s">
        <v>365</v>
      </c>
      <c r="C12315">
        <v>1</v>
      </c>
      <c r="D12315" t="s">
        <v>99</v>
      </c>
      <c r="E12315" t="s">
        <v>211</v>
      </c>
      <c r="F12315" t="s">
        <v>99</v>
      </c>
      <c r="G12315" t="s">
        <v>99</v>
      </c>
      <c r="H12315" t="s">
        <v>99</v>
      </c>
    </row>
    <row r="12316" spans="1:9" s="5" customFormat="1" x14ac:dyDescent="0.3">
      <c r="A12316" s="5" t="s">
        <v>37</v>
      </c>
      <c r="B12316" s="5" t="s">
        <v>389</v>
      </c>
      <c r="C12316" s="5">
        <v>10</v>
      </c>
      <c r="D12316" s="5" t="s">
        <v>579</v>
      </c>
      <c r="E12316" s="5" t="s">
        <v>748</v>
      </c>
      <c r="F12316" s="5" t="s">
        <v>99</v>
      </c>
      <c r="G12316" s="5" t="s">
        <v>442</v>
      </c>
      <c r="H12316" s="5" t="s">
        <v>99</v>
      </c>
    </row>
    <row r="12317" spans="1:9" s="5" customFormat="1" x14ac:dyDescent="0.3">
      <c r="A12317" s="5" t="s">
        <v>37</v>
      </c>
      <c r="B12317" s="5" t="s">
        <v>390</v>
      </c>
      <c r="C12317" s="5">
        <v>13</v>
      </c>
      <c r="D12317" s="5" t="s">
        <v>629</v>
      </c>
      <c r="E12317" s="5" t="s">
        <v>667</v>
      </c>
      <c r="F12317" s="5" t="s">
        <v>99</v>
      </c>
      <c r="G12317" s="5" t="s">
        <v>281</v>
      </c>
      <c r="H12317" s="5" t="s">
        <v>99</v>
      </c>
    </row>
    <row r="12318" spans="1:9" x14ac:dyDescent="0.3">
      <c r="A12318" t="s">
        <v>37</v>
      </c>
      <c r="B12318" t="s">
        <v>365</v>
      </c>
      <c r="C12318">
        <v>3</v>
      </c>
      <c r="D12318" t="s">
        <v>211</v>
      </c>
      <c r="E12318" t="s">
        <v>99</v>
      </c>
      <c r="F12318" t="s">
        <v>99</v>
      </c>
      <c r="G12318" t="s">
        <v>99</v>
      </c>
      <c r="H12318" t="s">
        <v>99</v>
      </c>
    </row>
    <row r="12319" spans="1:9" x14ac:dyDescent="0.3">
      <c r="A12319" t="s">
        <v>36</v>
      </c>
      <c r="B12319" t="s">
        <v>389</v>
      </c>
      <c r="C12319">
        <v>45</v>
      </c>
      <c r="D12319" t="s">
        <v>625</v>
      </c>
      <c r="E12319" t="s">
        <v>153</v>
      </c>
      <c r="F12319" t="s">
        <v>262</v>
      </c>
      <c r="G12319" t="s">
        <v>114</v>
      </c>
      <c r="H12319" t="s">
        <v>207</v>
      </c>
    </row>
    <row r="12320" spans="1:9" s="5" customFormat="1" x14ac:dyDescent="0.3">
      <c r="A12320" s="5" t="s">
        <v>36</v>
      </c>
      <c r="B12320" s="5" t="s">
        <v>390</v>
      </c>
      <c r="C12320" s="5">
        <v>10</v>
      </c>
      <c r="D12320" s="5" t="s">
        <v>144</v>
      </c>
      <c r="E12320" s="5" t="s">
        <v>151</v>
      </c>
      <c r="F12320" s="5" t="s">
        <v>919</v>
      </c>
      <c r="G12320" s="5" t="s">
        <v>572</v>
      </c>
      <c r="H12320" s="5" t="s">
        <v>99</v>
      </c>
    </row>
    <row r="12321" spans="1:9" x14ac:dyDescent="0.3">
      <c r="A12321" t="s">
        <v>36</v>
      </c>
      <c r="B12321" t="s">
        <v>365</v>
      </c>
      <c r="C12321">
        <v>4</v>
      </c>
      <c r="D12321" t="s">
        <v>909</v>
      </c>
      <c r="E12321" t="s">
        <v>909</v>
      </c>
      <c r="F12321" t="s">
        <v>99</v>
      </c>
      <c r="G12321" t="s">
        <v>99</v>
      </c>
      <c r="H12321" t="s">
        <v>99</v>
      </c>
    </row>
    <row r="12322" spans="1:9" s="5" customFormat="1" x14ac:dyDescent="0.3">
      <c r="A12322" s="5" t="s">
        <v>34</v>
      </c>
      <c r="B12322" s="5" t="s">
        <v>389</v>
      </c>
      <c r="C12322" s="5">
        <v>21</v>
      </c>
      <c r="D12322" s="5" t="s">
        <v>445</v>
      </c>
      <c r="E12322" s="5" t="s">
        <v>485</v>
      </c>
      <c r="F12322" s="5" t="s">
        <v>319</v>
      </c>
      <c r="G12322" s="5" t="s">
        <v>132</v>
      </c>
      <c r="H12322" s="5" t="s">
        <v>99</v>
      </c>
    </row>
    <row r="12323" spans="1:9" s="5" customFormat="1" x14ac:dyDescent="0.3">
      <c r="A12323" s="5" t="s">
        <v>34</v>
      </c>
      <c r="B12323" s="5" t="s">
        <v>390</v>
      </c>
      <c r="C12323" s="5">
        <v>8</v>
      </c>
      <c r="D12323" s="5" t="s">
        <v>501</v>
      </c>
      <c r="E12323" s="5" t="s">
        <v>497</v>
      </c>
      <c r="F12323" s="5" t="s">
        <v>99</v>
      </c>
      <c r="G12323" s="5" t="s">
        <v>1214</v>
      </c>
      <c r="H12323" s="5" t="s">
        <v>99</v>
      </c>
    </row>
    <row r="12324" spans="1:9" x14ac:dyDescent="0.3">
      <c r="A12324" t="s">
        <v>34</v>
      </c>
      <c r="B12324" t="s">
        <v>365</v>
      </c>
      <c r="C12324">
        <v>2</v>
      </c>
      <c r="D12324" t="s">
        <v>983</v>
      </c>
      <c r="E12324" t="s">
        <v>99</v>
      </c>
      <c r="F12324" t="s">
        <v>99</v>
      </c>
      <c r="G12324" t="s">
        <v>698</v>
      </c>
      <c r="H12324" t="s">
        <v>99</v>
      </c>
    </row>
    <row r="12325" spans="1:9" s="5" customFormat="1" x14ac:dyDescent="0.3">
      <c r="A12325" s="5" t="s">
        <v>33</v>
      </c>
      <c r="B12325" s="5" t="s">
        <v>389</v>
      </c>
      <c r="C12325" s="5">
        <v>2</v>
      </c>
      <c r="D12325" s="5" t="s">
        <v>594</v>
      </c>
      <c r="E12325" s="5" t="s">
        <v>955</v>
      </c>
      <c r="F12325" s="5" t="s">
        <v>99</v>
      </c>
      <c r="G12325" s="5" t="s">
        <v>99</v>
      </c>
      <c r="H12325" s="5" t="s">
        <v>99</v>
      </c>
    </row>
    <row r="12326" spans="1:9" x14ac:dyDescent="0.3">
      <c r="A12326" t="s">
        <v>49</v>
      </c>
      <c r="B12326" t="s">
        <v>389</v>
      </c>
      <c r="C12326">
        <v>97</v>
      </c>
      <c r="D12326" t="s">
        <v>1180</v>
      </c>
      <c r="E12326" t="s">
        <v>695</v>
      </c>
      <c r="F12326" t="s">
        <v>128</v>
      </c>
      <c r="G12326" t="s">
        <v>134</v>
      </c>
      <c r="H12326" t="s">
        <v>104</v>
      </c>
    </row>
    <row r="12327" spans="1:9" x14ac:dyDescent="0.3">
      <c r="A12327" t="s">
        <v>49</v>
      </c>
      <c r="B12327" t="s">
        <v>390</v>
      </c>
      <c r="C12327">
        <v>37</v>
      </c>
      <c r="D12327" t="s">
        <v>662</v>
      </c>
      <c r="E12327" t="s">
        <v>102</v>
      </c>
      <c r="F12327" t="s">
        <v>292</v>
      </c>
      <c r="G12327" t="s">
        <v>732</v>
      </c>
      <c r="H12327" t="s">
        <v>99</v>
      </c>
    </row>
    <row r="12328" spans="1:9" x14ac:dyDescent="0.3">
      <c r="A12328" t="s">
        <v>49</v>
      </c>
      <c r="B12328" t="s">
        <v>365</v>
      </c>
      <c r="C12328">
        <v>10</v>
      </c>
      <c r="D12328" t="s">
        <v>800</v>
      </c>
      <c r="E12328" t="s">
        <v>432</v>
      </c>
      <c r="F12328" t="s">
        <v>99</v>
      </c>
      <c r="G12328" t="s">
        <v>670</v>
      </c>
      <c r="H12328" t="s">
        <v>99</v>
      </c>
    </row>
    <row r="12330" spans="1:9" x14ac:dyDescent="0.3">
      <c r="A12330" t="s">
        <v>2814</v>
      </c>
    </row>
    <row r="12331" spans="1:9" x14ac:dyDescent="0.3">
      <c r="A12331" t="s">
        <v>44</v>
      </c>
      <c r="B12331" t="s">
        <v>388</v>
      </c>
      <c r="C12331" t="s">
        <v>32</v>
      </c>
      <c r="D12331" t="s">
        <v>2801</v>
      </c>
      <c r="E12331" t="s">
        <v>2802</v>
      </c>
      <c r="F12331" t="s">
        <v>2803</v>
      </c>
      <c r="G12331" t="s">
        <v>2804</v>
      </c>
      <c r="H12331" t="s">
        <v>193</v>
      </c>
      <c r="I12331" t="s">
        <v>2805</v>
      </c>
    </row>
    <row r="12332" spans="1:9" s="5" customFormat="1" x14ac:dyDescent="0.3">
      <c r="A12332" s="5" t="s">
        <v>35</v>
      </c>
      <c r="B12332" s="5" t="s">
        <v>389</v>
      </c>
      <c r="C12332" s="5">
        <v>29</v>
      </c>
      <c r="D12332" s="5" t="s">
        <v>724</v>
      </c>
      <c r="E12332" s="5" t="s">
        <v>1123</v>
      </c>
      <c r="F12332" s="5" t="s">
        <v>309</v>
      </c>
      <c r="G12332" s="5" t="s">
        <v>128</v>
      </c>
      <c r="H12332" s="5" t="s">
        <v>99</v>
      </c>
      <c r="I12332" s="5" t="s">
        <v>108</v>
      </c>
    </row>
    <row r="12333" spans="1:9" s="5" customFormat="1" x14ac:dyDescent="0.3">
      <c r="A12333" s="5" t="s">
        <v>35</v>
      </c>
      <c r="B12333" s="5" t="s">
        <v>390</v>
      </c>
      <c r="C12333" s="5">
        <v>9</v>
      </c>
      <c r="D12333" s="5" t="s">
        <v>99</v>
      </c>
      <c r="E12333" s="5" t="s">
        <v>396</v>
      </c>
      <c r="F12333" s="5" t="s">
        <v>395</v>
      </c>
      <c r="G12333" s="5" t="s">
        <v>99</v>
      </c>
      <c r="H12333" s="5" t="s">
        <v>99</v>
      </c>
      <c r="I12333" s="5" t="s">
        <v>99</v>
      </c>
    </row>
    <row r="12334" spans="1:9" x14ac:dyDescent="0.3">
      <c r="A12334" t="s">
        <v>35</v>
      </c>
      <c r="B12334" t="s">
        <v>365</v>
      </c>
      <c r="C12334">
        <v>1</v>
      </c>
      <c r="D12334" t="s">
        <v>99</v>
      </c>
      <c r="E12334" t="s">
        <v>211</v>
      </c>
      <c r="F12334" t="s">
        <v>99</v>
      </c>
      <c r="G12334" t="s">
        <v>99</v>
      </c>
      <c r="H12334" t="s">
        <v>99</v>
      </c>
      <c r="I12334" t="s">
        <v>99</v>
      </c>
    </row>
    <row r="12335" spans="1:9" s="5" customFormat="1" x14ac:dyDescent="0.3">
      <c r="A12335" s="5" t="s">
        <v>37</v>
      </c>
      <c r="B12335" s="5" t="s">
        <v>389</v>
      </c>
      <c r="C12335" s="5">
        <v>15</v>
      </c>
      <c r="D12335" s="5" t="s">
        <v>804</v>
      </c>
      <c r="E12335" s="5" t="s">
        <v>613</v>
      </c>
      <c r="F12335" s="5" t="s">
        <v>943</v>
      </c>
      <c r="G12335" s="5" t="s">
        <v>99</v>
      </c>
      <c r="H12335" s="5" t="s">
        <v>99</v>
      </c>
      <c r="I12335" s="5" t="s">
        <v>99</v>
      </c>
    </row>
    <row r="12336" spans="1:9" s="5" customFormat="1" x14ac:dyDescent="0.3">
      <c r="A12336" s="5" t="s">
        <v>37</v>
      </c>
      <c r="B12336" s="5" t="s">
        <v>390</v>
      </c>
      <c r="C12336" s="5">
        <v>14</v>
      </c>
      <c r="D12336" s="5" t="s">
        <v>289</v>
      </c>
      <c r="E12336" s="5" t="s">
        <v>610</v>
      </c>
      <c r="F12336" s="5" t="s">
        <v>725</v>
      </c>
      <c r="G12336" s="5" t="s">
        <v>99</v>
      </c>
      <c r="H12336" s="5" t="s">
        <v>99</v>
      </c>
      <c r="I12336" s="5" t="s">
        <v>99</v>
      </c>
    </row>
    <row r="12337" spans="1:9" x14ac:dyDescent="0.3">
      <c r="A12337" t="s">
        <v>37</v>
      </c>
      <c r="B12337" t="s">
        <v>365</v>
      </c>
      <c r="C12337">
        <v>5</v>
      </c>
      <c r="D12337" t="s">
        <v>220</v>
      </c>
      <c r="E12337" t="s">
        <v>1451</v>
      </c>
      <c r="F12337" t="s">
        <v>501</v>
      </c>
      <c r="G12337" t="s">
        <v>99</v>
      </c>
      <c r="H12337" t="s">
        <v>99</v>
      </c>
      <c r="I12337" t="s">
        <v>99</v>
      </c>
    </row>
    <row r="12338" spans="1:9" x14ac:dyDescent="0.3">
      <c r="A12338" t="s">
        <v>36</v>
      </c>
      <c r="B12338" t="s">
        <v>389</v>
      </c>
      <c r="C12338">
        <v>66</v>
      </c>
      <c r="D12338" t="s">
        <v>262</v>
      </c>
      <c r="E12338" t="s">
        <v>963</v>
      </c>
      <c r="F12338" t="s">
        <v>610</v>
      </c>
      <c r="G12338" t="s">
        <v>99</v>
      </c>
      <c r="H12338" t="s">
        <v>99</v>
      </c>
      <c r="I12338" t="s">
        <v>99</v>
      </c>
    </row>
    <row r="12339" spans="1:9" s="5" customFormat="1" x14ac:dyDescent="0.3">
      <c r="A12339" s="5" t="s">
        <v>36</v>
      </c>
      <c r="B12339" s="5" t="s">
        <v>390</v>
      </c>
      <c r="C12339" s="5">
        <v>14</v>
      </c>
      <c r="D12339" s="5" t="s">
        <v>158</v>
      </c>
      <c r="E12339" s="5" t="s">
        <v>1246</v>
      </c>
      <c r="F12339" s="5" t="s">
        <v>689</v>
      </c>
      <c r="G12339" s="5" t="s">
        <v>99</v>
      </c>
      <c r="H12339" s="5" t="s">
        <v>99</v>
      </c>
      <c r="I12339" s="5" t="s">
        <v>99</v>
      </c>
    </row>
    <row r="12340" spans="1:9" x14ac:dyDescent="0.3">
      <c r="A12340" t="s">
        <v>36</v>
      </c>
      <c r="B12340" t="s">
        <v>365</v>
      </c>
      <c r="C12340">
        <v>3</v>
      </c>
      <c r="D12340" t="s">
        <v>99</v>
      </c>
      <c r="E12340" t="s">
        <v>211</v>
      </c>
      <c r="F12340" t="s">
        <v>99</v>
      </c>
      <c r="G12340" t="s">
        <v>99</v>
      </c>
      <c r="H12340" t="s">
        <v>99</v>
      </c>
      <c r="I12340" t="s">
        <v>99</v>
      </c>
    </row>
    <row r="12341" spans="1:9" x14ac:dyDescent="0.3">
      <c r="A12341" t="s">
        <v>34</v>
      </c>
      <c r="B12341" t="s">
        <v>389</v>
      </c>
      <c r="C12341">
        <v>58</v>
      </c>
      <c r="D12341" t="s">
        <v>109</v>
      </c>
      <c r="E12341" t="s">
        <v>863</v>
      </c>
      <c r="F12341" t="s">
        <v>920</v>
      </c>
      <c r="G12341" t="s">
        <v>110</v>
      </c>
      <c r="H12341" t="s">
        <v>207</v>
      </c>
      <c r="I12341" t="s">
        <v>99</v>
      </c>
    </row>
    <row r="12342" spans="1:9" s="5" customFormat="1" x14ac:dyDescent="0.3">
      <c r="A12342" s="5" t="s">
        <v>34</v>
      </c>
      <c r="B12342" s="5" t="s">
        <v>390</v>
      </c>
      <c r="C12342" s="5">
        <v>15</v>
      </c>
      <c r="D12342" s="5" t="s">
        <v>60</v>
      </c>
      <c r="E12342" s="5" t="s">
        <v>860</v>
      </c>
      <c r="F12342" s="5" t="s">
        <v>631</v>
      </c>
      <c r="G12342" s="5" t="s">
        <v>111</v>
      </c>
      <c r="H12342" s="5" t="s">
        <v>99</v>
      </c>
      <c r="I12342" s="5" t="s">
        <v>99</v>
      </c>
    </row>
    <row r="12343" spans="1:9" x14ac:dyDescent="0.3">
      <c r="A12343" t="s">
        <v>34</v>
      </c>
      <c r="B12343" t="s">
        <v>365</v>
      </c>
      <c r="C12343">
        <v>2</v>
      </c>
      <c r="D12343" t="s">
        <v>99</v>
      </c>
      <c r="E12343" t="s">
        <v>909</v>
      </c>
      <c r="F12343" t="s">
        <v>909</v>
      </c>
      <c r="G12343" t="s">
        <v>99</v>
      </c>
      <c r="H12343" t="s">
        <v>99</v>
      </c>
      <c r="I12343" t="s">
        <v>99</v>
      </c>
    </row>
    <row r="12344" spans="1:9" s="5" customFormat="1" x14ac:dyDescent="0.3">
      <c r="A12344" s="5" t="s">
        <v>33</v>
      </c>
      <c r="B12344" s="5" t="s">
        <v>389</v>
      </c>
      <c r="C12344" s="5">
        <v>6</v>
      </c>
      <c r="D12344" s="5" t="s">
        <v>264</v>
      </c>
      <c r="E12344" s="5" t="s">
        <v>526</v>
      </c>
      <c r="F12344" s="5" t="s">
        <v>38</v>
      </c>
      <c r="G12344" s="5" t="s">
        <v>99</v>
      </c>
      <c r="H12344" s="5" t="s">
        <v>99</v>
      </c>
      <c r="I12344" s="5" t="s">
        <v>99</v>
      </c>
    </row>
    <row r="12345" spans="1:9" s="5" customFormat="1" x14ac:dyDescent="0.3">
      <c r="A12345" s="5" t="s">
        <v>33</v>
      </c>
      <c r="B12345" s="5" t="s">
        <v>390</v>
      </c>
      <c r="C12345" s="5">
        <v>3</v>
      </c>
      <c r="D12345" s="5" t="s">
        <v>99</v>
      </c>
      <c r="E12345" s="5" t="s">
        <v>211</v>
      </c>
      <c r="F12345" s="5" t="s">
        <v>99</v>
      </c>
      <c r="G12345" s="5" t="s">
        <v>99</v>
      </c>
      <c r="H12345" s="5" t="s">
        <v>99</v>
      </c>
      <c r="I12345" s="5" t="s">
        <v>99</v>
      </c>
    </row>
    <row r="12346" spans="1:9" x14ac:dyDescent="0.3">
      <c r="A12346" t="s">
        <v>33</v>
      </c>
      <c r="B12346" t="s">
        <v>365</v>
      </c>
      <c r="C12346">
        <v>1</v>
      </c>
      <c r="D12346" t="s">
        <v>99</v>
      </c>
      <c r="E12346" t="s">
        <v>211</v>
      </c>
      <c r="F12346" t="s">
        <v>99</v>
      </c>
      <c r="G12346" t="s">
        <v>99</v>
      </c>
      <c r="H12346" t="s">
        <v>99</v>
      </c>
      <c r="I12346" t="s">
        <v>99</v>
      </c>
    </row>
    <row r="12347" spans="1:9" x14ac:dyDescent="0.3">
      <c r="A12347" t="s">
        <v>49</v>
      </c>
      <c r="B12347" t="s">
        <v>389</v>
      </c>
      <c r="C12347">
        <v>174</v>
      </c>
      <c r="D12347" t="s">
        <v>179</v>
      </c>
      <c r="E12347" t="s">
        <v>1095</v>
      </c>
      <c r="F12347" t="s">
        <v>525</v>
      </c>
      <c r="G12347" t="s">
        <v>120</v>
      </c>
      <c r="H12347" t="s">
        <v>198</v>
      </c>
      <c r="I12347" t="s">
        <v>198</v>
      </c>
    </row>
    <row r="12348" spans="1:9" x14ac:dyDescent="0.3">
      <c r="A12348" t="s">
        <v>49</v>
      </c>
      <c r="B12348" t="s">
        <v>390</v>
      </c>
      <c r="C12348">
        <v>55</v>
      </c>
      <c r="D12348" t="s">
        <v>444</v>
      </c>
      <c r="E12348" t="s">
        <v>1051</v>
      </c>
      <c r="F12348" t="s">
        <v>929</v>
      </c>
      <c r="G12348" t="s">
        <v>108</v>
      </c>
      <c r="H12348" t="s">
        <v>99</v>
      </c>
      <c r="I12348" t="s">
        <v>99</v>
      </c>
    </row>
    <row r="12349" spans="1:9" x14ac:dyDescent="0.3">
      <c r="A12349" t="s">
        <v>49</v>
      </c>
      <c r="B12349" t="s">
        <v>365</v>
      </c>
      <c r="C12349">
        <v>12</v>
      </c>
      <c r="D12349" t="s">
        <v>129</v>
      </c>
      <c r="E12349" t="s">
        <v>514</v>
      </c>
      <c r="F12349" t="s">
        <v>842</v>
      </c>
      <c r="G12349" t="s">
        <v>99</v>
      </c>
      <c r="H12349" t="s">
        <v>99</v>
      </c>
      <c r="I12349" t="s">
        <v>99</v>
      </c>
    </row>
    <row r="12351" spans="1:9" x14ac:dyDescent="0.3">
      <c r="A12351" t="s">
        <v>2815</v>
      </c>
    </row>
    <row r="12352" spans="1:9" x14ac:dyDescent="0.3">
      <c r="A12352" t="s">
        <v>44</v>
      </c>
      <c r="B12352" t="s">
        <v>388</v>
      </c>
      <c r="C12352" t="s">
        <v>32</v>
      </c>
      <c r="D12352" t="s">
        <v>2801</v>
      </c>
      <c r="E12352" t="s">
        <v>2802</v>
      </c>
      <c r="F12352" t="s">
        <v>2803</v>
      </c>
      <c r="G12352" t="s">
        <v>2804</v>
      </c>
    </row>
    <row r="12353" spans="1:7" x14ac:dyDescent="0.3">
      <c r="A12353" t="s">
        <v>35</v>
      </c>
      <c r="B12353" t="s">
        <v>389</v>
      </c>
      <c r="C12353">
        <v>77</v>
      </c>
      <c r="D12353" t="s">
        <v>134</v>
      </c>
      <c r="E12353" t="s">
        <v>1066</v>
      </c>
      <c r="F12353" t="s">
        <v>662</v>
      </c>
      <c r="G12353" t="s">
        <v>99</v>
      </c>
    </row>
    <row r="12354" spans="1:7" s="5" customFormat="1" x14ac:dyDescent="0.3">
      <c r="A12354" s="5" t="s">
        <v>35</v>
      </c>
      <c r="B12354" s="5" t="s">
        <v>390</v>
      </c>
      <c r="C12354" s="5">
        <v>18</v>
      </c>
      <c r="D12354" s="5" t="s">
        <v>134</v>
      </c>
      <c r="E12354" s="5" t="s">
        <v>953</v>
      </c>
      <c r="F12354" s="5" t="s">
        <v>137</v>
      </c>
      <c r="G12354" s="5" t="s">
        <v>461</v>
      </c>
    </row>
    <row r="12355" spans="1:7" x14ac:dyDescent="0.3">
      <c r="A12355" t="s">
        <v>35</v>
      </c>
      <c r="B12355" t="s">
        <v>365</v>
      </c>
      <c r="C12355">
        <v>6</v>
      </c>
      <c r="D12355" t="s">
        <v>99</v>
      </c>
      <c r="E12355" t="s">
        <v>1123</v>
      </c>
      <c r="F12355" t="s">
        <v>582</v>
      </c>
      <c r="G12355" t="s">
        <v>74</v>
      </c>
    </row>
    <row r="12356" spans="1:7" x14ac:dyDescent="0.3">
      <c r="A12356" t="s">
        <v>37</v>
      </c>
      <c r="B12356" t="s">
        <v>389</v>
      </c>
      <c r="C12356">
        <v>43</v>
      </c>
      <c r="D12356" t="s">
        <v>99</v>
      </c>
      <c r="E12356" t="s">
        <v>1360</v>
      </c>
      <c r="F12356" t="s">
        <v>1053</v>
      </c>
      <c r="G12356" t="s">
        <v>99</v>
      </c>
    </row>
    <row r="12357" spans="1:7" s="5" customFormat="1" x14ac:dyDescent="0.3">
      <c r="A12357" s="5" t="s">
        <v>37</v>
      </c>
      <c r="B12357" s="5" t="s">
        <v>390</v>
      </c>
      <c r="C12357" s="5">
        <v>24</v>
      </c>
      <c r="D12357" s="5" t="s">
        <v>696</v>
      </c>
      <c r="E12357" s="5" t="s">
        <v>886</v>
      </c>
      <c r="F12357" s="5" t="s">
        <v>1059</v>
      </c>
      <c r="G12357" s="5" t="s">
        <v>99</v>
      </c>
    </row>
    <row r="12358" spans="1:7" x14ac:dyDescent="0.3">
      <c r="A12358" t="s">
        <v>37</v>
      </c>
      <c r="B12358" t="s">
        <v>365</v>
      </c>
      <c r="C12358">
        <v>3</v>
      </c>
      <c r="D12358" t="s">
        <v>99</v>
      </c>
      <c r="E12358" t="s">
        <v>1370</v>
      </c>
      <c r="F12358" t="s">
        <v>832</v>
      </c>
      <c r="G12358" t="s">
        <v>99</v>
      </c>
    </row>
    <row r="12359" spans="1:7" x14ac:dyDescent="0.3">
      <c r="A12359" t="s">
        <v>36</v>
      </c>
      <c r="B12359" t="s">
        <v>389</v>
      </c>
      <c r="C12359">
        <v>206</v>
      </c>
      <c r="D12359" t="s">
        <v>408</v>
      </c>
      <c r="E12359" t="s">
        <v>1125</v>
      </c>
      <c r="F12359" t="s">
        <v>802</v>
      </c>
      <c r="G12359" t="s">
        <v>207</v>
      </c>
    </row>
    <row r="12360" spans="1:7" x14ac:dyDescent="0.3">
      <c r="A12360" t="s">
        <v>36</v>
      </c>
      <c r="B12360" t="s">
        <v>390</v>
      </c>
      <c r="C12360">
        <v>55</v>
      </c>
      <c r="D12360" t="s">
        <v>740</v>
      </c>
      <c r="E12360" t="s">
        <v>1015</v>
      </c>
      <c r="F12360" t="s">
        <v>309</v>
      </c>
      <c r="G12360" t="s">
        <v>99</v>
      </c>
    </row>
    <row r="12361" spans="1:7" x14ac:dyDescent="0.3">
      <c r="A12361" t="s">
        <v>36</v>
      </c>
      <c r="B12361" t="s">
        <v>365</v>
      </c>
      <c r="C12361">
        <v>12</v>
      </c>
      <c r="D12361" t="s">
        <v>115</v>
      </c>
      <c r="E12361" t="s">
        <v>627</v>
      </c>
      <c r="F12361" t="s">
        <v>513</v>
      </c>
      <c r="G12361" t="s">
        <v>99</v>
      </c>
    </row>
    <row r="12362" spans="1:7" x14ac:dyDescent="0.3">
      <c r="A12362" t="s">
        <v>34</v>
      </c>
      <c r="B12362" t="s">
        <v>389</v>
      </c>
      <c r="C12362">
        <v>139</v>
      </c>
      <c r="D12362" t="s">
        <v>313</v>
      </c>
      <c r="E12362" t="s">
        <v>1497</v>
      </c>
      <c r="F12362" t="s">
        <v>924</v>
      </c>
      <c r="G12362" t="s">
        <v>101</v>
      </c>
    </row>
    <row r="12363" spans="1:7" x14ac:dyDescent="0.3">
      <c r="A12363" t="s">
        <v>34</v>
      </c>
      <c r="B12363" t="s">
        <v>390</v>
      </c>
      <c r="C12363">
        <v>46</v>
      </c>
      <c r="D12363" t="s">
        <v>135</v>
      </c>
      <c r="E12363" t="s">
        <v>1329</v>
      </c>
      <c r="F12363" t="s">
        <v>451</v>
      </c>
      <c r="G12363" t="s">
        <v>316</v>
      </c>
    </row>
    <row r="12364" spans="1:7" x14ac:dyDescent="0.3">
      <c r="A12364" t="s">
        <v>34</v>
      </c>
      <c r="B12364" t="s">
        <v>365</v>
      </c>
      <c r="C12364">
        <v>12</v>
      </c>
      <c r="D12364" t="s">
        <v>678</v>
      </c>
      <c r="E12364" t="s">
        <v>1148</v>
      </c>
      <c r="F12364" t="s">
        <v>638</v>
      </c>
      <c r="G12364" t="s">
        <v>120</v>
      </c>
    </row>
    <row r="12365" spans="1:7" s="5" customFormat="1" x14ac:dyDescent="0.3">
      <c r="A12365" s="5" t="s">
        <v>33</v>
      </c>
      <c r="B12365" s="5" t="s">
        <v>389</v>
      </c>
      <c r="C12365" s="5">
        <v>18</v>
      </c>
      <c r="D12365" s="5" t="s">
        <v>432</v>
      </c>
      <c r="E12365" s="5" t="s">
        <v>1226</v>
      </c>
      <c r="F12365" s="5" t="s">
        <v>99</v>
      </c>
      <c r="G12365" s="5" t="s">
        <v>99</v>
      </c>
    </row>
    <row r="12366" spans="1:7" s="5" customFormat="1" x14ac:dyDescent="0.3">
      <c r="A12366" s="5" t="s">
        <v>33</v>
      </c>
      <c r="B12366" s="5" t="s">
        <v>390</v>
      </c>
      <c r="C12366" s="5">
        <v>3</v>
      </c>
      <c r="D12366" s="5" t="s">
        <v>1167</v>
      </c>
      <c r="E12366" s="5" t="s">
        <v>1480</v>
      </c>
      <c r="F12366" s="5" t="s">
        <v>99</v>
      </c>
      <c r="G12366" s="5" t="s">
        <v>99</v>
      </c>
    </row>
    <row r="12367" spans="1:7" x14ac:dyDescent="0.3">
      <c r="A12367" t="s">
        <v>33</v>
      </c>
      <c r="B12367" t="s">
        <v>365</v>
      </c>
      <c r="C12367">
        <v>1</v>
      </c>
      <c r="D12367" t="s">
        <v>99</v>
      </c>
      <c r="E12367" t="s">
        <v>99</v>
      </c>
      <c r="F12367" t="s">
        <v>211</v>
      </c>
      <c r="G12367" t="s">
        <v>99</v>
      </c>
    </row>
    <row r="12368" spans="1:7" x14ac:dyDescent="0.3">
      <c r="A12368" t="s">
        <v>49</v>
      </c>
      <c r="B12368" t="s">
        <v>389</v>
      </c>
      <c r="C12368">
        <v>483</v>
      </c>
      <c r="D12368" t="s">
        <v>296</v>
      </c>
      <c r="E12368" t="s">
        <v>983</v>
      </c>
      <c r="F12368" t="s">
        <v>485</v>
      </c>
      <c r="G12368" t="s">
        <v>115</v>
      </c>
    </row>
    <row r="12369" spans="1:8" x14ac:dyDescent="0.3">
      <c r="A12369" t="s">
        <v>49</v>
      </c>
      <c r="B12369" t="s">
        <v>390</v>
      </c>
      <c r="C12369">
        <v>146</v>
      </c>
      <c r="D12369" t="s">
        <v>710</v>
      </c>
      <c r="E12369" t="s">
        <v>819</v>
      </c>
      <c r="F12369" t="s">
        <v>894</v>
      </c>
      <c r="G12369" t="s">
        <v>103</v>
      </c>
    </row>
    <row r="12370" spans="1:8" x14ac:dyDescent="0.3">
      <c r="A12370" t="s">
        <v>49</v>
      </c>
      <c r="B12370" t="s">
        <v>365</v>
      </c>
      <c r="C12370">
        <v>34</v>
      </c>
      <c r="D12370" t="s">
        <v>150</v>
      </c>
      <c r="E12370" t="s">
        <v>571</v>
      </c>
      <c r="F12370" t="s">
        <v>1285</v>
      </c>
      <c r="G12370" t="s">
        <v>332</v>
      </c>
    </row>
    <row r="12372" spans="1:8" x14ac:dyDescent="0.3">
      <c r="A12372" t="s">
        <v>2816</v>
      </c>
    </row>
    <row r="12373" spans="1:8" x14ac:dyDescent="0.3">
      <c r="A12373" t="s">
        <v>44</v>
      </c>
      <c r="B12373" t="s">
        <v>388</v>
      </c>
      <c r="C12373" t="s">
        <v>32</v>
      </c>
      <c r="D12373" t="s">
        <v>2804</v>
      </c>
      <c r="E12373" t="s">
        <v>2802</v>
      </c>
      <c r="F12373" t="s">
        <v>2801</v>
      </c>
      <c r="G12373" t="s">
        <v>2803</v>
      </c>
      <c r="H12373" t="s">
        <v>193</v>
      </c>
    </row>
    <row r="12374" spans="1:8" s="5" customFormat="1" x14ac:dyDescent="0.3">
      <c r="A12374" s="5" t="s">
        <v>35</v>
      </c>
      <c r="B12374" s="5" t="s">
        <v>389</v>
      </c>
      <c r="C12374" s="5">
        <v>8</v>
      </c>
      <c r="D12374" s="5" t="s">
        <v>99</v>
      </c>
      <c r="E12374" s="5" t="s">
        <v>764</v>
      </c>
      <c r="F12374" s="5" t="s">
        <v>99</v>
      </c>
      <c r="G12374" s="5" t="s">
        <v>710</v>
      </c>
      <c r="H12374" s="5" t="s">
        <v>99</v>
      </c>
    </row>
    <row r="12375" spans="1:8" s="5" customFormat="1" x14ac:dyDescent="0.3">
      <c r="A12375" s="5" t="s">
        <v>35</v>
      </c>
      <c r="B12375" s="5" t="s">
        <v>390</v>
      </c>
      <c r="C12375" s="5">
        <v>3</v>
      </c>
      <c r="D12375" s="5" t="s">
        <v>99</v>
      </c>
      <c r="E12375" s="5" t="s">
        <v>585</v>
      </c>
      <c r="F12375" s="5" t="s">
        <v>620</v>
      </c>
      <c r="G12375" s="5" t="s">
        <v>99</v>
      </c>
      <c r="H12375" s="5" t="s">
        <v>99</v>
      </c>
    </row>
    <row r="12376" spans="1:8" s="5" customFormat="1" x14ac:dyDescent="0.3">
      <c r="A12376" s="5" t="s">
        <v>37</v>
      </c>
      <c r="B12376" s="5" t="s">
        <v>389</v>
      </c>
      <c r="C12376" s="5">
        <v>10</v>
      </c>
      <c r="D12376" s="5" t="s">
        <v>739</v>
      </c>
      <c r="E12376" s="5" t="s">
        <v>1104</v>
      </c>
      <c r="F12376" s="5" t="s">
        <v>726</v>
      </c>
      <c r="G12376" s="5" t="s">
        <v>369</v>
      </c>
      <c r="H12376" s="5" t="s">
        <v>99</v>
      </c>
    </row>
    <row r="12377" spans="1:8" s="5" customFormat="1" x14ac:dyDescent="0.3">
      <c r="A12377" s="5" t="s">
        <v>37</v>
      </c>
      <c r="B12377" s="5" t="s">
        <v>390</v>
      </c>
      <c r="C12377" s="5">
        <v>4</v>
      </c>
      <c r="D12377" s="5" t="s">
        <v>99</v>
      </c>
      <c r="E12377" s="5" t="s">
        <v>873</v>
      </c>
      <c r="F12377" s="5" t="s">
        <v>99</v>
      </c>
      <c r="G12377" s="5" t="s">
        <v>716</v>
      </c>
      <c r="H12377" s="5" t="s">
        <v>99</v>
      </c>
    </row>
    <row r="12378" spans="1:8" x14ac:dyDescent="0.3">
      <c r="A12378" t="s">
        <v>37</v>
      </c>
      <c r="B12378" t="s">
        <v>365</v>
      </c>
      <c r="C12378">
        <v>2</v>
      </c>
      <c r="D12378" t="s">
        <v>99</v>
      </c>
      <c r="E12378" t="s">
        <v>211</v>
      </c>
      <c r="F12378" t="s">
        <v>99</v>
      </c>
      <c r="G12378" t="s">
        <v>99</v>
      </c>
      <c r="H12378" t="s">
        <v>99</v>
      </c>
    </row>
    <row r="12379" spans="1:8" x14ac:dyDescent="0.3">
      <c r="A12379" t="s">
        <v>36</v>
      </c>
      <c r="B12379" t="s">
        <v>389</v>
      </c>
      <c r="C12379">
        <v>46</v>
      </c>
      <c r="D12379" t="s">
        <v>99</v>
      </c>
      <c r="E12379" t="s">
        <v>259</v>
      </c>
      <c r="F12379" t="s">
        <v>114</v>
      </c>
      <c r="G12379" t="s">
        <v>440</v>
      </c>
      <c r="H12379" t="s">
        <v>130</v>
      </c>
    </row>
    <row r="12380" spans="1:8" s="5" customFormat="1" x14ac:dyDescent="0.3">
      <c r="A12380" s="5" t="s">
        <v>36</v>
      </c>
      <c r="B12380" s="5" t="s">
        <v>390</v>
      </c>
      <c r="C12380" s="5">
        <v>9</v>
      </c>
      <c r="D12380" s="5" t="s">
        <v>99</v>
      </c>
      <c r="E12380" s="5" t="s">
        <v>276</v>
      </c>
      <c r="F12380" s="5" t="s">
        <v>1027</v>
      </c>
      <c r="G12380" s="5" t="s">
        <v>215</v>
      </c>
      <c r="H12380" s="5" t="s">
        <v>99</v>
      </c>
    </row>
    <row r="12381" spans="1:8" x14ac:dyDescent="0.3">
      <c r="A12381" t="s">
        <v>36</v>
      </c>
      <c r="B12381" t="s">
        <v>365</v>
      </c>
      <c r="C12381">
        <v>3</v>
      </c>
      <c r="D12381" t="s">
        <v>99</v>
      </c>
      <c r="E12381" t="s">
        <v>182</v>
      </c>
      <c r="F12381" t="s">
        <v>99</v>
      </c>
      <c r="G12381" t="s">
        <v>183</v>
      </c>
      <c r="H12381" t="s">
        <v>99</v>
      </c>
    </row>
    <row r="12382" spans="1:8" s="5" customFormat="1" x14ac:dyDescent="0.3">
      <c r="A12382" s="5" t="s">
        <v>34</v>
      </c>
      <c r="B12382" s="5" t="s">
        <v>389</v>
      </c>
      <c r="C12382" s="5">
        <v>28</v>
      </c>
      <c r="D12382" s="5" t="s">
        <v>99</v>
      </c>
      <c r="E12382" s="5" t="s">
        <v>1337</v>
      </c>
      <c r="F12382" s="5" t="s">
        <v>154</v>
      </c>
      <c r="G12382" s="5" t="s">
        <v>959</v>
      </c>
      <c r="H12382" s="5" t="s">
        <v>99</v>
      </c>
    </row>
    <row r="12383" spans="1:8" s="5" customFormat="1" x14ac:dyDescent="0.3">
      <c r="A12383" s="5" t="s">
        <v>34</v>
      </c>
      <c r="B12383" s="5" t="s">
        <v>390</v>
      </c>
      <c r="C12383" s="5">
        <v>6</v>
      </c>
      <c r="D12383" s="5" t="s">
        <v>99</v>
      </c>
      <c r="E12383" s="5" t="s">
        <v>424</v>
      </c>
      <c r="F12383" s="5" t="s">
        <v>684</v>
      </c>
      <c r="G12383" s="5" t="s">
        <v>177</v>
      </c>
      <c r="H12383" s="5" t="s">
        <v>99</v>
      </c>
    </row>
    <row r="12384" spans="1:8" x14ac:dyDescent="0.3">
      <c r="A12384" t="s">
        <v>34</v>
      </c>
      <c r="B12384" t="s">
        <v>365</v>
      </c>
      <c r="C12384">
        <v>2</v>
      </c>
      <c r="D12384" t="s">
        <v>99</v>
      </c>
      <c r="E12384" t="s">
        <v>99</v>
      </c>
      <c r="F12384" t="s">
        <v>99</v>
      </c>
      <c r="G12384" t="s">
        <v>211</v>
      </c>
      <c r="H12384" t="s">
        <v>99</v>
      </c>
    </row>
    <row r="12385" spans="1:8" s="5" customFormat="1" x14ac:dyDescent="0.3">
      <c r="A12385" s="5" t="s">
        <v>33</v>
      </c>
      <c r="B12385" s="5" t="s">
        <v>389</v>
      </c>
      <c r="C12385" s="5">
        <v>6</v>
      </c>
      <c r="D12385" s="5" t="s">
        <v>188</v>
      </c>
      <c r="E12385" s="5" t="s">
        <v>189</v>
      </c>
      <c r="F12385" s="5" t="s">
        <v>99</v>
      </c>
      <c r="G12385" s="5" t="s">
        <v>99</v>
      </c>
      <c r="H12385" s="5" t="s">
        <v>99</v>
      </c>
    </row>
    <row r="12386" spans="1:8" s="5" customFormat="1" x14ac:dyDescent="0.3">
      <c r="A12386" s="5" t="s">
        <v>33</v>
      </c>
      <c r="B12386" s="5" t="s">
        <v>390</v>
      </c>
      <c r="C12386" s="5">
        <v>1</v>
      </c>
      <c r="D12386" s="5" t="s">
        <v>99</v>
      </c>
      <c r="E12386" s="5" t="s">
        <v>99</v>
      </c>
      <c r="F12386" s="5" t="s">
        <v>211</v>
      </c>
      <c r="G12386" s="5" t="s">
        <v>99</v>
      </c>
      <c r="H12386" s="5" t="s">
        <v>99</v>
      </c>
    </row>
    <row r="12387" spans="1:8" x14ac:dyDescent="0.3">
      <c r="A12387" t="s">
        <v>49</v>
      </c>
      <c r="B12387" t="s">
        <v>389</v>
      </c>
      <c r="C12387">
        <v>98</v>
      </c>
      <c r="D12387" t="s">
        <v>268</v>
      </c>
      <c r="E12387" t="s">
        <v>239</v>
      </c>
      <c r="F12387" t="s">
        <v>155</v>
      </c>
      <c r="G12387" t="s">
        <v>370</v>
      </c>
      <c r="H12387" t="s">
        <v>108</v>
      </c>
    </row>
    <row r="12388" spans="1:8" s="5" customFormat="1" x14ac:dyDescent="0.3">
      <c r="A12388" s="5" t="s">
        <v>49</v>
      </c>
      <c r="B12388" s="5" t="s">
        <v>390</v>
      </c>
      <c r="C12388" s="5">
        <v>23</v>
      </c>
      <c r="D12388" s="5" t="s">
        <v>99</v>
      </c>
      <c r="E12388" s="5" t="s">
        <v>1350</v>
      </c>
      <c r="F12388" s="5" t="s">
        <v>717</v>
      </c>
      <c r="G12388" s="5" t="s">
        <v>470</v>
      </c>
      <c r="H12388" s="5" t="s">
        <v>99</v>
      </c>
    </row>
    <row r="12389" spans="1:8" x14ac:dyDescent="0.3">
      <c r="A12389" t="s">
        <v>49</v>
      </c>
      <c r="B12389" t="s">
        <v>365</v>
      </c>
      <c r="C12389">
        <v>7</v>
      </c>
      <c r="D12389" t="s">
        <v>99</v>
      </c>
      <c r="E12389" t="s">
        <v>795</v>
      </c>
      <c r="F12389" t="s">
        <v>99</v>
      </c>
      <c r="G12389" t="s">
        <v>1075</v>
      </c>
      <c r="H12389" t="s">
        <v>99</v>
      </c>
    </row>
    <row r="12391" spans="1:8" x14ac:dyDescent="0.3">
      <c r="A12391" t="s">
        <v>2817</v>
      </c>
    </row>
    <row r="12392" spans="1:8" x14ac:dyDescent="0.3">
      <c r="A12392" t="s">
        <v>44</v>
      </c>
      <c r="B12392" t="s">
        <v>388</v>
      </c>
      <c r="C12392" t="s">
        <v>32</v>
      </c>
      <c r="D12392" t="s">
        <v>2804</v>
      </c>
      <c r="E12392" t="s">
        <v>2802</v>
      </c>
      <c r="F12392" t="s">
        <v>2803</v>
      </c>
      <c r="G12392" t="s">
        <v>2801</v>
      </c>
      <c r="H12392" t="s">
        <v>2805</v>
      </c>
    </row>
    <row r="12393" spans="1:8" x14ac:dyDescent="0.3">
      <c r="A12393" t="s">
        <v>35</v>
      </c>
      <c r="B12393" t="s">
        <v>389</v>
      </c>
      <c r="C12393">
        <v>58</v>
      </c>
      <c r="D12393" t="s">
        <v>296</v>
      </c>
      <c r="E12393" t="s">
        <v>987</v>
      </c>
      <c r="F12393" t="s">
        <v>930</v>
      </c>
      <c r="G12393" t="s">
        <v>134</v>
      </c>
      <c r="H12393" t="s">
        <v>99</v>
      </c>
    </row>
    <row r="12394" spans="1:8" s="5" customFormat="1" x14ac:dyDescent="0.3">
      <c r="A12394" s="5" t="s">
        <v>35</v>
      </c>
      <c r="B12394" s="5" t="s">
        <v>390</v>
      </c>
      <c r="C12394" s="5">
        <v>15</v>
      </c>
      <c r="D12394" s="5" t="s">
        <v>584</v>
      </c>
      <c r="E12394" s="5" t="s">
        <v>1045</v>
      </c>
      <c r="F12394" s="5" t="s">
        <v>1045</v>
      </c>
      <c r="G12394" s="5" t="s">
        <v>242</v>
      </c>
      <c r="H12394" s="5" t="s">
        <v>99</v>
      </c>
    </row>
    <row r="12395" spans="1:8" x14ac:dyDescent="0.3">
      <c r="A12395" t="s">
        <v>35</v>
      </c>
      <c r="B12395" t="s">
        <v>365</v>
      </c>
      <c r="C12395">
        <v>2</v>
      </c>
      <c r="D12395" t="s">
        <v>99</v>
      </c>
      <c r="E12395" t="s">
        <v>99</v>
      </c>
      <c r="F12395" t="s">
        <v>211</v>
      </c>
      <c r="G12395" t="s">
        <v>99</v>
      </c>
      <c r="H12395" t="s">
        <v>99</v>
      </c>
    </row>
    <row r="12396" spans="1:8" x14ac:dyDescent="0.3">
      <c r="A12396" t="s">
        <v>37</v>
      </c>
      <c r="B12396" t="s">
        <v>389</v>
      </c>
      <c r="C12396">
        <v>42</v>
      </c>
      <c r="D12396" t="s">
        <v>99</v>
      </c>
      <c r="E12396" t="s">
        <v>345</v>
      </c>
      <c r="F12396" t="s">
        <v>711</v>
      </c>
      <c r="G12396" t="s">
        <v>109</v>
      </c>
      <c r="H12396" t="s">
        <v>99</v>
      </c>
    </row>
    <row r="12397" spans="1:8" s="5" customFormat="1" x14ac:dyDescent="0.3">
      <c r="A12397" s="5" t="s">
        <v>37</v>
      </c>
      <c r="B12397" s="5" t="s">
        <v>390</v>
      </c>
      <c r="C12397" s="5">
        <v>19</v>
      </c>
      <c r="D12397" s="5" t="s">
        <v>99</v>
      </c>
      <c r="E12397" s="5" t="s">
        <v>1112</v>
      </c>
      <c r="F12397" s="5" t="s">
        <v>943</v>
      </c>
      <c r="G12397" s="5" t="s">
        <v>109</v>
      </c>
      <c r="H12397" s="5" t="s">
        <v>99</v>
      </c>
    </row>
    <row r="12398" spans="1:8" x14ac:dyDescent="0.3">
      <c r="A12398" t="s">
        <v>37</v>
      </c>
      <c r="B12398" t="s">
        <v>365</v>
      </c>
      <c r="C12398">
        <v>2</v>
      </c>
      <c r="D12398" t="s">
        <v>99</v>
      </c>
      <c r="E12398" t="s">
        <v>99</v>
      </c>
      <c r="F12398" t="s">
        <v>211</v>
      </c>
      <c r="G12398" t="s">
        <v>99</v>
      </c>
      <c r="H12398" t="s">
        <v>99</v>
      </c>
    </row>
    <row r="12399" spans="1:8" x14ac:dyDescent="0.3">
      <c r="A12399" t="s">
        <v>36</v>
      </c>
      <c r="B12399" t="s">
        <v>389</v>
      </c>
      <c r="C12399">
        <v>131</v>
      </c>
      <c r="D12399" t="s">
        <v>147</v>
      </c>
      <c r="E12399" t="s">
        <v>926</v>
      </c>
      <c r="F12399" t="s">
        <v>809</v>
      </c>
      <c r="G12399" t="s">
        <v>434</v>
      </c>
      <c r="H12399" t="s">
        <v>99</v>
      </c>
    </row>
    <row r="12400" spans="1:8" s="5" customFormat="1" x14ac:dyDescent="0.3">
      <c r="A12400" s="5" t="s">
        <v>36</v>
      </c>
      <c r="B12400" s="5" t="s">
        <v>390</v>
      </c>
      <c r="C12400" s="5">
        <v>27</v>
      </c>
      <c r="D12400" s="5" t="s">
        <v>688</v>
      </c>
      <c r="E12400" s="5" t="s">
        <v>609</v>
      </c>
      <c r="F12400" s="5" t="s">
        <v>154</v>
      </c>
      <c r="G12400" s="5" t="s">
        <v>803</v>
      </c>
      <c r="H12400" s="5" t="s">
        <v>206</v>
      </c>
    </row>
    <row r="12401" spans="1:8" x14ac:dyDescent="0.3">
      <c r="A12401" t="s">
        <v>36</v>
      </c>
      <c r="B12401" t="s">
        <v>365</v>
      </c>
      <c r="C12401">
        <v>10</v>
      </c>
      <c r="D12401" t="s">
        <v>1252</v>
      </c>
      <c r="E12401" t="s">
        <v>109</v>
      </c>
      <c r="F12401" t="s">
        <v>264</v>
      </c>
      <c r="G12401" t="s">
        <v>496</v>
      </c>
      <c r="H12401" t="s">
        <v>99</v>
      </c>
    </row>
    <row r="12402" spans="1:8" x14ac:dyDescent="0.3">
      <c r="A12402" t="s">
        <v>34</v>
      </c>
      <c r="B12402" t="s">
        <v>389</v>
      </c>
      <c r="C12402">
        <v>90</v>
      </c>
      <c r="D12402" t="s">
        <v>316</v>
      </c>
      <c r="E12402" t="s">
        <v>1706</v>
      </c>
      <c r="F12402" t="s">
        <v>856</v>
      </c>
      <c r="G12402" t="s">
        <v>103</v>
      </c>
      <c r="H12402" t="s">
        <v>99</v>
      </c>
    </row>
    <row r="12403" spans="1:8" x14ac:dyDescent="0.3">
      <c r="A12403" t="s">
        <v>34</v>
      </c>
      <c r="B12403" t="s">
        <v>390</v>
      </c>
      <c r="C12403">
        <v>33</v>
      </c>
      <c r="D12403" t="s">
        <v>132</v>
      </c>
      <c r="E12403" t="s">
        <v>1159</v>
      </c>
      <c r="F12403" t="s">
        <v>1110</v>
      </c>
      <c r="G12403" t="s">
        <v>482</v>
      </c>
      <c r="H12403" t="s">
        <v>99</v>
      </c>
    </row>
    <row r="12404" spans="1:8" x14ac:dyDescent="0.3">
      <c r="A12404" t="s">
        <v>34</v>
      </c>
      <c r="B12404" t="s">
        <v>365</v>
      </c>
      <c r="C12404">
        <v>5</v>
      </c>
      <c r="D12404" t="s">
        <v>960</v>
      </c>
      <c r="E12404" t="s">
        <v>40</v>
      </c>
      <c r="F12404" t="s">
        <v>725</v>
      </c>
      <c r="G12404" t="s">
        <v>99</v>
      </c>
      <c r="H12404" t="s">
        <v>99</v>
      </c>
    </row>
    <row r="12405" spans="1:8" s="5" customFormat="1" x14ac:dyDescent="0.3">
      <c r="A12405" s="5" t="s">
        <v>33</v>
      </c>
      <c r="B12405" s="5" t="s">
        <v>389</v>
      </c>
      <c r="C12405" s="5">
        <v>13</v>
      </c>
      <c r="D12405" s="5" t="s">
        <v>163</v>
      </c>
      <c r="E12405" s="5" t="s">
        <v>1246</v>
      </c>
      <c r="F12405" s="5" t="s">
        <v>714</v>
      </c>
      <c r="G12405" s="5" t="s">
        <v>99</v>
      </c>
      <c r="H12405" s="5" t="s">
        <v>99</v>
      </c>
    </row>
    <row r="12406" spans="1:8" s="5" customFormat="1" x14ac:dyDescent="0.3">
      <c r="A12406" s="5" t="s">
        <v>33</v>
      </c>
      <c r="B12406" s="5" t="s">
        <v>390</v>
      </c>
      <c r="C12406" s="5">
        <v>6</v>
      </c>
      <c r="D12406" s="5" t="s">
        <v>99</v>
      </c>
      <c r="E12406" s="5" t="s">
        <v>211</v>
      </c>
      <c r="F12406" s="5" t="s">
        <v>99</v>
      </c>
      <c r="G12406" s="5" t="s">
        <v>99</v>
      </c>
      <c r="H12406" s="5" t="s">
        <v>99</v>
      </c>
    </row>
    <row r="12407" spans="1:8" x14ac:dyDescent="0.3">
      <c r="A12407" t="s">
        <v>33</v>
      </c>
      <c r="B12407" t="s">
        <v>365</v>
      </c>
      <c r="C12407">
        <v>2</v>
      </c>
      <c r="D12407" t="s">
        <v>99</v>
      </c>
      <c r="E12407" t="s">
        <v>227</v>
      </c>
      <c r="F12407" t="s">
        <v>228</v>
      </c>
      <c r="G12407" t="s">
        <v>99</v>
      </c>
      <c r="H12407" t="s">
        <v>99</v>
      </c>
    </row>
    <row r="12408" spans="1:8" x14ac:dyDescent="0.3">
      <c r="A12408" t="s">
        <v>49</v>
      </c>
      <c r="B12408" t="s">
        <v>389</v>
      </c>
      <c r="C12408">
        <v>334</v>
      </c>
      <c r="D12408" t="s">
        <v>712</v>
      </c>
      <c r="E12408" t="s">
        <v>563</v>
      </c>
      <c r="F12408" t="s">
        <v>1252</v>
      </c>
      <c r="G12408" t="s">
        <v>332</v>
      </c>
      <c r="H12408" t="s">
        <v>99</v>
      </c>
    </row>
    <row r="12409" spans="1:8" x14ac:dyDescent="0.3">
      <c r="A12409" t="s">
        <v>49</v>
      </c>
      <c r="B12409" t="s">
        <v>390</v>
      </c>
      <c r="C12409">
        <v>100</v>
      </c>
      <c r="D12409" t="s">
        <v>299</v>
      </c>
      <c r="E12409" t="s">
        <v>1112</v>
      </c>
      <c r="F12409" t="s">
        <v>695</v>
      </c>
      <c r="G12409" t="s">
        <v>206</v>
      </c>
      <c r="H12409" t="s">
        <v>115</v>
      </c>
    </row>
    <row r="12410" spans="1:8" x14ac:dyDescent="0.3">
      <c r="A12410" t="s">
        <v>49</v>
      </c>
      <c r="B12410" t="s">
        <v>365</v>
      </c>
      <c r="C12410">
        <v>21</v>
      </c>
      <c r="D12410" t="s">
        <v>1053</v>
      </c>
      <c r="E12410" t="s">
        <v>303</v>
      </c>
      <c r="F12410" t="s">
        <v>588</v>
      </c>
      <c r="G12410" t="s">
        <v>201</v>
      </c>
      <c r="H12410" t="s">
        <v>99</v>
      </c>
    </row>
    <row r="12412" spans="1:8" x14ac:dyDescent="0.3">
      <c r="A12412" t="s">
        <v>2818</v>
      </c>
    </row>
    <row r="12413" spans="1:8" x14ac:dyDescent="0.3">
      <c r="A12413" t="s">
        <v>44</v>
      </c>
      <c r="B12413" t="s">
        <v>388</v>
      </c>
      <c r="C12413" t="s">
        <v>32</v>
      </c>
      <c r="D12413" t="s">
        <v>2801</v>
      </c>
      <c r="E12413" t="s">
        <v>2802</v>
      </c>
      <c r="F12413" t="s">
        <v>2803</v>
      </c>
      <c r="G12413" t="s">
        <v>2804</v>
      </c>
      <c r="H12413" t="s">
        <v>2805</v>
      </c>
    </row>
    <row r="12414" spans="1:8" s="5" customFormat="1" x14ac:dyDescent="0.3">
      <c r="A12414" s="5" t="s">
        <v>35</v>
      </c>
      <c r="B12414" s="5" t="s">
        <v>389</v>
      </c>
      <c r="C12414" s="5">
        <v>10</v>
      </c>
      <c r="D12414" s="5" t="s">
        <v>242</v>
      </c>
      <c r="E12414" s="5" t="s">
        <v>1257</v>
      </c>
      <c r="F12414" s="5" t="s">
        <v>920</v>
      </c>
      <c r="G12414" s="5" t="s">
        <v>99</v>
      </c>
      <c r="H12414" s="5" t="s">
        <v>99</v>
      </c>
    </row>
    <row r="12415" spans="1:8" s="5" customFormat="1" x14ac:dyDescent="0.3">
      <c r="A12415" s="5" t="s">
        <v>35</v>
      </c>
      <c r="B12415" s="5" t="s">
        <v>390</v>
      </c>
      <c r="C12415" s="5">
        <v>6</v>
      </c>
      <c r="D12415" s="5" t="s">
        <v>99</v>
      </c>
      <c r="E12415" s="5" t="s">
        <v>1480</v>
      </c>
      <c r="F12415" s="5" t="s">
        <v>1167</v>
      </c>
      <c r="G12415" s="5" t="s">
        <v>99</v>
      </c>
      <c r="H12415" s="5" t="s">
        <v>99</v>
      </c>
    </row>
    <row r="12416" spans="1:8" s="5" customFormat="1" x14ac:dyDescent="0.3">
      <c r="A12416" s="5" t="s">
        <v>37</v>
      </c>
      <c r="B12416" s="5" t="s">
        <v>389</v>
      </c>
      <c r="C12416" s="5">
        <v>7</v>
      </c>
      <c r="D12416" s="5" t="s">
        <v>173</v>
      </c>
      <c r="E12416" s="5" t="s">
        <v>558</v>
      </c>
      <c r="F12416" s="5" t="s">
        <v>1414</v>
      </c>
      <c r="G12416" s="5" t="s">
        <v>99</v>
      </c>
      <c r="H12416" s="5" t="s">
        <v>99</v>
      </c>
    </row>
    <row r="12417" spans="1:9" s="5" customFormat="1" x14ac:dyDescent="0.3">
      <c r="A12417" s="5" t="s">
        <v>37</v>
      </c>
      <c r="B12417" s="5" t="s">
        <v>390</v>
      </c>
      <c r="C12417" s="5">
        <v>3</v>
      </c>
      <c r="D12417" s="5" t="s">
        <v>99</v>
      </c>
      <c r="E12417" s="5" t="s">
        <v>488</v>
      </c>
      <c r="F12417" s="5" t="s">
        <v>1457</v>
      </c>
      <c r="G12417" s="5" t="s">
        <v>99</v>
      </c>
      <c r="H12417" s="5" t="s">
        <v>99</v>
      </c>
    </row>
    <row r="12418" spans="1:9" s="5" customFormat="1" x14ac:dyDescent="0.3">
      <c r="A12418" s="5" t="s">
        <v>36</v>
      </c>
      <c r="B12418" s="5" t="s">
        <v>389</v>
      </c>
      <c r="C12418" s="5">
        <v>21</v>
      </c>
      <c r="D12418" s="5" t="s">
        <v>220</v>
      </c>
      <c r="E12418" s="5" t="s">
        <v>618</v>
      </c>
      <c r="F12418" s="5" t="s">
        <v>1062</v>
      </c>
      <c r="G12418" s="5" t="s">
        <v>127</v>
      </c>
      <c r="H12418" s="5" t="s">
        <v>99</v>
      </c>
    </row>
    <row r="12419" spans="1:9" s="5" customFormat="1" x14ac:dyDescent="0.3">
      <c r="A12419" s="5" t="s">
        <v>36</v>
      </c>
      <c r="B12419" s="5" t="s">
        <v>390</v>
      </c>
      <c r="C12419" s="5">
        <v>7</v>
      </c>
      <c r="D12419" s="5" t="s">
        <v>99</v>
      </c>
      <c r="E12419" s="5" t="s">
        <v>75</v>
      </c>
      <c r="F12419" s="5" t="s">
        <v>103</v>
      </c>
      <c r="G12419" s="5" t="s">
        <v>99</v>
      </c>
      <c r="H12419" s="5" t="s">
        <v>134</v>
      </c>
    </row>
    <row r="12420" spans="1:9" s="5" customFormat="1" x14ac:dyDescent="0.3">
      <c r="A12420" s="5" t="s">
        <v>34</v>
      </c>
      <c r="B12420" s="5" t="s">
        <v>389</v>
      </c>
      <c r="C12420" s="5">
        <v>15</v>
      </c>
      <c r="D12420" s="5" t="s">
        <v>111</v>
      </c>
      <c r="E12420" s="5" t="s">
        <v>818</v>
      </c>
      <c r="F12420" s="5" t="s">
        <v>1149</v>
      </c>
      <c r="G12420" s="5" t="s">
        <v>99</v>
      </c>
      <c r="H12420" s="5" t="s">
        <v>99</v>
      </c>
    </row>
    <row r="12421" spans="1:9" s="5" customFormat="1" x14ac:dyDescent="0.3">
      <c r="A12421" s="5" t="s">
        <v>34</v>
      </c>
      <c r="B12421" s="5" t="s">
        <v>390</v>
      </c>
      <c r="C12421" s="5">
        <v>5</v>
      </c>
      <c r="D12421" s="5" t="s">
        <v>666</v>
      </c>
      <c r="E12421" s="5" t="s">
        <v>532</v>
      </c>
      <c r="F12421" s="5" t="s">
        <v>42</v>
      </c>
      <c r="G12421" s="5" t="s">
        <v>99</v>
      </c>
      <c r="H12421" s="5" t="s">
        <v>99</v>
      </c>
    </row>
    <row r="12422" spans="1:9" x14ac:dyDescent="0.3">
      <c r="A12422" t="s">
        <v>34</v>
      </c>
      <c r="B12422" t="s">
        <v>365</v>
      </c>
      <c r="C12422">
        <v>1</v>
      </c>
      <c r="D12422" t="s">
        <v>99</v>
      </c>
      <c r="E12422" t="s">
        <v>99</v>
      </c>
      <c r="F12422" t="s">
        <v>211</v>
      </c>
      <c r="G12422" t="s">
        <v>99</v>
      </c>
      <c r="H12422" t="s">
        <v>99</v>
      </c>
    </row>
    <row r="12423" spans="1:9" x14ac:dyDescent="0.3">
      <c r="A12423" t="s">
        <v>33</v>
      </c>
      <c r="B12423" t="s">
        <v>365</v>
      </c>
    </row>
    <row r="12424" spans="1:9" x14ac:dyDescent="0.3">
      <c r="A12424" t="s">
        <v>49</v>
      </c>
      <c r="B12424" t="s">
        <v>389</v>
      </c>
      <c r="C12424">
        <v>53</v>
      </c>
      <c r="D12424" t="s">
        <v>328</v>
      </c>
      <c r="E12424" t="s">
        <v>556</v>
      </c>
      <c r="F12424" t="s">
        <v>956</v>
      </c>
      <c r="G12424" t="s">
        <v>136</v>
      </c>
      <c r="H12424" t="s">
        <v>99</v>
      </c>
    </row>
    <row r="12425" spans="1:9" s="5" customFormat="1" x14ac:dyDescent="0.3">
      <c r="A12425" s="5" t="s">
        <v>49</v>
      </c>
      <c r="B12425" s="5" t="s">
        <v>390</v>
      </c>
      <c r="C12425" s="5">
        <v>21</v>
      </c>
      <c r="D12425" s="5" t="s">
        <v>175</v>
      </c>
      <c r="E12425" s="5" t="s">
        <v>528</v>
      </c>
      <c r="F12425" s="5" t="s">
        <v>732</v>
      </c>
      <c r="G12425" s="5" t="s">
        <v>99</v>
      </c>
      <c r="H12425" s="5" t="s">
        <v>132</v>
      </c>
    </row>
    <row r="12426" spans="1:9" x14ac:dyDescent="0.3">
      <c r="A12426" t="s">
        <v>49</v>
      </c>
      <c r="B12426" t="s">
        <v>365</v>
      </c>
      <c r="C12426">
        <v>1</v>
      </c>
      <c r="D12426" t="s">
        <v>99</v>
      </c>
      <c r="E12426" t="s">
        <v>99</v>
      </c>
      <c r="F12426" t="s">
        <v>211</v>
      </c>
      <c r="G12426" t="s">
        <v>99</v>
      </c>
      <c r="H12426" t="s">
        <v>99</v>
      </c>
    </row>
    <row r="12428" spans="1:9" x14ac:dyDescent="0.3">
      <c r="A12428" t="s">
        <v>2819</v>
      </c>
    </row>
    <row r="12429" spans="1:9" x14ac:dyDescent="0.3">
      <c r="A12429" t="s">
        <v>44</v>
      </c>
      <c r="B12429" t="s">
        <v>235</v>
      </c>
      <c r="C12429" t="s">
        <v>32</v>
      </c>
      <c r="D12429" t="s">
        <v>2801</v>
      </c>
      <c r="E12429" t="s">
        <v>2802</v>
      </c>
      <c r="F12429" t="s">
        <v>2803</v>
      </c>
      <c r="G12429" t="s">
        <v>2804</v>
      </c>
      <c r="H12429" t="s">
        <v>193</v>
      </c>
      <c r="I12429" t="s">
        <v>2805</v>
      </c>
    </row>
    <row r="12430" spans="1:9" x14ac:dyDescent="0.3">
      <c r="A12430" t="s">
        <v>35</v>
      </c>
      <c r="B12430" t="s">
        <v>236</v>
      </c>
      <c r="C12430">
        <v>115</v>
      </c>
      <c r="D12430" t="s">
        <v>737</v>
      </c>
      <c r="E12430" t="s">
        <v>1151</v>
      </c>
      <c r="F12430" t="s">
        <v>697</v>
      </c>
      <c r="G12430" t="s">
        <v>268</v>
      </c>
      <c r="H12430" t="s">
        <v>99</v>
      </c>
      <c r="I12430" t="s">
        <v>136</v>
      </c>
    </row>
    <row r="12431" spans="1:9" x14ac:dyDescent="0.3">
      <c r="A12431" t="s">
        <v>35</v>
      </c>
      <c r="B12431" t="s">
        <v>238</v>
      </c>
      <c r="C12431">
        <v>187</v>
      </c>
      <c r="D12431" t="s">
        <v>738</v>
      </c>
      <c r="E12431" t="s">
        <v>642</v>
      </c>
      <c r="F12431" t="s">
        <v>732</v>
      </c>
      <c r="G12431" t="s">
        <v>405</v>
      </c>
      <c r="H12431" t="s">
        <v>141</v>
      </c>
      <c r="I12431" t="s">
        <v>141</v>
      </c>
    </row>
    <row r="12432" spans="1:9" x14ac:dyDescent="0.3">
      <c r="A12432" t="s">
        <v>37</v>
      </c>
      <c r="B12432" t="s">
        <v>236</v>
      </c>
      <c r="C12432">
        <v>82</v>
      </c>
      <c r="D12432" t="s">
        <v>171</v>
      </c>
      <c r="E12432" t="s">
        <v>1498</v>
      </c>
      <c r="F12432" t="s">
        <v>1067</v>
      </c>
      <c r="G12432" t="s">
        <v>111</v>
      </c>
      <c r="H12432" t="s">
        <v>99</v>
      </c>
      <c r="I12432" t="s">
        <v>99</v>
      </c>
    </row>
    <row r="12433" spans="1:9" x14ac:dyDescent="0.3">
      <c r="A12433" t="s">
        <v>37</v>
      </c>
      <c r="B12433" t="s">
        <v>238</v>
      </c>
      <c r="C12433">
        <v>99</v>
      </c>
      <c r="D12433" t="s">
        <v>134</v>
      </c>
      <c r="E12433" t="s">
        <v>1058</v>
      </c>
      <c r="F12433" t="s">
        <v>629</v>
      </c>
      <c r="G12433" t="s">
        <v>316</v>
      </c>
      <c r="H12433" t="s">
        <v>99</v>
      </c>
      <c r="I12433" t="s">
        <v>253</v>
      </c>
    </row>
    <row r="12434" spans="1:9" x14ac:dyDescent="0.3">
      <c r="A12434" t="s">
        <v>36</v>
      </c>
      <c r="B12434" t="s">
        <v>236</v>
      </c>
      <c r="C12434">
        <v>608</v>
      </c>
      <c r="D12434" t="s">
        <v>416</v>
      </c>
      <c r="E12434" t="s">
        <v>522</v>
      </c>
      <c r="F12434" t="s">
        <v>702</v>
      </c>
      <c r="G12434" t="s">
        <v>277</v>
      </c>
      <c r="H12434" t="s">
        <v>99</v>
      </c>
      <c r="I12434" t="s">
        <v>132</v>
      </c>
    </row>
    <row r="12435" spans="1:9" x14ac:dyDescent="0.3">
      <c r="A12435" t="s">
        <v>36</v>
      </c>
      <c r="B12435" t="s">
        <v>238</v>
      </c>
      <c r="C12435">
        <v>239</v>
      </c>
      <c r="D12435" t="s">
        <v>700</v>
      </c>
      <c r="E12435" t="s">
        <v>630</v>
      </c>
      <c r="F12435" t="s">
        <v>734</v>
      </c>
      <c r="G12435" t="s">
        <v>684</v>
      </c>
      <c r="H12435" t="s">
        <v>99</v>
      </c>
      <c r="I12435" t="s">
        <v>126</v>
      </c>
    </row>
    <row r="12436" spans="1:9" x14ac:dyDescent="0.3">
      <c r="A12436" t="s">
        <v>34</v>
      </c>
      <c r="B12436" t="s">
        <v>236</v>
      </c>
      <c r="C12436">
        <v>188</v>
      </c>
      <c r="D12436" t="s">
        <v>294</v>
      </c>
      <c r="E12436" t="s">
        <v>651</v>
      </c>
      <c r="F12436" t="s">
        <v>347</v>
      </c>
      <c r="G12436" t="s">
        <v>114</v>
      </c>
      <c r="H12436" t="s">
        <v>108</v>
      </c>
      <c r="I12436" t="s">
        <v>108</v>
      </c>
    </row>
    <row r="12437" spans="1:9" x14ac:dyDescent="0.3">
      <c r="A12437" t="s">
        <v>34</v>
      </c>
      <c r="B12437" t="s">
        <v>238</v>
      </c>
      <c r="C12437">
        <v>536</v>
      </c>
      <c r="D12437" t="s">
        <v>267</v>
      </c>
      <c r="E12437" t="s">
        <v>507</v>
      </c>
      <c r="F12437" t="s">
        <v>820</v>
      </c>
      <c r="G12437" t="s">
        <v>242</v>
      </c>
      <c r="H12437" t="s">
        <v>253</v>
      </c>
      <c r="I12437" t="s">
        <v>114</v>
      </c>
    </row>
    <row r="12438" spans="1:9" x14ac:dyDescent="0.3">
      <c r="A12438" t="s">
        <v>33</v>
      </c>
      <c r="B12438" t="s">
        <v>236</v>
      </c>
      <c r="C12438">
        <v>37</v>
      </c>
      <c r="D12438" t="s">
        <v>113</v>
      </c>
      <c r="E12438" t="s">
        <v>514</v>
      </c>
      <c r="F12438" t="s">
        <v>309</v>
      </c>
      <c r="G12438" t="s">
        <v>99</v>
      </c>
      <c r="H12438" t="s">
        <v>99</v>
      </c>
      <c r="I12438" t="s">
        <v>99</v>
      </c>
    </row>
    <row r="12439" spans="1:9" x14ac:dyDescent="0.3">
      <c r="A12439" t="s">
        <v>33</v>
      </c>
      <c r="B12439" t="s">
        <v>238</v>
      </c>
      <c r="C12439">
        <v>40</v>
      </c>
      <c r="D12439" t="s">
        <v>449</v>
      </c>
      <c r="E12439" t="s">
        <v>1176</v>
      </c>
      <c r="F12439" t="s">
        <v>1062</v>
      </c>
      <c r="G12439" t="s">
        <v>99</v>
      </c>
      <c r="H12439" t="s">
        <v>99</v>
      </c>
      <c r="I12439" t="s">
        <v>99</v>
      </c>
    </row>
    <row r="12440" spans="1:9" x14ac:dyDescent="0.3">
      <c r="A12440" t="s">
        <v>49</v>
      </c>
      <c r="B12440" t="s">
        <v>236</v>
      </c>
      <c r="C12440">
        <v>1030</v>
      </c>
      <c r="D12440" t="s">
        <v>179</v>
      </c>
      <c r="E12440" t="s">
        <v>495</v>
      </c>
      <c r="F12440" t="s">
        <v>1167</v>
      </c>
      <c r="G12440" t="s">
        <v>292</v>
      </c>
      <c r="H12440" t="s">
        <v>136</v>
      </c>
      <c r="I12440" t="s">
        <v>115</v>
      </c>
    </row>
    <row r="12441" spans="1:9" x14ac:dyDescent="0.3">
      <c r="A12441" t="s">
        <v>49</v>
      </c>
      <c r="B12441" t="s">
        <v>238</v>
      </c>
      <c r="C12441">
        <v>1101</v>
      </c>
      <c r="D12441" t="s">
        <v>201</v>
      </c>
      <c r="E12441" t="s">
        <v>590</v>
      </c>
      <c r="F12441" t="s">
        <v>276</v>
      </c>
      <c r="G12441" t="s">
        <v>325</v>
      </c>
      <c r="H12441" t="s">
        <v>136</v>
      </c>
      <c r="I12441" t="s">
        <v>108</v>
      </c>
    </row>
    <row r="12443" spans="1:9" x14ac:dyDescent="0.3">
      <c r="A12443" t="s">
        <v>2820</v>
      </c>
    </row>
    <row r="12444" spans="1:9" x14ac:dyDescent="0.3">
      <c r="A12444" t="s">
        <v>44</v>
      </c>
      <c r="B12444" t="s">
        <v>235</v>
      </c>
      <c r="C12444" t="s">
        <v>32</v>
      </c>
      <c r="D12444" t="s">
        <v>2802</v>
      </c>
      <c r="E12444" t="s">
        <v>2803</v>
      </c>
      <c r="F12444" t="s">
        <v>2801</v>
      </c>
      <c r="G12444" t="s">
        <v>2804</v>
      </c>
      <c r="H12444" t="s">
        <v>2805</v>
      </c>
    </row>
    <row r="12445" spans="1:9" s="5" customFormat="1" x14ac:dyDescent="0.3">
      <c r="A12445" s="5" t="s">
        <v>35</v>
      </c>
      <c r="B12445" s="5" t="s">
        <v>236</v>
      </c>
      <c r="C12445" s="5">
        <v>10</v>
      </c>
      <c r="D12445" s="5" t="s">
        <v>1058</v>
      </c>
      <c r="E12445" s="5" t="s">
        <v>943</v>
      </c>
      <c r="F12445" s="5" t="s">
        <v>129</v>
      </c>
      <c r="G12445" s="5" t="s">
        <v>99</v>
      </c>
      <c r="H12445" s="5" t="s">
        <v>99</v>
      </c>
    </row>
    <row r="12446" spans="1:9" s="5" customFormat="1" x14ac:dyDescent="0.3">
      <c r="A12446" s="5" t="s">
        <v>35</v>
      </c>
      <c r="B12446" s="5" t="s">
        <v>238</v>
      </c>
      <c r="C12446" s="5">
        <v>16</v>
      </c>
      <c r="D12446" s="5" t="s">
        <v>1055</v>
      </c>
      <c r="E12446" s="5" t="s">
        <v>1184</v>
      </c>
      <c r="F12446" s="5" t="s">
        <v>99</v>
      </c>
      <c r="G12446" s="5" t="s">
        <v>99</v>
      </c>
      <c r="H12446" s="5" t="s">
        <v>99</v>
      </c>
    </row>
    <row r="12447" spans="1:9" s="5" customFormat="1" x14ac:dyDescent="0.3">
      <c r="A12447" s="5" t="s">
        <v>37</v>
      </c>
      <c r="B12447" s="5" t="s">
        <v>236</v>
      </c>
      <c r="C12447" s="5">
        <v>16</v>
      </c>
      <c r="D12447" s="5" t="s">
        <v>603</v>
      </c>
      <c r="E12447" s="5" t="s">
        <v>916</v>
      </c>
      <c r="F12447" s="5" t="s">
        <v>357</v>
      </c>
      <c r="G12447" s="5" t="s">
        <v>99</v>
      </c>
      <c r="H12447" s="5" t="s">
        <v>99</v>
      </c>
    </row>
    <row r="12448" spans="1:9" s="5" customFormat="1" x14ac:dyDescent="0.3">
      <c r="A12448" s="5" t="s">
        <v>37</v>
      </c>
      <c r="B12448" s="5" t="s">
        <v>238</v>
      </c>
      <c r="C12448" s="5">
        <v>10</v>
      </c>
      <c r="D12448" s="5" t="s">
        <v>625</v>
      </c>
      <c r="E12448" s="5" t="s">
        <v>303</v>
      </c>
      <c r="F12448" s="5" t="s">
        <v>665</v>
      </c>
      <c r="G12448" s="5" t="s">
        <v>99</v>
      </c>
      <c r="H12448" s="5" t="s">
        <v>99</v>
      </c>
    </row>
    <row r="12449" spans="1:9" x14ac:dyDescent="0.3">
      <c r="A12449" t="s">
        <v>36</v>
      </c>
      <c r="B12449" t="s">
        <v>236</v>
      </c>
      <c r="C12449">
        <v>46</v>
      </c>
      <c r="D12449" t="s">
        <v>571</v>
      </c>
      <c r="E12449" t="s">
        <v>650</v>
      </c>
      <c r="F12449" t="s">
        <v>684</v>
      </c>
      <c r="G12449" t="s">
        <v>311</v>
      </c>
      <c r="H12449" t="s">
        <v>141</v>
      </c>
    </row>
    <row r="12450" spans="1:9" s="5" customFormat="1" x14ac:dyDescent="0.3">
      <c r="A12450" s="5" t="s">
        <v>36</v>
      </c>
      <c r="B12450" s="5" t="s">
        <v>238</v>
      </c>
      <c r="C12450" s="5">
        <v>13</v>
      </c>
      <c r="D12450" s="5" t="s">
        <v>1215</v>
      </c>
      <c r="E12450" s="5" t="s">
        <v>692</v>
      </c>
      <c r="F12450" s="5" t="s">
        <v>78</v>
      </c>
      <c r="G12450" s="5" t="s">
        <v>372</v>
      </c>
      <c r="H12450" s="5" t="s">
        <v>99</v>
      </c>
    </row>
    <row r="12451" spans="1:9" s="5" customFormat="1" x14ac:dyDescent="0.3">
      <c r="A12451" s="5" t="s">
        <v>34</v>
      </c>
      <c r="B12451" s="5" t="s">
        <v>236</v>
      </c>
      <c r="C12451" s="5">
        <v>15</v>
      </c>
      <c r="D12451" s="5" t="s">
        <v>1159</v>
      </c>
      <c r="E12451" s="5" t="s">
        <v>146</v>
      </c>
      <c r="F12451" s="5" t="s">
        <v>523</v>
      </c>
      <c r="G12451" s="5" t="s">
        <v>99</v>
      </c>
      <c r="H12451" s="5" t="s">
        <v>99</v>
      </c>
    </row>
    <row r="12452" spans="1:9" s="5" customFormat="1" x14ac:dyDescent="0.3">
      <c r="A12452" s="5" t="s">
        <v>34</v>
      </c>
      <c r="B12452" s="5" t="s">
        <v>238</v>
      </c>
      <c r="C12452" s="5">
        <v>16</v>
      </c>
      <c r="D12452" s="5" t="s">
        <v>953</v>
      </c>
      <c r="E12452" s="5" t="s">
        <v>140</v>
      </c>
      <c r="F12452" s="5" t="s">
        <v>470</v>
      </c>
      <c r="G12452" s="5" t="s">
        <v>151</v>
      </c>
      <c r="H12452" s="5" t="s">
        <v>99</v>
      </c>
    </row>
    <row r="12453" spans="1:9" s="5" customFormat="1" x14ac:dyDescent="0.3">
      <c r="A12453" s="5" t="s">
        <v>33</v>
      </c>
      <c r="B12453" s="5" t="s">
        <v>236</v>
      </c>
      <c r="C12453" s="5">
        <v>2</v>
      </c>
      <c r="D12453" s="5" t="s">
        <v>594</v>
      </c>
      <c r="E12453" s="5" t="s">
        <v>955</v>
      </c>
      <c r="F12453" s="5" t="s">
        <v>99</v>
      </c>
      <c r="G12453" s="5" t="s">
        <v>99</v>
      </c>
      <c r="H12453" s="5" t="s">
        <v>99</v>
      </c>
    </row>
    <row r="12454" spans="1:9" x14ac:dyDescent="0.3">
      <c r="A12454" t="s">
        <v>49</v>
      </c>
      <c r="B12454" t="s">
        <v>236</v>
      </c>
      <c r="C12454">
        <v>89</v>
      </c>
      <c r="D12454" t="s">
        <v>571</v>
      </c>
      <c r="E12454" t="s">
        <v>62</v>
      </c>
      <c r="F12454" t="s">
        <v>264</v>
      </c>
      <c r="G12454" t="s">
        <v>101</v>
      </c>
      <c r="H12454" t="s">
        <v>104</v>
      </c>
    </row>
    <row r="12455" spans="1:9" x14ac:dyDescent="0.3">
      <c r="A12455" t="s">
        <v>49</v>
      </c>
      <c r="B12455" t="s">
        <v>238</v>
      </c>
      <c r="C12455">
        <v>55</v>
      </c>
      <c r="D12455" t="s">
        <v>539</v>
      </c>
      <c r="E12455" t="s">
        <v>736</v>
      </c>
      <c r="F12455" t="s">
        <v>405</v>
      </c>
      <c r="G12455" t="s">
        <v>138</v>
      </c>
      <c r="H12455" t="s">
        <v>99</v>
      </c>
    </row>
    <row r="12457" spans="1:9" x14ac:dyDescent="0.3">
      <c r="A12457" t="s">
        <v>2821</v>
      </c>
    </row>
    <row r="12458" spans="1:9" x14ac:dyDescent="0.3">
      <c r="A12458" t="s">
        <v>44</v>
      </c>
      <c r="B12458" t="s">
        <v>235</v>
      </c>
      <c r="C12458" t="s">
        <v>32</v>
      </c>
      <c r="D12458" t="s">
        <v>2801</v>
      </c>
      <c r="E12458" t="s">
        <v>2802</v>
      </c>
      <c r="F12458" t="s">
        <v>2803</v>
      </c>
      <c r="G12458" t="s">
        <v>193</v>
      </c>
      <c r="H12458" t="s">
        <v>2804</v>
      </c>
      <c r="I12458" t="s">
        <v>2805</v>
      </c>
    </row>
    <row r="12459" spans="1:9" s="5" customFormat="1" x14ac:dyDescent="0.3">
      <c r="A12459" s="5" t="s">
        <v>35</v>
      </c>
      <c r="B12459" s="5" t="s">
        <v>236</v>
      </c>
      <c r="C12459" s="5">
        <v>18</v>
      </c>
      <c r="D12459" s="5" t="s">
        <v>254</v>
      </c>
      <c r="E12459" s="5" t="s">
        <v>896</v>
      </c>
      <c r="F12459" s="5" t="s">
        <v>64</v>
      </c>
      <c r="G12459" s="5" t="s">
        <v>99</v>
      </c>
      <c r="H12459" s="5" t="s">
        <v>99</v>
      </c>
      <c r="I12459" s="5" t="s">
        <v>292</v>
      </c>
    </row>
    <row r="12460" spans="1:9" s="5" customFormat="1" x14ac:dyDescent="0.3">
      <c r="A12460" s="5" t="s">
        <v>35</v>
      </c>
      <c r="B12460" s="5" t="s">
        <v>238</v>
      </c>
      <c r="C12460" s="5">
        <v>21</v>
      </c>
      <c r="D12460" s="5" t="s">
        <v>40</v>
      </c>
      <c r="E12460" s="5" t="s">
        <v>1239</v>
      </c>
      <c r="F12460" s="5" t="s">
        <v>731</v>
      </c>
      <c r="G12460" s="5" t="s">
        <v>99</v>
      </c>
      <c r="H12460" s="5" t="s">
        <v>138</v>
      </c>
      <c r="I12460" s="5" t="s">
        <v>99</v>
      </c>
    </row>
    <row r="12461" spans="1:9" s="5" customFormat="1" x14ac:dyDescent="0.3">
      <c r="A12461" s="5" t="s">
        <v>37</v>
      </c>
      <c r="B12461" s="5" t="s">
        <v>236</v>
      </c>
      <c r="C12461" s="5">
        <v>11</v>
      </c>
      <c r="D12461" s="5" t="s">
        <v>626</v>
      </c>
      <c r="E12461" s="5" t="s">
        <v>741</v>
      </c>
      <c r="F12461" s="5" t="s">
        <v>918</v>
      </c>
      <c r="G12461" s="5" t="s">
        <v>99</v>
      </c>
      <c r="H12461" s="5" t="s">
        <v>99</v>
      </c>
      <c r="I12461" s="5" t="s">
        <v>99</v>
      </c>
    </row>
    <row r="12462" spans="1:9" s="5" customFormat="1" x14ac:dyDescent="0.3">
      <c r="A12462" s="5" t="s">
        <v>37</v>
      </c>
      <c r="B12462" s="5" t="s">
        <v>238</v>
      </c>
      <c r="C12462" s="5">
        <v>23</v>
      </c>
      <c r="D12462" s="5" t="s">
        <v>118</v>
      </c>
      <c r="E12462" s="5" t="s">
        <v>1237</v>
      </c>
      <c r="F12462" s="5" t="s">
        <v>707</v>
      </c>
      <c r="G12462" s="5" t="s">
        <v>99</v>
      </c>
      <c r="H12462" s="5" t="s">
        <v>99</v>
      </c>
      <c r="I12462" s="5" t="s">
        <v>99</v>
      </c>
    </row>
    <row r="12463" spans="1:9" x14ac:dyDescent="0.3">
      <c r="A12463" t="s">
        <v>36</v>
      </c>
      <c r="B12463" t="s">
        <v>236</v>
      </c>
      <c r="C12463">
        <v>73</v>
      </c>
      <c r="D12463" t="s">
        <v>186</v>
      </c>
      <c r="E12463" t="s">
        <v>1285</v>
      </c>
      <c r="F12463" t="s">
        <v>965</v>
      </c>
      <c r="G12463" t="s">
        <v>99</v>
      </c>
      <c r="H12463" t="s">
        <v>99</v>
      </c>
      <c r="I12463" t="s">
        <v>99</v>
      </c>
    </row>
    <row r="12464" spans="1:9" s="5" customFormat="1" x14ac:dyDescent="0.3">
      <c r="A12464" s="5" t="s">
        <v>36</v>
      </c>
      <c r="B12464" s="5" t="s">
        <v>238</v>
      </c>
      <c r="C12464" s="5">
        <v>10</v>
      </c>
      <c r="D12464" s="5" t="s">
        <v>99</v>
      </c>
      <c r="E12464" s="5" t="s">
        <v>925</v>
      </c>
      <c r="F12464" s="5" t="s">
        <v>839</v>
      </c>
      <c r="G12464" s="5" t="s">
        <v>99</v>
      </c>
      <c r="H12464" s="5" t="s">
        <v>99</v>
      </c>
      <c r="I12464" s="5" t="s">
        <v>99</v>
      </c>
    </row>
    <row r="12465" spans="1:9" s="5" customFormat="1" x14ac:dyDescent="0.3">
      <c r="A12465" s="5" t="s">
        <v>34</v>
      </c>
      <c r="B12465" s="5" t="s">
        <v>236</v>
      </c>
      <c r="C12465" s="5">
        <v>20</v>
      </c>
      <c r="D12465" s="5" t="s">
        <v>289</v>
      </c>
      <c r="E12465" s="5" t="s">
        <v>1386</v>
      </c>
      <c r="F12465" s="5" t="s">
        <v>580</v>
      </c>
      <c r="G12465" s="5" t="s">
        <v>253</v>
      </c>
      <c r="H12465" s="5" t="s">
        <v>99</v>
      </c>
      <c r="I12465" s="5" t="s">
        <v>99</v>
      </c>
    </row>
    <row r="12466" spans="1:9" x14ac:dyDescent="0.3">
      <c r="A12466" t="s">
        <v>34</v>
      </c>
      <c r="B12466" t="s">
        <v>238</v>
      </c>
      <c r="C12466">
        <v>55</v>
      </c>
      <c r="D12466" t="s">
        <v>405</v>
      </c>
      <c r="E12466" t="s">
        <v>1106</v>
      </c>
      <c r="F12466" t="s">
        <v>116</v>
      </c>
      <c r="G12466" t="s">
        <v>99</v>
      </c>
      <c r="H12466" t="s">
        <v>204</v>
      </c>
      <c r="I12466" t="s">
        <v>99</v>
      </c>
    </row>
    <row r="12467" spans="1:9" s="5" customFormat="1" x14ac:dyDescent="0.3">
      <c r="A12467" s="5" t="s">
        <v>33</v>
      </c>
      <c r="B12467" s="5" t="s">
        <v>236</v>
      </c>
      <c r="C12467" s="5">
        <v>4</v>
      </c>
      <c r="D12467" s="5" t="s">
        <v>457</v>
      </c>
      <c r="E12467" s="5" t="s">
        <v>424</v>
      </c>
      <c r="F12467" s="5" t="s">
        <v>99</v>
      </c>
      <c r="G12467" s="5" t="s">
        <v>99</v>
      </c>
      <c r="H12467" s="5" t="s">
        <v>99</v>
      </c>
      <c r="I12467" s="5" t="s">
        <v>99</v>
      </c>
    </row>
    <row r="12468" spans="1:9" s="5" customFormat="1" x14ac:dyDescent="0.3">
      <c r="A12468" s="5" t="s">
        <v>33</v>
      </c>
      <c r="B12468" s="5" t="s">
        <v>238</v>
      </c>
      <c r="C12468" s="5">
        <v>6</v>
      </c>
      <c r="D12468" s="5" t="s">
        <v>99</v>
      </c>
      <c r="E12468" s="5" t="s">
        <v>845</v>
      </c>
      <c r="F12468" s="5" t="s">
        <v>721</v>
      </c>
      <c r="G12468" s="5" t="s">
        <v>99</v>
      </c>
      <c r="H12468" s="5" t="s">
        <v>99</v>
      </c>
      <c r="I12468" s="5" t="s">
        <v>99</v>
      </c>
    </row>
    <row r="12469" spans="1:9" x14ac:dyDescent="0.3">
      <c r="A12469" t="s">
        <v>49</v>
      </c>
      <c r="B12469" t="s">
        <v>236</v>
      </c>
      <c r="C12469">
        <v>126</v>
      </c>
      <c r="D12469" t="s">
        <v>244</v>
      </c>
      <c r="E12469" t="s">
        <v>1116</v>
      </c>
      <c r="F12469" t="s">
        <v>829</v>
      </c>
      <c r="G12469" t="s">
        <v>136</v>
      </c>
      <c r="H12469" t="s">
        <v>99</v>
      </c>
      <c r="I12469" t="s">
        <v>207</v>
      </c>
    </row>
    <row r="12470" spans="1:9" x14ac:dyDescent="0.3">
      <c r="A12470" t="s">
        <v>49</v>
      </c>
      <c r="B12470" t="s">
        <v>238</v>
      </c>
      <c r="C12470">
        <v>115</v>
      </c>
      <c r="D12470" t="s">
        <v>289</v>
      </c>
      <c r="E12470" t="s">
        <v>958</v>
      </c>
      <c r="F12470" t="s">
        <v>1057</v>
      </c>
      <c r="G12470" t="s">
        <v>99</v>
      </c>
      <c r="H12470" t="s">
        <v>134</v>
      </c>
      <c r="I12470" t="s">
        <v>99</v>
      </c>
    </row>
    <row r="12472" spans="1:9" x14ac:dyDescent="0.3">
      <c r="A12472" t="s">
        <v>2822</v>
      </c>
    </row>
    <row r="12473" spans="1:9" x14ac:dyDescent="0.3">
      <c r="A12473" t="s">
        <v>44</v>
      </c>
      <c r="B12473" t="s">
        <v>235</v>
      </c>
      <c r="C12473" t="s">
        <v>32</v>
      </c>
      <c r="D12473" t="s">
        <v>2801</v>
      </c>
      <c r="E12473" t="s">
        <v>2802</v>
      </c>
      <c r="F12473" t="s">
        <v>2803</v>
      </c>
      <c r="G12473" t="s">
        <v>2804</v>
      </c>
    </row>
    <row r="12474" spans="1:9" x14ac:dyDescent="0.3">
      <c r="A12474" t="s">
        <v>35</v>
      </c>
      <c r="B12474" t="s">
        <v>236</v>
      </c>
      <c r="C12474">
        <v>43</v>
      </c>
      <c r="D12474" t="s">
        <v>100</v>
      </c>
      <c r="E12474" t="s">
        <v>1052</v>
      </c>
      <c r="F12474" t="s">
        <v>725</v>
      </c>
      <c r="G12474" t="s">
        <v>99</v>
      </c>
    </row>
    <row r="12475" spans="1:9" x14ac:dyDescent="0.3">
      <c r="A12475" t="s">
        <v>35</v>
      </c>
      <c r="B12475" t="s">
        <v>238</v>
      </c>
      <c r="C12475">
        <v>58</v>
      </c>
      <c r="D12475" t="s">
        <v>110</v>
      </c>
      <c r="E12475" t="s">
        <v>983</v>
      </c>
      <c r="F12475" t="s">
        <v>1209</v>
      </c>
      <c r="G12475" t="s">
        <v>103</v>
      </c>
    </row>
    <row r="12476" spans="1:9" s="5" customFormat="1" x14ac:dyDescent="0.3">
      <c r="A12476" s="5" t="s">
        <v>37</v>
      </c>
      <c r="B12476" s="5" t="s">
        <v>236</v>
      </c>
      <c r="C12476" s="5">
        <v>29</v>
      </c>
      <c r="D12476" s="5" t="s">
        <v>103</v>
      </c>
      <c r="E12476" s="5" t="s">
        <v>546</v>
      </c>
      <c r="F12476" s="5" t="s">
        <v>349</v>
      </c>
      <c r="G12476" s="5" t="s">
        <v>99</v>
      </c>
    </row>
    <row r="12477" spans="1:9" x14ac:dyDescent="0.3">
      <c r="A12477" t="s">
        <v>37</v>
      </c>
      <c r="B12477" t="s">
        <v>238</v>
      </c>
      <c r="C12477">
        <v>41</v>
      </c>
      <c r="D12477" t="s">
        <v>701</v>
      </c>
      <c r="E12477" t="s">
        <v>213</v>
      </c>
      <c r="F12477" t="s">
        <v>911</v>
      </c>
      <c r="G12477" t="s">
        <v>99</v>
      </c>
    </row>
    <row r="12478" spans="1:9" x14ac:dyDescent="0.3">
      <c r="A12478" t="s">
        <v>36</v>
      </c>
      <c r="B12478" t="s">
        <v>236</v>
      </c>
      <c r="C12478">
        <v>211</v>
      </c>
      <c r="D12478" t="s">
        <v>150</v>
      </c>
      <c r="E12478" t="s">
        <v>581</v>
      </c>
      <c r="F12478" t="s">
        <v>668</v>
      </c>
      <c r="G12478" t="s">
        <v>198</v>
      </c>
    </row>
    <row r="12479" spans="1:9" x14ac:dyDescent="0.3">
      <c r="A12479" t="s">
        <v>36</v>
      </c>
      <c r="B12479" t="s">
        <v>238</v>
      </c>
      <c r="C12479">
        <v>62</v>
      </c>
      <c r="D12479" t="s">
        <v>372</v>
      </c>
      <c r="E12479" t="s">
        <v>1245</v>
      </c>
      <c r="F12479" t="s">
        <v>705</v>
      </c>
      <c r="G12479" t="s">
        <v>207</v>
      </c>
    </row>
    <row r="12480" spans="1:9" x14ac:dyDescent="0.3">
      <c r="A12480" t="s">
        <v>34</v>
      </c>
      <c r="B12480" t="s">
        <v>236</v>
      </c>
      <c r="C12480">
        <v>46</v>
      </c>
      <c r="D12480" t="s">
        <v>264</v>
      </c>
      <c r="E12480" t="s">
        <v>583</v>
      </c>
      <c r="F12480" t="s">
        <v>681</v>
      </c>
      <c r="G12480" t="s">
        <v>99</v>
      </c>
    </row>
    <row r="12481" spans="1:8" x14ac:dyDescent="0.3">
      <c r="A12481" t="s">
        <v>34</v>
      </c>
      <c r="B12481" t="s">
        <v>238</v>
      </c>
      <c r="C12481">
        <v>151</v>
      </c>
      <c r="D12481" t="s">
        <v>363</v>
      </c>
      <c r="E12481" t="s">
        <v>556</v>
      </c>
      <c r="F12481" t="s">
        <v>695</v>
      </c>
      <c r="G12481" t="s">
        <v>103</v>
      </c>
    </row>
    <row r="12482" spans="1:8" s="5" customFormat="1" x14ac:dyDescent="0.3">
      <c r="A12482" s="5" t="s">
        <v>33</v>
      </c>
      <c r="B12482" s="5" t="s">
        <v>236</v>
      </c>
      <c r="C12482" s="5">
        <v>13</v>
      </c>
      <c r="D12482" s="5" t="s">
        <v>542</v>
      </c>
      <c r="E12482" s="5" t="s">
        <v>784</v>
      </c>
      <c r="F12482" s="5" t="s">
        <v>99</v>
      </c>
      <c r="G12482" s="5" t="s">
        <v>99</v>
      </c>
    </row>
    <row r="12483" spans="1:8" s="5" customFormat="1" x14ac:dyDescent="0.3">
      <c r="A12483" s="5" t="s">
        <v>33</v>
      </c>
      <c r="B12483" s="5" t="s">
        <v>238</v>
      </c>
      <c r="C12483" s="5">
        <v>9</v>
      </c>
      <c r="D12483" s="5" t="s">
        <v>743</v>
      </c>
      <c r="E12483" s="5" t="s">
        <v>1259</v>
      </c>
      <c r="F12483" s="5" t="s">
        <v>289</v>
      </c>
      <c r="G12483" s="5" t="s">
        <v>99</v>
      </c>
    </row>
    <row r="12484" spans="1:8" x14ac:dyDescent="0.3">
      <c r="A12484" t="s">
        <v>49</v>
      </c>
      <c r="B12484" t="s">
        <v>236</v>
      </c>
      <c r="C12484">
        <v>342</v>
      </c>
      <c r="D12484" t="s">
        <v>804</v>
      </c>
      <c r="E12484" t="s">
        <v>1474</v>
      </c>
      <c r="F12484" t="s">
        <v>626</v>
      </c>
      <c r="G12484" t="s">
        <v>99</v>
      </c>
    </row>
    <row r="12485" spans="1:8" x14ac:dyDescent="0.3">
      <c r="A12485" t="s">
        <v>49</v>
      </c>
      <c r="B12485" t="s">
        <v>238</v>
      </c>
      <c r="C12485">
        <v>321</v>
      </c>
      <c r="D12485" t="s">
        <v>671</v>
      </c>
      <c r="E12485" t="s">
        <v>522</v>
      </c>
      <c r="F12485" t="s">
        <v>148</v>
      </c>
      <c r="G12485" t="s">
        <v>123</v>
      </c>
    </row>
    <row r="12487" spans="1:8" x14ac:dyDescent="0.3">
      <c r="A12487" t="s">
        <v>2823</v>
      </c>
    </row>
    <row r="12488" spans="1:8" x14ac:dyDescent="0.3">
      <c r="A12488" t="s">
        <v>44</v>
      </c>
      <c r="B12488" t="s">
        <v>235</v>
      </c>
      <c r="C12488" t="s">
        <v>32</v>
      </c>
      <c r="D12488" t="s">
        <v>2804</v>
      </c>
      <c r="E12488" t="s">
        <v>2802</v>
      </c>
      <c r="F12488" t="s">
        <v>2801</v>
      </c>
      <c r="G12488" t="s">
        <v>2803</v>
      </c>
      <c r="H12488" t="s">
        <v>193</v>
      </c>
    </row>
    <row r="12489" spans="1:8" s="5" customFormat="1" x14ac:dyDescent="0.3">
      <c r="A12489" s="5" t="s">
        <v>35</v>
      </c>
      <c r="B12489" s="5" t="s">
        <v>236</v>
      </c>
      <c r="C12489" s="5">
        <v>5</v>
      </c>
      <c r="D12489" s="5" t="s">
        <v>99</v>
      </c>
      <c r="E12489" s="5" t="s">
        <v>974</v>
      </c>
      <c r="F12489" s="5" t="s">
        <v>741</v>
      </c>
      <c r="G12489" s="5" t="s">
        <v>99</v>
      </c>
      <c r="H12489" s="5" t="s">
        <v>99</v>
      </c>
    </row>
    <row r="12490" spans="1:8" s="5" customFormat="1" x14ac:dyDescent="0.3">
      <c r="A12490" s="5" t="s">
        <v>35</v>
      </c>
      <c r="B12490" s="5" t="s">
        <v>238</v>
      </c>
      <c r="C12490" s="5">
        <v>6</v>
      </c>
      <c r="D12490" s="5" t="s">
        <v>99</v>
      </c>
      <c r="E12490" s="5" t="s">
        <v>784</v>
      </c>
      <c r="F12490" s="5" t="s">
        <v>99</v>
      </c>
      <c r="G12490" s="5" t="s">
        <v>542</v>
      </c>
      <c r="H12490" s="5" t="s">
        <v>99</v>
      </c>
    </row>
    <row r="12491" spans="1:8" s="5" customFormat="1" x14ac:dyDescent="0.3">
      <c r="A12491" s="5" t="s">
        <v>37</v>
      </c>
      <c r="B12491" s="5" t="s">
        <v>236</v>
      </c>
      <c r="C12491" s="5">
        <v>5</v>
      </c>
      <c r="D12491" s="5" t="s">
        <v>704</v>
      </c>
      <c r="E12491" s="5" t="s">
        <v>942</v>
      </c>
      <c r="F12491" s="5" t="s">
        <v>99</v>
      </c>
      <c r="G12491" s="5" t="s">
        <v>1094</v>
      </c>
      <c r="H12491" s="5" t="s">
        <v>99</v>
      </c>
    </row>
    <row r="12492" spans="1:8" s="5" customFormat="1" x14ac:dyDescent="0.3">
      <c r="A12492" s="5" t="s">
        <v>37</v>
      </c>
      <c r="B12492" s="5" t="s">
        <v>238</v>
      </c>
      <c r="C12492" s="5">
        <v>11</v>
      </c>
      <c r="D12492" s="5" t="s">
        <v>98</v>
      </c>
      <c r="E12492" s="5" t="s">
        <v>537</v>
      </c>
      <c r="F12492" s="5" t="s">
        <v>171</v>
      </c>
      <c r="G12492" s="5" t="s">
        <v>99</v>
      </c>
      <c r="H12492" s="5" t="s">
        <v>99</v>
      </c>
    </row>
    <row r="12493" spans="1:8" x14ac:dyDescent="0.3">
      <c r="A12493" t="s">
        <v>36</v>
      </c>
      <c r="B12493" t="s">
        <v>236</v>
      </c>
      <c r="C12493">
        <v>45</v>
      </c>
      <c r="D12493" t="s">
        <v>99</v>
      </c>
      <c r="E12493" t="s">
        <v>239</v>
      </c>
      <c r="F12493" t="s">
        <v>253</v>
      </c>
      <c r="G12493" t="s">
        <v>301</v>
      </c>
      <c r="H12493" t="s">
        <v>144</v>
      </c>
    </row>
    <row r="12494" spans="1:8" s="5" customFormat="1" x14ac:dyDescent="0.3">
      <c r="A12494" s="5" t="s">
        <v>36</v>
      </c>
      <c r="B12494" s="5" t="s">
        <v>238</v>
      </c>
      <c r="C12494" s="5">
        <v>13</v>
      </c>
      <c r="D12494" s="5" t="s">
        <v>99</v>
      </c>
      <c r="E12494" s="5" t="s">
        <v>589</v>
      </c>
      <c r="F12494" s="5" t="s">
        <v>1157</v>
      </c>
      <c r="G12494" s="5" t="s">
        <v>368</v>
      </c>
      <c r="H12494" s="5" t="s">
        <v>99</v>
      </c>
    </row>
    <row r="12495" spans="1:8" s="5" customFormat="1" x14ac:dyDescent="0.3">
      <c r="A12495" s="5" t="s">
        <v>34</v>
      </c>
      <c r="B12495" s="5" t="s">
        <v>236</v>
      </c>
      <c r="C12495" s="5">
        <v>11</v>
      </c>
      <c r="D12495" s="5" t="s">
        <v>99</v>
      </c>
      <c r="E12495" s="5" t="s">
        <v>773</v>
      </c>
      <c r="F12495" s="5" t="s">
        <v>99</v>
      </c>
      <c r="G12495" s="5" t="s">
        <v>682</v>
      </c>
      <c r="H12495" s="5" t="s">
        <v>99</v>
      </c>
    </row>
    <row r="12496" spans="1:8" s="5" customFormat="1" x14ac:dyDescent="0.3">
      <c r="A12496" s="5" t="s">
        <v>34</v>
      </c>
      <c r="B12496" s="5" t="s">
        <v>238</v>
      </c>
      <c r="C12496" s="5">
        <v>25</v>
      </c>
      <c r="D12496" s="5" t="s">
        <v>99</v>
      </c>
      <c r="E12496" s="5" t="s">
        <v>1125</v>
      </c>
      <c r="F12496" s="5" t="s">
        <v>160</v>
      </c>
      <c r="G12496" s="5" t="s">
        <v>724</v>
      </c>
      <c r="H12496" s="5" t="s">
        <v>99</v>
      </c>
    </row>
    <row r="12497" spans="1:8" s="5" customFormat="1" x14ac:dyDescent="0.3">
      <c r="A12497" s="5" t="s">
        <v>33</v>
      </c>
      <c r="B12497" s="5" t="s">
        <v>236</v>
      </c>
      <c r="C12497" s="5">
        <v>4</v>
      </c>
      <c r="D12497" s="5" t="s">
        <v>1414</v>
      </c>
      <c r="E12497" s="5" t="s">
        <v>1279</v>
      </c>
      <c r="F12497" s="5" t="s">
        <v>99</v>
      </c>
      <c r="G12497" s="5" t="s">
        <v>99</v>
      </c>
      <c r="H12497" s="5" t="s">
        <v>99</v>
      </c>
    </row>
    <row r="12498" spans="1:8" s="5" customFormat="1" x14ac:dyDescent="0.3">
      <c r="A12498" s="5" t="s">
        <v>33</v>
      </c>
      <c r="B12498" s="5" t="s">
        <v>238</v>
      </c>
      <c r="C12498" s="5">
        <v>3</v>
      </c>
      <c r="D12498" s="5" t="s">
        <v>99</v>
      </c>
      <c r="E12498" s="5" t="s">
        <v>1127</v>
      </c>
      <c r="F12498" s="5" t="s">
        <v>801</v>
      </c>
      <c r="G12498" s="5" t="s">
        <v>99</v>
      </c>
      <c r="H12498" s="5" t="s">
        <v>99</v>
      </c>
    </row>
    <row r="12499" spans="1:8" x14ac:dyDescent="0.3">
      <c r="A12499" t="s">
        <v>49</v>
      </c>
      <c r="B12499" t="s">
        <v>236</v>
      </c>
      <c r="C12499">
        <v>70</v>
      </c>
      <c r="D12499" t="s">
        <v>147</v>
      </c>
      <c r="E12499" t="s">
        <v>343</v>
      </c>
      <c r="F12499" t="s">
        <v>127</v>
      </c>
      <c r="G12499" t="s">
        <v>864</v>
      </c>
      <c r="H12499" t="s">
        <v>319</v>
      </c>
    </row>
    <row r="12500" spans="1:8" x14ac:dyDescent="0.3">
      <c r="A12500" t="s">
        <v>49</v>
      </c>
      <c r="B12500" t="s">
        <v>238</v>
      </c>
      <c r="C12500">
        <v>58</v>
      </c>
      <c r="D12500" t="s">
        <v>132</v>
      </c>
      <c r="E12500" t="s">
        <v>280</v>
      </c>
      <c r="F12500" t="s">
        <v>708</v>
      </c>
      <c r="G12500" t="s">
        <v>811</v>
      </c>
      <c r="H12500" t="s">
        <v>99</v>
      </c>
    </row>
    <row r="12502" spans="1:8" x14ac:dyDescent="0.3">
      <c r="A12502" t="s">
        <v>2824</v>
      </c>
    </row>
    <row r="12503" spans="1:8" x14ac:dyDescent="0.3">
      <c r="A12503" t="s">
        <v>44</v>
      </c>
      <c r="B12503" t="s">
        <v>235</v>
      </c>
      <c r="C12503" t="s">
        <v>32</v>
      </c>
      <c r="D12503" t="s">
        <v>2802</v>
      </c>
      <c r="E12503" t="s">
        <v>2803</v>
      </c>
      <c r="F12503" t="s">
        <v>2804</v>
      </c>
      <c r="G12503" t="s">
        <v>2801</v>
      </c>
      <c r="H12503" t="s">
        <v>2805</v>
      </c>
    </row>
    <row r="12504" spans="1:8" s="5" customFormat="1" x14ac:dyDescent="0.3">
      <c r="A12504" s="5" t="s">
        <v>35</v>
      </c>
      <c r="B12504" s="5" t="s">
        <v>236</v>
      </c>
      <c r="C12504" s="5">
        <v>19</v>
      </c>
      <c r="D12504" s="5" t="s">
        <v>936</v>
      </c>
      <c r="E12504" s="5" t="s">
        <v>793</v>
      </c>
      <c r="F12504" s="5" t="s">
        <v>99</v>
      </c>
      <c r="G12504" s="5" t="s">
        <v>122</v>
      </c>
      <c r="H12504" s="5" t="s">
        <v>99</v>
      </c>
    </row>
    <row r="12505" spans="1:8" x14ac:dyDescent="0.3">
      <c r="A12505" t="s">
        <v>35</v>
      </c>
      <c r="B12505" t="s">
        <v>238</v>
      </c>
      <c r="C12505">
        <v>56</v>
      </c>
      <c r="D12505" t="s">
        <v>584</v>
      </c>
      <c r="E12505" t="s">
        <v>56</v>
      </c>
      <c r="F12505" t="s">
        <v>542</v>
      </c>
      <c r="G12505" t="s">
        <v>155</v>
      </c>
      <c r="H12505" t="s">
        <v>99</v>
      </c>
    </row>
    <row r="12506" spans="1:8" s="5" customFormat="1" x14ac:dyDescent="0.3">
      <c r="A12506" s="5" t="s">
        <v>37</v>
      </c>
      <c r="B12506" s="5" t="s">
        <v>236</v>
      </c>
      <c r="C12506" s="5">
        <v>29</v>
      </c>
      <c r="D12506" s="5" t="s">
        <v>1650</v>
      </c>
      <c r="E12506" s="5" t="s">
        <v>1105</v>
      </c>
      <c r="F12506" s="5" t="s">
        <v>99</v>
      </c>
      <c r="G12506" s="5" t="s">
        <v>408</v>
      </c>
      <c r="H12506" s="5" t="s">
        <v>99</v>
      </c>
    </row>
    <row r="12507" spans="1:8" x14ac:dyDescent="0.3">
      <c r="A12507" t="s">
        <v>37</v>
      </c>
      <c r="B12507" t="s">
        <v>238</v>
      </c>
      <c r="C12507">
        <v>34</v>
      </c>
      <c r="D12507" t="s">
        <v>1106</v>
      </c>
      <c r="E12507" t="s">
        <v>806</v>
      </c>
      <c r="F12507" t="s">
        <v>99</v>
      </c>
      <c r="G12507" t="s">
        <v>155</v>
      </c>
      <c r="H12507" t="s">
        <v>99</v>
      </c>
    </row>
    <row r="12508" spans="1:8" x14ac:dyDescent="0.3">
      <c r="A12508" t="s">
        <v>36</v>
      </c>
      <c r="B12508" t="s">
        <v>236</v>
      </c>
      <c r="C12508">
        <v>122</v>
      </c>
      <c r="D12508" t="s">
        <v>1153</v>
      </c>
      <c r="E12508" t="s">
        <v>246</v>
      </c>
      <c r="F12508" t="s">
        <v>277</v>
      </c>
      <c r="G12508" t="s">
        <v>149</v>
      </c>
      <c r="H12508" t="s">
        <v>99</v>
      </c>
    </row>
    <row r="12509" spans="1:8" x14ac:dyDescent="0.3">
      <c r="A12509" t="s">
        <v>36</v>
      </c>
      <c r="B12509" t="s">
        <v>238</v>
      </c>
      <c r="C12509">
        <v>46</v>
      </c>
      <c r="D12509" t="s">
        <v>1112</v>
      </c>
      <c r="E12509" t="s">
        <v>140</v>
      </c>
      <c r="F12509" t="s">
        <v>369</v>
      </c>
      <c r="G12509" t="s">
        <v>482</v>
      </c>
      <c r="H12509" t="s">
        <v>268</v>
      </c>
    </row>
    <row r="12510" spans="1:8" s="5" customFormat="1" x14ac:dyDescent="0.3">
      <c r="A12510" s="5" t="s">
        <v>34</v>
      </c>
      <c r="B12510" s="5" t="s">
        <v>236</v>
      </c>
      <c r="C12510" s="5">
        <v>26</v>
      </c>
      <c r="D12510" s="5" t="s">
        <v>591</v>
      </c>
      <c r="E12510" s="5" t="s">
        <v>1112</v>
      </c>
      <c r="F12510" s="5" t="s">
        <v>99</v>
      </c>
      <c r="G12510" s="5" t="s">
        <v>299</v>
      </c>
      <c r="H12510" s="5" t="s">
        <v>99</v>
      </c>
    </row>
    <row r="12511" spans="1:8" x14ac:dyDescent="0.3">
      <c r="A12511" t="s">
        <v>34</v>
      </c>
      <c r="B12511" t="s">
        <v>238</v>
      </c>
      <c r="C12511">
        <v>102</v>
      </c>
      <c r="D12511" t="s">
        <v>1123</v>
      </c>
      <c r="E12511" t="s">
        <v>837</v>
      </c>
      <c r="F12511" t="s">
        <v>112</v>
      </c>
      <c r="G12511" t="s">
        <v>328</v>
      </c>
      <c r="H12511" t="s">
        <v>99</v>
      </c>
    </row>
    <row r="12512" spans="1:8" s="5" customFormat="1" x14ac:dyDescent="0.3">
      <c r="A12512" s="5" t="s">
        <v>33</v>
      </c>
      <c r="B12512" s="5" t="s">
        <v>236</v>
      </c>
      <c r="C12512" s="5">
        <v>9</v>
      </c>
      <c r="D12512" s="5" t="s">
        <v>203</v>
      </c>
      <c r="E12512" s="5" t="s">
        <v>305</v>
      </c>
      <c r="F12512" s="5" t="s">
        <v>99</v>
      </c>
      <c r="G12512" s="5" t="s">
        <v>99</v>
      </c>
      <c r="H12512" s="5" t="s">
        <v>99</v>
      </c>
    </row>
    <row r="12513" spans="1:8" s="5" customFormat="1" x14ac:dyDescent="0.3">
      <c r="A12513" s="5" t="s">
        <v>33</v>
      </c>
      <c r="B12513" s="5" t="s">
        <v>238</v>
      </c>
      <c r="C12513" s="5">
        <v>12</v>
      </c>
      <c r="D12513" s="5" t="s">
        <v>1080</v>
      </c>
      <c r="E12513" s="5" t="s">
        <v>700</v>
      </c>
      <c r="F12513" s="5" t="s">
        <v>262</v>
      </c>
      <c r="G12513" s="5" t="s">
        <v>99</v>
      </c>
      <c r="H12513" s="5" t="s">
        <v>99</v>
      </c>
    </row>
    <row r="12514" spans="1:8" x14ac:dyDescent="0.3">
      <c r="A12514" t="s">
        <v>49</v>
      </c>
      <c r="B12514" t="s">
        <v>236</v>
      </c>
      <c r="C12514">
        <v>205</v>
      </c>
      <c r="D12514" t="s">
        <v>950</v>
      </c>
      <c r="E12514" t="s">
        <v>843</v>
      </c>
      <c r="F12514" t="s">
        <v>108</v>
      </c>
      <c r="G12514" t="s">
        <v>70</v>
      </c>
      <c r="H12514" t="s">
        <v>99</v>
      </c>
    </row>
    <row r="12515" spans="1:8" x14ac:dyDescent="0.3">
      <c r="A12515" t="s">
        <v>49</v>
      </c>
      <c r="B12515" t="s">
        <v>238</v>
      </c>
      <c r="C12515">
        <v>250</v>
      </c>
      <c r="D12515" t="s">
        <v>1576</v>
      </c>
      <c r="E12515" t="s">
        <v>1214</v>
      </c>
      <c r="F12515" t="s">
        <v>113</v>
      </c>
      <c r="G12515" t="s">
        <v>468</v>
      </c>
      <c r="H12515" t="s">
        <v>207</v>
      </c>
    </row>
    <row r="12517" spans="1:8" x14ac:dyDescent="0.3">
      <c r="A12517" t="s">
        <v>2825</v>
      </c>
    </row>
    <row r="12518" spans="1:8" x14ac:dyDescent="0.3">
      <c r="A12518" t="s">
        <v>44</v>
      </c>
      <c r="B12518" t="s">
        <v>235</v>
      </c>
      <c r="C12518" t="s">
        <v>32</v>
      </c>
      <c r="D12518" t="s">
        <v>2802</v>
      </c>
      <c r="E12518" t="s">
        <v>2803</v>
      </c>
      <c r="F12518" t="s">
        <v>2801</v>
      </c>
      <c r="G12518" t="s">
        <v>2804</v>
      </c>
      <c r="H12518" t="s">
        <v>2805</v>
      </c>
    </row>
    <row r="12519" spans="1:8" s="5" customFormat="1" x14ac:dyDescent="0.3">
      <c r="A12519" s="5" t="s">
        <v>35</v>
      </c>
      <c r="B12519" s="5" t="s">
        <v>236</v>
      </c>
      <c r="C12519" s="5">
        <v>11</v>
      </c>
      <c r="D12519" s="5" t="s">
        <v>1069</v>
      </c>
      <c r="E12519" s="5" t="s">
        <v>810</v>
      </c>
      <c r="F12519" s="5" t="s">
        <v>68</v>
      </c>
      <c r="G12519" s="5" t="s">
        <v>99</v>
      </c>
      <c r="H12519" s="5" t="s">
        <v>99</v>
      </c>
    </row>
    <row r="12520" spans="1:8" s="5" customFormat="1" x14ac:dyDescent="0.3">
      <c r="A12520" s="5" t="s">
        <v>35</v>
      </c>
      <c r="B12520" s="5" t="s">
        <v>238</v>
      </c>
      <c r="C12520" s="5">
        <v>5</v>
      </c>
      <c r="D12520" s="5" t="s">
        <v>623</v>
      </c>
      <c r="E12520" s="5" t="s">
        <v>309</v>
      </c>
      <c r="F12520" s="5" t="s">
        <v>99</v>
      </c>
      <c r="G12520" s="5" t="s">
        <v>99</v>
      </c>
      <c r="H12520" s="5" t="s">
        <v>99</v>
      </c>
    </row>
    <row r="12521" spans="1:8" s="5" customFormat="1" x14ac:dyDescent="0.3">
      <c r="A12521" s="5" t="s">
        <v>37</v>
      </c>
      <c r="B12521" s="5" t="s">
        <v>236</v>
      </c>
      <c r="C12521" s="5">
        <v>5</v>
      </c>
      <c r="D12521" s="5" t="s">
        <v>558</v>
      </c>
      <c r="E12521" s="5" t="s">
        <v>720</v>
      </c>
      <c r="F12521" s="5" t="s">
        <v>670</v>
      </c>
      <c r="G12521" s="5" t="s">
        <v>99</v>
      </c>
      <c r="H12521" s="5" t="s">
        <v>99</v>
      </c>
    </row>
    <row r="12522" spans="1:8" s="5" customFormat="1" x14ac:dyDescent="0.3">
      <c r="A12522" s="5" t="s">
        <v>37</v>
      </c>
      <c r="B12522" s="5" t="s">
        <v>238</v>
      </c>
      <c r="C12522" s="5">
        <v>5</v>
      </c>
      <c r="D12522" s="5" t="s">
        <v>956</v>
      </c>
      <c r="E12522" s="5" t="s">
        <v>1100</v>
      </c>
      <c r="F12522" s="5" t="s">
        <v>99</v>
      </c>
      <c r="G12522" s="5" t="s">
        <v>99</v>
      </c>
      <c r="H12522" s="5" t="s">
        <v>99</v>
      </c>
    </row>
    <row r="12523" spans="1:8" s="5" customFormat="1" x14ac:dyDescent="0.3">
      <c r="A12523" s="5" t="s">
        <v>36</v>
      </c>
      <c r="B12523" s="5" t="s">
        <v>236</v>
      </c>
      <c r="C12523" s="5">
        <v>22</v>
      </c>
      <c r="D12523" s="5" t="s">
        <v>1116</v>
      </c>
      <c r="E12523" s="5" t="s">
        <v>938</v>
      </c>
      <c r="F12523" s="5" t="s">
        <v>115</v>
      </c>
      <c r="G12523" s="5" t="s">
        <v>316</v>
      </c>
      <c r="H12523" s="5" t="s">
        <v>99</v>
      </c>
    </row>
    <row r="12524" spans="1:8" s="5" customFormat="1" x14ac:dyDescent="0.3">
      <c r="A12524" s="5" t="s">
        <v>36</v>
      </c>
      <c r="B12524" s="5" t="s">
        <v>238</v>
      </c>
      <c r="C12524" s="5">
        <v>6</v>
      </c>
      <c r="D12524" s="5" t="s">
        <v>1010</v>
      </c>
      <c r="E12524" s="5" t="s">
        <v>99</v>
      </c>
      <c r="F12524" s="5" t="s">
        <v>291</v>
      </c>
      <c r="G12524" s="5" t="s">
        <v>99</v>
      </c>
      <c r="H12524" s="5" t="s">
        <v>268</v>
      </c>
    </row>
    <row r="12525" spans="1:8" s="5" customFormat="1" x14ac:dyDescent="0.3">
      <c r="A12525" s="5" t="s">
        <v>34</v>
      </c>
      <c r="B12525" s="5" t="s">
        <v>236</v>
      </c>
      <c r="C12525" s="5">
        <v>7</v>
      </c>
      <c r="D12525" s="5" t="s">
        <v>770</v>
      </c>
      <c r="E12525" s="5" t="s">
        <v>812</v>
      </c>
      <c r="F12525" s="5" t="s">
        <v>99</v>
      </c>
      <c r="G12525" s="5" t="s">
        <v>99</v>
      </c>
      <c r="H12525" s="5" t="s">
        <v>99</v>
      </c>
    </row>
    <row r="12526" spans="1:8" s="5" customFormat="1" x14ac:dyDescent="0.3">
      <c r="A12526" s="5" t="s">
        <v>34</v>
      </c>
      <c r="B12526" s="5" t="s">
        <v>238</v>
      </c>
      <c r="C12526" s="5">
        <v>14</v>
      </c>
      <c r="D12526" s="5" t="s">
        <v>960</v>
      </c>
      <c r="E12526" s="5" t="s">
        <v>907</v>
      </c>
      <c r="F12526" s="5" t="s">
        <v>357</v>
      </c>
      <c r="G12526" s="5" t="s">
        <v>99</v>
      </c>
      <c r="H12526" s="5" t="s">
        <v>99</v>
      </c>
    </row>
    <row r="12527" spans="1:8" x14ac:dyDescent="0.3">
      <c r="A12527" t="s">
        <v>33</v>
      </c>
      <c r="B12527" t="s">
        <v>365</v>
      </c>
    </row>
    <row r="12528" spans="1:8" x14ac:dyDescent="0.3">
      <c r="A12528" t="s">
        <v>49</v>
      </c>
      <c r="B12528" t="s">
        <v>236</v>
      </c>
      <c r="C12528">
        <v>45</v>
      </c>
      <c r="D12528" t="s">
        <v>962</v>
      </c>
      <c r="E12528" t="s">
        <v>1206</v>
      </c>
      <c r="F12528" t="s">
        <v>110</v>
      </c>
      <c r="G12528" t="s">
        <v>253</v>
      </c>
      <c r="H12528" t="s">
        <v>99</v>
      </c>
    </row>
    <row r="12529" spans="1:9" s="5" customFormat="1" x14ac:dyDescent="0.3">
      <c r="A12529" s="5" t="s">
        <v>49</v>
      </c>
      <c r="B12529" s="5" t="s">
        <v>238</v>
      </c>
      <c r="C12529" s="5">
        <v>30</v>
      </c>
      <c r="D12529" s="5" t="s">
        <v>1533</v>
      </c>
      <c r="E12529" s="5" t="s">
        <v>1068</v>
      </c>
      <c r="F12529" s="5" t="s">
        <v>179</v>
      </c>
      <c r="G12529" s="5" t="s">
        <v>99</v>
      </c>
      <c r="H12529" s="5" t="s">
        <v>141</v>
      </c>
    </row>
    <row r="12531" spans="1:9" x14ac:dyDescent="0.3">
      <c r="A12531" t="s">
        <v>2826</v>
      </c>
    </row>
    <row r="12532" spans="1:9" x14ac:dyDescent="0.3">
      <c r="A12532" t="s">
        <v>44</v>
      </c>
      <c r="B12532" t="s">
        <v>209</v>
      </c>
      <c r="C12532" t="s">
        <v>32</v>
      </c>
      <c r="D12532" t="s">
        <v>2801</v>
      </c>
      <c r="E12532" t="s">
        <v>2802</v>
      </c>
      <c r="F12532" t="s">
        <v>2803</v>
      </c>
      <c r="G12532" t="s">
        <v>2804</v>
      </c>
      <c r="H12532" t="s">
        <v>193</v>
      </c>
      <c r="I12532" t="s">
        <v>2805</v>
      </c>
    </row>
    <row r="12533" spans="1:9" x14ac:dyDescent="0.3">
      <c r="A12533" t="s">
        <v>35</v>
      </c>
      <c r="B12533" t="s">
        <v>210</v>
      </c>
      <c r="C12533">
        <v>55</v>
      </c>
      <c r="D12533" t="s">
        <v>406</v>
      </c>
      <c r="E12533" t="s">
        <v>944</v>
      </c>
      <c r="F12533" t="s">
        <v>695</v>
      </c>
      <c r="G12533" t="s">
        <v>262</v>
      </c>
      <c r="H12533" t="s">
        <v>99</v>
      </c>
      <c r="I12533" t="s">
        <v>123</v>
      </c>
    </row>
    <row r="12534" spans="1:9" x14ac:dyDescent="0.3">
      <c r="A12534" t="s">
        <v>35</v>
      </c>
      <c r="B12534" t="s">
        <v>212</v>
      </c>
      <c r="C12534">
        <v>193</v>
      </c>
      <c r="D12534" t="s">
        <v>465</v>
      </c>
      <c r="E12534" t="s">
        <v>925</v>
      </c>
      <c r="F12534" t="s">
        <v>1057</v>
      </c>
      <c r="G12534" t="s">
        <v>135</v>
      </c>
      <c r="H12534" t="s">
        <v>253</v>
      </c>
      <c r="I12534" t="s">
        <v>99</v>
      </c>
    </row>
    <row r="12535" spans="1:9" x14ac:dyDescent="0.3">
      <c r="A12535" t="s">
        <v>35</v>
      </c>
      <c r="B12535" t="s">
        <v>216</v>
      </c>
      <c r="C12535">
        <v>54</v>
      </c>
      <c r="D12535" t="s">
        <v>429</v>
      </c>
      <c r="E12535" t="s">
        <v>799</v>
      </c>
      <c r="F12535" t="s">
        <v>523</v>
      </c>
      <c r="G12535" t="s">
        <v>291</v>
      </c>
      <c r="H12535" t="s">
        <v>99</v>
      </c>
      <c r="I12535" t="s">
        <v>141</v>
      </c>
    </row>
    <row r="12536" spans="1:9" x14ac:dyDescent="0.3">
      <c r="A12536" t="s">
        <v>37</v>
      </c>
      <c r="B12536" t="s">
        <v>210</v>
      </c>
      <c r="C12536">
        <v>74</v>
      </c>
      <c r="D12536" t="s">
        <v>160</v>
      </c>
      <c r="E12536" t="s">
        <v>559</v>
      </c>
      <c r="F12536" t="s">
        <v>574</v>
      </c>
      <c r="G12536" t="s">
        <v>118</v>
      </c>
      <c r="H12536" t="s">
        <v>99</v>
      </c>
      <c r="I12536" t="s">
        <v>108</v>
      </c>
    </row>
    <row r="12537" spans="1:9" x14ac:dyDescent="0.3">
      <c r="A12537" t="s">
        <v>37</v>
      </c>
      <c r="B12537" t="s">
        <v>212</v>
      </c>
      <c r="C12537">
        <v>102</v>
      </c>
      <c r="D12537" t="s">
        <v>328</v>
      </c>
      <c r="E12537" t="s">
        <v>607</v>
      </c>
      <c r="F12537" t="s">
        <v>808</v>
      </c>
      <c r="G12537" t="s">
        <v>382</v>
      </c>
      <c r="H12537" t="s">
        <v>99</v>
      </c>
      <c r="I12537" t="s">
        <v>99</v>
      </c>
    </row>
    <row r="12538" spans="1:9" s="5" customFormat="1" x14ac:dyDescent="0.3">
      <c r="A12538" s="5" t="s">
        <v>37</v>
      </c>
      <c r="B12538" s="5" t="s">
        <v>216</v>
      </c>
      <c r="C12538" s="5">
        <v>5</v>
      </c>
      <c r="D12538" s="5" t="s">
        <v>294</v>
      </c>
      <c r="E12538" s="5" t="s">
        <v>165</v>
      </c>
      <c r="F12538" s="5" t="s">
        <v>1246</v>
      </c>
      <c r="G12538" s="5" t="s">
        <v>99</v>
      </c>
      <c r="H12538" s="5" t="s">
        <v>99</v>
      </c>
      <c r="I12538" s="5" t="s">
        <v>99</v>
      </c>
    </row>
    <row r="12539" spans="1:9" x14ac:dyDescent="0.3">
      <c r="A12539" t="s">
        <v>36</v>
      </c>
      <c r="B12539" t="s">
        <v>210</v>
      </c>
      <c r="C12539">
        <v>112</v>
      </c>
      <c r="D12539" t="s">
        <v>700</v>
      </c>
      <c r="E12539" t="s">
        <v>1163</v>
      </c>
      <c r="F12539" t="s">
        <v>171</v>
      </c>
      <c r="G12539" t="s">
        <v>287</v>
      </c>
      <c r="H12539" t="s">
        <v>99</v>
      </c>
      <c r="I12539" t="s">
        <v>110</v>
      </c>
    </row>
    <row r="12540" spans="1:9" x14ac:dyDescent="0.3">
      <c r="A12540" t="s">
        <v>36</v>
      </c>
      <c r="B12540" t="s">
        <v>212</v>
      </c>
      <c r="C12540">
        <v>555</v>
      </c>
      <c r="D12540" t="s">
        <v>264</v>
      </c>
      <c r="E12540" t="s">
        <v>651</v>
      </c>
      <c r="F12540" t="s">
        <v>1059</v>
      </c>
      <c r="G12540" t="s">
        <v>110</v>
      </c>
      <c r="H12540" t="s">
        <v>99</v>
      </c>
      <c r="I12540" t="s">
        <v>141</v>
      </c>
    </row>
    <row r="12541" spans="1:9" x14ac:dyDescent="0.3">
      <c r="A12541" t="s">
        <v>36</v>
      </c>
      <c r="B12541" t="s">
        <v>216</v>
      </c>
      <c r="C12541">
        <v>180</v>
      </c>
      <c r="D12541" t="s">
        <v>710</v>
      </c>
      <c r="E12541" t="s">
        <v>598</v>
      </c>
      <c r="F12541" t="s">
        <v>1156</v>
      </c>
      <c r="G12541" t="s">
        <v>253</v>
      </c>
      <c r="H12541" t="s">
        <v>99</v>
      </c>
      <c r="I12541" t="s">
        <v>99</v>
      </c>
    </row>
    <row r="12542" spans="1:9" x14ac:dyDescent="0.3">
      <c r="A12542" t="s">
        <v>34</v>
      </c>
      <c r="B12542" t="s">
        <v>210</v>
      </c>
      <c r="C12542">
        <v>159</v>
      </c>
      <c r="D12542" t="s">
        <v>72</v>
      </c>
      <c r="E12542" t="s">
        <v>1237</v>
      </c>
      <c r="F12542" t="s">
        <v>732</v>
      </c>
      <c r="G12542" t="s">
        <v>110</v>
      </c>
      <c r="H12542" t="s">
        <v>99</v>
      </c>
      <c r="I12542" t="s">
        <v>99</v>
      </c>
    </row>
    <row r="12543" spans="1:9" x14ac:dyDescent="0.3">
      <c r="A12543" t="s">
        <v>34</v>
      </c>
      <c r="B12543" t="s">
        <v>212</v>
      </c>
      <c r="C12543">
        <v>428</v>
      </c>
      <c r="D12543" t="s">
        <v>406</v>
      </c>
      <c r="E12543" t="s">
        <v>1176</v>
      </c>
      <c r="F12543" t="s">
        <v>933</v>
      </c>
      <c r="G12543" t="s">
        <v>138</v>
      </c>
      <c r="H12543" t="s">
        <v>136</v>
      </c>
      <c r="I12543" t="s">
        <v>126</v>
      </c>
    </row>
    <row r="12544" spans="1:9" x14ac:dyDescent="0.3">
      <c r="A12544" t="s">
        <v>34</v>
      </c>
      <c r="B12544" t="s">
        <v>216</v>
      </c>
      <c r="C12544">
        <v>137</v>
      </c>
      <c r="D12544" t="s">
        <v>369</v>
      </c>
      <c r="E12544" t="s">
        <v>1237</v>
      </c>
      <c r="F12544" t="s">
        <v>690</v>
      </c>
      <c r="G12544" t="s">
        <v>134</v>
      </c>
      <c r="H12544" t="s">
        <v>316</v>
      </c>
      <c r="I12544" t="s">
        <v>141</v>
      </c>
    </row>
    <row r="12545" spans="1:9" x14ac:dyDescent="0.3">
      <c r="A12545" t="s">
        <v>33</v>
      </c>
      <c r="B12545" t="s">
        <v>210</v>
      </c>
      <c r="C12545">
        <v>31</v>
      </c>
      <c r="D12545" t="s">
        <v>542</v>
      </c>
      <c r="E12545" t="s">
        <v>1230</v>
      </c>
      <c r="F12545" t="s">
        <v>167</v>
      </c>
      <c r="G12545" t="s">
        <v>99</v>
      </c>
      <c r="H12545" t="s">
        <v>99</v>
      </c>
      <c r="I12545" t="s">
        <v>99</v>
      </c>
    </row>
    <row r="12546" spans="1:9" x14ac:dyDescent="0.3">
      <c r="A12546" t="s">
        <v>33</v>
      </c>
      <c r="B12546" t="s">
        <v>212</v>
      </c>
      <c r="C12546">
        <v>43</v>
      </c>
      <c r="D12546" t="s">
        <v>152</v>
      </c>
      <c r="E12546" t="s">
        <v>1748</v>
      </c>
      <c r="F12546" t="s">
        <v>214</v>
      </c>
      <c r="G12546" t="s">
        <v>99</v>
      </c>
      <c r="H12546" t="s">
        <v>99</v>
      </c>
      <c r="I12546" t="s">
        <v>99</v>
      </c>
    </row>
    <row r="12547" spans="1:9" s="5" customFormat="1" x14ac:dyDescent="0.3">
      <c r="A12547" s="5" t="s">
        <v>33</v>
      </c>
      <c r="B12547" s="5" t="s">
        <v>216</v>
      </c>
      <c r="C12547" s="5">
        <v>3</v>
      </c>
      <c r="D12547" s="5" t="s">
        <v>99</v>
      </c>
      <c r="E12547" s="5" t="s">
        <v>458</v>
      </c>
      <c r="F12547" s="5" t="s">
        <v>459</v>
      </c>
      <c r="G12547" s="5" t="s">
        <v>99</v>
      </c>
      <c r="H12547" s="5" t="s">
        <v>99</v>
      </c>
      <c r="I12547" s="5" t="s">
        <v>99</v>
      </c>
    </row>
    <row r="12548" spans="1:9" x14ac:dyDescent="0.3">
      <c r="A12548" t="s">
        <v>49</v>
      </c>
      <c r="B12548" t="s">
        <v>210</v>
      </c>
      <c r="C12548">
        <v>431</v>
      </c>
      <c r="D12548" t="s">
        <v>416</v>
      </c>
      <c r="E12548" t="s">
        <v>567</v>
      </c>
      <c r="F12548" t="s">
        <v>106</v>
      </c>
      <c r="G12548" t="s">
        <v>325</v>
      </c>
      <c r="H12548" t="s">
        <v>99</v>
      </c>
      <c r="I12548" t="s">
        <v>100</v>
      </c>
    </row>
    <row r="12549" spans="1:9" x14ac:dyDescent="0.3">
      <c r="A12549" t="s">
        <v>49</v>
      </c>
      <c r="B12549" t="s">
        <v>212</v>
      </c>
      <c r="C12549">
        <v>1321</v>
      </c>
      <c r="D12549" t="s">
        <v>76</v>
      </c>
      <c r="E12549" t="s">
        <v>552</v>
      </c>
      <c r="F12549" t="s">
        <v>724</v>
      </c>
      <c r="G12549" t="s">
        <v>118</v>
      </c>
      <c r="H12549" t="s">
        <v>207</v>
      </c>
      <c r="I12549" t="s">
        <v>132</v>
      </c>
    </row>
    <row r="12550" spans="1:9" x14ac:dyDescent="0.3">
      <c r="A12550" t="s">
        <v>49</v>
      </c>
      <c r="B12550" t="s">
        <v>216</v>
      </c>
      <c r="C12550">
        <v>379</v>
      </c>
      <c r="D12550" t="s">
        <v>726</v>
      </c>
      <c r="E12550" t="s">
        <v>1049</v>
      </c>
      <c r="F12550" t="s">
        <v>276</v>
      </c>
      <c r="G12550" t="s">
        <v>68</v>
      </c>
      <c r="H12550" t="s">
        <v>126</v>
      </c>
      <c r="I12550" t="s">
        <v>136</v>
      </c>
    </row>
    <row r="12552" spans="1:9" x14ac:dyDescent="0.3">
      <c r="A12552" t="s">
        <v>2827</v>
      </c>
    </row>
    <row r="12553" spans="1:9" x14ac:dyDescent="0.3">
      <c r="A12553" t="s">
        <v>44</v>
      </c>
      <c r="B12553" t="s">
        <v>209</v>
      </c>
      <c r="C12553" t="s">
        <v>32</v>
      </c>
      <c r="D12553" t="s">
        <v>2803</v>
      </c>
      <c r="E12553" t="s">
        <v>2802</v>
      </c>
      <c r="F12553" t="s">
        <v>2801</v>
      </c>
      <c r="G12553" t="s">
        <v>2804</v>
      </c>
      <c r="H12553" t="s">
        <v>2805</v>
      </c>
    </row>
    <row r="12554" spans="1:9" s="5" customFormat="1" x14ac:dyDescent="0.3">
      <c r="A12554" s="5" t="s">
        <v>35</v>
      </c>
      <c r="B12554" s="5" t="s">
        <v>210</v>
      </c>
      <c r="C12554" s="5">
        <v>4</v>
      </c>
      <c r="D12554" s="5" t="s">
        <v>307</v>
      </c>
      <c r="E12554" s="5" t="s">
        <v>1470</v>
      </c>
      <c r="F12554" s="5" t="s">
        <v>353</v>
      </c>
      <c r="G12554" s="5" t="s">
        <v>99</v>
      </c>
      <c r="H12554" s="5" t="s">
        <v>99</v>
      </c>
    </row>
    <row r="12555" spans="1:9" s="5" customFormat="1" x14ac:dyDescent="0.3">
      <c r="A12555" s="5" t="s">
        <v>35</v>
      </c>
      <c r="B12555" s="5" t="s">
        <v>212</v>
      </c>
      <c r="C12555" s="5">
        <v>15</v>
      </c>
      <c r="D12555" s="5" t="s">
        <v>579</v>
      </c>
      <c r="E12555" s="5" t="s">
        <v>578</v>
      </c>
      <c r="F12555" s="5" t="s">
        <v>99</v>
      </c>
      <c r="G12555" s="5" t="s">
        <v>99</v>
      </c>
      <c r="H12555" s="5" t="s">
        <v>99</v>
      </c>
    </row>
    <row r="12556" spans="1:9" s="5" customFormat="1" x14ac:dyDescent="0.3">
      <c r="A12556" s="5" t="s">
        <v>35</v>
      </c>
      <c r="B12556" s="5" t="s">
        <v>216</v>
      </c>
      <c r="C12556" s="5">
        <v>7</v>
      </c>
      <c r="D12556" s="5" t="s">
        <v>610</v>
      </c>
      <c r="E12556" s="5" t="s">
        <v>611</v>
      </c>
      <c r="F12556" s="5" t="s">
        <v>99</v>
      </c>
      <c r="G12556" s="5" t="s">
        <v>99</v>
      </c>
      <c r="H12556" s="5" t="s">
        <v>99</v>
      </c>
    </row>
    <row r="12557" spans="1:9" s="5" customFormat="1" x14ac:dyDescent="0.3">
      <c r="A12557" s="5" t="s">
        <v>37</v>
      </c>
      <c r="B12557" s="5" t="s">
        <v>210</v>
      </c>
      <c r="C12557" s="5">
        <v>11</v>
      </c>
      <c r="D12557" s="5" t="s">
        <v>76</v>
      </c>
      <c r="E12557" s="5" t="s">
        <v>1146</v>
      </c>
      <c r="F12557" s="5" t="s">
        <v>734</v>
      </c>
      <c r="G12557" s="5" t="s">
        <v>99</v>
      </c>
      <c r="H12557" s="5" t="s">
        <v>99</v>
      </c>
    </row>
    <row r="12558" spans="1:9" s="5" customFormat="1" x14ac:dyDescent="0.3">
      <c r="A12558" s="5" t="s">
        <v>37</v>
      </c>
      <c r="B12558" s="5" t="s">
        <v>212</v>
      </c>
      <c r="C12558" s="5">
        <v>15</v>
      </c>
      <c r="D12558" s="5" t="s">
        <v>667</v>
      </c>
      <c r="E12558" s="5" t="s">
        <v>948</v>
      </c>
      <c r="F12558" s="5" t="s">
        <v>370</v>
      </c>
      <c r="G12558" s="5" t="s">
        <v>99</v>
      </c>
      <c r="H12558" s="5" t="s">
        <v>99</v>
      </c>
    </row>
    <row r="12559" spans="1:9" s="5" customFormat="1" x14ac:dyDescent="0.3">
      <c r="A12559" s="5" t="s">
        <v>36</v>
      </c>
      <c r="B12559" s="5" t="s">
        <v>210</v>
      </c>
      <c r="C12559" s="5">
        <v>7</v>
      </c>
      <c r="D12559" s="5" t="s">
        <v>828</v>
      </c>
      <c r="E12559" s="5" t="s">
        <v>1103</v>
      </c>
      <c r="F12559" s="5" t="s">
        <v>112</v>
      </c>
      <c r="G12559" s="5" t="s">
        <v>99</v>
      </c>
      <c r="H12559" s="5" t="s">
        <v>99</v>
      </c>
    </row>
    <row r="12560" spans="1:9" s="5" customFormat="1" x14ac:dyDescent="0.3">
      <c r="A12560" s="5" t="s">
        <v>36</v>
      </c>
      <c r="B12560" s="5" t="s">
        <v>212</v>
      </c>
      <c r="C12560" s="5">
        <v>21</v>
      </c>
      <c r="D12560" s="5" t="s">
        <v>542</v>
      </c>
      <c r="E12560" s="5" t="s">
        <v>1510</v>
      </c>
      <c r="F12560" s="5" t="s">
        <v>319</v>
      </c>
      <c r="G12560" s="5" t="s">
        <v>99</v>
      </c>
      <c r="H12560" s="5" t="s">
        <v>115</v>
      </c>
    </row>
    <row r="12561" spans="1:9" x14ac:dyDescent="0.3">
      <c r="A12561" t="s">
        <v>36</v>
      </c>
      <c r="B12561" t="s">
        <v>216</v>
      </c>
      <c r="C12561">
        <v>31</v>
      </c>
      <c r="D12561" t="s">
        <v>283</v>
      </c>
      <c r="E12561" t="s">
        <v>60</v>
      </c>
      <c r="F12561" t="s">
        <v>171</v>
      </c>
      <c r="G12561" t="s">
        <v>715</v>
      </c>
      <c r="H12561" t="s">
        <v>99</v>
      </c>
    </row>
    <row r="12562" spans="1:9" s="5" customFormat="1" x14ac:dyDescent="0.3">
      <c r="A12562" s="5" t="s">
        <v>34</v>
      </c>
      <c r="B12562" s="5" t="s">
        <v>210</v>
      </c>
      <c r="C12562" s="5">
        <v>11</v>
      </c>
      <c r="D12562" s="5" t="s">
        <v>429</v>
      </c>
      <c r="E12562" s="5" t="s">
        <v>550</v>
      </c>
      <c r="F12562" s="5" t="s">
        <v>465</v>
      </c>
      <c r="G12562" s="5" t="s">
        <v>99</v>
      </c>
      <c r="H12562" s="5" t="s">
        <v>99</v>
      </c>
    </row>
    <row r="12563" spans="1:9" s="5" customFormat="1" x14ac:dyDescent="0.3">
      <c r="A12563" s="5" t="s">
        <v>34</v>
      </c>
      <c r="B12563" s="5" t="s">
        <v>212</v>
      </c>
      <c r="C12563" s="5">
        <v>11</v>
      </c>
      <c r="D12563" s="5" t="s">
        <v>1415</v>
      </c>
      <c r="E12563" s="5" t="s">
        <v>905</v>
      </c>
      <c r="F12563" s="5" t="s">
        <v>264</v>
      </c>
      <c r="G12563" s="5" t="s">
        <v>99</v>
      </c>
      <c r="H12563" s="5" t="s">
        <v>99</v>
      </c>
    </row>
    <row r="12564" spans="1:9" s="5" customFormat="1" x14ac:dyDescent="0.3">
      <c r="A12564" s="5" t="s">
        <v>34</v>
      </c>
      <c r="B12564" s="5" t="s">
        <v>216</v>
      </c>
      <c r="C12564" s="5">
        <v>9</v>
      </c>
      <c r="D12564" s="5" t="s">
        <v>682</v>
      </c>
      <c r="E12564" s="5" t="s">
        <v>1239</v>
      </c>
      <c r="F12564" s="5" t="s">
        <v>186</v>
      </c>
      <c r="G12564" s="5" t="s">
        <v>111</v>
      </c>
      <c r="H12564" s="5" t="s">
        <v>99</v>
      </c>
    </row>
    <row r="12565" spans="1:9" s="5" customFormat="1" x14ac:dyDescent="0.3">
      <c r="A12565" s="5" t="s">
        <v>33</v>
      </c>
      <c r="B12565" s="5" t="s">
        <v>210</v>
      </c>
      <c r="C12565" s="5">
        <v>1</v>
      </c>
      <c r="D12565" s="5" t="s">
        <v>211</v>
      </c>
      <c r="E12565" s="5" t="s">
        <v>99</v>
      </c>
      <c r="F12565" s="5" t="s">
        <v>99</v>
      </c>
      <c r="G12565" s="5" t="s">
        <v>99</v>
      </c>
      <c r="H12565" s="5" t="s">
        <v>99</v>
      </c>
    </row>
    <row r="12566" spans="1:9" s="5" customFormat="1" x14ac:dyDescent="0.3">
      <c r="A12566" s="5" t="s">
        <v>33</v>
      </c>
      <c r="B12566" s="5" t="s">
        <v>212</v>
      </c>
      <c r="C12566" s="5">
        <v>1</v>
      </c>
      <c r="D12566" s="5" t="s">
        <v>99</v>
      </c>
      <c r="E12566" s="5" t="s">
        <v>211</v>
      </c>
      <c r="F12566" s="5" t="s">
        <v>99</v>
      </c>
      <c r="G12566" s="5" t="s">
        <v>99</v>
      </c>
      <c r="H12566" s="5" t="s">
        <v>99</v>
      </c>
    </row>
    <row r="12567" spans="1:9" x14ac:dyDescent="0.3">
      <c r="A12567" t="s">
        <v>49</v>
      </c>
      <c r="B12567" t="s">
        <v>210</v>
      </c>
      <c r="C12567">
        <v>34</v>
      </c>
      <c r="D12567" t="s">
        <v>1045</v>
      </c>
      <c r="E12567" t="s">
        <v>951</v>
      </c>
      <c r="F12567" t="s">
        <v>726</v>
      </c>
      <c r="G12567" t="s">
        <v>99</v>
      </c>
      <c r="H12567" t="s">
        <v>99</v>
      </c>
    </row>
    <row r="12568" spans="1:9" x14ac:dyDescent="0.3">
      <c r="A12568" t="s">
        <v>49</v>
      </c>
      <c r="B12568" t="s">
        <v>212</v>
      </c>
      <c r="C12568">
        <v>63</v>
      </c>
      <c r="D12568" t="s">
        <v>956</v>
      </c>
      <c r="E12568" t="s">
        <v>598</v>
      </c>
      <c r="F12568" t="s">
        <v>311</v>
      </c>
      <c r="G12568" t="s">
        <v>99</v>
      </c>
      <c r="H12568" t="s">
        <v>104</v>
      </c>
    </row>
    <row r="12569" spans="1:9" x14ac:dyDescent="0.3">
      <c r="A12569" t="s">
        <v>49</v>
      </c>
      <c r="B12569" t="s">
        <v>216</v>
      </c>
      <c r="C12569">
        <v>47</v>
      </c>
      <c r="D12569" t="s">
        <v>344</v>
      </c>
      <c r="E12569" t="s">
        <v>808</v>
      </c>
      <c r="F12569" t="s">
        <v>408</v>
      </c>
      <c r="G12569" t="s">
        <v>78</v>
      </c>
      <c r="H12569" t="s">
        <v>99</v>
      </c>
    </row>
    <row r="12571" spans="1:9" x14ac:dyDescent="0.3">
      <c r="A12571" t="s">
        <v>2828</v>
      </c>
    </row>
    <row r="12572" spans="1:9" x14ac:dyDescent="0.3">
      <c r="A12572" t="s">
        <v>44</v>
      </c>
      <c r="B12572" t="s">
        <v>209</v>
      </c>
      <c r="C12572" t="s">
        <v>32</v>
      </c>
      <c r="D12572" t="s">
        <v>2801</v>
      </c>
      <c r="E12572" t="s">
        <v>2802</v>
      </c>
      <c r="F12572" t="s">
        <v>2803</v>
      </c>
      <c r="G12572" t="s">
        <v>193</v>
      </c>
      <c r="H12572" t="s">
        <v>2804</v>
      </c>
      <c r="I12572" t="s">
        <v>2805</v>
      </c>
    </row>
    <row r="12573" spans="1:9" s="5" customFormat="1" x14ac:dyDescent="0.3">
      <c r="A12573" s="5" t="s">
        <v>35</v>
      </c>
      <c r="B12573" s="5" t="s">
        <v>210</v>
      </c>
      <c r="C12573" s="5">
        <v>7</v>
      </c>
      <c r="D12573" s="5" t="s">
        <v>702</v>
      </c>
      <c r="E12573" s="5" t="s">
        <v>1474</v>
      </c>
      <c r="F12573" s="5" t="s">
        <v>536</v>
      </c>
      <c r="G12573" s="5" t="s">
        <v>99</v>
      </c>
      <c r="H12573" s="5" t="s">
        <v>99</v>
      </c>
      <c r="I12573" s="5" t="s">
        <v>99</v>
      </c>
    </row>
    <row r="12574" spans="1:9" s="5" customFormat="1" x14ac:dyDescent="0.3">
      <c r="A12574" s="5" t="s">
        <v>35</v>
      </c>
      <c r="B12574" s="5" t="s">
        <v>212</v>
      </c>
      <c r="C12574" s="5">
        <v>26</v>
      </c>
      <c r="D12574" s="5" t="s">
        <v>137</v>
      </c>
      <c r="E12574" s="5" t="s">
        <v>1159</v>
      </c>
      <c r="F12574" s="5" t="s">
        <v>281</v>
      </c>
      <c r="G12574" s="5" t="s">
        <v>99</v>
      </c>
      <c r="H12574" s="5" t="s">
        <v>154</v>
      </c>
      <c r="I12574" s="5" t="s">
        <v>121</v>
      </c>
    </row>
    <row r="12575" spans="1:9" s="5" customFormat="1" x14ac:dyDescent="0.3">
      <c r="A12575" s="5" t="s">
        <v>35</v>
      </c>
      <c r="B12575" s="5" t="s">
        <v>216</v>
      </c>
      <c r="C12575" s="5">
        <v>6</v>
      </c>
      <c r="D12575" s="5" t="s">
        <v>420</v>
      </c>
      <c r="E12575" s="5" t="s">
        <v>441</v>
      </c>
      <c r="F12575" s="5" t="s">
        <v>714</v>
      </c>
      <c r="G12575" s="5" t="s">
        <v>99</v>
      </c>
      <c r="H12575" s="5" t="s">
        <v>99</v>
      </c>
      <c r="I12575" s="5" t="s">
        <v>99</v>
      </c>
    </row>
    <row r="12576" spans="1:9" s="5" customFormat="1" x14ac:dyDescent="0.3">
      <c r="A12576" s="5" t="s">
        <v>37</v>
      </c>
      <c r="B12576" s="5" t="s">
        <v>210</v>
      </c>
      <c r="C12576" s="5">
        <v>7</v>
      </c>
      <c r="D12576" s="5" t="s">
        <v>1107</v>
      </c>
      <c r="E12576" s="5" t="s">
        <v>1162</v>
      </c>
      <c r="F12576" s="5" t="s">
        <v>99</v>
      </c>
      <c r="G12576" s="5" t="s">
        <v>99</v>
      </c>
      <c r="H12576" s="5" t="s">
        <v>99</v>
      </c>
      <c r="I12576" s="5" t="s">
        <v>99</v>
      </c>
    </row>
    <row r="12577" spans="1:9" s="5" customFormat="1" x14ac:dyDescent="0.3">
      <c r="A12577" s="5" t="s">
        <v>37</v>
      </c>
      <c r="B12577" s="5" t="s">
        <v>212</v>
      </c>
      <c r="C12577" s="5">
        <v>24</v>
      </c>
      <c r="D12577" s="5" t="s">
        <v>664</v>
      </c>
      <c r="E12577" s="5" t="s">
        <v>856</v>
      </c>
      <c r="F12577" s="5" t="s">
        <v>1498</v>
      </c>
      <c r="G12577" s="5" t="s">
        <v>99</v>
      </c>
      <c r="H12577" s="5" t="s">
        <v>99</v>
      </c>
      <c r="I12577" s="5" t="s">
        <v>99</v>
      </c>
    </row>
    <row r="12578" spans="1:9" s="5" customFormat="1" x14ac:dyDescent="0.3">
      <c r="A12578" s="5" t="s">
        <v>37</v>
      </c>
      <c r="B12578" s="5" t="s">
        <v>216</v>
      </c>
      <c r="C12578" s="5">
        <v>3</v>
      </c>
      <c r="D12578" s="5" t="s">
        <v>99</v>
      </c>
      <c r="E12578" s="5" t="s">
        <v>983</v>
      </c>
      <c r="F12578" s="5" t="s">
        <v>698</v>
      </c>
      <c r="G12578" s="5" t="s">
        <v>99</v>
      </c>
      <c r="H12578" s="5" t="s">
        <v>99</v>
      </c>
      <c r="I12578" s="5" t="s">
        <v>99</v>
      </c>
    </row>
    <row r="12579" spans="1:9" s="5" customFormat="1" x14ac:dyDescent="0.3">
      <c r="A12579" s="5" t="s">
        <v>36</v>
      </c>
      <c r="B12579" s="5" t="s">
        <v>210</v>
      </c>
      <c r="C12579" s="5">
        <v>10</v>
      </c>
      <c r="D12579" s="5" t="s">
        <v>536</v>
      </c>
      <c r="E12579" s="5" t="s">
        <v>102</v>
      </c>
      <c r="F12579" s="5" t="s">
        <v>905</v>
      </c>
      <c r="G12579" s="5" t="s">
        <v>99</v>
      </c>
      <c r="H12579" s="5" t="s">
        <v>99</v>
      </c>
      <c r="I12579" s="5" t="s">
        <v>99</v>
      </c>
    </row>
    <row r="12580" spans="1:9" x14ac:dyDescent="0.3">
      <c r="A12580" t="s">
        <v>36</v>
      </c>
      <c r="B12580" t="s">
        <v>212</v>
      </c>
      <c r="C12580">
        <v>41</v>
      </c>
      <c r="D12580" t="s">
        <v>420</v>
      </c>
      <c r="E12580" t="s">
        <v>599</v>
      </c>
      <c r="F12580" t="s">
        <v>588</v>
      </c>
      <c r="G12580" t="s">
        <v>99</v>
      </c>
      <c r="H12580" t="s">
        <v>99</v>
      </c>
      <c r="I12580" t="s">
        <v>99</v>
      </c>
    </row>
    <row r="12581" spans="1:9" x14ac:dyDescent="0.3">
      <c r="A12581" t="s">
        <v>36</v>
      </c>
      <c r="B12581" t="s">
        <v>216</v>
      </c>
      <c r="C12581">
        <v>32</v>
      </c>
      <c r="D12581" t="s">
        <v>112</v>
      </c>
      <c r="E12581" t="s">
        <v>624</v>
      </c>
      <c r="F12581" t="s">
        <v>1258</v>
      </c>
      <c r="G12581" t="s">
        <v>99</v>
      </c>
      <c r="H12581" t="s">
        <v>99</v>
      </c>
      <c r="I12581" t="s">
        <v>99</v>
      </c>
    </row>
    <row r="12582" spans="1:9" s="5" customFormat="1" x14ac:dyDescent="0.3">
      <c r="A12582" s="5" t="s">
        <v>34</v>
      </c>
      <c r="B12582" s="5" t="s">
        <v>210</v>
      </c>
      <c r="C12582" s="5">
        <v>16</v>
      </c>
      <c r="D12582" s="5" t="s">
        <v>718</v>
      </c>
      <c r="E12582" s="5" t="s">
        <v>1002</v>
      </c>
      <c r="F12582" s="5" t="s">
        <v>832</v>
      </c>
      <c r="G12582" s="5" t="s">
        <v>319</v>
      </c>
      <c r="H12582" s="5" t="s">
        <v>99</v>
      </c>
      <c r="I12582" s="5" t="s">
        <v>99</v>
      </c>
    </row>
    <row r="12583" spans="1:9" x14ac:dyDescent="0.3">
      <c r="A12583" t="s">
        <v>34</v>
      </c>
      <c r="B12583" t="s">
        <v>212</v>
      </c>
      <c r="C12583">
        <v>50</v>
      </c>
      <c r="D12583" t="s">
        <v>165</v>
      </c>
      <c r="E12583" t="s">
        <v>615</v>
      </c>
      <c r="F12583" t="s">
        <v>1067</v>
      </c>
      <c r="G12583" t="s">
        <v>99</v>
      </c>
      <c r="H12583" t="s">
        <v>139</v>
      </c>
      <c r="I12583" t="s">
        <v>99</v>
      </c>
    </row>
    <row r="12584" spans="1:9" s="5" customFormat="1" x14ac:dyDescent="0.3">
      <c r="A12584" s="5" t="s">
        <v>34</v>
      </c>
      <c r="B12584" s="5" t="s">
        <v>216</v>
      </c>
      <c r="C12584" s="5">
        <v>9</v>
      </c>
      <c r="D12584" s="5" t="s">
        <v>99</v>
      </c>
      <c r="E12584" s="5" t="s">
        <v>203</v>
      </c>
      <c r="F12584" s="5" t="s">
        <v>468</v>
      </c>
      <c r="G12584" s="5" t="s">
        <v>99</v>
      </c>
      <c r="H12584" s="5" t="s">
        <v>120</v>
      </c>
      <c r="I12584" s="5" t="s">
        <v>99</v>
      </c>
    </row>
    <row r="12585" spans="1:9" s="5" customFormat="1" x14ac:dyDescent="0.3">
      <c r="A12585" s="5" t="s">
        <v>33</v>
      </c>
      <c r="B12585" s="5" t="s">
        <v>210</v>
      </c>
      <c r="C12585" s="5">
        <v>3</v>
      </c>
      <c r="D12585" s="5" t="s">
        <v>347</v>
      </c>
      <c r="E12585" s="5" t="s">
        <v>348</v>
      </c>
      <c r="F12585" s="5" t="s">
        <v>99</v>
      </c>
      <c r="G12585" s="5" t="s">
        <v>99</v>
      </c>
      <c r="H12585" s="5" t="s">
        <v>99</v>
      </c>
      <c r="I12585" s="5" t="s">
        <v>99</v>
      </c>
    </row>
    <row r="12586" spans="1:9" s="5" customFormat="1" x14ac:dyDescent="0.3">
      <c r="A12586" s="5" t="s">
        <v>33</v>
      </c>
      <c r="B12586" s="5" t="s">
        <v>212</v>
      </c>
      <c r="C12586" s="5">
        <v>7</v>
      </c>
      <c r="D12586" s="5" t="s">
        <v>99</v>
      </c>
      <c r="E12586" s="5" t="s">
        <v>764</v>
      </c>
      <c r="F12586" s="5" t="s">
        <v>710</v>
      </c>
      <c r="G12586" s="5" t="s">
        <v>99</v>
      </c>
      <c r="H12586" s="5" t="s">
        <v>99</v>
      </c>
      <c r="I12586" s="5" t="s">
        <v>99</v>
      </c>
    </row>
    <row r="12587" spans="1:9" x14ac:dyDescent="0.3">
      <c r="A12587" t="s">
        <v>49</v>
      </c>
      <c r="B12587" t="s">
        <v>210</v>
      </c>
      <c r="C12587">
        <v>43</v>
      </c>
      <c r="D12587" t="s">
        <v>720</v>
      </c>
      <c r="E12587" t="s">
        <v>585</v>
      </c>
      <c r="F12587" t="s">
        <v>702</v>
      </c>
      <c r="G12587" t="s">
        <v>115</v>
      </c>
      <c r="H12587" t="s">
        <v>99</v>
      </c>
      <c r="I12587" t="s">
        <v>99</v>
      </c>
    </row>
    <row r="12588" spans="1:9" x14ac:dyDescent="0.3">
      <c r="A12588" t="s">
        <v>49</v>
      </c>
      <c r="B12588" t="s">
        <v>212</v>
      </c>
      <c r="C12588">
        <v>148</v>
      </c>
      <c r="D12588" t="s">
        <v>294</v>
      </c>
      <c r="E12588" t="s">
        <v>571</v>
      </c>
      <c r="F12588" t="s">
        <v>56</v>
      </c>
      <c r="G12588" t="s">
        <v>99</v>
      </c>
      <c r="H12588" t="s">
        <v>157</v>
      </c>
      <c r="I12588" t="s">
        <v>198</v>
      </c>
    </row>
    <row r="12589" spans="1:9" x14ac:dyDescent="0.3">
      <c r="A12589" t="s">
        <v>49</v>
      </c>
      <c r="B12589" t="s">
        <v>216</v>
      </c>
      <c r="C12589">
        <v>50</v>
      </c>
      <c r="D12589" t="s">
        <v>105</v>
      </c>
      <c r="E12589" t="s">
        <v>441</v>
      </c>
      <c r="F12589" t="s">
        <v>406</v>
      </c>
      <c r="G12589" t="s">
        <v>99</v>
      </c>
      <c r="H12589" t="s">
        <v>101</v>
      </c>
      <c r="I12589" t="s">
        <v>99</v>
      </c>
    </row>
    <row r="12591" spans="1:9" x14ac:dyDescent="0.3">
      <c r="A12591" t="s">
        <v>2829</v>
      </c>
    </row>
    <row r="12592" spans="1:9" x14ac:dyDescent="0.3">
      <c r="A12592" t="s">
        <v>44</v>
      </c>
      <c r="B12592" t="s">
        <v>209</v>
      </c>
      <c r="C12592" t="s">
        <v>32</v>
      </c>
      <c r="D12592" t="s">
        <v>2801</v>
      </c>
      <c r="E12592" t="s">
        <v>2802</v>
      </c>
      <c r="F12592" t="s">
        <v>2803</v>
      </c>
      <c r="G12592" t="s">
        <v>2804</v>
      </c>
    </row>
    <row r="12593" spans="1:7" s="5" customFormat="1" x14ac:dyDescent="0.3">
      <c r="A12593" s="5" t="s">
        <v>35</v>
      </c>
      <c r="B12593" s="5" t="s">
        <v>210</v>
      </c>
      <c r="C12593" s="5">
        <v>28</v>
      </c>
      <c r="D12593" s="5" t="s">
        <v>129</v>
      </c>
      <c r="E12593" s="5" t="s">
        <v>569</v>
      </c>
      <c r="F12593" s="5" t="s">
        <v>959</v>
      </c>
      <c r="G12593" s="5" t="s">
        <v>99</v>
      </c>
    </row>
    <row r="12594" spans="1:7" x14ac:dyDescent="0.3">
      <c r="A12594" t="s">
        <v>35</v>
      </c>
      <c r="B12594" t="s">
        <v>212</v>
      </c>
      <c r="C12594">
        <v>48</v>
      </c>
      <c r="D12594" t="s">
        <v>434</v>
      </c>
      <c r="E12594" t="s">
        <v>1061</v>
      </c>
      <c r="F12594" t="s">
        <v>1067</v>
      </c>
      <c r="G12594" t="s">
        <v>112</v>
      </c>
    </row>
    <row r="12595" spans="1:7" s="5" customFormat="1" x14ac:dyDescent="0.3">
      <c r="A12595" s="5" t="s">
        <v>35</v>
      </c>
      <c r="B12595" s="5" t="s">
        <v>216</v>
      </c>
      <c r="C12595" s="5">
        <v>25</v>
      </c>
      <c r="D12595" s="5" t="s">
        <v>101</v>
      </c>
      <c r="E12595" s="5" t="s">
        <v>819</v>
      </c>
      <c r="F12595" s="5" t="s">
        <v>932</v>
      </c>
      <c r="G12595" s="5" t="s">
        <v>99</v>
      </c>
    </row>
    <row r="12596" spans="1:7" x14ac:dyDescent="0.3">
      <c r="A12596" t="s">
        <v>37</v>
      </c>
      <c r="B12596" t="s">
        <v>210</v>
      </c>
      <c r="C12596">
        <v>39</v>
      </c>
      <c r="D12596" t="s">
        <v>72</v>
      </c>
      <c r="E12596" t="s">
        <v>1329</v>
      </c>
      <c r="F12596" t="s">
        <v>717</v>
      </c>
      <c r="G12596" t="s">
        <v>99</v>
      </c>
    </row>
    <row r="12597" spans="1:7" s="5" customFormat="1" x14ac:dyDescent="0.3">
      <c r="A12597" s="5" t="s">
        <v>37</v>
      </c>
      <c r="B12597" s="5" t="s">
        <v>212</v>
      </c>
      <c r="C12597" s="5">
        <v>30</v>
      </c>
      <c r="D12597" s="5" t="s">
        <v>98</v>
      </c>
      <c r="E12597" s="5" t="s">
        <v>1187</v>
      </c>
      <c r="F12597" s="5" t="s">
        <v>894</v>
      </c>
      <c r="G12597" s="5" t="s">
        <v>99</v>
      </c>
    </row>
    <row r="12598" spans="1:7" s="5" customFormat="1" x14ac:dyDescent="0.3">
      <c r="A12598" s="5" t="s">
        <v>37</v>
      </c>
      <c r="B12598" s="5" t="s">
        <v>216</v>
      </c>
      <c r="C12598" s="5">
        <v>1</v>
      </c>
      <c r="D12598" s="5" t="s">
        <v>211</v>
      </c>
      <c r="E12598" s="5" t="s">
        <v>99</v>
      </c>
      <c r="F12598" s="5" t="s">
        <v>99</v>
      </c>
      <c r="G12598" s="5" t="s">
        <v>99</v>
      </c>
    </row>
    <row r="12599" spans="1:7" x14ac:dyDescent="0.3">
      <c r="A12599" t="s">
        <v>36</v>
      </c>
      <c r="B12599" t="s">
        <v>210</v>
      </c>
      <c r="C12599">
        <v>56</v>
      </c>
      <c r="D12599" t="s">
        <v>710</v>
      </c>
      <c r="E12599" t="s">
        <v>343</v>
      </c>
      <c r="F12599" t="s">
        <v>393</v>
      </c>
      <c r="G12599" t="s">
        <v>99</v>
      </c>
    </row>
    <row r="12600" spans="1:7" x14ac:dyDescent="0.3">
      <c r="A12600" t="s">
        <v>36</v>
      </c>
      <c r="B12600" t="s">
        <v>212</v>
      </c>
      <c r="C12600">
        <v>106</v>
      </c>
      <c r="D12600" t="s">
        <v>726</v>
      </c>
      <c r="E12600" t="s">
        <v>556</v>
      </c>
      <c r="F12600" t="s">
        <v>1157</v>
      </c>
      <c r="G12600" t="s">
        <v>253</v>
      </c>
    </row>
    <row r="12601" spans="1:7" x14ac:dyDescent="0.3">
      <c r="A12601" t="s">
        <v>36</v>
      </c>
      <c r="B12601" t="s">
        <v>216</v>
      </c>
      <c r="C12601">
        <v>111</v>
      </c>
      <c r="D12601" t="s">
        <v>675</v>
      </c>
      <c r="E12601" t="s">
        <v>1279</v>
      </c>
      <c r="F12601" t="s">
        <v>508</v>
      </c>
      <c r="G12601" t="s">
        <v>198</v>
      </c>
    </row>
    <row r="12602" spans="1:7" x14ac:dyDescent="0.3">
      <c r="A12602" t="s">
        <v>34</v>
      </c>
      <c r="B12602" t="s">
        <v>210</v>
      </c>
      <c r="C12602">
        <v>65</v>
      </c>
      <c r="D12602" t="s">
        <v>220</v>
      </c>
      <c r="E12602" t="s">
        <v>282</v>
      </c>
      <c r="F12602" t="s">
        <v>667</v>
      </c>
      <c r="G12602" t="s">
        <v>99</v>
      </c>
    </row>
    <row r="12603" spans="1:7" x14ac:dyDescent="0.3">
      <c r="A12603" t="s">
        <v>34</v>
      </c>
      <c r="B12603" t="s">
        <v>212</v>
      </c>
      <c r="C12603">
        <v>88</v>
      </c>
      <c r="D12603" t="s">
        <v>671</v>
      </c>
      <c r="E12603" t="s">
        <v>567</v>
      </c>
      <c r="F12603" t="s">
        <v>214</v>
      </c>
      <c r="G12603" t="s">
        <v>382</v>
      </c>
    </row>
    <row r="12604" spans="1:7" x14ac:dyDescent="0.3">
      <c r="A12604" t="s">
        <v>34</v>
      </c>
      <c r="B12604" t="s">
        <v>216</v>
      </c>
      <c r="C12604">
        <v>44</v>
      </c>
      <c r="D12604" t="s">
        <v>731</v>
      </c>
      <c r="E12604" t="s">
        <v>611</v>
      </c>
      <c r="F12604" t="s">
        <v>836</v>
      </c>
      <c r="G12604" t="s">
        <v>434</v>
      </c>
    </row>
    <row r="12605" spans="1:7" s="5" customFormat="1" x14ac:dyDescent="0.3">
      <c r="A12605" s="5" t="s">
        <v>33</v>
      </c>
      <c r="B12605" s="5" t="s">
        <v>210</v>
      </c>
      <c r="C12605" s="5">
        <v>14</v>
      </c>
      <c r="D12605" s="5" t="s">
        <v>670</v>
      </c>
      <c r="E12605" s="5" t="s">
        <v>1020</v>
      </c>
      <c r="F12605" s="5" t="s">
        <v>99</v>
      </c>
      <c r="G12605" s="5" t="s">
        <v>99</v>
      </c>
    </row>
    <row r="12606" spans="1:7" s="5" customFormat="1" x14ac:dyDescent="0.3">
      <c r="A12606" s="5" t="s">
        <v>33</v>
      </c>
      <c r="B12606" s="5" t="s">
        <v>212</v>
      </c>
      <c r="C12606" s="5">
        <v>6</v>
      </c>
      <c r="D12606" s="5" t="s">
        <v>264</v>
      </c>
      <c r="E12606" s="5" t="s">
        <v>593</v>
      </c>
      <c r="F12606" s="5" t="s">
        <v>432</v>
      </c>
      <c r="G12606" s="5" t="s">
        <v>99</v>
      </c>
    </row>
    <row r="12607" spans="1:7" s="5" customFormat="1" x14ac:dyDescent="0.3">
      <c r="A12607" s="5" t="s">
        <v>33</v>
      </c>
      <c r="B12607" s="5" t="s">
        <v>216</v>
      </c>
      <c r="C12607" s="5">
        <v>2</v>
      </c>
      <c r="D12607" s="5" t="s">
        <v>99</v>
      </c>
      <c r="E12607" s="5" t="s">
        <v>211</v>
      </c>
      <c r="F12607" s="5" t="s">
        <v>99</v>
      </c>
      <c r="G12607" s="5" t="s">
        <v>99</v>
      </c>
    </row>
    <row r="12608" spans="1:7" x14ac:dyDescent="0.3">
      <c r="A12608" t="s">
        <v>49</v>
      </c>
      <c r="B12608" t="s">
        <v>210</v>
      </c>
      <c r="C12608">
        <v>202</v>
      </c>
      <c r="D12608" t="s">
        <v>470</v>
      </c>
      <c r="E12608" t="s">
        <v>1103</v>
      </c>
      <c r="F12608" t="s">
        <v>276</v>
      </c>
      <c r="G12608" t="s">
        <v>99</v>
      </c>
    </row>
    <row r="12609" spans="1:8" x14ac:dyDescent="0.3">
      <c r="A12609" t="s">
        <v>49</v>
      </c>
      <c r="B12609" t="s">
        <v>212</v>
      </c>
      <c r="C12609">
        <v>278</v>
      </c>
      <c r="D12609" t="s">
        <v>461</v>
      </c>
      <c r="E12609" t="s">
        <v>634</v>
      </c>
      <c r="F12609" t="s">
        <v>836</v>
      </c>
      <c r="G12609" t="s">
        <v>127</v>
      </c>
    </row>
    <row r="12610" spans="1:8" x14ac:dyDescent="0.3">
      <c r="A12610" t="s">
        <v>49</v>
      </c>
      <c r="B12610" t="s">
        <v>216</v>
      </c>
      <c r="C12610">
        <v>183</v>
      </c>
      <c r="D12610" t="s">
        <v>251</v>
      </c>
      <c r="E12610" t="s">
        <v>1176</v>
      </c>
      <c r="F12610" t="s">
        <v>699</v>
      </c>
      <c r="G12610" t="s">
        <v>111</v>
      </c>
    </row>
    <row r="12612" spans="1:8" x14ac:dyDescent="0.3">
      <c r="A12612" t="s">
        <v>2830</v>
      </c>
    </row>
    <row r="12613" spans="1:8" x14ac:dyDescent="0.3">
      <c r="A12613" t="s">
        <v>44</v>
      </c>
      <c r="B12613" t="s">
        <v>209</v>
      </c>
      <c r="C12613" t="s">
        <v>32</v>
      </c>
      <c r="D12613" t="s">
        <v>2804</v>
      </c>
      <c r="E12613" t="s">
        <v>2802</v>
      </c>
      <c r="F12613" t="s">
        <v>2801</v>
      </c>
      <c r="G12613" t="s">
        <v>2803</v>
      </c>
      <c r="H12613" t="s">
        <v>193</v>
      </c>
    </row>
    <row r="12614" spans="1:8" s="5" customFormat="1" x14ac:dyDescent="0.3">
      <c r="A12614" s="5" t="s">
        <v>35</v>
      </c>
      <c r="B12614" s="5" t="s">
        <v>210</v>
      </c>
      <c r="C12614" s="5">
        <v>4</v>
      </c>
      <c r="D12614" s="5" t="s">
        <v>99</v>
      </c>
      <c r="E12614" s="5" t="s">
        <v>874</v>
      </c>
      <c r="F12614" s="5" t="s">
        <v>99</v>
      </c>
      <c r="G12614" s="5" t="s">
        <v>696</v>
      </c>
      <c r="H12614" s="5" t="s">
        <v>99</v>
      </c>
    </row>
    <row r="12615" spans="1:8" s="5" customFormat="1" x14ac:dyDescent="0.3">
      <c r="A12615" s="5" t="s">
        <v>35</v>
      </c>
      <c r="B12615" s="5" t="s">
        <v>212</v>
      </c>
      <c r="C12615" s="5">
        <v>3</v>
      </c>
      <c r="D12615" s="5" t="s">
        <v>99</v>
      </c>
      <c r="E12615" s="5" t="s">
        <v>211</v>
      </c>
      <c r="F12615" s="5" t="s">
        <v>99</v>
      </c>
      <c r="G12615" s="5" t="s">
        <v>99</v>
      </c>
      <c r="H12615" s="5" t="s">
        <v>99</v>
      </c>
    </row>
    <row r="12616" spans="1:8" s="5" customFormat="1" x14ac:dyDescent="0.3">
      <c r="A12616" s="5" t="s">
        <v>35</v>
      </c>
      <c r="B12616" s="5" t="s">
        <v>216</v>
      </c>
      <c r="C12616" s="5">
        <v>4</v>
      </c>
      <c r="D12616" s="5" t="s">
        <v>99</v>
      </c>
      <c r="E12616" s="5" t="s">
        <v>1132</v>
      </c>
      <c r="F12616" s="5" t="s">
        <v>702</v>
      </c>
      <c r="G12616" s="5" t="s">
        <v>99</v>
      </c>
      <c r="H12616" s="5" t="s">
        <v>99</v>
      </c>
    </row>
    <row r="12617" spans="1:8" s="5" customFormat="1" x14ac:dyDescent="0.3">
      <c r="A12617" s="5" t="s">
        <v>37</v>
      </c>
      <c r="B12617" s="5" t="s">
        <v>210</v>
      </c>
      <c r="C12617" s="5">
        <v>10</v>
      </c>
      <c r="D12617" s="5" t="s">
        <v>99</v>
      </c>
      <c r="E12617" s="5" t="s">
        <v>219</v>
      </c>
      <c r="F12617" s="5" t="s">
        <v>149</v>
      </c>
      <c r="G12617" s="5" t="s">
        <v>109</v>
      </c>
      <c r="H12617" s="5" t="s">
        <v>99</v>
      </c>
    </row>
    <row r="12618" spans="1:8" s="5" customFormat="1" x14ac:dyDescent="0.3">
      <c r="A12618" s="5" t="s">
        <v>37</v>
      </c>
      <c r="B12618" s="5" t="s">
        <v>212</v>
      </c>
      <c r="C12618" s="5">
        <v>5</v>
      </c>
      <c r="D12618" s="5" t="s">
        <v>1148</v>
      </c>
      <c r="E12618" s="5" t="s">
        <v>806</v>
      </c>
      <c r="F12618" s="5" t="s">
        <v>99</v>
      </c>
      <c r="G12618" s="5" t="s">
        <v>683</v>
      </c>
      <c r="H12618" s="5" t="s">
        <v>99</v>
      </c>
    </row>
    <row r="12619" spans="1:8" s="5" customFormat="1" x14ac:dyDescent="0.3">
      <c r="A12619" s="5" t="s">
        <v>37</v>
      </c>
      <c r="B12619" s="5" t="s">
        <v>216</v>
      </c>
      <c r="C12619" s="5">
        <v>1</v>
      </c>
      <c r="D12619" s="5" t="s">
        <v>99</v>
      </c>
      <c r="E12619" s="5" t="s">
        <v>99</v>
      </c>
      <c r="F12619" s="5" t="s">
        <v>211</v>
      </c>
      <c r="G12619" s="5" t="s">
        <v>99</v>
      </c>
      <c r="H12619" s="5" t="s">
        <v>99</v>
      </c>
    </row>
    <row r="12620" spans="1:8" s="5" customFormat="1" x14ac:dyDescent="0.3">
      <c r="A12620" s="5" t="s">
        <v>36</v>
      </c>
      <c r="B12620" s="5" t="s">
        <v>210</v>
      </c>
      <c r="C12620" s="5">
        <v>10</v>
      </c>
      <c r="D12620" s="5" t="s">
        <v>99</v>
      </c>
      <c r="E12620" s="5" t="s">
        <v>484</v>
      </c>
      <c r="F12620" s="5" t="s">
        <v>457</v>
      </c>
      <c r="G12620" s="5" t="s">
        <v>160</v>
      </c>
      <c r="H12620" s="5" t="s">
        <v>99</v>
      </c>
    </row>
    <row r="12621" spans="1:8" s="5" customFormat="1" x14ac:dyDescent="0.3">
      <c r="A12621" s="5" t="s">
        <v>36</v>
      </c>
      <c r="B12621" s="5" t="s">
        <v>212</v>
      </c>
      <c r="C12621" s="5">
        <v>18</v>
      </c>
      <c r="D12621" s="5" t="s">
        <v>99</v>
      </c>
      <c r="E12621" s="5" t="s">
        <v>1187</v>
      </c>
      <c r="F12621" s="5" t="s">
        <v>115</v>
      </c>
      <c r="G12621" s="5" t="s">
        <v>694</v>
      </c>
      <c r="H12621" s="5" t="s">
        <v>814</v>
      </c>
    </row>
    <row r="12622" spans="1:8" s="5" customFormat="1" x14ac:dyDescent="0.3">
      <c r="A12622" s="5" t="s">
        <v>36</v>
      </c>
      <c r="B12622" s="5" t="s">
        <v>216</v>
      </c>
      <c r="C12622" s="5">
        <v>30</v>
      </c>
      <c r="D12622" s="5" t="s">
        <v>99</v>
      </c>
      <c r="E12622" s="5" t="s">
        <v>516</v>
      </c>
      <c r="F12622" s="5" t="s">
        <v>291</v>
      </c>
      <c r="G12622" s="5" t="s">
        <v>666</v>
      </c>
      <c r="H12622" s="5" t="s">
        <v>99</v>
      </c>
    </row>
    <row r="12623" spans="1:8" s="5" customFormat="1" x14ac:dyDescent="0.3">
      <c r="A12623" s="5" t="s">
        <v>34</v>
      </c>
      <c r="B12623" s="5" t="s">
        <v>210</v>
      </c>
      <c r="C12623" s="5">
        <v>11</v>
      </c>
      <c r="D12623" s="5" t="s">
        <v>99</v>
      </c>
      <c r="E12623" s="5" t="s">
        <v>1015</v>
      </c>
      <c r="F12623" s="5" t="s">
        <v>99</v>
      </c>
      <c r="G12623" s="5" t="s">
        <v>597</v>
      </c>
      <c r="H12623" s="5" t="s">
        <v>99</v>
      </c>
    </row>
    <row r="12624" spans="1:8" s="5" customFormat="1" x14ac:dyDescent="0.3">
      <c r="A12624" s="5" t="s">
        <v>34</v>
      </c>
      <c r="B12624" s="5" t="s">
        <v>212</v>
      </c>
      <c r="C12624" s="5">
        <v>11</v>
      </c>
      <c r="D12624" s="5" t="s">
        <v>99</v>
      </c>
      <c r="E12624" s="5" t="s">
        <v>239</v>
      </c>
      <c r="F12624" s="5" t="s">
        <v>313</v>
      </c>
      <c r="G12624" s="5" t="s">
        <v>372</v>
      </c>
      <c r="H12624" s="5" t="s">
        <v>99</v>
      </c>
    </row>
    <row r="12625" spans="1:8" s="5" customFormat="1" x14ac:dyDescent="0.3">
      <c r="A12625" s="5" t="s">
        <v>34</v>
      </c>
      <c r="B12625" s="5" t="s">
        <v>216</v>
      </c>
      <c r="C12625" s="5">
        <v>14</v>
      </c>
      <c r="D12625" s="5" t="s">
        <v>99</v>
      </c>
      <c r="E12625" s="5" t="s">
        <v>504</v>
      </c>
      <c r="F12625" s="5" t="s">
        <v>215</v>
      </c>
      <c r="G12625" s="5" t="s">
        <v>529</v>
      </c>
      <c r="H12625" s="5" t="s">
        <v>99</v>
      </c>
    </row>
    <row r="12626" spans="1:8" s="5" customFormat="1" x14ac:dyDescent="0.3">
      <c r="A12626" s="5" t="s">
        <v>33</v>
      </c>
      <c r="B12626" s="5" t="s">
        <v>210</v>
      </c>
      <c r="C12626" s="5">
        <v>4</v>
      </c>
      <c r="D12626" s="5" t="s">
        <v>1414</v>
      </c>
      <c r="E12626" s="5" t="s">
        <v>1279</v>
      </c>
      <c r="F12626" s="5" t="s">
        <v>99</v>
      </c>
      <c r="G12626" s="5" t="s">
        <v>99</v>
      </c>
      <c r="H12626" s="5" t="s">
        <v>99</v>
      </c>
    </row>
    <row r="12627" spans="1:8" s="5" customFormat="1" x14ac:dyDescent="0.3">
      <c r="A12627" s="5" t="s">
        <v>33</v>
      </c>
      <c r="B12627" s="5" t="s">
        <v>212</v>
      </c>
      <c r="C12627" s="5">
        <v>2</v>
      </c>
      <c r="D12627" s="5" t="s">
        <v>99</v>
      </c>
      <c r="E12627" s="5" t="s">
        <v>653</v>
      </c>
      <c r="F12627" s="5" t="s">
        <v>573</v>
      </c>
      <c r="G12627" s="5" t="s">
        <v>99</v>
      </c>
      <c r="H12627" s="5" t="s">
        <v>99</v>
      </c>
    </row>
    <row r="12628" spans="1:8" s="5" customFormat="1" x14ac:dyDescent="0.3">
      <c r="A12628" s="5" t="s">
        <v>33</v>
      </c>
      <c r="B12628" s="5" t="s">
        <v>216</v>
      </c>
      <c r="C12628" s="5">
        <v>1</v>
      </c>
      <c r="D12628" s="5" t="s">
        <v>99</v>
      </c>
      <c r="E12628" s="5" t="s">
        <v>211</v>
      </c>
      <c r="F12628" s="5" t="s">
        <v>99</v>
      </c>
      <c r="G12628" s="5" t="s">
        <v>99</v>
      </c>
      <c r="H12628" s="5" t="s">
        <v>99</v>
      </c>
    </row>
    <row r="12629" spans="1:8" x14ac:dyDescent="0.3">
      <c r="A12629" t="s">
        <v>49</v>
      </c>
      <c r="B12629" t="s">
        <v>210</v>
      </c>
      <c r="C12629">
        <v>39</v>
      </c>
      <c r="D12629" t="s">
        <v>151</v>
      </c>
      <c r="E12629" t="s">
        <v>59</v>
      </c>
      <c r="F12629" t="s">
        <v>254</v>
      </c>
      <c r="G12629" t="s">
        <v>911</v>
      </c>
      <c r="H12629" t="s">
        <v>99</v>
      </c>
    </row>
    <row r="12630" spans="1:8" x14ac:dyDescent="0.3">
      <c r="A12630" t="s">
        <v>49</v>
      </c>
      <c r="B12630" t="s">
        <v>212</v>
      </c>
      <c r="C12630">
        <v>39</v>
      </c>
      <c r="D12630" t="s">
        <v>134</v>
      </c>
      <c r="E12630" t="s">
        <v>308</v>
      </c>
      <c r="F12630" t="s">
        <v>251</v>
      </c>
      <c r="G12630" t="s">
        <v>685</v>
      </c>
      <c r="H12630" t="s">
        <v>316</v>
      </c>
    </row>
    <row r="12631" spans="1:8" x14ac:dyDescent="0.3">
      <c r="A12631" t="s">
        <v>49</v>
      </c>
      <c r="B12631" t="s">
        <v>216</v>
      </c>
      <c r="C12631">
        <v>50</v>
      </c>
      <c r="D12631" t="s">
        <v>99</v>
      </c>
      <c r="E12631" t="s">
        <v>1403</v>
      </c>
      <c r="F12631" t="s">
        <v>152</v>
      </c>
      <c r="G12631" t="s">
        <v>686</v>
      </c>
      <c r="H12631" t="s">
        <v>99</v>
      </c>
    </row>
    <row r="12633" spans="1:8" x14ac:dyDescent="0.3">
      <c r="A12633" t="s">
        <v>2831</v>
      </c>
    </row>
    <row r="12634" spans="1:8" x14ac:dyDescent="0.3">
      <c r="A12634" t="s">
        <v>44</v>
      </c>
      <c r="B12634" t="s">
        <v>209</v>
      </c>
      <c r="C12634" t="s">
        <v>32</v>
      </c>
      <c r="D12634" t="s">
        <v>2804</v>
      </c>
      <c r="E12634" t="s">
        <v>2802</v>
      </c>
      <c r="F12634" t="s">
        <v>2803</v>
      </c>
      <c r="G12634" t="s">
        <v>2801</v>
      </c>
      <c r="H12634" t="s">
        <v>2805</v>
      </c>
    </row>
    <row r="12635" spans="1:8" s="5" customFormat="1" x14ac:dyDescent="0.3">
      <c r="A12635" s="5" t="s">
        <v>35</v>
      </c>
      <c r="B12635" s="5" t="s">
        <v>210</v>
      </c>
      <c r="C12635" s="5">
        <v>18</v>
      </c>
      <c r="D12635" s="5" t="s">
        <v>143</v>
      </c>
      <c r="E12635" s="5" t="s">
        <v>886</v>
      </c>
      <c r="F12635" s="5" t="s">
        <v>653</v>
      </c>
      <c r="G12635" s="5" t="s">
        <v>99</v>
      </c>
      <c r="H12635" s="5" t="s">
        <v>99</v>
      </c>
    </row>
    <row r="12636" spans="1:8" x14ac:dyDescent="0.3">
      <c r="A12636" t="s">
        <v>35</v>
      </c>
      <c r="B12636" t="s">
        <v>212</v>
      </c>
      <c r="C12636">
        <v>41</v>
      </c>
      <c r="D12636" t="s">
        <v>128</v>
      </c>
      <c r="E12636" t="s">
        <v>553</v>
      </c>
      <c r="F12636" t="s">
        <v>610</v>
      </c>
      <c r="G12636" t="s">
        <v>248</v>
      </c>
      <c r="H12636" t="s">
        <v>99</v>
      </c>
    </row>
    <row r="12637" spans="1:8" s="5" customFormat="1" x14ac:dyDescent="0.3">
      <c r="A12637" s="5" t="s">
        <v>35</v>
      </c>
      <c r="B12637" s="5" t="s">
        <v>216</v>
      </c>
      <c r="C12637" s="5">
        <v>16</v>
      </c>
      <c r="D12637" s="5" t="s">
        <v>816</v>
      </c>
      <c r="E12637" s="5" t="s">
        <v>946</v>
      </c>
      <c r="F12637" s="5" t="s">
        <v>491</v>
      </c>
      <c r="G12637" s="5" t="s">
        <v>99</v>
      </c>
      <c r="H12637" s="5" t="s">
        <v>99</v>
      </c>
    </row>
    <row r="12638" spans="1:8" x14ac:dyDescent="0.3">
      <c r="A12638" t="s">
        <v>37</v>
      </c>
      <c r="B12638" t="s">
        <v>210</v>
      </c>
      <c r="C12638">
        <v>38</v>
      </c>
      <c r="D12638" t="s">
        <v>99</v>
      </c>
      <c r="E12638" t="s">
        <v>1196</v>
      </c>
      <c r="F12638" t="s">
        <v>425</v>
      </c>
      <c r="G12638" t="s">
        <v>291</v>
      </c>
      <c r="H12638" t="s">
        <v>99</v>
      </c>
    </row>
    <row r="12639" spans="1:8" s="5" customFormat="1" x14ac:dyDescent="0.3">
      <c r="A12639" s="5" t="s">
        <v>37</v>
      </c>
      <c r="B12639" s="5" t="s">
        <v>212</v>
      </c>
      <c r="C12639" s="5">
        <v>22</v>
      </c>
      <c r="D12639" s="5" t="s">
        <v>99</v>
      </c>
      <c r="E12639" s="5" t="s">
        <v>1179</v>
      </c>
      <c r="F12639" s="5" t="s">
        <v>1163</v>
      </c>
      <c r="G12639" s="5" t="s">
        <v>99</v>
      </c>
      <c r="H12639" s="5" t="s">
        <v>99</v>
      </c>
    </row>
    <row r="12640" spans="1:8" s="5" customFormat="1" x14ac:dyDescent="0.3">
      <c r="A12640" s="5" t="s">
        <v>37</v>
      </c>
      <c r="B12640" s="5" t="s">
        <v>216</v>
      </c>
      <c r="C12640" s="5">
        <v>3</v>
      </c>
      <c r="D12640" s="5" t="s">
        <v>99</v>
      </c>
      <c r="E12640" s="5" t="s">
        <v>843</v>
      </c>
      <c r="F12640" s="5" t="s">
        <v>825</v>
      </c>
      <c r="G12640" s="5" t="s">
        <v>99</v>
      </c>
      <c r="H12640" s="5" t="s">
        <v>99</v>
      </c>
    </row>
    <row r="12641" spans="1:8" x14ac:dyDescent="0.3">
      <c r="A12641" t="s">
        <v>36</v>
      </c>
      <c r="B12641" t="s">
        <v>210</v>
      </c>
      <c r="C12641">
        <v>35</v>
      </c>
      <c r="D12641" t="s">
        <v>714</v>
      </c>
      <c r="E12641" t="s">
        <v>1383</v>
      </c>
      <c r="F12641" t="s">
        <v>175</v>
      </c>
      <c r="G12641" t="s">
        <v>705</v>
      </c>
      <c r="H12641" t="s">
        <v>154</v>
      </c>
    </row>
    <row r="12642" spans="1:8" x14ac:dyDescent="0.3">
      <c r="A12642" t="s">
        <v>36</v>
      </c>
      <c r="B12642" t="s">
        <v>212</v>
      </c>
      <c r="C12642">
        <v>81</v>
      </c>
      <c r="D12642" t="s">
        <v>412</v>
      </c>
      <c r="E12642" t="s">
        <v>1193</v>
      </c>
      <c r="F12642" t="s">
        <v>437</v>
      </c>
      <c r="G12642" t="s">
        <v>679</v>
      </c>
      <c r="H12642" t="s">
        <v>99</v>
      </c>
    </row>
    <row r="12643" spans="1:8" x14ac:dyDescent="0.3">
      <c r="A12643" t="s">
        <v>36</v>
      </c>
      <c r="B12643" t="s">
        <v>216</v>
      </c>
      <c r="C12643">
        <v>52</v>
      </c>
      <c r="D12643" t="s">
        <v>254</v>
      </c>
      <c r="E12643" t="s">
        <v>666</v>
      </c>
      <c r="F12643" t="s">
        <v>1190</v>
      </c>
      <c r="G12643" t="s">
        <v>401</v>
      </c>
      <c r="H12643" t="s">
        <v>99</v>
      </c>
    </row>
    <row r="12644" spans="1:8" x14ac:dyDescent="0.3">
      <c r="A12644" t="s">
        <v>34</v>
      </c>
      <c r="B12644" t="s">
        <v>210</v>
      </c>
      <c r="C12644">
        <v>51</v>
      </c>
      <c r="D12644" t="s">
        <v>325</v>
      </c>
      <c r="E12644" t="s">
        <v>935</v>
      </c>
      <c r="F12644" t="s">
        <v>519</v>
      </c>
      <c r="G12644" t="s">
        <v>474</v>
      </c>
      <c r="H12644" t="s">
        <v>99</v>
      </c>
    </row>
    <row r="12645" spans="1:8" x14ac:dyDescent="0.3">
      <c r="A12645" t="s">
        <v>34</v>
      </c>
      <c r="B12645" t="s">
        <v>212</v>
      </c>
      <c r="C12645">
        <v>47</v>
      </c>
      <c r="D12645" t="s">
        <v>101</v>
      </c>
      <c r="E12645" t="s">
        <v>1183</v>
      </c>
      <c r="F12645" t="s">
        <v>936</v>
      </c>
      <c r="G12645" t="s">
        <v>184</v>
      </c>
      <c r="H12645" t="s">
        <v>99</v>
      </c>
    </row>
    <row r="12646" spans="1:8" s="5" customFormat="1" x14ac:dyDescent="0.3">
      <c r="A12646" s="5" t="s">
        <v>34</v>
      </c>
      <c r="B12646" s="5" t="s">
        <v>216</v>
      </c>
      <c r="C12646" s="5">
        <v>30</v>
      </c>
      <c r="D12646" s="5" t="s">
        <v>114</v>
      </c>
      <c r="E12646" s="5" t="s">
        <v>525</v>
      </c>
      <c r="F12646" s="5" t="s">
        <v>1748</v>
      </c>
      <c r="G12646" s="5" t="s">
        <v>420</v>
      </c>
      <c r="H12646" s="5" t="s">
        <v>99</v>
      </c>
    </row>
    <row r="12647" spans="1:8" s="5" customFormat="1" x14ac:dyDescent="0.3">
      <c r="A12647" s="5" t="s">
        <v>33</v>
      </c>
      <c r="B12647" s="5" t="s">
        <v>210</v>
      </c>
      <c r="C12647" s="5">
        <v>13</v>
      </c>
      <c r="D12647" s="5" t="s">
        <v>262</v>
      </c>
      <c r="E12647" s="5" t="s">
        <v>1080</v>
      </c>
      <c r="F12647" s="5" t="s">
        <v>700</v>
      </c>
      <c r="G12647" s="5" t="s">
        <v>99</v>
      </c>
      <c r="H12647" s="5" t="s">
        <v>99</v>
      </c>
    </row>
    <row r="12648" spans="1:8" s="5" customFormat="1" x14ac:dyDescent="0.3">
      <c r="A12648" s="5" t="s">
        <v>33</v>
      </c>
      <c r="B12648" s="5" t="s">
        <v>212</v>
      </c>
      <c r="C12648" s="5">
        <v>7</v>
      </c>
      <c r="D12648" s="5" t="s">
        <v>99</v>
      </c>
      <c r="E12648" s="5" t="s">
        <v>399</v>
      </c>
      <c r="F12648" s="5" t="s">
        <v>804</v>
      </c>
      <c r="G12648" s="5" t="s">
        <v>99</v>
      </c>
      <c r="H12648" s="5" t="s">
        <v>99</v>
      </c>
    </row>
    <row r="12649" spans="1:8" s="5" customFormat="1" x14ac:dyDescent="0.3">
      <c r="A12649" s="5" t="s">
        <v>33</v>
      </c>
      <c r="B12649" s="5" t="s">
        <v>216</v>
      </c>
      <c r="C12649" s="5">
        <v>1</v>
      </c>
      <c r="D12649" s="5" t="s">
        <v>99</v>
      </c>
      <c r="E12649" s="5" t="s">
        <v>211</v>
      </c>
      <c r="F12649" s="5" t="s">
        <v>99</v>
      </c>
      <c r="G12649" s="5" t="s">
        <v>99</v>
      </c>
      <c r="H12649" s="5" t="s">
        <v>99</v>
      </c>
    </row>
    <row r="12650" spans="1:8" x14ac:dyDescent="0.3">
      <c r="A12650" t="s">
        <v>49</v>
      </c>
      <c r="B12650" t="s">
        <v>210</v>
      </c>
      <c r="C12650">
        <v>155</v>
      </c>
      <c r="D12650" t="s">
        <v>328</v>
      </c>
      <c r="E12650" t="s">
        <v>1066</v>
      </c>
      <c r="F12650" t="s">
        <v>742</v>
      </c>
      <c r="G12650" t="s">
        <v>109</v>
      </c>
      <c r="H12650" t="s">
        <v>141</v>
      </c>
    </row>
    <row r="12651" spans="1:8" x14ac:dyDescent="0.3">
      <c r="A12651" t="s">
        <v>49</v>
      </c>
      <c r="B12651" t="s">
        <v>212</v>
      </c>
      <c r="C12651">
        <v>198</v>
      </c>
      <c r="D12651" t="s">
        <v>151</v>
      </c>
      <c r="E12651" t="s">
        <v>943</v>
      </c>
      <c r="F12651" t="s">
        <v>620</v>
      </c>
      <c r="G12651" t="s">
        <v>145</v>
      </c>
      <c r="H12651" t="s">
        <v>99</v>
      </c>
    </row>
    <row r="12652" spans="1:8" x14ac:dyDescent="0.3">
      <c r="A12652" t="s">
        <v>49</v>
      </c>
      <c r="B12652" t="s">
        <v>216</v>
      </c>
      <c r="C12652">
        <v>102</v>
      </c>
      <c r="D12652" t="s">
        <v>76</v>
      </c>
      <c r="E12652" t="s">
        <v>794</v>
      </c>
      <c r="F12652" t="s">
        <v>584</v>
      </c>
      <c r="G12652" t="s">
        <v>242</v>
      </c>
      <c r="H12652" t="s">
        <v>99</v>
      </c>
    </row>
    <row r="12654" spans="1:8" x14ac:dyDescent="0.3">
      <c r="A12654" t="s">
        <v>2832</v>
      </c>
    </row>
    <row r="12655" spans="1:8" x14ac:dyDescent="0.3">
      <c r="A12655" t="s">
        <v>44</v>
      </c>
      <c r="B12655" t="s">
        <v>209</v>
      </c>
      <c r="C12655" t="s">
        <v>32</v>
      </c>
      <c r="D12655" t="s">
        <v>2802</v>
      </c>
      <c r="E12655" t="s">
        <v>2803</v>
      </c>
      <c r="F12655" t="s">
        <v>2801</v>
      </c>
      <c r="G12655" t="s">
        <v>2804</v>
      </c>
      <c r="H12655" t="s">
        <v>2805</v>
      </c>
    </row>
    <row r="12656" spans="1:8" s="5" customFormat="1" x14ac:dyDescent="0.3">
      <c r="A12656" s="5" t="s">
        <v>35</v>
      </c>
      <c r="B12656" s="5" t="s">
        <v>210</v>
      </c>
      <c r="C12656" s="5">
        <v>2</v>
      </c>
      <c r="D12656" s="5" t="s">
        <v>906</v>
      </c>
      <c r="E12656" s="5" t="s">
        <v>640</v>
      </c>
      <c r="F12656" s="5" t="s">
        <v>99</v>
      </c>
      <c r="G12656" s="5" t="s">
        <v>99</v>
      </c>
      <c r="H12656" s="5" t="s">
        <v>99</v>
      </c>
    </row>
    <row r="12657" spans="1:8" s="5" customFormat="1" x14ac:dyDescent="0.3">
      <c r="A12657" s="5" t="s">
        <v>35</v>
      </c>
      <c r="B12657" s="5" t="s">
        <v>212</v>
      </c>
      <c r="C12657" s="5">
        <v>13</v>
      </c>
      <c r="D12657" s="5" t="s">
        <v>1050</v>
      </c>
      <c r="E12657" s="5" t="s">
        <v>894</v>
      </c>
      <c r="F12657" s="5" t="s">
        <v>332</v>
      </c>
      <c r="G12657" s="5" t="s">
        <v>99</v>
      </c>
      <c r="H12657" s="5" t="s">
        <v>99</v>
      </c>
    </row>
    <row r="12658" spans="1:8" s="5" customFormat="1" x14ac:dyDescent="0.3">
      <c r="A12658" s="5" t="s">
        <v>35</v>
      </c>
      <c r="B12658" s="5" t="s">
        <v>216</v>
      </c>
      <c r="C12658" s="5">
        <v>1</v>
      </c>
      <c r="D12658" s="5" t="s">
        <v>211</v>
      </c>
      <c r="E12658" s="5" t="s">
        <v>99</v>
      </c>
      <c r="F12658" s="5" t="s">
        <v>99</v>
      </c>
      <c r="G12658" s="5" t="s">
        <v>99</v>
      </c>
      <c r="H12658" s="5" t="s">
        <v>99</v>
      </c>
    </row>
    <row r="12659" spans="1:8" s="5" customFormat="1" x14ac:dyDescent="0.3">
      <c r="A12659" s="5" t="s">
        <v>37</v>
      </c>
      <c r="B12659" s="5" t="s">
        <v>210</v>
      </c>
      <c r="C12659" s="5">
        <v>4</v>
      </c>
      <c r="D12659" s="5" t="s">
        <v>343</v>
      </c>
      <c r="E12659" s="5" t="s">
        <v>342</v>
      </c>
      <c r="F12659" s="5" t="s">
        <v>99</v>
      </c>
      <c r="G12659" s="5" t="s">
        <v>99</v>
      </c>
      <c r="H12659" s="5" t="s">
        <v>99</v>
      </c>
    </row>
    <row r="12660" spans="1:8" s="5" customFormat="1" x14ac:dyDescent="0.3">
      <c r="A12660" s="5" t="s">
        <v>37</v>
      </c>
      <c r="B12660" s="5" t="s">
        <v>212</v>
      </c>
      <c r="C12660" s="5">
        <v>6</v>
      </c>
      <c r="D12660" s="5" t="s">
        <v>153</v>
      </c>
      <c r="E12660" s="5" t="s">
        <v>1256</v>
      </c>
      <c r="F12660" s="5" t="s">
        <v>357</v>
      </c>
      <c r="G12660" s="5" t="s">
        <v>99</v>
      </c>
      <c r="H12660" s="5" t="s">
        <v>99</v>
      </c>
    </row>
    <row r="12661" spans="1:8" s="5" customFormat="1" x14ac:dyDescent="0.3">
      <c r="A12661" s="5" t="s">
        <v>36</v>
      </c>
      <c r="B12661" s="5" t="s">
        <v>210</v>
      </c>
      <c r="C12661" s="5">
        <v>5</v>
      </c>
      <c r="D12661" s="5" t="s">
        <v>520</v>
      </c>
      <c r="E12661" s="5" t="s">
        <v>534</v>
      </c>
      <c r="F12661" s="5" t="s">
        <v>99</v>
      </c>
      <c r="G12661" s="5" t="s">
        <v>154</v>
      </c>
      <c r="H12661" s="5" t="s">
        <v>99</v>
      </c>
    </row>
    <row r="12662" spans="1:8" s="5" customFormat="1" x14ac:dyDescent="0.3">
      <c r="A12662" s="5" t="s">
        <v>36</v>
      </c>
      <c r="B12662" s="5" t="s">
        <v>212</v>
      </c>
      <c r="C12662" s="5">
        <v>14</v>
      </c>
      <c r="D12662" s="5" t="s">
        <v>1186</v>
      </c>
      <c r="E12662" s="5" t="s">
        <v>423</v>
      </c>
      <c r="F12662" s="5" t="s">
        <v>99</v>
      </c>
      <c r="G12662" s="5" t="s">
        <v>99</v>
      </c>
      <c r="H12662" s="5" t="s">
        <v>99</v>
      </c>
    </row>
    <row r="12663" spans="1:8" s="5" customFormat="1" x14ac:dyDescent="0.3">
      <c r="A12663" s="5" t="s">
        <v>36</v>
      </c>
      <c r="B12663" s="5" t="s">
        <v>216</v>
      </c>
      <c r="C12663" s="5">
        <v>9</v>
      </c>
      <c r="D12663" s="5" t="s">
        <v>1151</v>
      </c>
      <c r="E12663" s="5" t="s">
        <v>523</v>
      </c>
      <c r="F12663" s="5" t="s">
        <v>523</v>
      </c>
      <c r="G12663" s="5" t="s">
        <v>108</v>
      </c>
      <c r="H12663" s="5" t="s">
        <v>134</v>
      </c>
    </row>
    <row r="12664" spans="1:8" s="5" customFormat="1" x14ac:dyDescent="0.3">
      <c r="A12664" s="5" t="s">
        <v>34</v>
      </c>
      <c r="B12664" s="5" t="s">
        <v>210</v>
      </c>
      <c r="C12664" s="5">
        <v>6</v>
      </c>
      <c r="D12664" s="5" t="s">
        <v>823</v>
      </c>
      <c r="E12664" s="5" t="s">
        <v>1095</v>
      </c>
      <c r="F12664" s="5" t="s">
        <v>99</v>
      </c>
      <c r="G12664" s="5" t="s">
        <v>99</v>
      </c>
      <c r="H12664" s="5" t="s">
        <v>99</v>
      </c>
    </row>
    <row r="12665" spans="1:8" s="5" customFormat="1" x14ac:dyDescent="0.3">
      <c r="A12665" s="5" t="s">
        <v>34</v>
      </c>
      <c r="B12665" s="5" t="s">
        <v>212</v>
      </c>
      <c r="C12665" s="5">
        <v>11</v>
      </c>
      <c r="D12665" s="5" t="s">
        <v>1006</v>
      </c>
      <c r="E12665" s="5" t="s">
        <v>584</v>
      </c>
      <c r="F12665" s="5" t="s">
        <v>99</v>
      </c>
      <c r="G12665" s="5" t="s">
        <v>99</v>
      </c>
      <c r="H12665" s="5" t="s">
        <v>99</v>
      </c>
    </row>
    <row r="12666" spans="1:8" s="5" customFormat="1" x14ac:dyDescent="0.3">
      <c r="A12666" s="5" t="s">
        <v>34</v>
      </c>
      <c r="B12666" s="5" t="s">
        <v>216</v>
      </c>
      <c r="C12666" s="5">
        <v>4</v>
      </c>
      <c r="D12666" s="5" t="s">
        <v>722</v>
      </c>
      <c r="E12666" s="5" t="s">
        <v>747</v>
      </c>
      <c r="F12666" s="5" t="s">
        <v>575</v>
      </c>
      <c r="G12666" s="5" t="s">
        <v>99</v>
      </c>
      <c r="H12666" s="5" t="s">
        <v>99</v>
      </c>
    </row>
    <row r="12667" spans="1:8" x14ac:dyDescent="0.3">
      <c r="A12667" t="s">
        <v>33</v>
      </c>
      <c r="B12667" t="s">
        <v>365</v>
      </c>
    </row>
    <row r="12668" spans="1:8" s="5" customFormat="1" x14ac:dyDescent="0.3">
      <c r="A12668" s="5" t="s">
        <v>49</v>
      </c>
      <c r="B12668" s="5" t="s">
        <v>210</v>
      </c>
      <c r="C12668" s="5">
        <v>17</v>
      </c>
      <c r="D12668" s="5" t="s">
        <v>563</v>
      </c>
      <c r="E12668" s="5" t="s">
        <v>538</v>
      </c>
      <c r="F12668" s="5" t="s">
        <v>99</v>
      </c>
      <c r="G12668" s="5" t="s">
        <v>132</v>
      </c>
      <c r="H12668" s="5" t="s">
        <v>99</v>
      </c>
    </row>
    <row r="12669" spans="1:8" x14ac:dyDescent="0.3">
      <c r="A12669" t="s">
        <v>49</v>
      </c>
      <c r="B12669" t="s">
        <v>212</v>
      </c>
      <c r="C12669">
        <v>44</v>
      </c>
      <c r="D12669" t="s">
        <v>983</v>
      </c>
      <c r="E12669" t="s">
        <v>62</v>
      </c>
      <c r="F12669" t="s">
        <v>120</v>
      </c>
      <c r="G12669" t="s">
        <v>99</v>
      </c>
      <c r="H12669" t="s">
        <v>99</v>
      </c>
    </row>
    <row r="12670" spans="1:8" s="5" customFormat="1" x14ac:dyDescent="0.3">
      <c r="A12670" s="5" t="s">
        <v>49</v>
      </c>
      <c r="B12670" s="5" t="s">
        <v>216</v>
      </c>
      <c r="C12670" s="5">
        <v>14</v>
      </c>
      <c r="D12670" s="5" t="s">
        <v>489</v>
      </c>
      <c r="E12670" s="5" t="s">
        <v>370</v>
      </c>
      <c r="F12670" s="5" t="s">
        <v>624</v>
      </c>
      <c r="G12670" s="5" t="s">
        <v>136</v>
      </c>
      <c r="H12670" s="5" t="s">
        <v>215</v>
      </c>
    </row>
    <row r="12672" spans="1:8" x14ac:dyDescent="0.3">
      <c r="A12672" t="s">
        <v>2833</v>
      </c>
    </row>
    <row r="12673" spans="1:14" x14ac:dyDescent="0.3">
      <c r="A12673" t="s">
        <v>44</v>
      </c>
      <c r="B12673" t="s">
        <v>32</v>
      </c>
      <c r="C12673" t="s">
        <v>2834</v>
      </c>
      <c r="D12673" t="s">
        <v>2835</v>
      </c>
      <c r="E12673" t="s">
        <v>2836</v>
      </c>
      <c r="F12673" t="s">
        <v>2837</v>
      </c>
      <c r="G12673" t="s">
        <v>2838</v>
      </c>
      <c r="H12673" t="s">
        <v>2839</v>
      </c>
      <c r="I12673" t="s">
        <v>2840</v>
      </c>
      <c r="J12673" t="s">
        <v>2841</v>
      </c>
      <c r="K12673" t="s">
        <v>2842</v>
      </c>
      <c r="L12673" t="s">
        <v>2843</v>
      </c>
      <c r="M12673" t="s">
        <v>193</v>
      </c>
      <c r="N12673" t="s">
        <v>1275</v>
      </c>
    </row>
    <row r="12674" spans="1:14" s="5" customFormat="1" x14ac:dyDescent="0.3">
      <c r="A12674" s="5" t="s">
        <v>35</v>
      </c>
      <c r="B12674" s="5">
        <v>14</v>
      </c>
      <c r="C12674" s="5" t="s">
        <v>824</v>
      </c>
      <c r="D12674" s="5" t="s">
        <v>1325</v>
      </c>
      <c r="E12674" s="5" t="s">
        <v>246</v>
      </c>
      <c r="F12674" s="5" t="s">
        <v>99</v>
      </c>
      <c r="G12674" s="5" t="s">
        <v>712</v>
      </c>
      <c r="H12674" s="5" t="s">
        <v>163</v>
      </c>
      <c r="I12674" s="5" t="s">
        <v>99</v>
      </c>
      <c r="J12674" s="5" t="s">
        <v>99</v>
      </c>
      <c r="K12674" s="5" t="s">
        <v>99</v>
      </c>
      <c r="L12674" s="5" t="s">
        <v>103</v>
      </c>
      <c r="M12674" s="5" t="s">
        <v>99</v>
      </c>
      <c r="N12674" s="5" t="s">
        <v>99</v>
      </c>
    </row>
    <row r="12675" spans="1:14" s="5" customFormat="1" x14ac:dyDescent="0.3">
      <c r="A12675" s="5" t="s">
        <v>37</v>
      </c>
      <c r="B12675" s="5">
        <v>6</v>
      </c>
      <c r="C12675" s="5" t="s">
        <v>211</v>
      </c>
      <c r="D12675" s="5" t="s">
        <v>1186</v>
      </c>
      <c r="E12675" s="5" t="s">
        <v>393</v>
      </c>
      <c r="F12675" s="5" t="s">
        <v>99</v>
      </c>
      <c r="G12675" s="5" t="s">
        <v>423</v>
      </c>
      <c r="H12675" s="5" t="s">
        <v>267</v>
      </c>
      <c r="I12675" s="5" t="s">
        <v>99</v>
      </c>
      <c r="J12675" s="5" t="s">
        <v>99</v>
      </c>
      <c r="K12675" s="5" t="s">
        <v>99</v>
      </c>
      <c r="L12675" s="5" t="s">
        <v>99</v>
      </c>
      <c r="M12675" s="5" t="s">
        <v>99</v>
      </c>
      <c r="N12675" s="5" t="s">
        <v>99</v>
      </c>
    </row>
    <row r="12676" spans="1:14" x14ac:dyDescent="0.3">
      <c r="A12676" t="s">
        <v>36</v>
      </c>
      <c r="B12676">
        <v>54</v>
      </c>
      <c r="C12676" t="s">
        <v>514</v>
      </c>
      <c r="D12676" t="s">
        <v>829</v>
      </c>
      <c r="E12676" t="s">
        <v>929</v>
      </c>
      <c r="F12676" t="s">
        <v>100</v>
      </c>
      <c r="G12676" t="s">
        <v>699</v>
      </c>
      <c r="H12676" t="s">
        <v>177</v>
      </c>
      <c r="I12676" t="s">
        <v>542</v>
      </c>
      <c r="J12676" t="s">
        <v>726</v>
      </c>
      <c r="K12676" t="s">
        <v>186</v>
      </c>
      <c r="L12676" t="s">
        <v>112</v>
      </c>
      <c r="M12676" t="s">
        <v>99</v>
      </c>
      <c r="N12676" t="s">
        <v>99</v>
      </c>
    </row>
    <row r="12677" spans="1:14" x14ac:dyDescent="0.3">
      <c r="A12677" t="s">
        <v>34</v>
      </c>
      <c r="B12677">
        <v>35</v>
      </c>
      <c r="C12677" t="s">
        <v>1066</v>
      </c>
      <c r="D12677" t="s">
        <v>240</v>
      </c>
      <c r="E12677" t="s">
        <v>175</v>
      </c>
      <c r="F12677" t="s">
        <v>128</v>
      </c>
      <c r="G12677" t="s">
        <v>699</v>
      </c>
      <c r="H12677" t="s">
        <v>128</v>
      </c>
      <c r="I12677" t="s">
        <v>128</v>
      </c>
      <c r="J12677" t="s">
        <v>700</v>
      </c>
      <c r="K12677" t="s">
        <v>128</v>
      </c>
      <c r="L12677" t="s">
        <v>804</v>
      </c>
      <c r="M12677" t="s">
        <v>128</v>
      </c>
      <c r="N12677" t="s">
        <v>99</v>
      </c>
    </row>
    <row r="12678" spans="1:14" x14ac:dyDescent="0.3">
      <c r="A12678" t="s">
        <v>33</v>
      </c>
    </row>
    <row r="12679" spans="1:14" x14ac:dyDescent="0.3">
      <c r="A12679" t="s">
        <v>49</v>
      </c>
      <c r="B12679">
        <v>109</v>
      </c>
      <c r="C12679" t="s">
        <v>951</v>
      </c>
      <c r="D12679" t="s">
        <v>551</v>
      </c>
      <c r="E12679" t="s">
        <v>864</v>
      </c>
      <c r="F12679" t="s">
        <v>101</v>
      </c>
      <c r="G12679" t="s">
        <v>741</v>
      </c>
      <c r="H12679" t="s">
        <v>182</v>
      </c>
      <c r="I12679" t="s">
        <v>149</v>
      </c>
      <c r="J12679" t="s">
        <v>369</v>
      </c>
      <c r="K12679" t="s">
        <v>139</v>
      </c>
      <c r="L12679" t="s">
        <v>325</v>
      </c>
      <c r="M12679" t="s">
        <v>100</v>
      </c>
      <c r="N12679" t="s">
        <v>99</v>
      </c>
    </row>
    <row r="12681" spans="1:14" x14ac:dyDescent="0.3">
      <c r="A12681" t="s">
        <v>2844</v>
      </c>
    </row>
    <row r="12682" spans="1:14" x14ac:dyDescent="0.3">
      <c r="A12682" t="s">
        <v>44</v>
      </c>
      <c r="B12682" t="s">
        <v>32</v>
      </c>
      <c r="C12682" t="s">
        <v>2834</v>
      </c>
      <c r="D12682" t="s">
        <v>2835</v>
      </c>
      <c r="E12682" t="s">
        <v>2836</v>
      </c>
      <c r="F12682" t="s">
        <v>2837</v>
      </c>
      <c r="G12682" t="s">
        <v>2838</v>
      </c>
      <c r="H12682" t="s">
        <v>2839</v>
      </c>
      <c r="I12682" t="s">
        <v>2840</v>
      </c>
      <c r="J12682" t="s">
        <v>2841</v>
      </c>
      <c r="K12682" t="s">
        <v>2842</v>
      </c>
      <c r="L12682" t="s">
        <v>2843</v>
      </c>
      <c r="M12682" t="s">
        <v>193</v>
      </c>
      <c r="N12682" t="s">
        <v>1275</v>
      </c>
    </row>
    <row r="12683" spans="1:14" x14ac:dyDescent="0.3">
      <c r="A12683" t="s">
        <v>35</v>
      </c>
    </row>
    <row r="12684" spans="1:14" x14ac:dyDescent="0.3">
      <c r="A12684" t="s">
        <v>37</v>
      </c>
    </row>
    <row r="12685" spans="1:14" s="5" customFormat="1" x14ac:dyDescent="0.3">
      <c r="A12685" s="5" t="s">
        <v>36</v>
      </c>
      <c r="B12685" s="5">
        <v>5</v>
      </c>
      <c r="C12685" s="5" t="s">
        <v>960</v>
      </c>
      <c r="D12685" s="5" t="s">
        <v>1065</v>
      </c>
      <c r="E12685" s="5" t="s">
        <v>99</v>
      </c>
      <c r="F12685" s="5" t="s">
        <v>99</v>
      </c>
      <c r="G12685" s="5" t="s">
        <v>99</v>
      </c>
      <c r="H12685" s="5" t="s">
        <v>382</v>
      </c>
      <c r="I12685" s="5" t="s">
        <v>960</v>
      </c>
      <c r="J12685" s="5" t="s">
        <v>99</v>
      </c>
      <c r="K12685" s="5" t="s">
        <v>99</v>
      </c>
      <c r="L12685" s="5" t="s">
        <v>960</v>
      </c>
      <c r="M12685" s="5" t="s">
        <v>99</v>
      </c>
      <c r="N12685" s="5" t="s">
        <v>99</v>
      </c>
    </row>
    <row r="12686" spans="1:14" s="5" customFormat="1" x14ac:dyDescent="0.3">
      <c r="A12686" s="5" t="s">
        <v>34</v>
      </c>
      <c r="B12686" s="5">
        <v>1</v>
      </c>
      <c r="C12686" s="5" t="s">
        <v>99</v>
      </c>
      <c r="D12686" s="5" t="s">
        <v>211</v>
      </c>
      <c r="E12686" s="5" t="s">
        <v>99</v>
      </c>
      <c r="F12686" s="5" t="s">
        <v>99</v>
      </c>
      <c r="G12686" s="5" t="s">
        <v>99</v>
      </c>
      <c r="H12686" s="5" t="s">
        <v>99</v>
      </c>
      <c r="I12686" s="5" t="s">
        <v>99</v>
      </c>
      <c r="J12686" s="5" t="s">
        <v>99</v>
      </c>
      <c r="K12686" s="5" t="s">
        <v>99</v>
      </c>
      <c r="L12686" s="5" t="s">
        <v>99</v>
      </c>
      <c r="M12686" s="5" t="s">
        <v>99</v>
      </c>
      <c r="N12686" s="5" t="s">
        <v>99</v>
      </c>
    </row>
    <row r="12687" spans="1:14" x14ac:dyDescent="0.3">
      <c r="A12687" t="s">
        <v>33</v>
      </c>
    </row>
    <row r="12688" spans="1:14" s="5" customFormat="1" x14ac:dyDescent="0.3">
      <c r="A12688" s="5" t="s">
        <v>49</v>
      </c>
      <c r="B12688" s="5">
        <v>6</v>
      </c>
      <c r="C12688" s="5" t="s">
        <v>347</v>
      </c>
      <c r="D12688" s="5" t="s">
        <v>348</v>
      </c>
      <c r="E12688" s="5" t="s">
        <v>99</v>
      </c>
      <c r="F12688" s="5" t="s">
        <v>99</v>
      </c>
      <c r="G12688" s="5" t="s">
        <v>99</v>
      </c>
      <c r="H12688" s="5" t="s">
        <v>319</v>
      </c>
      <c r="I12688" s="5" t="s">
        <v>347</v>
      </c>
      <c r="J12688" s="5" t="s">
        <v>99</v>
      </c>
      <c r="K12688" s="5" t="s">
        <v>99</v>
      </c>
      <c r="L12688" s="5" t="s">
        <v>347</v>
      </c>
      <c r="M12688" s="5" t="s">
        <v>99</v>
      </c>
      <c r="N12688" s="5" t="s">
        <v>99</v>
      </c>
    </row>
    <row r="12690" spans="1:14" x14ac:dyDescent="0.3">
      <c r="A12690" t="s">
        <v>2845</v>
      </c>
    </row>
    <row r="12691" spans="1:14" x14ac:dyDescent="0.3">
      <c r="A12691" t="s">
        <v>44</v>
      </c>
      <c r="B12691" t="s">
        <v>32</v>
      </c>
      <c r="C12691" t="s">
        <v>2834</v>
      </c>
      <c r="D12691" t="s">
        <v>2835</v>
      </c>
      <c r="E12691" t="s">
        <v>2836</v>
      </c>
      <c r="F12691" t="s">
        <v>2837</v>
      </c>
      <c r="G12691" t="s">
        <v>2838</v>
      </c>
      <c r="H12691" t="s">
        <v>2839</v>
      </c>
      <c r="I12691" t="s">
        <v>2840</v>
      </c>
      <c r="J12691" t="s">
        <v>2841</v>
      </c>
      <c r="K12691" t="s">
        <v>2842</v>
      </c>
      <c r="L12691" t="s">
        <v>2843</v>
      </c>
      <c r="M12691" t="s">
        <v>193</v>
      </c>
      <c r="N12691" t="s">
        <v>1275</v>
      </c>
    </row>
    <row r="12692" spans="1:14" s="5" customFormat="1" x14ac:dyDescent="0.3">
      <c r="A12692" s="5" t="s">
        <v>35</v>
      </c>
      <c r="B12692" s="5">
        <v>2</v>
      </c>
      <c r="C12692" s="5" t="s">
        <v>99</v>
      </c>
      <c r="D12692" s="5" t="s">
        <v>99</v>
      </c>
      <c r="E12692" s="5" t="s">
        <v>99</v>
      </c>
      <c r="F12692" s="5" t="s">
        <v>99</v>
      </c>
      <c r="G12692" s="5" t="s">
        <v>211</v>
      </c>
      <c r="H12692" s="5" t="s">
        <v>99</v>
      </c>
      <c r="I12692" s="5" t="s">
        <v>99</v>
      </c>
      <c r="J12692" s="5" t="s">
        <v>99</v>
      </c>
      <c r="K12692" s="5" t="s">
        <v>99</v>
      </c>
      <c r="L12692" s="5" t="s">
        <v>99</v>
      </c>
      <c r="M12692" s="5" t="s">
        <v>99</v>
      </c>
      <c r="N12692" s="5" t="s">
        <v>99</v>
      </c>
    </row>
    <row r="12693" spans="1:14" x14ac:dyDescent="0.3">
      <c r="A12693" t="s">
        <v>37</v>
      </c>
    </row>
    <row r="12694" spans="1:14" x14ac:dyDescent="0.3">
      <c r="A12694" t="s">
        <v>36</v>
      </c>
    </row>
    <row r="12695" spans="1:14" s="5" customFormat="1" x14ac:dyDescent="0.3">
      <c r="A12695" s="5" t="s">
        <v>34</v>
      </c>
      <c r="B12695" s="5">
        <v>3</v>
      </c>
      <c r="C12695" s="5" t="s">
        <v>614</v>
      </c>
      <c r="D12695" s="5" t="s">
        <v>99</v>
      </c>
      <c r="E12695" s="5" t="s">
        <v>99</v>
      </c>
      <c r="F12695" s="5" t="s">
        <v>99</v>
      </c>
      <c r="G12695" s="5" t="s">
        <v>556</v>
      </c>
      <c r="H12695" s="5" t="s">
        <v>99</v>
      </c>
      <c r="I12695" s="5" t="s">
        <v>99</v>
      </c>
      <c r="J12695" s="5" t="s">
        <v>99</v>
      </c>
      <c r="K12695" s="5" t="s">
        <v>99</v>
      </c>
      <c r="L12695" s="5" t="s">
        <v>99</v>
      </c>
      <c r="M12695" s="5" t="s">
        <v>99</v>
      </c>
      <c r="N12695" s="5" t="s">
        <v>99</v>
      </c>
    </row>
    <row r="12696" spans="1:14" x14ac:dyDescent="0.3">
      <c r="A12696" t="s">
        <v>33</v>
      </c>
    </row>
    <row r="12697" spans="1:14" s="5" customFormat="1" x14ac:dyDescent="0.3">
      <c r="A12697" s="5" t="s">
        <v>49</v>
      </c>
      <c r="B12697" s="5">
        <v>5</v>
      </c>
      <c r="C12697" s="5" t="s">
        <v>729</v>
      </c>
      <c r="D12697" s="5" t="s">
        <v>99</v>
      </c>
      <c r="E12697" s="5" t="s">
        <v>99</v>
      </c>
      <c r="F12697" s="5" t="s">
        <v>99</v>
      </c>
      <c r="G12697" s="5" t="s">
        <v>1160</v>
      </c>
      <c r="H12697" s="5" t="s">
        <v>99</v>
      </c>
      <c r="I12697" s="5" t="s">
        <v>99</v>
      </c>
      <c r="J12697" s="5" t="s">
        <v>99</v>
      </c>
      <c r="K12697" s="5" t="s">
        <v>99</v>
      </c>
      <c r="L12697" s="5" t="s">
        <v>99</v>
      </c>
      <c r="M12697" s="5" t="s">
        <v>99</v>
      </c>
      <c r="N12697" s="5" t="s">
        <v>99</v>
      </c>
    </row>
    <row r="12699" spans="1:14" x14ac:dyDescent="0.3">
      <c r="A12699" t="s">
        <v>2846</v>
      </c>
    </row>
    <row r="12700" spans="1:14" x14ac:dyDescent="0.3">
      <c r="A12700" t="s">
        <v>44</v>
      </c>
      <c r="B12700" t="s">
        <v>32</v>
      </c>
      <c r="C12700" t="s">
        <v>2834</v>
      </c>
      <c r="D12700" t="s">
        <v>2835</v>
      </c>
      <c r="E12700" t="s">
        <v>2836</v>
      </c>
      <c r="F12700" t="s">
        <v>2837</v>
      </c>
      <c r="G12700" t="s">
        <v>2838</v>
      </c>
      <c r="H12700" t="s">
        <v>2839</v>
      </c>
      <c r="I12700" t="s">
        <v>2840</v>
      </c>
      <c r="J12700" t="s">
        <v>2841</v>
      </c>
      <c r="K12700" t="s">
        <v>2842</v>
      </c>
      <c r="L12700" t="s">
        <v>2843</v>
      </c>
      <c r="M12700" t="s">
        <v>193</v>
      </c>
      <c r="N12700" t="s">
        <v>1275</v>
      </c>
    </row>
    <row r="12701" spans="1:14" s="5" customFormat="1" x14ac:dyDescent="0.3">
      <c r="A12701" s="5" t="s">
        <v>35</v>
      </c>
      <c r="B12701" s="5">
        <v>2</v>
      </c>
      <c r="C12701" s="5" t="s">
        <v>639</v>
      </c>
      <c r="D12701" s="5" t="s">
        <v>638</v>
      </c>
      <c r="E12701" s="5" t="s">
        <v>99</v>
      </c>
      <c r="F12701" s="5" t="s">
        <v>99</v>
      </c>
      <c r="G12701" s="5" t="s">
        <v>638</v>
      </c>
      <c r="H12701" s="5" t="s">
        <v>99</v>
      </c>
      <c r="I12701" s="5" t="s">
        <v>99</v>
      </c>
      <c r="J12701" s="5" t="s">
        <v>99</v>
      </c>
      <c r="K12701" s="5" t="s">
        <v>99</v>
      </c>
      <c r="L12701" s="5" t="s">
        <v>99</v>
      </c>
      <c r="M12701" s="5" t="s">
        <v>99</v>
      </c>
      <c r="N12701" s="5" t="s">
        <v>99</v>
      </c>
    </row>
    <row r="12702" spans="1:14" x14ac:dyDescent="0.3">
      <c r="A12702" t="s">
        <v>37</v>
      </c>
    </row>
    <row r="12703" spans="1:14" s="5" customFormat="1" x14ac:dyDescent="0.3">
      <c r="A12703" s="5" t="s">
        <v>36</v>
      </c>
      <c r="B12703" s="5">
        <v>3</v>
      </c>
      <c r="C12703" s="5" t="s">
        <v>99</v>
      </c>
      <c r="D12703" s="5" t="s">
        <v>211</v>
      </c>
      <c r="E12703" s="5" t="s">
        <v>1065</v>
      </c>
      <c r="F12703" s="5" t="s">
        <v>99</v>
      </c>
      <c r="G12703" s="5" t="s">
        <v>99</v>
      </c>
      <c r="H12703" s="5" t="s">
        <v>99</v>
      </c>
      <c r="I12703" s="5" t="s">
        <v>99</v>
      </c>
      <c r="J12703" s="5" t="s">
        <v>99</v>
      </c>
      <c r="K12703" s="5" t="s">
        <v>99</v>
      </c>
      <c r="L12703" s="5" t="s">
        <v>99</v>
      </c>
      <c r="M12703" s="5" t="s">
        <v>99</v>
      </c>
      <c r="N12703" s="5" t="s">
        <v>99</v>
      </c>
    </row>
    <row r="12704" spans="1:14" s="5" customFormat="1" x14ac:dyDescent="0.3">
      <c r="A12704" s="5" t="s">
        <v>34</v>
      </c>
      <c r="B12704" s="5">
        <v>3</v>
      </c>
      <c r="C12704" s="5" t="s">
        <v>99</v>
      </c>
      <c r="D12704" s="5" t="s">
        <v>1331</v>
      </c>
      <c r="E12704" s="5" t="s">
        <v>99</v>
      </c>
      <c r="F12704" s="5" t="s">
        <v>99</v>
      </c>
      <c r="G12704" s="5" t="s">
        <v>99</v>
      </c>
      <c r="H12704" s="5" t="s">
        <v>99</v>
      </c>
      <c r="I12704" s="5" t="s">
        <v>99</v>
      </c>
      <c r="J12704" s="5" t="s">
        <v>99</v>
      </c>
      <c r="K12704" s="5" t="s">
        <v>99</v>
      </c>
      <c r="L12704" s="5" t="s">
        <v>99</v>
      </c>
      <c r="M12704" s="5" t="s">
        <v>99</v>
      </c>
      <c r="N12704" s="5" t="s">
        <v>669</v>
      </c>
    </row>
    <row r="12705" spans="1:14" x14ac:dyDescent="0.3">
      <c r="A12705" t="s">
        <v>33</v>
      </c>
    </row>
    <row r="12706" spans="1:14" s="5" customFormat="1" x14ac:dyDescent="0.3">
      <c r="A12706" s="5" t="s">
        <v>49</v>
      </c>
      <c r="B12706" s="5">
        <v>8</v>
      </c>
      <c r="C12706" s="5" t="s">
        <v>373</v>
      </c>
      <c r="D12706" s="5" t="s">
        <v>507</v>
      </c>
      <c r="E12706" s="5" t="s">
        <v>111</v>
      </c>
      <c r="F12706" s="5" t="s">
        <v>99</v>
      </c>
      <c r="G12706" s="5" t="s">
        <v>708</v>
      </c>
      <c r="H12706" s="5" t="s">
        <v>99</v>
      </c>
      <c r="I12706" s="5" t="s">
        <v>99</v>
      </c>
      <c r="J12706" s="5" t="s">
        <v>99</v>
      </c>
      <c r="K12706" s="5" t="s">
        <v>99</v>
      </c>
      <c r="L12706" s="5" t="s">
        <v>99</v>
      </c>
      <c r="M12706" s="5" t="s">
        <v>99</v>
      </c>
      <c r="N12706" s="5" t="s">
        <v>517</v>
      </c>
    </row>
    <row r="12708" spans="1:14" x14ac:dyDescent="0.3">
      <c r="A12708" t="s">
        <v>2847</v>
      </c>
    </row>
    <row r="12709" spans="1:14" x14ac:dyDescent="0.3">
      <c r="A12709" t="s">
        <v>44</v>
      </c>
      <c r="B12709" t="s">
        <v>32</v>
      </c>
      <c r="C12709" t="s">
        <v>2834</v>
      </c>
      <c r="D12709" t="s">
        <v>2835</v>
      </c>
      <c r="E12709" t="s">
        <v>2836</v>
      </c>
      <c r="F12709" t="s">
        <v>2837</v>
      </c>
      <c r="G12709" t="s">
        <v>2838</v>
      </c>
      <c r="H12709" t="s">
        <v>2839</v>
      </c>
      <c r="I12709" t="s">
        <v>2840</v>
      </c>
      <c r="J12709" t="s">
        <v>2841</v>
      </c>
      <c r="K12709" t="s">
        <v>2842</v>
      </c>
      <c r="L12709" t="s">
        <v>2843</v>
      </c>
      <c r="M12709" t="s">
        <v>193</v>
      </c>
      <c r="N12709" t="s">
        <v>1275</v>
      </c>
    </row>
    <row r="12710" spans="1:14" x14ac:dyDescent="0.3">
      <c r="A12710" t="s">
        <v>35</v>
      </c>
    </row>
    <row r="12711" spans="1:14" s="5" customFormat="1" x14ac:dyDescent="0.3">
      <c r="A12711" s="5" t="s">
        <v>37</v>
      </c>
      <c r="B12711" s="5">
        <v>2</v>
      </c>
      <c r="C12711" s="5" t="s">
        <v>1159</v>
      </c>
      <c r="D12711" s="5" t="s">
        <v>99</v>
      </c>
      <c r="E12711" s="5" t="s">
        <v>99</v>
      </c>
      <c r="F12711" s="5" t="s">
        <v>1497</v>
      </c>
      <c r="G12711" s="5" t="s">
        <v>1497</v>
      </c>
      <c r="H12711" s="5" t="s">
        <v>99</v>
      </c>
      <c r="I12711" s="5" t="s">
        <v>99</v>
      </c>
      <c r="J12711" s="5" t="s">
        <v>99</v>
      </c>
      <c r="K12711" s="5" t="s">
        <v>99</v>
      </c>
      <c r="L12711" s="5" t="s">
        <v>99</v>
      </c>
      <c r="M12711" s="5" t="s">
        <v>99</v>
      </c>
      <c r="N12711" s="5" t="s">
        <v>99</v>
      </c>
    </row>
    <row r="12712" spans="1:14" x14ac:dyDescent="0.3">
      <c r="A12712" t="s">
        <v>36</v>
      </c>
    </row>
    <row r="12713" spans="1:14" x14ac:dyDescent="0.3">
      <c r="A12713" t="s">
        <v>34</v>
      </c>
    </row>
    <row r="12714" spans="1:14" s="5" customFormat="1" x14ac:dyDescent="0.3">
      <c r="A12714" s="5" t="s">
        <v>33</v>
      </c>
      <c r="B12714" s="5">
        <v>1</v>
      </c>
      <c r="C12714" s="5" t="s">
        <v>211</v>
      </c>
      <c r="D12714" s="5" t="s">
        <v>99</v>
      </c>
      <c r="E12714" s="5" t="s">
        <v>99</v>
      </c>
      <c r="F12714" s="5" t="s">
        <v>99</v>
      </c>
      <c r="G12714" s="5" t="s">
        <v>211</v>
      </c>
      <c r="H12714" s="5" t="s">
        <v>99</v>
      </c>
      <c r="I12714" s="5" t="s">
        <v>99</v>
      </c>
      <c r="J12714" s="5" t="s">
        <v>99</v>
      </c>
      <c r="K12714" s="5" t="s">
        <v>99</v>
      </c>
      <c r="L12714" s="5" t="s">
        <v>99</v>
      </c>
      <c r="M12714" s="5" t="s">
        <v>99</v>
      </c>
      <c r="N12714" s="5" t="s">
        <v>99</v>
      </c>
    </row>
    <row r="12715" spans="1:14" s="5" customFormat="1" x14ac:dyDescent="0.3">
      <c r="A12715" s="5" t="s">
        <v>49</v>
      </c>
      <c r="B12715" s="5">
        <v>3</v>
      </c>
      <c r="C12715" s="5" t="s">
        <v>428</v>
      </c>
      <c r="D12715" s="5" t="s">
        <v>99</v>
      </c>
      <c r="E12715" s="5" t="s">
        <v>99</v>
      </c>
      <c r="F12715" s="5" t="s">
        <v>429</v>
      </c>
      <c r="G12715" s="5" t="s">
        <v>245</v>
      </c>
      <c r="H12715" s="5" t="s">
        <v>99</v>
      </c>
      <c r="I12715" s="5" t="s">
        <v>99</v>
      </c>
      <c r="J12715" s="5" t="s">
        <v>99</v>
      </c>
      <c r="K12715" s="5" t="s">
        <v>99</v>
      </c>
      <c r="L12715" s="5" t="s">
        <v>99</v>
      </c>
      <c r="M12715" s="5" t="s">
        <v>99</v>
      </c>
      <c r="N12715" s="5" t="s">
        <v>99</v>
      </c>
    </row>
    <row r="12717" spans="1:14" x14ac:dyDescent="0.3">
      <c r="A12717" t="s">
        <v>2848</v>
      </c>
    </row>
    <row r="12718" spans="1:14" x14ac:dyDescent="0.3">
      <c r="A12718" t="s">
        <v>44</v>
      </c>
      <c r="B12718" t="s">
        <v>32</v>
      </c>
      <c r="C12718" t="s">
        <v>2834</v>
      </c>
      <c r="D12718" t="s">
        <v>2835</v>
      </c>
      <c r="E12718" t="s">
        <v>2836</v>
      </c>
      <c r="F12718" t="s">
        <v>2837</v>
      </c>
      <c r="G12718" t="s">
        <v>2838</v>
      </c>
      <c r="H12718" t="s">
        <v>2839</v>
      </c>
      <c r="I12718" t="s">
        <v>2840</v>
      </c>
      <c r="J12718" t="s">
        <v>2841</v>
      </c>
      <c r="K12718" t="s">
        <v>2842</v>
      </c>
      <c r="L12718" t="s">
        <v>2843</v>
      </c>
      <c r="M12718" t="s">
        <v>193</v>
      </c>
      <c r="N12718" t="s">
        <v>1275</v>
      </c>
    </row>
    <row r="12719" spans="1:14" s="5" customFormat="1" x14ac:dyDescent="0.3">
      <c r="A12719" s="5" t="s">
        <v>35</v>
      </c>
      <c r="B12719" s="5">
        <v>4</v>
      </c>
      <c r="C12719" s="5" t="s">
        <v>99</v>
      </c>
      <c r="D12719" s="5" t="s">
        <v>391</v>
      </c>
      <c r="E12719" s="5" t="s">
        <v>99</v>
      </c>
      <c r="F12719" s="5" t="s">
        <v>675</v>
      </c>
      <c r="G12719" s="5" t="s">
        <v>99</v>
      </c>
      <c r="H12719" s="5" t="s">
        <v>99</v>
      </c>
      <c r="I12719" s="5" t="s">
        <v>99</v>
      </c>
      <c r="J12719" s="5" t="s">
        <v>99</v>
      </c>
      <c r="K12719" s="5" t="s">
        <v>99</v>
      </c>
      <c r="L12719" s="5" t="s">
        <v>675</v>
      </c>
      <c r="M12719" s="5" t="s">
        <v>99</v>
      </c>
      <c r="N12719" s="5" t="s">
        <v>99</v>
      </c>
    </row>
    <row r="12720" spans="1:14" x14ac:dyDescent="0.3">
      <c r="A12720" t="s">
        <v>37</v>
      </c>
    </row>
    <row r="12721" spans="1:15" s="5" customFormat="1" x14ac:dyDescent="0.3">
      <c r="A12721" s="5" t="s">
        <v>36</v>
      </c>
      <c r="B12721" s="5">
        <v>8</v>
      </c>
      <c r="C12721" s="5" t="s">
        <v>99</v>
      </c>
      <c r="D12721" s="5" t="s">
        <v>815</v>
      </c>
      <c r="E12721" s="5" t="s">
        <v>1341</v>
      </c>
      <c r="F12721" s="5" t="s">
        <v>633</v>
      </c>
      <c r="G12721" s="5" t="s">
        <v>99</v>
      </c>
      <c r="H12721" s="5" t="s">
        <v>99</v>
      </c>
      <c r="I12721" s="5" t="s">
        <v>99</v>
      </c>
      <c r="J12721" s="5" t="s">
        <v>115</v>
      </c>
      <c r="K12721" s="5" t="s">
        <v>318</v>
      </c>
      <c r="L12721" s="5" t="s">
        <v>99</v>
      </c>
      <c r="M12721" s="5" t="s">
        <v>99</v>
      </c>
      <c r="N12721" s="5" t="s">
        <v>99</v>
      </c>
    </row>
    <row r="12722" spans="1:15" s="5" customFormat="1" x14ac:dyDescent="0.3">
      <c r="A12722" s="5" t="s">
        <v>34</v>
      </c>
      <c r="B12722" s="5">
        <v>5</v>
      </c>
      <c r="C12722" s="5" t="s">
        <v>99</v>
      </c>
      <c r="D12722" s="5" t="s">
        <v>211</v>
      </c>
      <c r="E12722" s="5" t="s">
        <v>99</v>
      </c>
      <c r="F12722" s="5" t="s">
        <v>99</v>
      </c>
      <c r="G12722" s="5" t="s">
        <v>99</v>
      </c>
      <c r="H12722" s="5" t="s">
        <v>99</v>
      </c>
      <c r="I12722" s="5" t="s">
        <v>99</v>
      </c>
      <c r="J12722" s="5" t="s">
        <v>99</v>
      </c>
      <c r="K12722" s="5" t="s">
        <v>99</v>
      </c>
      <c r="L12722" s="5" t="s">
        <v>99</v>
      </c>
      <c r="M12722" s="5" t="s">
        <v>99</v>
      </c>
      <c r="N12722" s="5" t="s">
        <v>99</v>
      </c>
    </row>
    <row r="12723" spans="1:15" s="5" customFormat="1" x14ac:dyDescent="0.3">
      <c r="A12723" s="5" t="s">
        <v>33</v>
      </c>
      <c r="B12723" s="5">
        <v>1</v>
      </c>
      <c r="C12723" s="5" t="s">
        <v>99</v>
      </c>
      <c r="D12723" s="5" t="s">
        <v>211</v>
      </c>
      <c r="E12723" s="5" t="s">
        <v>99</v>
      </c>
      <c r="F12723" s="5" t="s">
        <v>99</v>
      </c>
      <c r="G12723" s="5" t="s">
        <v>99</v>
      </c>
      <c r="H12723" s="5" t="s">
        <v>99</v>
      </c>
      <c r="I12723" s="5" t="s">
        <v>99</v>
      </c>
      <c r="J12723" s="5" t="s">
        <v>99</v>
      </c>
      <c r="K12723" s="5" t="s">
        <v>99</v>
      </c>
      <c r="L12723" s="5" t="s">
        <v>99</v>
      </c>
      <c r="M12723" s="5" t="s">
        <v>99</v>
      </c>
      <c r="N12723" s="5" t="s">
        <v>99</v>
      </c>
    </row>
    <row r="12724" spans="1:15" s="5" customFormat="1" x14ac:dyDescent="0.3">
      <c r="A12724" s="5" t="s">
        <v>49</v>
      </c>
      <c r="B12724" s="5">
        <v>18</v>
      </c>
      <c r="C12724" s="5" t="s">
        <v>99</v>
      </c>
      <c r="D12724" s="5" t="s">
        <v>166</v>
      </c>
      <c r="E12724" s="5" t="s">
        <v>746</v>
      </c>
      <c r="F12724" s="5" t="s">
        <v>368</v>
      </c>
      <c r="G12724" s="5" t="s">
        <v>99</v>
      </c>
      <c r="H12724" s="5" t="s">
        <v>99</v>
      </c>
      <c r="I12724" s="5" t="s">
        <v>99</v>
      </c>
      <c r="J12724" s="5" t="s">
        <v>104</v>
      </c>
      <c r="K12724" s="5" t="s">
        <v>147</v>
      </c>
      <c r="L12724" s="5" t="s">
        <v>332</v>
      </c>
      <c r="M12724" s="5" t="s">
        <v>99</v>
      </c>
      <c r="N12724" s="5" t="s">
        <v>99</v>
      </c>
    </row>
    <row r="12726" spans="1:15" x14ac:dyDescent="0.3">
      <c r="A12726" t="s">
        <v>2849</v>
      </c>
    </row>
    <row r="12727" spans="1:15" x14ac:dyDescent="0.3">
      <c r="A12727" t="s">
        <v>44</v>
      </c>
      <c r="B12727" t="s">
        <v>32</v>
      </c>
      <c r="C12727" t="s">
        <v>2834</v>
      </c>
      <c r="D12727" t="s">
        <v>2835</v>
      </c>
      <c r="E12727" t="s">
        <v>2836</v>
      </c>
      <c r="F12727" t="s">
        <v>2837</v>
      </c>
      <c r="G12727" t="s">
        <v>2838</v>
      </c>
      <c r="H12727" t="s">
        <v>2839</v>
      </c>
      <c r="I12727" t="s">
        <v>2840</v>
      </c>
      <c r="J12727" t="s">
        <v>2841</v>
      </c>
      <c r="K12727" t="s">
        <v>2842</v>
      </c>
      <c r="L12727" t="s">
        <v>2843</v>
      </c>
      <c r="M12727" t="s">
        <v>193</v>
      </c>
      <c r="N12727" t="s">
        <v>1275</v>
      </c>
    </row>
    <row r="12728" spans="1:15" x14ac:dyDescent="0.3">
      <c r="A12728" t="s">
        <v>35</v>
      </c>
    </row>
    <row r="12729" spans="1:15" x14ac:dyDescent="0.3">
      <c r="A12729" t="s">
        <v>37</v>
      </c>
    </row>
    <row r="12730" spans="1:15" s="5" customFormat="1" x14ac:dyDescent="0.3">
      <c r="A12730" s="5" t="s">
        <v>36</v>
      </c>
      <c r="B12730" s="5">
        <v>3</v>
      </c>
      <c r="C12730" s="5" t="s">
        <v>62</v>
      </c>
      <c r="D12730" s="5" t="s">
        <v>294</v>
      </c>
      <c r="E12730" s="5" t="s">
        <v>99</v>
      </c>
      <c r="F12730" s="5" t="s">
        <v>99</v>
      </c>
      <c r="G12730" s="5" t="s">
        <v>99</v>
      </c>
      <c r="H12730" s="5" t="s">
        <v>1143</v>
      </c>
      <c r="I12730" s="5" t="s">
        <v>99</v>
      </c>
      <c r="J12730" s="5" t="s">
        <v>99</v>
      </c>
      <c r="K12730" s="5" t="s">
        <v>99</v>
      </c>
      <c r="L12730" s="5" t="s">
        <v>99</v>
      </c>
      <c r="M12730" s="5" t="s">
        <v>99</v>
      </c>
      <c r="N12730" s="5" t="s">
        <v>99</v>
      </c>
    </row>
    <row r="12731" spans="1:15" x14ac:dyDescent="0.3">
      <c r="A12731" t="s">
        <v>34</v>
      </c>
    </row>
    <row r="12732" spans="1:15" x14ac:dyDescent="0.3">
      <c r="A12732" t="s">
        <v>33</v>
      </c>
    </row>
    <row r="12733" spans="1:15" s="5" customFormat="1" x14ac:dyDescent="0.3">
      <c r="A12733" s="5" t="s">
        <v>49</v>
      </c>
      <c r="B12733" s="5">
        <v>3</v>
      </c>
      <c r="C12733" s="5" t="s">
        <v>62</v>
      </c>
      <c r="D12733" s="5" t="s">
        <v>294</v>
      </c>
      <c r="E12733" s="5" t="s">
        <v>99</v>
      </c>
      <c r="F12733" s="5" t="s">
        <v>99</v>
      </c>
      <c r="G12733" s="5" t="s">
        <v>99</v>
      </c>
      <c r="H12733" s="5" t="s">
        <v>1143</v>
      </c>
      <c r="I12733" s="5" t="s">
        <v>99</v>
      </c>
      <c r="J12733" s="5" t="s">
        <v>99</v>
      </c>
      <c r="K12733" s="5" t="s">
        <v>99</v>
      </c>
      <c r="L12733" s="5" t="s">
        <v>99</v>
      </c>
      <c r="M12733" s="5" t="s">
        <v>99</v>
      </c>
      <c r="N12733" s="5" t="s">
        <v>99</v>
      </c>
    </row>
    <row r="12735" spans="1:15" x14ac:dyDescent="0.3">
      <c r="A12735" t="s">
        <v>2850</v>
      </c>
    </row>
    <row r="12736" spans="1:15" x14ac:dyDescent="0.3">
      <c r="A12736" t="s">
        <v>44</v>
      </c>
      <c r="B12736" t="s">
        <v>388</v>
      </c>
      <c r="C12736" t="s">
        <v>32</v>
      </c>
      <c r="D12736" t="s">
        <v>2834</v>
      </c>
      <c r="E12736" t="s">
        <v>2835</v>
      </c>
      <c r="F12736" t="s">
        <v>2836</v>
      </c>
      <c r="G12736" t="s">
        <v>2837</v>
      </c>
      <c r="H12736" t="s">
        <v>2838</v>
      </c>
      <c r="I12736" t="s">
        <v>2839</v>
      </c>
      <c r="J12736" t="s">
        <v>2840</v>
      </c>
      <c r="K12736" t="s">
        <v>2841</v>
      </c>
      <c r="L12736" t="s">
        <v>2842</v>
      </c>
      <c r="M12736" t="s">
        <v>2843</v>
      </c>
      <c r="N12736" t="s">
        <v>193</v>
      </c>
      <c r="O12736" t="s">
        <v>1275</v>
      </c>
    </row>
    <row r="12737" spans="1:15" s="5" customFormat="1" x14ac:dyDescent="0.3">
      <c r="A12737" s="5" t="s">
        <v>35</v>
      </c>
      <c r="B12737" s="5" t="s">
        <v>389</v>
      </c>
      <c r="C12737" s="5">
        <v>10</v>
      </c>
      <c r="D12737" s="5" t="s">
        <v>38</v>
      </c>
      <c r="E12737" s="5" t="s">
        <v>997</v>
      </c>
      <c r="F12737" s="5" t="s">
        <v>145</v>
      </c>
      <c r="G12737" s="5" t="s">
        <v>99</v>
      </c>
      <c r="H12737" s="5" t="s">
        <v>145</v>
      </c>
      <c r="I12737" s="5" t="s">
        <v>222</v>
      </c>
      <c r="J12737" s="5" t="s">
        <v>99</v>
      </c>
      <c r="K12737" s="5" t="s">
        <v>99</v>
      </c>
      <c r="L12737" s="5" t="s">
        <v>99</v>
      </c>
      <c r="M12737" s="5" t="s">
        <v>99</v>
      </c>
      <c r="N12737" s="5" t="s">
        <v>99</v>
      </c>
      <c r="O12737" s="5" t="s">
        <v>99</v>
      </c>
    </row>
    <row r="12738" spans="1:15" s="5" customFormat="1" x14ac:dyDescent="0.3">
      <c r="A12738" s="5" t="s">
        <v>35</v>
      </c>
      <c r="B12738" s="5" t="s">
        <v>390</v>
      </c>
      <c r="C12738" s="5">
        <v>3</v>
      </c>
      <c r="D12738" s="5" t="s">
        <v>211</v>
      </c>
      <c r="E12738" s="5" t="s">
        <v>1650</v>
      </c>
      <c r="F12738" s="5" t="s">
        <v>99</v>
      </c>
      <c r="G12738" s="5" t="s">
        <v>99</v>
      </c>
      <c r="H12738" s="5" t="s">
        <v>99</v>
      </c>
      <c r="I12738" s="5" t="s">
        <v>933</v>
      </c>
      <c r="J12738" s="5" t="s">
        <v>99</v>
      </c>
      <c r="K12738" s="5" t="s">
        <v>99</v>
      </c>
      <c r="L12738" s="5" t="s">
        <v>99</v>
      </c>
      <c r="M12738" s="5" t="s">
        <v>933</v>
      </c>
      <c r="N12738" s="5" t="s">
        <v>99</v>
      </c>
      <c r="O12738" s="5" t="s">
        <v>99</v>
      </c>
    </row>
    <row r="12739" spans="1:15" x14ac:dyDescent="0.3">
      <c r="A12739" t="s">
        <v>35</v>
      </c>
      <c r="B12739" t="s">
        <v>365</v>
      </c>
      <c r="C12739">
        <v>1</v>
      </c>
      <c r="D12739" t="s">
        <v>211</v>
      </c>
      <c r="E12739" t="s">
        <v>211</v>
      </c>
      <c r="F12739" t="s">
        <v>211</v>
      </c>
      <c r="G12739" t="s">
        <v>99</v>
      </c>
      <c r="H12739" t="s">
        <v>99</v>
      </c>
      <c r="I12739" t="s">
        <v>99</v>
      </c>
      <c r="J12739" t="s">
        <v>99</v>
      </c>
      <c r="K12739" t="s">
        <v>99</v>
      </c>
      <c r="L12739" t="s">
        <v>99</v>
      </c>
      <c r="M12739" t="s">
        <v>99</v>
      </c>
      <c r="N12739" t="s">
        <v>99</v>
      </c>
      <c r="O12739" t="s">
        <v>99</v>
      </c>
    </row>
    <row r="12740" spans="1:15" s="5" customFormat="1" x14ac:dyDescent="0.3">
      <c r="A12740" s="5" t="s">
        <v>37</v>
      </c>
      <c r="B12740" s="5" t="s">
        <v>389</v>
      </c>
      <c r="C12740" s="5">
        <v>3</v>
      </c>
      <c r="D12740" s="5" t="s">
        <v>211</v>
      </c>
      <c r="E12740" s="5" t="s">
        <v>211</v>
      </c>
      <c r="F12740" s="5" t="s">
        <v>674</v>
      </c>
      <c r="G12740" s="5" t="s">
        <v>99</v>
      </c>
      <c r="H12740" s="5" t="s">
        <v>99</v>
      </c>
      <c r="I12740" s="5" t="s">
        <v>99</v>
      </c>
      <c r="J12740" s="5" t="s">
        <v>99</v>
      </c>
      <c r="K12740" s="5" t="s">
        <v>99</v>
      </c>
      <c r="L12740" s="5" t="s">
        <v>99</v>
      </c>
      <c r="M12740" s="5" t="s">
        <v>99</v>
      </c>
      <c r="N12740" s="5" t="s">
        <v>99</v>
      </c>
      <c r="O12740" s="5" t="s">
        <v>99</v>
      </c>
    </row>
    <row r="12741" spans="1:15" s="5" customFormat="1" x14ac:dyDescent="0.3">
      <c r="A12741" s="5" t="s">
        <v>37</v>
      </c>
      <c r="B12741" s="5" t="s">
        <v>390</v>
      </c>
      <c r="C12741" s="5">
        <v>2</v>
      </c>
      <c r="D12741" s="5" t="s">
        <v>211</v>
      </c>
      <c r="E12741" s="5" t="s">
        <v>211</v>
      </c>
      <c r="F12741" s="5" t="s">
        <v>99</v>
      </c>
      <c r="G12741" s="5" t="s">
        <v>99</v>
      </c>
      <c r="H12741" s="5" t="s">
        <v>99</v>
      </c>
      <c r="I12741" s="5" t="s">
        <v>957</v>
      </c>
      <c r="J12741" s="5" t="s">
        <v>99</v>
      </c>
      <c r="K12741" s="5" t="s">
        <v>99</v>
      </c>
      <c r="L12741" s="5" t="s">
        <v>99</v>
      </c>
      <c r="M12741" s="5" t="s">
        <v>99</v>
      </c>
      <c r="N12741" s="5" t="s">
        <v>99</v>
      </c>
      <c r="O12741" s="5" t="s">
        <v>99</v>
      </c>
    </row>
    <row r="12742" spans="1:15" x14ac:dyDescent="0.3">
      <c r="A12742" t="s">
        <v>37</v>
      </c>
      <c r="B12742" t="s">
        <v>365</v>
      </c>
      <c r="C12742">
        <v>1</v>
      </c>
      <c r="D12742" t="s">
        <v>211</v>
      </c>
      <c r="E12742" t="s">
        <v>99</v>
      </c>
      <c r="F12742" t="s">
        <v>99</v>
      </c>
      <c r="G12742" t="s">
        <v>99</v>
      </c>
      <c r="H12742" t="s">
        <v>211</v>
      </c>
      <c r="I12742" t="s">
        <v>99</v>
      </c>
      <c r="J12742" t="s">
        <v>99</v>
      </c>
      <c r="K12742" t="s">
        <v>99</v>
      </c>
      <c r="L12742" t="s">
        <v>99</v>
      </c>
      <c r="M12742" t="s">
        <v>99</v>
      </c>
      <c r="N12742" t="s">
        <v>99</v>
      </c>
      <c r="O12742" t="s">
        <v>99</v>
      </c>
    </row>
    <row r="12743" spans="1:15" x14ac:dyDescent="0.3">
      <c r="A12743" t="s">
        <v>36</v>
      </c>
      <c r="B12743" t="s">
        <v>389</v>
      </c>
      <c r="C12743">
        <v>36</v>
      </c>
      <c r="D12743" t="s">
        <v>767</v>
      </c>
      <c r="E12743" t="s">
        <v>597</v>
      </c>
      <c r="F12743" t="s">
        <v>960</v>
      </c>
      <c r="G12743" t="s">
        <v>382</v>
      </c>
      <c r="H12743" t="s">
        <v>39</v>
      </c>
      <c r="I12743" t="s">
        <v>727</v>
      </c>
      <c r="J12743" t="s">
        <v>491</v>
      </c>
      <c r="K12743" t="s">
        <v>197</v>
      </c>
      <c r="L12743" t="s">
        <v>691</v>
      </c>
      <c r="M12743" t="s">
        <v>135</v>
      </c>
      <c r="N12743" t="s">
        <v>99</v>
      </c>
      <c r="O12743" t="s">
        <v>99</v>
      </c>
    </row>
    <row r="12744" spans="1:15" s="5" customFormat="1" x14ac:dyDescent="0.3">
      <c r="A12744" s="5" t="s">
        <v>36</v>
      </c>
      <c r="B12744" s="5" t="s">
        <v>390</v>
      </c>
      <c r="C12744" s="5">
        <v>14</v>
      </c>
      <c r="D12744" s="5" t="s">
        <v>227</v>
      </c>
      <c r="E12744" s="5" t="s">
        <v>557</v>
      </c>
      <c r="F12744" s="5" t="s">
        <v>589</v>
      </c>
      <c r="G12744" s="5" t="s">
        <v>99</v>
      </c>
      <c r="H12744" s="5" t="s">
        <v>959</v>
      </c>
      <c r="I12744" s="5" t="s">
        <v>720</v>
      </c>
      <c r="J12744" s="5" t="s">
        <v>720</v>
      </c>
      <c r="K12744" s="5" t="s">
        <v>99</v>
      </c>
      <c r="L12744" s="5" t="s">
        <v>720</v>
      </c>
      <c r="M12744" s="5" t="s">
        <v>99</v>
      </c>
      <c r="N12744" s="5" t="s">
        <v>99</v>
      </c>
      <c r="O12744" s="5" t="s">
        <v>99</v>
      </c>
    </row>
    <row r="12745" spans="1:15" x14ac:dyDescent="0.3">
      <c r="A12745" t="s">
        <v>36</v>
      </c>
      <c r="B12745" t="s">
        <v>365</v>
      </c>
      <c r="C12745">
        <v>4</v>
      </c>
      <c r="D12745" t="s">
        <v>854</v>
      </c>
      <c r="E12745" t="s">
        <v>671</v>
      </c>
      <c r="F12745" t="s">
        <v>321</v>
      </c>
      <c r="G12745" t="s">
        <v>99</v>
      </c>
      <c r="H12745" t="s">
        <v>505</v>
      </c>
      <c r="I12745" t="s">
        <v>99</v>
      </c>
      <c r="J12745" t="s">
        <v>99</v>
      </c>
      <c r="K12745" t="s">
        <v>305</v>
      </c>
      <c r="L12745" t="s">
        <v>99</v>
      </c>
      <c r="M12745" t="s">
        <v>99</v>
      </c>
      <c r="N12745" t="s">
        <v>99</v>
      </c>
      <c r="O12745" t="s">
        <v>99</v>
      </c>
    </row>
    <row r="12746" spans="1:15" s="5" customFormat="1" x14ac:dyDescent="0.3">
      <c r="A12746" s="5" t="s">
        <v>34</v>
      </c>
      <c r="B12746" s="5" t="s">
        <v>389</v>
      </c>
      <c r="C12746" s="5">
        <v>29</v>
      </c>
      <c r="D12746" s="5" t="s">
        <v>928</v>
      </c>
      <c r="E12746" s="5" t="s">
        <v>478</v>
      </c>
      <c r="F12746" s="5" t="s">
        <v>357</v>
      </c>
      <c r="G12746" s="5" t="s">
        <v>105</v>
      </c>
      <c r="H12746" s="5" t="s">
        <v>667</v>
      </c>
      <c r="I12746" s="5" t="s">
        <v>105</v>
      </c>
      <c r="J12746" s="5" t="s">
        <v>105</v>
      </c>
      <c r="K12746" s="5" t="s">
        <v>197</v>
      </c>
      <c r="L12746" s="5" t="s">
        <v>105</v>
      </c>
      <c r="M12746" s="5" t="s">
        <v>289</v>
      </c>
      <c r="N12746" s="5" t="s">
        <v>99</v>
      </c>
      <c r="O12746" s="5" t="s">
        <v>99</v>
      </c>
    </row>
    <row r="12747" spans="1:15" s="5" customFormat="1" x14ac:dyDescent="0.3">
      <c r="A12747" s="5" t="s">
        <v>34</v>
      </c>
      <c r="B12747" s="5" t="s">
        <v>390</v>
      </c>
      <c r="C12747" s="5">
        <v>6</v>
      </c>
      <c r="D12747" s="5" t="s">
        <v>644</v>
      </c>
      <c r="E12747" s="5" t="s">
        <v>1182</v>
      </c>
      <c r="F12747" s="5" t="s">
        <v>99</v>
      </c>
      <c r="G12747" s="5" t="s">
        <v>99</v>
      </c>
      <c r="H12747" s="5" t="s">
        <v>347</v>
      </c>
      <c r="I12747" s="5" t="s">
        <v>99</v>
      </c>
      <c r="J12747" s="5" t="s">
        <v>99</v>
      </c>
      <c r="K12747" s="5" t="s">
        <v>99</v>
      </c>
      <c r="L12747" s="5" t="s">
        <v>99</v>
      </c>
      <c r="M12747" s="5" t="s">
        <v>99</v>
      </c>
      <c r="N12747" s="5" t="s">
        <v>393</v>
      </c>
      <c r="O12747" s="5" t="s">
        <v>99</v>
      </c>
    </row>
    <row r="12748" spans="1:15" x14ac:dyDescent="0.3">
      <c r="A12748" t="s">
        <v>33</v>
      </c>
      <c r="B12748" t="s">
        <v>365</v>
      </c>
    </row>
    <row r="12749" spans="1:15" x14ac:dyDescent="0.3">
      <c r="A12749" t="s">
        <v>49</v>
      </c>
      <c r="B12749" t="s">
        <v>389</v>
      </c>
      <c r="C12749">
        <v>78</v>
      </c>
      <c r="D12749" t="s">
        <v>1190</v>
      </c>
      <c r="E12749" t="s">
        <v>553</v>
      </c>
      <c r="F12749" t="s">
        <v>678</v>
      </c>
      <c r="G12749" t="s">
        <v>127</v>
      </c>
      <c r="H12749" t="s">
        <v>727</v>
      </c>
      <c r="I12749" t="s">
        <v>142</v>
      </c>
      <c r="J12749" t="s">
        <v>158</v>
      </c>
      <c r="K12749" t="s">
        <v>355</v>
      </c>
      <c r="L12749" t="s">
        <v>277</v>
      </c>
      <c r="M12749" t="s">
        <v>109</v>
      </c>
      <c r="N12749" t="s">
        <v>99</v>
      </c>
      <c r="O12749" t="s">
        <v>99</v>
      </c>
    </row>
    <row r="12750" spans="1:15" s="5" customFormat="1" x14ac:dyDescent="0.3">
      <c r="A12750" s="5" t="s">
        <v>49</v>
      </c>
      <c r="B12750" s="5" t="s">
        <v>390</v>
      </c>
      <c r="C12750" s="5">
        <v>25</v>
      </c>
      <c r="D12750" s="5" t="s">
        <v>1245</v>
      </c>
      <c r="E12750" s="5" t="s">
        <v>1176</v>
      </c>
      <c r="F12750" s="5" t="s">
        <v>798</v>
      </c>
      <c r="G12750" s="5" t="s">
        <v>99</v>
      </c>
      <c r="H12750" s="5" t="s">
        <v>807</v>
      </c>
      <c r="I12750" s="5" t="s">
        <v>672</v>
      </c>
      <c r="J12750" s="5" t="s">
        <v>684</v>
      </c>
      <c r="K12750" s="5" t="s">
        <v>99</v>
      </c>
      <c r="L12750" s="5" t="s">
        <v>684</v>
      </c>
      <c r="M12750" s="5" t="s">
        <v>242</v>
      </c>
      <c r="N12750" s="5" t="s">
        <v>150</v>
      </c>
      <c r="O12750" s="5" t="s">
        <v>99</v>
      </c>
    </row>
    <row r="12751" spans="1:15" x14ac:dyDescent="0.3">
      <c r="A12751" t="s">
        <v>49</v>
      </c>
      <c r="B12751" t="s">
        <v>365</v>
      </c>
      <c r="C12751">
        <v>6</v>
      </c>
      <c r="D12751" t="s">
        <v>333</v>
      </c>
      <c r="E12751" t="s">
        <v>2120</v>
      </c>
      <c r="F12751" t="s">
        <v>617</v>
      </c>
      <c r="G12751" t="s">
        <v>99</v>
      </c>
      <c r="H12751" t="s">
        <v>1148</v>
      </c>
      <c r="I12751" t="s">
        <v>99</v>
      </c>
      <c r="J12751" t="s">
        <v>99</v>
      </c>
      <c r="K12751" t="s">
        <v>103</v>
      </c>
      <c r="L12751" t="s">
        <v>99</v>
      </c>
      <c r="M12751" t="s">
        <v>99</v>
      </c>
      <c r="N12751" t="s">
        <v>99</v>
      </c>
      <c r="O12751" t="s">
        <v>99</v>
      </c>
    </row>
    <row r="12753" spans="1:15" x14ac:dyDescent="0.3">
      <c r="A12753" t="s">
        <v>2851</v>
      </c>
    </row>
    <row r="12754" spans="1:15" x14ac:dyDescent="0.3">
      <c r="A12754" t="s">
        <v>44</v>
      </c>
      <c r="B12754" t="s">
        <v>388</v>
      </c>
      <c r="C12754" t="s">
        <v>32</v>
      </c>
      <c r="D12754" t="s">
        <v>2834</v>
      </c>
      <c r="E12754" t="s">
        <v>2835</v>
      </c>
      <c r="F12754" t="s">
        <v>2836</v>
      </c>
      <c r="G12754" t="s">
        <v>2837</v>
      </c>
      <c r="H12754" t="s">
        <v>2838</v>
      </c>
      <c r="I12754" t="s">
        <v>2839</v>
      </c>
      <c r="J12754" t="s">
        <v>2840</v>
      </c>
      <c r="K12754" t="s">
        <v>2841</v>
      </c>
      <c r="L12754" t="s">
        <v>2842</v>
      </c>
      <c r="M12754" t="s">
        <v>2843</v>
      </c>
      <c r="N12754" t="s">
        <v>193</v>
      </c>
      <c r="O12754" t="s">
        <v>1275</v>
      </c>
    </row>
    <row r="12755" spans="1:15" x14ac:dyDescent="0.3">
      <c r="A12755" t="s">
        <v>35</v>
      </c>
      <c r="B12755" t="s">
        <v>365</v>
      </c>
    </row>
    <row r="12756" spans="1:15" x14ac:dyDescent="0.3">
      <c r="A12756" t="s">
        <v>37</v>
      </c>
      <c r="B12756" t="s">
        <v>365</v>
      </c>
    </row>
    <row r="12757" spans="1:15" s="5" customFormat="1" x14ac:dyDescent="0.3">
      <c r="A12757" s="5" t="s">
        <v>36</v>
      </c>
      <c r="B12757" s="5" t="s">
        <v>389</v>
      </c>
      <c r="C12757" s="5">
        <v>4</v>
      </c>
      <c r="D12757" s="5" t="s">
        <v>1326</v>
      </c>
      <c r="E12757" s="5" t="s">
        <v>1386</v>
      </c>
      <c r="F12757" s="5" t="s">
        <v>99</v>
      </c>
      <c r="G12757" s="5" t="s">
        <v>99</v>
      </c>
      <c r="H12757" s="5" t="s">
        <v>99</v>
      </c>
      <c r="I12757" s="5" t="s">
        <v>117</v>
      </c>
      <c r="J12757" s="5" t="s">
        <v>1326</v>
      </c>
      <c r="K12757" s="5" t="s">
        <v>99</v>
      </c>
      <c r="L12757" s="5" t="s">
        <v>99</v>
      </c>
      <c r="M12757" s="5" t="s">
        <v>1326</v>
      </c>
      <c r="N12757" s="5" t="s">
        <v>99</v>
      </c>
      <c r="O12757" s="5" t="s">
        <v>99</v>
      </c>
    </row>
    <row r="12758" spans="1:15" s="5" customFormat="1" x14ac:dyDescent="0.3">
      <c r="A12758" s="5" t="s">
        <v>36</v>
      </c>
      <c r="B12758" s="5" t="s">
        <v>390</v>
      </c>
      <c r="C12758" s="5">
        <v>1</v>
      </c>
      <c r="D12758" s="5" t="s">
        <v>99</v>
      </c>
      <c r="E12758" s="5" t="s">
        <v>211</v>
      </c>
      <c r="F12758" s="5" t="s">
        <v>99</v>
      </c>
      <c r="G12758" s="5" t="s">
        <v>99</v>
      </c>
      <c r="H12758" s="5" t="s">
        <v>99</v>
      </c>
      <c r="I12758" s="5" t="s">
        <v>99</v>
      </c>
      <c r="J12758" s="5" t="s">
        <v>99</v>
      </c>
      <c r="K12758" s="5" t="s">
        <v>99</v>
      </c>
      <c r="L12758" s="5" t="s">
        <v>99</v>
      </c>
      <c r="M12758" s="5" t="s">
        <v>99</v>
      </c>
      <c r="N12758" s="5" t="s">
        <v>99</v>
      </c>
      <c r="O12758" s="5" t="s">
        <v>99</v>
      </c>
    </row>
    <row r="12759" spans="1:15" s="5" customFormat="1" x14ac:dyDescent="0.3">
      <c r="A12759" s="5" t="s">
        <v>34</v>
      </c>
      <c r="B12759" s="5" t="s">
        <v>389</v>
      </c>
      <c r="C12759" s="5">
        <v>1</v>
      </c>
      <c r="D12759" s="5" t="s">
        <v>99</v>
      </c>
      <c r="E12759" s="5" t="s">
        <v>211</v>
      </c>
      <c r="F12759" s="5" t="s">
        <v>99</v>
      </c>
      <c r="G12759" s="5" t="s">
        <v>99</v>
      </c>
      <c r="H12759" s="5" t="s">
        <v>99</v>
      </c>
      <c r="I12759" s="5" t="s">
        <v>99</v>
      </c>
      <c r="J12759" s="5" t="s">
        <v>99</v>
      </c>
      <c r="K12759" s="5" t="s">
        <v>99</v>
      </c>
      <c r="L12759" s="5" t="s">
        <v>99</v>
      </c>
      <c r="M12759" s="5" t="s">
        <v>99</v>
      </c>
      <c r="N12759" s="5" t="s">
        <v>99</v>
      </c>
      <c r="O12759" s="5" t="s">
        <v>99</v>
      </c>
    </row>
    <row r="12760" spans="1:15" x14ac:dyDescent="0.3">
      <c r="A12760" t="s">
        <v>33</v>
      </c>
      <c r="B12760" t="s">
        <v>365</v>
      </c>
    </row>
    <row r="12761" spans="1:15" s="5" customFormat="1" x14ac:dyDescent="0.3">
      <c r="A12761" s="5" t="s">
        <v>49</v>
      </c>
      <c r="B12761" s="5" t="s">
        <v>389</v>
      </c>
      <c r="C12761" s="5">
        <v>5</v>
      </c>
      <c r="D12761" s="5" t="s">
        <v>1232</v>
      </c>
      <c r="E12761" s="5" t="s">
        <v>1227</v>
      </c>
      <c r="F12761" s="5" t="s">
        <v>99</v>
      </c>
      <c r="G12761" s="5" t="s">
        <v>99</v>
      </c>
      <c r="H12761" s="5" t="s">
        <v>99</v>
      </c>
      <c r="I12761" s="5" t="s">
        <v>123</v>
      </c>
      <c r="J12761" s="5" t="s">
        <v>1232</v>
      </c>
      <c r="K12761" s="5" t="s">
        <v>99</v>
      </c>
      <c r="L12761" s="5" t="s">
        <v>99</v>
      </c>
      <c r="M12761" s="5" t="s">
        <v>1232</v>
      </c>
      <c r="N12761" s="5" t="s">
        <v>99</v>
      </c>
      <c r="O12761" s="5" t="s">
        <v>99</v>
      </c>
    </row>
    <row r="12762" spans="1:15" s="5" customFormat="1" x14ac:dyDescent="0.3">
      <c r="A12762" s="5" t="s">
        <v>49</v>
      </c>
      <c r="B12762" s="5" t="s">
        <v>390</v>
      </c>
      <c r="C12762" s="5">
        <v>1</v>
      </c>
      <c r="D12762" s="5" t="s">
        <v>99</v>
      </c>
      <c r="E12762" s="5" t="s">
        <v>211</v>
      </c>
      <c r="F12762" s="5" t="s">
        <v>99</v>
      </c>
      <c r="G12762" s="5" t="s">
        <v>99</v>
      </c>
      <c r="H12762" s="5" t="s">
        <v>99</v>
      </c>
      <c r="I12762" s="5" t="s">
        <v>99</v>
      </c>
      <c r="J12762" s="5" t="s">
        <v>99</v>
      </c>
      <c r="K12762" s="5" t="s">
        <v>99</v>
      </c>
      <c r="L12762" s="5" t="s">
        <v>99</v>
      </c>
      <c r="M12762" s="5" t="s">
        <v>99</v>
      </c>
      <c r="N12762" s="5" t="s">
        <v>99</v>
      </c>
      <c r="O12762" s="5" t="s">
        <v>99</v>
      </c>
    </row>
    <row r="12764" spans="1:15" x14ac:dyDescent="0.3">
      <c r="A12764" t="s">
        <v>2852</v>
      </c>
    </row>
    <row r="12765" spans="1:15" x14ac:dyDescent="0.3">
      <c r="A12765" t="s">
        <v>44</v>
      </c>
      <c r="B12765" t="s">
        <v>388</v>
      </c>
      <c r="C12765" t="s">
        <v>32</v>
      </c>
      <c r="D12765" t="s">
        <v>2834</v>
      </c>
      <c r="E12765" t="s">
        <v>2835</v>
      </c>
      <c r="F12765" t="s">
        <v>2836</v>
      </c>
      <c r="G12765" t="s">
        <v>2837</v>
      </c>
      <c r="H12765" t="s">
        <v>2838</v>
      </c>
      <c r="I12765" t="s">
        <v>2839</v>
      </c>
      <c r="J12765" t="s">
        <v>2840</v>
      </c>
      <c r="K12765" t="s">
        <v>2841</v>
      </c>
      <c r="L12765" t="s">
        <v>2842</v>
      </c>
      <c r="M12765" t="s">
        <v>2843</v>
      </c>
      <c r="N12765" t="s">
        <v>193</v>
      </c>
      <c r="O12765" t="s">
        <v>1275</v>
      </c>
    </row>
    <row r="12766" spans="1:15" s="5" customFormat="1" x14ac:dyDescent="0.3">
      <c r="A12766" s="5" t="s">
        <v>35</v>
      </c>
      <c r="B12766" s="5" t="s">
        <v>389</v>
      </c>
      <c r="C12766" s="5">
        <v>2</v>
      </c>
      <c r="D12766" s="5" t="s">
        <v>99</v>
      </c>
      <c r="E12766" s="5" t="s">
        <v>99</v>
      </c>
      <c r="F12766" s="5" t="s">
        <v>99</v>
      </c>
      <c r="G12766" s="5" t="s">
        <v>99</v>
      </c>
      <c r="H12766" s="5" t="s">
        <v>211</v>
      </c>
      <c r="I12766" s="5" t="s">
        <v>99</v>
      </c>
      <c r="J12766" s="5" t="s">
        <v>99</v>
      </c>
      <c r="K12766" s="5" t="s">
        <v>99</v>
      </c>
      <c r="L12766" s="5" t="s">
        <v>99</v>
      </c>
      <c r="M12766" s="5" t="s">
        <v>99</v>
      </c>
      <c r="N12766" s="5" t="s">
        <v>99</v>
      </c>
      <c r="O12766" s="5" t="s">
        <v>99</v>
      </c>
    </row>
    <row r="12767" spans="1:15" x14ac:dyDescent="0.3">
      <c r="A12767" t="s">
        <v>37</v>
      </c>
      <c r="B12767" t="s">
        <v>365</v>
      </c>
    </row>
    <row r="12768" spans="1:15" x14ac:dyDescent="0.3">
      <c r="A12768" t="s">
        <v>36</v>
      </c>
      <c r="B12768" t="s">
        <v>365</v>
      </c>
    </row>
    <row r="12769" spans="1:15" s="5" customFormat="1" x14ac:dyDescent="0.3">
      <c r="A12769" s="5" t="s">
        <v>34</v>
      </c>
      <c r="B12769" s="5" t="s">
        <v>389</v>
      </c>
      <c r="C12769" s="5">
        <v>2</v>
      </c>
      <c r="D12769" s="5" t="s">
        <v>909</v>
      </c>
      <c r="E12769" s="5" t="s">
        <v>99</v>
      </c>
      <c r="F12769" s="5" t="s">
        <v>99</v>
      </c>
      <c r="G12769" s="5" t="s">
        <v>99</v>
      </c>
      <c r="H12769" s="5" t="s">
        <v>909</v>
      </c>
      <c r="I12769" s="5" t="s">
        <v>99</v>
      </c>
      <c r="J12769" s="5" t="s">
        <v>99</v>
      </c>
      <c r="K12769" s="5" t="s">
        <v>99</v>
      </c>
      <c r="L12769" s="5" t="s">
        <v>99</v>
      </c>
      <c r="M12769" s="5" t="s">
        <v>99</v>
      </c>
      <c r="N12769" s="5" t="s">
        <v>99</v>
      </c>
      <c r="O12769" s="5" t="s">
        <v>99</v>
      </c>
    </row>
    <row r="12770" spans="1:15" s="5" customFormat="1" x14ac:dyDescent="0.3">
      <c r="A12770" s="5" t="s">
        <v>34</v>
      </c>
      <c r="B12770" s="5" t="s">
        <v>390</v>
      </c>
      <c r="C12770" s="5">
        <v>1</v>
      </c>
      <c r="D12770" s="5" t="s">
        <v>99</v>
      </c>
      <c r="E12770" s="5" t="s">
        <v>99</v>
      </c>
      <c r="F12770" s="5" t="s">
        <v>99</v>
      </c>
      <c r="G12770" s="5" t="s">
        <v>99</v>
      </c>
      <c r="H12770" s="5" t="s">
        <v>211</v>
      </c>
      <c r="I12770" s="5" t="s">
        <v>99</v>
      </c>
      <c r="J12770" s="5" t="s">
        <v>99</v>
      </c>
      <c r="K12770" s="5" t="s">
        <v>99</v>
      </c>
      <c r="L12770" s="5" t="s">
        <v>99</v>
      </c>
      <c r="M12770" s="5" t="s">
        <v>99</v>
      </c>
      <c r="N12770" s="5" t="s">
        <v>99</v>
      </c>
      <c r="O12770" s="5" t="s">
        <v>99</v>
      </c>
    </row>
    <row r="12771" spans="1:15" x14ac:dyDescent="0.3">
      <c r="A12771" t="s">
        <v>33</v>
      </c>
      <c r="B12771" t="s">
        <v>365</v>
      </c>
    </row>
    <row r="12772" spans="1:15" s="5" customFormat="1" x14ac:dyDescent="0.3">
      <c r="A12772" s="5" t="s">
        <v>49</v>
      </c>
      <c r="B12772" s="5" t="s">
        <v>389</v>
      </c>
      <c r="C12772" s="5">
        <v>4</v>
      </c>
      <c r="D12772" s="5" t="s">
        <v>1222</v>
      </c>
      <c r="E12772" s="5" t="s">
        <v>99</v>
      </c>
      <c r="F12772" s="5" t="s">
        <v>99</v>
      </c>
      <c r="G12772" s="5" t="s">
        <v>99</v>
      </c>
      <c r="H12772" s="5" t="s">
        <v>1368</v>
      </c>
      <c r="I12772" s="5" t="s">
        <v>99</v>
      </c>
      <c r="J12772" s="5" t="s">
        <v>99</v>
      </c>
      <c r="K12772" s="5" t="s">
        <v>99</v>
      </c>
      <c r="L12772" s="5" t="s">
        <v>99</v>
      </c>
      <c r="M12772" s="5" t="s">
        <v>99</v>
      </c>
      <c r="N12772" s="5" t="s">
        <v>99</v>
      </c>
      <c r="O12772" s="5" t="s">
        <v>99</v>
      </c>
    </row>
    <row r="12773" spans="1:15" s="5" customFormat="1" x14ac:dyDescent="0.3">
      <c r="A12773" s="5" t="s">
        <v>49</v>
      </c>
      <c r="B12773" s="5" t="s">
        <v>390</v>
      </c>
      <c r="C12773" s="5">
        <v>1</v>
      </c>
      <c r="D12773" s="5" t="s">
        <v>99</v>
      </c>
      <c r="E12773" s="5" t="s">
        <v>99</v>
      </c>
      <c r="F12773" s="5" t="s">
        <v>99</v>
      </c>
      <c r="G12773" s="5" t="s">
        <v>99</v>
      </c>
      <c r="H12773" s="5" t="s">
        <v>211</v>
      </c>
      <c r="I12773" s="5" t="s">
        <v>99</v>
      </c>
      <c r="J12773" s="5" t="s">
        <v>99</v>
      </c>
      <c r="K12773" s="5" t="s">
        <v>99</v>
      </c>
      <c r="L12773" s="5" t="s">
        <v>99</v>
      </c>
      <c r="M12773" s="5" t="s">
        <v>99</v>
      </c>
      <c r="N12773" s="5" t="s">
        <v>99</v>
      </c>
      <c r="O12773" s="5" t="s">
        <v>99</v>
      </c>
    </row>
    <row r="12775" spans="1:15" x14ac:dyDescent="0.3">
      <c r="A12775" t="s">
        <v>2853</v>
      </c>
    </row>
    <row r="12776" spans="1:15" x14ac:dyDescent="0.3">
      <c r="A12776" t="s">
        <v>44</v>
      </c>
      <c r="B12776" t="s">
        <v>388</v>
      </c>
      <c r="C12776" t="s">
        <v>32</v>
      </c>
      <c r="D12776" t="s">
        <v>2834</v>
      </c>
      <c r="E12776" t="s">
        <v>2835</v>
      </c>
      <c r="F12776" t="s">
        <v>2836</v>
      </c>
      <c r="G12776" t="s">
        <v>2837</v>
      </c>
      <c r="H12776" t="s">
        <v>2838</v>
      </c>
      <c r="I12776" t="s">
        <v>2839</v>
      </c>
      <c r="J12776" t="s">
        <v>2840</v>
      </c>
      <c r="K12776" t="s">
        <v>2841</v>
      </c>
      <c r="L12776" t="s">
        <v>2842</v>
      </c>
      <c r="M12776" t="s">
        <v>2843</v>
      </c>
      <c r="N12776" t="s">
        <v>193</v>
      </c>
      <c r="O12776" t="s">
        <v>1275</v>
      </c>
    </row>
    <row r="12777" spans="1:15" s="5" customFormat="1" x14ac:dyDescent="0.3">
      <c r="A12777" s="5" t="s">
        <v>35</v>
      </c>
      <c r="B12777" s="5" t="s">
        <v>390</v>
      </c>
      <c r="C12777" s="5">
        <v>1</v>
      </c>
      <c r="D12777" s="5" t="s">
        <v>211</v>
      </c>
      <c r="E12777" s="5" t="s">
        <v>99</v>
      </c>
      <c r="F12777" s="5" t="s">
        <v>99</v>
      </c>
      <c r="G12777" s="5" t="s">
        <v>99</v>
      </c>
      <c r="H12777" s="5" t="s">
        <v>99</v>
      </c>
      <c r="I12777" s="5" t="s">
        <v>99</v>
      </c>
      <c r="J12777" s="5" t="s">
        <v>99</v>
      </c>
      <c r="K12777" s="5" t="s">
        <v>99</v>
      </c>
      <c r="L12777" s="5" t="s">
        <v>99</v>
      </c>
      <c r="M12777" s="5" t="s">
        <v>99</v>
      </c>
      <c r="N12777" s="5" t="s">
        <v>99</v>
      </c>
      <c r="O12777" s="5" t="s">
        <v>99</v>
      </c>
    </row>
    <row r="12778" spans="1:15" x14ac:dyDescent="0.3">
      <c r="A12778" t="s">
        <v>35</v>
      </c>
      <c r="B12778" t="s">
        <v>365</v>
      </c>
      <c r="C12778">
        <v>1</v>
      </c>
      <c r="D12778" t="s">
        <v>99</v>
      </c>
      <c r="E12778" t="s">
        <v>211</v>
      </c>
      <c r="F12778" t="s">
        <v>99</v>
      </c>
      <c r="G12778" t="s">
        <v>99</v>
      </c>
      <c r="H12778" t="s">
        <v>211</v>
      </c>
      <c r="I12778" t="s">
        <v>99</v>
      </c>
      <c r="J12778" t="s">
        <v>99</v>
      </c>
      <c r="K12778" t="s">
        <v>99</v>
      </c>
      <c r="L12778" t="s">
        <v>99</v>
      </c>
      <c r="M12778" t="s">
        <v>99</v>
      </c>
      <c r="N12778" t="s">
        <v>99</v>
      </c>
      <c r="O12778" t="s">
        <v>99</v>
      </c>
    </row>
    <row r="12779" spans="1:15" x14ac:dyDescent="0.3">
      <c r="A12779" t="s">
        <v>37</v>
      </c>
      <c r="B12779" t="s">
        <v>365</v>
      </c>
    </row>
    <row r="12780" spans="1:15" s="5" customFormat="1" x14ac:dyDescent="0.3">
      <c r="A12780" s="5" t="s">
        <v>36</v>
      </c>
      <c r="B12780" s="5" t="s">
        <v>389</v>
      </c>
      <c r="C12780" s="5">
        <v>3</v>
      </c>
      <c r="D12780" s="5" t="s">
        <v>99</v>
      </c>
      <c r="E12780" s="5" t="s">
        <v>211</v>
      </c>
      <c r="F12780" s="5" t="s">
        <v>1065</v>
      </c>
      <c r="G12780" s="5" t="s">
        <v>99</v>
      </c>
      <c r="H12780" s="5" t="s">
        <v>99</v>
      </c>
      <c r="I12780" s="5" t="s">
        <v>99</v>
      </c>
      <c r="J12780" s="5" t="s">
        <v>99</v>
      </c>
      <c r="K12780" s="5" t="s">
        <v>99</v>
      </c>
      <c r="L12780" s="5" t="s">
        <v>99</v>
      </c>
      <c r="M12780" s="5" t="s">
        <v>99</v>
      </c>
      <c r="N12780" s="5" t="s">
        <v>99</v>
      </c>
      <c r="O12780" s="5" t="s">
        <v>99</v>
      </c>
    </row>
    <row r="12781" spans="1:15" s="5" customFormat="1" x14ac:dyDescent="0.3">
      <c r="A12781" s="5" t="s">
        <v>34</v>
      </c>
      <c r="B12781" s="5" t="s">
        <v>389</v>
      </c>
      <c r="C12781" s="5">
        <v>1</v>
      </c>
      <c r="D12781" s="5" t="s">
        <v>99</v>
      </c>
      <c r="E12781" s="5" t="s">
        <v>211</v>
      </c>
      <c r="F12781" s="5" t="s">
        <v>99</v>
      </c>
      <c r="G12781" s="5" t="s">
        <v>99</v>
      </c>
      <c r="H12781" s="5" t="s">
        <v>99</v>
      </c>
      <c r="I12781" s="5" t="s">
        <v>99</v>
      </c>
      <c r="J12781" s="5" t="s">
        <v>99</v>
      </c>
      <c r="K12781" s="5" t="s">
        <v>99</v>
      </c>
      <c r="L12781" s="5" t="s">
        <v>99</v>
      </c>
      <c r="M12781" s="5" t="s">
        <v>99</v>
      </c>
      <c r="N12781" s="5" t="s">
        <v>99</v>
      </c>
      <c r="O12781" s="5" t="s">
        <v>99</v>
      </c>
    </row>
    <row r="12782" spans="1:15" s="5" customFormat="1" x14ac:dyDescent="0.3">
      <c r="A12782" s="5" t="s">
        <v>34</v>
      </c>
      <c r="B12782" s="5" t="s">
        <v>390</v>
      </c>
      <c r="C12782" s="5">
        <v>1</v>
      </c>
      <c r="D12782" s="5" t="s">
        <v>99</v>
      </c>
      <c r="E12782" s="5" t="s">
        <v>99</v>
      </c>
      <c r="F12782" s="5" t="s">
        <v>99</v>
      </c>
      <c r="G12782" s="5" t="s">
        <v>99</v>
      </c>
      <c r="H12782" s="5" t="s">
        <v>99</v>
      </c>
      <c r="I12782" s="5" t="s">
        <v>99</v>
      </c>
      <c r="J12782" s="5" t="s">
        <v>99</v>
      </c>
      <c r="K12782" s="5" t="s">
        <v>99</v>
      </c>
      <c r="L12782" s="5" t="s">
        <v>99</v>
      </c>
      <c r="M12782" s="5" t="s">
        <v>99</v>
      </c>
      <c r="N12782" s="5" t="s">
        <v>99</v>
      </c>
      <c r="O12782" s="5" t="s">
        <v>211</v>
      </c>
    </row>
    <row r="12783" spans="1:15" x14ac:dyDescent="0.3">
      <c r="A12783" t="s">
        <v>34</v>
      </c>
      <c r="B12783" t="s">
        <v>365</v>
      </c>
      <c r="C12783">
        <v>1</v>
      </c>
      <c r="D12783" t="s">
        <v>99</v>
      </c>
      <c r="E12783" t="s">
        <v>211</v>
      </c>
      <c r="F12783" t="s">
        <v>99</v>
      </c>
      <c r="G12783" t="s">
        <v>99</v>
      </c>
      <c r="H12783" t="s">
        <v>99</v>
      </c>
      <c r="I12783" t="s">
        <v>99</v>
      </c>
      <c r="J12783" t="s">
        <v>99</v>
      </c>
      <c r="K12783" t="s">
        <v>99</v>
      </c>
      <c r="L12783" t="s">
        <v>99</v>
      </c>
      <c r="M12783" t="s">
        <v>99</v>
      </c>
      <c r="N12783" t="s">
        <v>99</v>
      </c>
      <c r="O12783" t="s">
        <v>99</v>
      </c>
    </row>
    <row r="12784" spans="1:15" x14ac:dyDescent="0.3">
      <c r="A12784" t="s">
        <v>33</v>
      </c>
      <c r="B12784" t="s">
        <v>365</v>
      </c>
    </row>
    <row r="12785" spans="1:15" s="5" customFormat="1" x14ac:dyDescent="0.3">
      <c r="A12785" s="5" t="s">
        <v>49</v>
      </c>
      <c r="B12785" s="5" t="s">
        <v>389</v>
      </c>
      <c r="C12785" s="5">
        <v>4</v>
      </c>
      <c r="D12785" s="5" t="s">
        <v>99</v>
      </c>
      <c r="E12785" s="5" t="s">
        <v>211</v>
      </c>
      <c r="F12785" s="5" t="s">
        <v>124</v>
      </c>
      <c r="G12785" s="5" t="s">
        <v>99</v>
      </c>
      <c r="H12785" s="5" t="s">
        <v>99</v>
      </c>
      <c r="I12785" s="5" t="s">
        <v>99</v>
      </c>
      <c r="J12785" s="5" t="s">
        <v>99</v>
      </c>
      <c r="K12785" s="5" t="s">
        <v>99</v>
      </c>
      <c r="L12785" s="5" t="s">
        <v>99</v>
      </c>
      <c r="M12785" s="5" t="s">
        <v>99</v>
      </c>
      <c r="N12785" s="5" t="s">
        <v>99</v>
      </c>
      <c r="O12785" s="5" t="s">
        <v>99</v>
      </c>
    </row>
    <row r="12786" spans="1:15" s="5" customFormat="1" x14ac:dyDescent="0.3">
      <c r="A12786" s="5" t="s">
        <v>49</v>
      </c>
      <c r="B12786" s="5" t="s">
        <v>390</v>
      </c>
      <c r="C12786" s="5">
        <v>2</v>
      </c>
      <c r="D12786" s="5" t="s">
        <v>728</v>
      </c>
      <c r="E12786" s="5" t="s">
        <v>99</v>
      </c>
      <c r="F12786" s="5" t="s">
        <v>99</v>
      </c>
      <c r="G12786" s="5" t="s">
        <v>99</v>
      </c>
      <c r="H12786" s="5" t="s">
        <v>99</v>
      </c>
      <c r="I12786" s="5" t="s">
        <v>99</v>
      </c>
      <c r="J12786" s="5" t="s">
        <v>99</v>
      </c>
      <c r="K12786" s="5" t="s">
        <v>99</v>
      </c>
      <c r="L12786" s="5" t="s">
        <v>99</v>
      </c>
      <c r="M12786" s="5" t="s">
        <v>99</v>
      </c>
      <c r="N12786" s="5" t="s">
        <v>99</v>
      </c>
      <c r="O12786" s="5" t="s">
        <v>1236</v>
      </c>
    </row>
    <row r="12787" spans="1:15" x14ac:dyDescent="0.3">
      <c r="A12787" t="s">
        <v>49</v>
      </c>
      <c r="B12787" t="s">
        <v>365</v>
      </c>
      <c r="C12787">
        <v>2</v>
      </c>
      <c r="D12787" t="s">
        <v>99</v>
      </c>
      <c r="E12787" t="s">
        <v>211</v>
      </c>
      <c r="F12787" t="s">
        <v>99</v>
      </c>
      <c r="G12787" t="s">
        <v>99</v>
      </c>
      <c r="H12787" t="s">
        <v>1065</v>
      </c>
      <c r="I12787" t="s">
        <v>99</v>
      </c>
      <c r="J12787" t="s">
        <v>99</v>
      </c>
      <c r="K12787" t="s">
        <v>99</v>
      </c>
      <c r="L12787" t="s">
        <v>99</v>
      </c>
      <c r="M12787" t="s">
        <v>99</v>
      </c>
      <c r="N12787" t="s">
        <v>99</v>
      </c>
      <c r="O12787" t="s">
        <v>99</v>
      </c>
    </row>
    <row r="12789" spans="1:15" x14ac:dyDescent="0.3">
      <c r="A12789" t="s">
        <v>2854</v>
      </c>
    </row>
    <row r="12790" spans="1:15" x14ac:dyDescent="0.3">
      <c r="A12790" t="s">
        <v>44</v>
      </c>
      <c r="B12790" t="s">
        <v>388</v>
      </c>
      <c r="C12790" t="s">
        <v>32</v>
      </c>
      <c r="D12790" t="s">
        <v>2834</v>
      </c>
      <c r="E12790" t="s">
        <v>2835</v>
      </c>
      <c r="F12790" t="s">
        <v>2836</v>
      </c>
      <c r="G12790" t="s">
        <v>2837</v>
      </c>
      <c r="H12790" t="s">
        <v>2838</v>
      </c>
      <c r="I12790" t="s">
        <v>2839</v>
      </c>
      <c r="J12790" t="s">
        <v>2840</v>
      </c>
      <c r="K12790" t="s">
        <v>2841</v>
      </c>
      <c r="L12790" t="s">
        <v>2842</v>
      </c>
      <c r="M12790" t="s">
        <v>2843</v>
      </c>
      <c r="N12790" t="s">
        <v>193</v>
      </c>
      <c r="O12790" t="s">
        <v>1275</v>
      </c>
    </row>
    <row r="12791" spans="1:15" x14ac:dyDescent="0.3">
      <c r="A12791" t="s">
        <v>35</v>
      </c>
      <c r="B12791" t="s">
        <v>365</v>
      </c>
    </row>
    <row r="12792" spans="1:15" s="5" customFormat="1" x14ac:dyDescent="0.3">
      <c r="A12792" s="5" t="s">
        <v>37</v>
      </c>
      <c r="B12792" s="5" t="s">
        <v>389</v>
      </c>
      <c r="C12792" s="5">
        <v>2</v>
      </c>
      <c r="D12792" s="5" t="s">
        <v>1159</v>
      </c>
      <c r="E12792" s="5" t="s">
        <v>99</v>
      </c>
      <c r="F12792" s="5" t="s">
        <v>99</v>
      </c>
      <c r="G12792" s="5" t="s">
        <v>1497</v>
      </c>
      <c r="H12792" s="5" t="s">
        <v>1497</v>
      </c>
      <c r="I12792" s="5" t="s">
        <v>99</v>
      </c>
      <c r="J12792" s="5" t="s">
        <v>99</v>
      </c>
      <c r="K12792" s="5" t="s">
        <v>99</v>
      </c>
      <c r="L12792" s="5" t="s">
        <v>99</v>
      </c>
      <c r="M12792" s="5" t="s">
        <v>99</v>
      </c>
      <c r="N12792" s="5" t="s">
        <v>99</v>
      </c>
      <c r="O12792" s="5" t="s">
        <v>99</v>
      </c>
    </row>
    <row r="12793" spans="1:15" x14ac:dyDescent="0.3">
      <c r="A12793" t="s">
        <v>36</v>
      </c>
      <c r="B12793" t="s">
        <v>365</v>
      </c>
    </row>
    <row r="12794" spans="1:15" x14ac:dyDescent="0.3">
      <c r="A12794" t="s">
        <v>34</v>
      </c>
      <c r="B12794" t="s">
        <v>365</v>
      </c>
    </row>
    <row r="12795" spans="1:15" s="5" customFormat="1" x14ac:dyDescent="0.3">
      <c r="A12795" s="5" t="s">
        <v>33</v>
      </c>
      <c r="B12795" s="5" t="s">
        <v>389</v>
      </c>
      <c r="C12795" s="5">
        <v>1</v>
      </c>
      <c r="D12795" s="5" t="s">
        <v>211</v>
      </c>
      <c r="E12795" s="5" t="s">
        <v>99</v>
      </c>
      <c r="F12795" s="5" t="s">
        <v>99</v>
      </c>
      <c r="G12795" s="5" t="s">
        <v>99</v>
      </c>
      <c r="H12795" s="5" t="s">
        <v>211</v>
      </c>
      <c r="I12795" s="5" t="s">
        <v>99</v>
      </c>
      <c r="J12795" s="5" t="s">
        <v>99</v>
      </c>
      <c r="K12795" s="5" t="s">
        <v>99</v>
      </c>
      <c r="L12795" s="5" t="s">
        <v>99</v>
      </c>
      <c r="M12795" s="5" t="s">
        <v>99</v>
      </c>
      <c r="N12795" s="5" t="s">
        <v>99</v>
      </c>
      <c r="O12795" s="5" t="s">
        <v>99</v>
      </c>
    </row>
    <row r="12796" spans="1:15" s="5" customFormat="1" x14ac:dyDescent="0.3">
      <c r="A12796" s="5" t="s">
        <v>49</v>
      </c>
      <c r="B12796" s="5" t="s">
        <v>389</v>
      </c>
      <c r="C12796" s="5">
        <v>3</v>
      </c>
      <c r="D12796" s="5" t="s">
        <v>428</v>
      </c>
      <c r="E12796" s="5" t="s">
        <v>99</v>
      </c>
      <c r="F12796" s="5" t="s">
        <v>99</v>
      </c>
      <c r="G12796" s="5" t="s">
        <v>429</v>
      </c>
      <c r="H12796" s="5" t="s">
        <v>245</v>
      </c>
      <c r="I12796" s="5" t="s">
        <v>99</v>
      </c>
      <c r="J12796" s="5" t="s">
        <v>99</v>
      </c>
      <c r="K12796" s="5" t="s">
        <v>99</v>
      </c>
      <c r="L12796" s="5" t="s">
        <v>99</v>
      </c>
      <c r="M12796" s="5" t="s">
        <v>99</v>
      </c>
      <c r="N12796" s="5" t="s">
        <v>99</v>
      </c>
      <c r="O12796" s="5" t="s">
        <v>99</v>
      </c>
    </row>
    <row r="12798" spans="1:15" x14ac:dyDescent="0.3">
      <c r="A12798" t="s">
        <v>2855</v>
      </c>
    </row>
    <row r="12799" spans="1:15" x14ac:dyDescent="0.3">
      <c r="A12799" t="s">
        <v>44</v>
      </c>
      <c r="B12799" t="s">
        <v>388</v>
      </c>
      <c r="C12799" t="s">
        <v>32</v>
      </c>
      <c r="D12799" t="s">
        <v>2834</v>
      </c>
      <c r="E12799" t="s">
        <v>2835</v>
      </c>
      <c r="F12799" t="s">
        <v>2836</v>
      </c>
      <c r="G12799" t="s">
        <v>2837</v>
      </c>
      <c r="H12799" t="s">
        <v>2838</v>
      </c>
      <c r="I12799" t="s">
        <v>2839</v>
      </c>
      <c r="J12799" t="s">
        <v>2840</v>
      </c>
      <c r="K12799" t="s">
        <v>2841</v>
      </c>
      <c r="L12799" t="s">
        <v>2842</v>
      </c>
      <c r="M12799" t="s">
        <v>2843</v>
      </c>
      <c r="N12799" t="s">
        <v>193</v>
      </c>
      <c r="O12799" t="s">
        <v>1275</v>
      </c>
    </row>
    <row r="12800" spans="1:15" s="5" customFormat="1" x14ac:dyDescent="0.3">
      <c r="A12800" s="5" t="s">
        <v>35</v>
      </c>
      <c r="B12800" s="5" t="s">
        <v>389</v>
      </c>
      <c r="C12800" s="5">
        <v>2</v>
      </c>
      <c r="D12800" s="5" t="s">
        <v>99</v>
      </c>
      <c r="E12800" s="5" t="s">
        <v>290</v>
      </c>
      <c r="F12800" s="5" t="s">
        <v>99</v>
      </c>
      <c r="G12800" s="5" t="s">
        <v>368</v>
      </c>
      <c r="H12800" s="5" t="s">
        <v>99</v>
      </c>
      <c r="I12800" s="5" t="s">
        <v>99</v>
      </c>
      <c r="J12800" s="5" t="s">
        <v>99</v>
      </c>
      <c r="K12800" s="5" t="s">
        <v>99</v>
      </c>
      <c r="L12800" s="5" t="s">
        <v>99</v>
      </c>
      <c r="M12800" s="5" t="s">
        <v>368</v>
      </c>
      <c r="N12800" s="5" t="s">
        <v>99</v>
      </c>
      <c r="O12800" s="5" t="s">
        <v>99</v>
      </c>
    </row>
    <row r="12801" spans="1:15" s="5" customFormat="1" x14ac:dyDescent="0.3">
      <c r="A12801" s="5" t="s">
        <v>35</v>
      </c>
      <c r="B12801" s="5" t="s">
        <v>390</v>
      </c>
      <c r="C12801" s="5">
        <v>2</v>
      </c>
      <c r="D12801" s="5" t="s">
        <v>99</v>
      </c>
      <c r="E12801" s="5" t="s">
        <v>211</v>
      </c>
      <c r="F12801" s="5" t="s">
        <v>99</v>
      </c>
      <c r="G12801" s="5" t="s">
        <v>99</v>
      </c>
      <c r="H12801" s="5" t="s">
        <v>99</v>
      </c>
      <c r="I12801" s="5" t="s">
        <v>99</v>
      </c>
      <c r="J12801" s="5" t="s">
        <v>99</v>
      </c>
      <c r="K12801" s="5" t="s">
        <v>99</v>
      </c>
      <c r="L12801" s="5" t="s">
        <v>99</v>
      </c>
      <c r="M12801" s="5" t="s">
        <v>99</v>
      </c>
      <c r="N12801" s="5" t="s">
        <v>99</v>
      </c>
      <c r="O12801" s="5" t="s">
        <v>99</v>
      </c>
    </row>
    <row r="12802" spans="1:15" x14ac:dyDescent="0.3">
      <c r="A12802" t="s">
        <v>37</v>
      </c>
      <c r="B12802" t="s">
        <v>365</v>
      </c>
    </row>
    <row r="12803" spans="1:15" s="5" customFormat="1" x14ac:dyDescent="0.3">
      <c r="A12803" s="5" t="s">
        <v>36</v>
      </c>
      <c r="B12803" s="5" t="s">
        <v>389</v>
      </c>
      <c r="C12803" s="5">
        <v>4</v>
      </c>
      <c r="D12803" s="5" t="s">
        <v>99</v>
      </c>
      <c r="E12803" s="5" t="s">
        <v>105</v>
      </c>
      <c r="F12803" s="5" t="s">
        <v>883</v>
      </c>
      <c r="G12803" s="5" t="s">
        <v>680</v>
      </c>
      <c r="H12803" s="5" t="s">
        <v>99</v>
      </c>
      <c r="I12803" s="5" t="s">
        <v>99</v>
      </c>
      <c r="J12803" s="5" t="s">
        <v>99</v>
      </c>
      <c r="K12803" s="5" t="s">
        <v>99</v>
      </c>
      <c r="L12803" s="5" t="s">
        <v>99</v>
      </c>
      <c r="M12803" s="5" t="s">
        <v>99</v>
      </c>
      <c r="N12803" s="5" t="s">
        <v>99</v>
      </c>
      <c r="O12803" s="5" t="s">
        <v>99</v>
      </c>
    </row>
    <row r="12804" spans="1:15" s="5" customFormat="1" x14ac:dyDescent="0.3">
      <c r="A12804" s="5" t="s">
        <v>36</v>
      </c>
      <c r="B12804" s="5" t="s">
        <v>390</v>
      </c>
      <c r="C12804" s="5">
        <v>3</v>
      </c>
      <c r="D12804" s="5" t="s">
        <v>99</v>
      </c>
      <c r="E12804" s="5" t="s">
        <v>918</v>
      </c>
      <c r="F12804" s="5" t="s">
        <v>99</v>
      </c>
      <c r="G12804" s="5" t="s">
        <v>99</v>
      </c>
      <c r="H12804" s="5" t="s">
        <v>99</v>
      </c>
      <c r="I12804" s="5" t="s">
        <v>99</v>
      </c>
      <c r="J12804" s="5" t="s">
        <v>99</v>
      </c>
      <c r="K12804" s="5" t="s">
        <v>117</v>
      </c>
      <c r="L12804" s="5" t="s">
        <v>918</v>
      </c>
      <c r="M12804" s="5" t="s">
        <v>99</v>
      </c>
      <c r="N12804" s="5" t="s">
        <v>99</v>
      </c>
      <c r="O12804" s="5" t="s">
        <v>99</v>
      </c>
    </row>
    <row r="12805" spans="1:15" x14ac:dyDescent="0.3">
      <c r="A12805" t="s">
        <v>36</v>
      </c>
      <c r="B12805" t="s">
        <v>365</v>
      </c>
      <c r="C12805">
        <v>1</v>
      </c>
      <c r="D12805" t="s">
        <v>99</v>
      </c>
      <c r="E12805" t="s">
        <v>211</v>
      </c>
      <c r="F12805" t="s">
        <v>211</v>
      </c>
      <c r="G12805" t="s">
        <v>211</v>
      </c>
      <c r="H12805" t="s">
        <v>99</v>
      </c>
      <c r="I12805" t="s">
        <v>99</v>
      </c>
      <c r="J12805" t="s">
        <v>99</v>
      </c>
      <c r="K12805" t="s">
        <v>99</v>
      </c>
      <c r="L12805" t="s">
        <v>99</v>
      </c>
      <c r="M12805" t="s">
        <v>99</v>
      </c>
      <c r="N12805" t="s">
        <v>99</v>
      </c>
      <c r="O12805" t="s">
        <v>99</v>
      </c>
    </row>
    <row r="12806" spans="1:15" s="5" customFormat="1" x14ac:dyDescent="0.3">
      <c r="A12806" s="5" t="s">
        <v>34</v>
      </c>
      <c r="B12806" s="5" t="s">
        <v>389</v>
      </c>
      <c r="C12806" s="5">
        <v>3</v>
      </c>
      <c r="D12806" s="5" t="s">
        <v>99</v>
      </c>
      <c r="E12806" s="5" t="s">
        <v>211</v>
      </c>
      <c r="F12806" s="5" t="s">
        <v>99</v>
      </c>
      <c r="G12806" s="5" t="s">
        <v>99</v>
      </c>
      <c r="H12806" s="5" t="s">
        <v>99</v>
      </c>
      <c r="I12806" s="5" t="s">
        <v>99</v>
      </c>
      <c r="J12806" s="5" t="s">
        <v>99</v>
      </c>
      <c r="K12806" s="5" t="s">
        <v>99</v>
      </c>
      <c r="L12806" s="5" t="s">
        <v>99</v>
      </c>
      <c r="M12806" s="5" t="s">
        <v>99</v>
      </c>
      <c r="N12806" s="5" t="s">
        <v>99</v>
      </c>
      <c r="O12806" s="5" t="s">
        <v>99</v>
      </c>
    </row>
    <row r="12807" spans="1:15" s="5" customFormat="1" x14ac:dyDescent="0.3">
      <c r="A12807" s="5" t="s">
        <v>34</v>
      </c>
      <c r="B12807" s="5" t="s">
        <v>390</v>
      </c>
      <c r="C12807" s="5">
        <v>1</v>
      </c>
      <c r="D12807" s="5" t="s">
        <v>99</v>
      </c>
      <c r="E12807" s="5" t="s">
        <v>211</v>
      </c>
      <c r="F12807" s="5" t="s">
        <v>99</v>
      </c>
      <c r="G12807" s="5" t="s">
        <v>99</v>
      </c>
      <c r="H12807" s="5" t="s">
        <v>99</v>
      </c>
      <c r="I12807" s="5" t="s">
        <v>99</v>
      </c>
      <c r="J12807" s="5" t="s">
        <v>99</v>
      </c>
      <c r="K12807" s="5" t="s">
        <v>99</v>
      </c>
      <c r="L12807" s="5" t="s">
        <v>99</v>
      </c>
      <c r="M12807" s="5" t="s">
        <v>99</v>
      </c>
      <c r="N12807" s="5" t="s">
        <v>99</v>
      </c>
      <c r="O12807" s="5" t="s">
        <v>99</v>
      </c>
    </row>
    <row r="12808" spans="1:15" x14ac:dyDescent="0.3">
      <c r="A12808" t="s">
        <v>34</v>
      </c>
      <c r="B12808" t="s">
        <v>365</v>
      </c>
      <c r="C12808">
        <v>1</v>
      </c>
      <c r="D12808" t="s">
        <v>99</v>
      </c>
      <c r="E12808" t="s">
        <v>211</v>
      </c>
      <c r="F12808" t="s">
        <v>99</v>
      </c>
      <c r="G12808" t="s">
        <v>99</v>
      </c>
      <c r="H12808" t="s">
        <v>99</v>
      </c>
      <c r="I12808" t="s">
        <v>99</v>
      </c>
      <c r="J12808" t="s">
        <v>99</v>
      </c>
      <c r="K12808" t="s">
        <v>99</v>
      </c>
      <c r="L12808" t="s">
        <v>99</v>
      </c>
      <c r="M12808" t="s">
        <v>99</v>
      </c>
      <c r="N12808" t="s">
        <v>99</v>
      </c>
      <c r="O12808" t="s">
        <v>99</v>
      </c>
    </row>
    <row r="12809" spans="1:15" s="5" customFormat="1" x14ac:dyDescent="0.3">
      <c r="A12809" s="5" t="s">
        <v>33</v>
      </c>
      <c r="B12809" s="5" t="s">
        <v>389</v>
      </c>
      <c r="C12809" s="5">
        <v>1</v>
      </c>
      <c r="D12809" s="5" t="s">
        <v>99</v>
      </c>
      <c r="E12809" s="5" t="s">
        <v>211</v>
      </c>
      <c r="F12809" s="5" t="s">
        <v>99</v>
      </c>
      <c r="G12809" s="5" t="s">
        <v>99</v>
      </c>
      <c r="H12809" s="5" t="s">
        <v>99</v>
      </c>
      <c r="I12809" s="5" t="s">
        <v>99</v>
      </c>
      <c r="J12809" s="5" t="s">
        <v>99</v>
      </c>
      <c r="K12809" s="5" t="s">
        <v>99</v>
      </c>
      <c r="L12809" s="5" t="s">
        <v>99</v>
      </c>
      <c r="M12809" s="5" t="s">
        <v>99</v>
      </c>
      <c r="N12809" s="5" t="s">
        <v>99</v>
      </c>
      <c r="O12809" s="5" t="s">
        <v>99</v>
      </c>
    </row>
    <row r="12810" spans="1:15" s="5" customFormat="1" x14ac:dyDescent="0.3">
      <c r="A12810" s="5" t="s">
        <v>49</v>
      </c>
      <c r="B12810" s="5" t="s">
        <v>389</v>
      </c>
      <c r="C12810" s="5">
        <v>10</v>
      </c>
      <c r="D12810" s="5" t="s">
        <v>99</v>
      </c>
      <c r="E12810" s="5" t="s">
        <v>784</v>
      </c>
      <c r="F12810" s="5" t="s">
        <v>299</v>
      </c>
      <c r="G12810" s="5" t="s">
        <v>420</v>
      </c>
      <c r="H12810" s="5" t="s">
        <v>99</v>
      </c>
      <c r="I12810" s="5" t="s">
        <v>99</v>
      </c>
      <c r="J12810" s="5" t="s">
        <v>99</v>
      </c>
      <c r="K12810" s="5" t="s">
        <v>99</v>
      </c>
      <c r="L12810" s="5" t="s">
        <v>99</v>
      </c>
      <c r="M12810" s="5" t="s">
        <v>122</v>
      </c>
      <c r="N12810" s="5" t="s">
        <v>99</v>
      </c>
      <c r="O12810" s="5" t="s">
        <v>99</v>
      </c>
    </row>
    <row r="12811" spans="1:15" s="5" customFormat="1" x14ac:dyDescent="0.3">
      <c r="A12811" s="5" t="s">
        <v>49</v>
      </c>
      <c r="B12811" s="5" t="s">
        <v>390</v>
      </c>
      <c r="C12811" s="5">
        <v>6</v>
      </c>
      <c r="D12811" s="5" t="s">
        <v>99</v>
      </c>
      <c r="E12811" s="5" t="s">
        <v>403</v>
      </c>
      <c r="F12811" s="5" t="s">
        <v>99</v>
      </c>
      <c r="G12811" s="5" t="s">
        <v>99</v>
      </c>
      <c r="H12811" s="5" t="s">
        <v>99</v>
      </c>
      <c r="I12811" s="5" t="s">
        <v>99</v>
      </c>
      <c r="J12811" s="5" t="s">
        <v>99</v>
      </c>
      <c r="K12811" s="5" t="s">
        <v>136</v>
      </c>
      <c r="L12811" s="5" t="s">
        <v>113</v>
      </c>
      <c r="M12811" s="5" t="s">
        <v>99</v>
      </c>
      <c r="N12811" s="5" t="s">
        <v>99</v>
      </c>
      <c r="O12811" s="5" t="s">
        <v>99</v>
      </c>
    </row>
    <row r="12812" spans="1:15" x14ac:dyDescent="0.3">
      <c r="A12812" t="s">
        <v>49</v>
      </c>
      <c r="B12812" t="s">
        <v>365</v>
      </c>
      <c r="C12812">
        <v>2</v>
      </c>
      <c r="D12812" t="s">
        <v>99</v>
      </c>
      <c r="E12812" t="s">
        <v>211</v>
      </c>
      <c r="F12812" t="s">
        <v>1706</v>
      </c>
      <c r="G12812" t="s">
        <v>1706</v>
      </c>
      <c r="H12812" t="s">
        <v>99</v>
      </c>
      <c r="I12812" t="s">
        <v>99</v>
      </c>
      <c r="J12812" t="s">
        <v>99</v>
      </c>
      <c r="K12812" t="s">
        <v>99</v>
      </c>
      <c r="L12812" t="s">
        <v>99</v>
      </c>
      <c r="M12812" t="s">
        <v>99</v>
      </c>
      <c r="N12812" t="s">
        <v>99</v>
      </c>
      <c r="O12812" t="s">
        <v>99</v>
      </c>
    </row>
    <row r="12814" spans="1:15" x14ac:dyDescent="0.3">
      <c r="A12814" t="s">
        <v>2856</v>
      </c>
    </row>
    <row r="12815" spans="1:15" x14ac:dyDescent="0.3">
      <c r="A12815" t="s">
        <v>44</v>
      </c>
      <c r="B12815" t="s">
        <v>388</v>
      </c>
      <c r="C12815" t="s">
        <v>32</v>
      </c>
      <c r="D12815" t="s">
        <v>2834</v>
      </c>
      <c r="E12815" t="s">
        <v>2835</v>
      </c>
      <c r="F12815" t="s">
        <v>2836</v>
      </c>
      <c r="G12815" t="s">
        <v>2837</v>
      </c>
      <c r="H12815" t="s">
        <v>2838</v>
      </c>
      <c r="I12815" t="s">
        <v>2839</v>
      </c>
      <c r="J12815" t="s">
        <v>2840</v>
      </c>
      <c r="K12815" t="s">
        <v>2841</v>
      </c>
      <c r="L12815" t="s">
        <v>2842</v>
      </c>
      <c r="M12815" t="s">
        <v>2843</v>
      </c>
      <c r="N12815" t="s">
        <v>193</v>
      </c>
      <c r="O12815" t="s">
        <v>1275</v>
      </c>
    </row>
    <row r="12816" spans="1:15" x14ac:dyDescent="0.3">
      <c r="A12816" t="s">
        <v>35</v>
      </c>
      <c r="B12816" t="s">
        <v>365</v>
      </c>
    </row>
    <row r="12817" spans="1:15" x14ac:dyDescent="0.3">
      <c r="A12817" t="s">
        <v>37</v>
      </c>
      <c r="B12817" t="s">
        <v>365</v>
      </c>
    </row>
    <row r="12818" spans="1:15" s="5" customFormat="1" x14ac:dyDescent="0.3">
      <c r="A12818" s="5" t="s">
        <v>36</v>
      </c>
      <c r="B12818" s="5" t="s">
        <v>389</v>
      </c>
      <c r="C12818" s="5">
        <v>2</v>
      </c>
      <c r="D12818" s="5" t="s">
        <v>861</v>
      </c>
      <c r="E12818" s="5" t="s">
        <v>860</v>
      </c>
      <c r="F12818" s="5" t="s">
        <v>99</v>
      </c>
      <c r="G12818" s="5" t="s">
        <v>99</v>
      </c>
      <c r="H12818" s="5" t="s">
        <v>99</v>
      </c>
      <c r="I12818" s="5" t="s">
        <v>99</v>
      </c>
      <c r="J12818" s="5" t="s">
        <v>99</v>
      </c>
      <c r="K12818" s="5" t="s">
        <v>99</v>
      </c>
      <c r="L12818" s="5" t="s">
        <v>99</v>
      </c>
      <c r="M12818" s="5" t="s">
        <v>99</v>
      </c>
      <c r="N12818" s="5" t="s">
        <v>99</v>
      </c>
      <c r="O12818" s="5" t="s">
        <v>99</v>
      </c>
    </row>
    <row r="12819" spans="1:15" s="5" customFormat="1" x14ac:dyDescent="0.3">
      <c r="A12819" s="5" t="s">
        <v>36</v>
      </c>
      <c r="B12819" s="5" t="s">
        <v>390</v>
      </c>
      <c r="C12819" s="5">
        <v>1</v>
      </c>
      <c r="D12819" s="5" t="s">
        <v>99</v>
      </c>
      <c r="E12819" s="5" t="s">
        <v>99</v>
      </c>
      <c r="F12819" s="5" t="s">
        <v>99</v>
      </c>
      <c r="G12819" s="5" t="s">
        <v>99</v>
      </c>
      <c r="H12819" s="5" t="s">
        <v>99</v>
      </c>
      <c r="I12819" s="5" t="s">
        <v>211</v>
      </c>
      <c r="J12819" s="5" t="s">
        <v>99</v>
      </c>
      <c r="K12819" s="5" t="s">
        <v>99</v>
      </c>
      <c r="L12819" s="5" t="s">
        <v>99</v>
      </c>
      <c r="M12819" s="5" t="s">
        <v>99</v>
      </c>
      <c r="N12819" s="5" t="s">
        <v>99</v>
      </c>
      <c r="O12819" s="5" t="s">
        <v>99</v>
      </c>
    </row>
    <row r="12820" spans="1:15" x14ac:dyDescent="0.3">
      <c r="A12820" t="s">
        <v>34</v>
      </c>
      <c r="B12820" t="s">
        <v>365</v>
      </c>
    </row>
    <row r="12821" spans="1:15" x14ac:dyDescent="0.3">
      <c r="A12821" t="s">
        <v>33</v>
      </c>
      <c r="B12821" t="s">
        <v>365</v>
      </c>
    </row>
    <row r="12822" spans="1:15" s="5" customFormat="1" x14ac:dyDescent="0.3">
      <c r="A12822" s="5" t="s">
        <v>49</v>
      </c>
      <c r="B12822" s="5" t="s">
        <v>389</v>
      </c>
      <c r="C12822" s="5">
        <v>2</v>
      </c>
      <c r="D12822" s="5" t="s">
        <v>861</v>
      </c>
      <c r="E12822" s="5" t="s">
        <v>860</v>
      </c>
      <c r="F12822" s="5" t="s">
        <v>99</v>
      </c>
      <c r="G12822" s="5" t="s">
        <v>99</v>
      </c>
      <c r="H12822" s="5" t="s">
        <v>99</v>
      </c>
      <c r="I12822" s="5" t="s">
        <v>99</v>
      </c>
      <c r="J12822" s="5" t="s">
        <v>99</v>
      </c>
      <c r="K12822" s="5" t="s">
        <v>99</v>
      </c>
      <c r="L12822" s="5" t="s">
        <v>99</v>
      </c>
      <c r="M12822" s="5" t="s">
        <v>99</v>
      </c>
      <c r="N12822" s="5" t="s">
        <v>99</v>
      </c>
      <c r="O12822" s="5" t="s">
        <v>99</v>
      </c>
    </row>
    <row r="12823" spans="1:15" s="5" customFormat="1" x14ac:dyDescent="0.3">
      <c r="A12823" s="5" t="s">
        <v>49</v>
      </c>
      <c r="B12823" s="5" t="s">
        <v>390</v>
      </c>
      <c r="C12823" s="5">
        <v>1</v>
      </c>
      <c r="D12823" s="5" t="s">
        <v>99</v>
      </c>
      <c r="E12823" s="5" t="s">
        <v>99</v>
      </c>
      <c r="F12823" s="5" t="s">
        <v>99</v>
      </c>
      <c r="G12823" s="5" t="s">
        <v>99</v>
      </c>
      <c r="H12823" s="5" t="s">
        <v>99</v>
      </c>
      <c r="I12823" s="5" t="s">
        <v>211</v>
      </c>
      <c r="J12823" s="5" t="s">
        <v>99</v>
      </c>
      <c r="K12823" s="5" t="s">
        <v>99</v>
      </c>
      <c r="L12823" s="5" t="s">
        <v>99</v>
      </c>
      <c r="M12823" s="5" t="s">
        <v>99</v>
      </c>
      <c r="N12823" s="5" t="s">
        <v>99</v>
      </c>
      <c r="O12823" s="5" t="s">
        <v>99</v>
      </c>
    </row>
    <row r="12825" spans="1:15" x14ac:dyDescent="0.3">
      <c r="A12825" t="s">
        <v>2857</v>
      </c>
    </row>
    <row r="12826" spans="1:15" x14ac:dyDescent="0.3">
      <c r="A12826" t="s">
        <v>44</v>
      </c>
      <c r="B12826" t="s">
        <v>235</v>
      </c>
      <c r="C12826" t="s">
        <v>32</v>
      </c>
      <c r="D12826" t="s">
        <v>2834</v>
      </c>
      <c r="E12826" t="s">
        <v>2835</v>
      </c>
      <c r="F12826" t="s">
        <v>2836</v>
      </c>
      <c r="G12826" t="s">
        <v>2837</v>
      </c>
      <c r="H12826" t="s">
        <v>2838</v>
      </c>
      <c r="I12826" t="s">
        <v>2839</v>
      </c>
      <c r="J12826" t="s">
        <v>2840</v>
      </c>
      <c r="K12826" t="s">
        <v>2841</v>
      </c>
      <c r="L12826" t="s">
        <v>2842</v>
      </c>
      <c r="M12826" t="s">
        <v>2843</v>
      </c>
      <c r="N12826" t="s">
        <v>193</v>
      </c>
      <c r="O12826" t="s">
        <v>1275</v>
      </c>
    </row>
    <row r="12827" spans="1:15" s="5" customFormat="1" x14ac:dyDescent="0.3">
      <c r="A12827" s="5" t="s">
        <v>35</v>
      </c>
      <c r="B12827" s="5" t="s">
        <v>236</v>
      </c>
      <c r="C12827" s="5">
        <v>3</v>
      </c>
      <c r="D12827" s="5" t="s">
        <v>211</v>
      </c>
      <c r="E12827" s="5" t="s">
        <v>809</v>
      </c>
      <c r="F12827" s="5" t="s">
        <v>99</v>
      </c>
      <c r="G12827" s="5" t="s">
        <v>99</v>
      </c>
      <c r="H12827" s="5" t="s">
        <v>99</v>
      </c>
      <c r="I12827" s="5" t="s">
        <v>99</v>
      </c>
      <c r="J12827" s="5" t="s">
        <v>99</v>
      </c>
      <c r="K12827" s="5" t="s">
        <v>99</v>
      </c>
      <c r="L12827" s="5" t="s">
        <v>99</v>
      </c>
      <c r="M12827" s="5" t="s">
        <v>99</v>
      </c>
      <c r="N12827" s="5" t="s">
        <v>99</v>
      </c>
      <c r="O12827" s="5" t="s">
        <v>99</v>
      </c>
    </row>
    <row r="12828" spans="1:15" s="5" customFormat="1" x14ac:dyDescent="0.3">
      <c r="A12828" s="5" t="s">
        <v>35</v>
      </c>
      <c r="B12828" s="5" t="s">
        <v>238</v>
      </c>
      <c r="C12828" s="5">
        <v>11</v>
      </c>
      <c r="D12828" s="5" t="s">
        <v>952</v>
      </c>
      <c r="E12828" s="5" t="s">
        <v>1012</v>
      </c>
      <c r="F12828" s="5" t="s">
        <v>717</v>
      </c>
      <c r="G12828" s="5" t="s">
        <v>99</v>
      </c>
      <c r="H12828" s="5" t="s">
        <v>139</v>
      </c>
      <c r="I12828" s="5" t="s">
        <v>680</v>
      </c>
      <c r="J12828" s="5" t="s">
        <v>99</v>
      </c>
      <c r="K12828" s="5" t="s">
        <v>99</v>
      </c>
      <c r="L12828" s="5" t="s">
        <v>99</v>
      </c>
      <c r="M12828" s="5" t="s">
        <v>316</v>
      </c>
      <c r="N12828" s="5" t="s">
        <v>99</v>
      </c>
      <c r="O12828" s="5" t="s">
        <v>99</v>
      </c>
    </row>
    <row r="12829" spans="1:15" s="5" customFormat="1" x14ac:dyDescent="0.3">
      <c r="A12829" s="5" t="s">
        <v>37</v>
      </c>
      <c r="B12829" s="5" t="s">
        <v>236</v>
      </c>
      <c r="C12829" s="5">
        <v>2</v>
      </c>
      <c r="D12829" s="5" t="s">
        <v>211</v>
      </c>
      <c r="E12829" s="5" t="s">
        <v>211</v>
      </c>
      <c r="F12829" s="5" t="s">
        <v>1116</v>
      </c>
      <c r="G12829" s="5" t="s">
        <v>99</v>
      </c>
      <c r="H12829" s="5" t="s">
        <v>99</v>
      </c>
      <c r="I12829" s="5" t="s">
        <v>99</v>
      </c>
      <c r="J12829" s="5" t="s">
        <v>99</v>
      </c>
      <c r="K12829" s="5" t="s">
        <v>99</v>
      </c>
      <c r="L12829" s="5" t="s">
        <v>99</v>
      </c>
      <c r="M12829" s="5" t="s">
        <v>99</v>
      </c>
      <c r="N12829" s="5" t="s">
        <v>99</v>
      </c>
      <c r="O12829" s="5" t="s">
        <v>99</v>
      </c>
    </row>
    <row r="12830" spans="1:15" s="5" customFormat="1" x14ac:dyDescent="0.3">
      <c r="A12830" s="5" t="s">
        <v>37</v>
      </c>
      <c r="B12830" s="5" t="s">
        <v>238</v>
      </c>
      <c r="C12830" s="5">
        <v>4</v>
      </c>
      <c r="D12830" s="5" t="s">
        <v>211</v>
      </c>
      <c r="E12830" s="5" t="s">
        <v>1155</v>
      </c>
      <c r="F12830" s="5" t="s">
        <v>99</v>
      </c>
      <c r="G12830" s="5" t="s">
        <v>99</v>
      </c>
      <c r="H12830" s="5" t="s">
        <v>719</v>
      </c>
      <c r="I12830" s="5" t="s">
        <v>370</v>
      </c>
      <c r="J12830" s="5" t="s">
        <v>99</v>
      </c>
      <c r="K12830" s="5" t="s">
        <v>99</v>
      </c>
      <c r="L12830" s="5" t="s">
        <v>99</v>
      </c>
      <c r="M12830" s="5" t="s">
        <v>99</v>
      </c>
      <c r="N12830" s="5" t="s">
        <v>99</v>
      </c>
      <c r="O12830" s="5" t="s">
        <v>99</v>
      </c>
    </row>
    <row r="12831" spans="1:15" s="5" customFormat="1" x14ac:dyDescent="0.3">
      <c r="A12831" s="5" t="s">
        <v>36</v>
      </c>
      <c r="B12831" s="5" t="s">
        <v>236</v>
      </c>
      <c r="C12831" s="5">
        <v>29</v>
      </c>
      <c r="D12831" s="5" t="s">
        <v>1233</v>
      </c>
      <c r="E12831" s="5" t="s">
        <v>681</v>
      </c>
      <c r="F12831" s="5" t="s">
        <v>499</v>
      </c>
      <c r="G12831" s="5" t="s">
        <v>120</v>
      </c>
      <c r="H12831" s="5" t="s">
        <v>542</v>
      </c>
      <c r="I12831" s="5" t="s">
        <v>434</v>
      </c>
      <c r="J12831" s="5" t="s">
        <v>99</v>
      </c>
      <c r="K12831" s="5" t="s">
        <v>145</v>
      </c>
      <c r="L12831" s="5" t="s">
        <v>99</v>
      </c>
      <c r="M12831" s="5" t="s">
        <v>408</v>
      </c>
      <c r="N12831" s="5" t="s">
        <v>99</v>
      </c>
      <c r="O12831" s="5" t="s">
        <v>99</v>
      </c>
    </row>
    <row r="12832" spans="1:15" s="5" customFormat="1" x14ac:dyDescent="0.3">
      <c r="A12832" s="5" t="s">
        <v>36</v>
      </c>
      <c r="B12832" s="5" t="s">
        <v>238</v>
      </c>
      <c r="C12832" s="5">
        <v>25</v>
      </c>
      <c r="D12832" s="5" t="s">
        <v>1480</v>
      </c>
      <c r="E12832" s="5" t="s">
        <v>919</v>
      </c>
      <c r="F12832" s="5" t="s">
        <v>619</v>
      </c>
      <c r="G12832" s="5" t="s">
        <v>99</v>
      </c>
      <c r="H12832" s="5" t="s">
        <v>817</v>
      </c>
      <c r="I12832" s="5" t="s">
        <v>54</v>
      </c>
      <c r="J12832" s="5" t="s">
        <v>682</v>
      </c>
      <c r="K12832" s="5" t="s">
        <v>298</v>
      </c>
      <c r="L12832" s="5" t="s">
        <v>54</v>
      </c>
      <c r="M12832" s="5" t="s">
        <v>99</v>
      </c>
      <c r="N12832" s="5" t="s">
        <v>99</v>
      </c>
      <c r="O12832" s="5" t="s">
        <v>99</v>
      </c>
    </row>
    <row r="12833" spans="1:15" s="5" customFormat="1" x14ac:dyDescent="0.3">
      <c r="A12833" s="5" t="s">
        <v>34</v>
      </c>
      <c r="B12833" s="5" t="s">
        <v>236</v>
      </c>
      <c r="C12833" s="5">
        <v>3</v>
      </c>
      <c r="D12833" s="5" t="s">
        <v>1231</v>
      </c>
      <c r="E12833" s="5" t="s">
        <v>1231</v>
      </c>
      <c r="F12833" s="5" t="s">
        <v>99</v>
      </c>
      <c r="G12833" s="5" t="s">
        <v>99</v>
      </c>
      <c r="H12833" s="5" t="s">
        <v>99</v>
      </c>
      <c r="I12833" s="5" t="s">
        <v>99</v>
      </c>
      <c r="J12833" s="5" t="s">
        <v>99</v>
      </c>
      <c r="K12833" s="5" t="s">
        <v>786</v>
      </c>
      <c r="L12833" s="5" t="s">
        <v>99</v>
      </c>
      <c r="M12833" s="5" t="s">
        <v>1118</v>
      </c>
      <c r="N12833" s="5" t="s">
        <v>99</v>
      </c>
      <c r="O12833" s="5" t="s">
        <v>99</v>
      </c>
    </row>
    <row r="12834" spans="1:15" x14ac:dyDescent="0.3">
      <c r="A12834" t="s">
        <v>34</v>
      </c>
      <c r="B12834" t="s">
        <v>238</v>
      </c>
      <c r="C12834">
        <v>32</v>
      </c>
      <c r="D12834" t="s">
        <v>601</v>
      </c>
      <c r="E12834" t="s">
        <v>740</v>
      </c>
      <c r="F12834" t="s">
        <v>542</v>
      </c>
      <c r="G12834" t="s">
        <v>157</v>
      </c>
      <c r="H12834" t="s">
        <v>1214</v>
      </c>
      <c r="I12834" t="s">
        <v>157</v>
      </c>
      <c r="J12834" t="s">
        <v>157</v>
      </c>
      <c r="K12834" t="s">
        <v>157</v>
      </c>
      <c r="L12834" t="s">
        <v>157</v>
      </c>
      <c r="M12834" t="s">
        <v>157</v>
      </c>
      <c r="N12834" t="s">
        <v>157</v>
      </c>
      <c r="O12834" t="s">
        <v>99</v>
      </c>
    </row>
    <row r="12835" spans="1:15" x14ac:dyDescent="0.3">
      <c r="A12835" t="s">
        <v>33</v>
      </c>
      <c r="B12835" t="s">
        <v>365</v>
      </c>
    </row>
    <row r="12836" spans="1:15" x14ac:dyDescent="0.3">
      <c r="A12836" t="s">
        <v>49</v>
      </c>
      <c r="B12836" t="s">
        <v>236</v>
      </c>
      <c r="C12836">
        <v>37</v>
      </c>
      <c r="D12836" t="s">
        <v>455</v>
      </c>
      <c r="E12836" t="s">
        <v>619</v>
      </c>
      <c r="F12836" t="s">
        <v>321</v>
      </c>
      <c r="G12836" t="s">
        <v>101</v>
      </c>
      <c r="H12836" t="s">
        <v>248</v>
      </c>
      <c r="I12836" t="s">
        <v>151</v>
      </c>
      <c r="J12836" t="s">
        <v>99</v>
      </c>
      <c r="K12836" t="s">
        <v>647</v>
      </c>
      <c r="L12836" t="s">
        <v>99</v>
      </c>
      <c r="M12836" t="s">
        <v>802</v>
      </c>
      <c r="N12836" t="s">
        <v>99</v>
      </c>
      <c r="O12836" t="s">
        <v>99</v>
      </c>
    </row>
    <row r="12837" spans="1:15" x14ac:dyDescent="0.3">
      <c r="A12837" t="s">
        <v>49</v>
      </c>
      <c r="B12837" t="s">
        <v>238</v>
      </c>
      <c r="C12837">
        <v>72</v>
      </c>
      <c r="D12837" t="s">
        <v>589</v>
      </c>
      <c r="E12837" t="s">
        <v>565</v>
      </c>
      <c r="F12837" t="s">
        <v>517</v>
      </c>
      <c r="G12837" t="s">
        <v>319</v>
      </c>
      <c r="H12837" t="s">
        <v>715</v>
      </c>
      <c r="I12837" t="s">
        <v>287</v>
      </c>
      <c r="J12837" t="s">
        <v>325</v>
      </c>
      <c r="K12837" t="s">
        <v>139</v>
      </c>
      <c r="L12837" t="s">
        <v>468</v>
      </c>
      <c r="M12837" t="s">
        <v>268</v>
      </c>
      <c r="N12837" t="s">
        <v>319</v>
      </c>
      <c r="O12837" t="s">
        <v>99</v>
      </c>
    </row>
    <row r="12839" spans="1:15" x14ac:dyDescent="0.3">
      <c r="A12839" t="s">
        <v>2858</v>
      </c>
    </row>
    <row r="12840" spans="1:15" x14ac:dyDescent="0.3">
      <c r="A12840" t="s">
        <v>44</v>
      </c>
      <c r="B12840" t="s">
        <v>235</v>
      </c>
      <c r="C12840" t="s">
        <v>32</v>
      </c>
      <c r="D12840" t="s">
        <v>2834</v>
      </c>
      <c r="E12840" t="s">
        <v>2835</v>
      </c>
      <c r="F12840" t="s">
        <v>2836</v>
      </c>
      <c r="G12840" t="s">
        <v>2837</v>
      </c>
      <c r="H12840" t="s">
        <v>2838</v>
      </c>
      <c r="I12840" t="s">
        <v>2839</v>
      </c>
      <c r="J12840" t="s">
        <v>2840</v>
      </c>
      <c r="K12840" t="s">
        <v>2841</v>
      </c>
      <c r="L12840" t="s">
        <v>2842</v>
      </c>
      <c r="M12840" t="s">
        <v>2843</v>
      </c>
      <c r="N12840" t="s">
        <v>193</v>
      </c>
      <c r="O12840" t="s">
        <v>1275</v>
      </c>
    </row>
    <row r="12841" spans="1:15" x14ac:dyDescent="0.3">
      <c r="A12841" t="s">
        <v>35</v>
      </c>
      <c r="B12841" t="s">
        <v>365</v>
      </c>
    </row>
    <row r="12842" spans="1:15" x14ac:dyDescent="0.3">
      <c r="A12842" t="s">
        <v>37</v>
      </c>
      <c r="B12842" t="s">
        <v>365</v>
      </c>
    </row>
    <row r="12843" spans="1:15" s="5" customFormat="1" x14ac:dyDescent="0.3">
      <c r="A12843" s="5" t="s">
        <v>36</v>
      </c>
      <c r="B12843" s="5" t="s">
        <v>236</v>
      </c>
      <c r="C12843" s="5">
        <v>3</v>
      </c>
      <c r="D12843" s="5" t="s">
        <v>99</v>
      </c>
      <c r="E12843" s="5" t="s">
        <v>211</v>
      </c>
      <c r="F12843" s="5" t="s">
        <v>99</v>
      </c>
      <c r="G12843" s="5" t="s">
        <v>99</v>
      </c>
      <c r="H12843" s="5" t="s">
        <v>99</v>
      </c>
      <c r="I12843" s="5" t="s">
        <v>112</v>
      </c>
      <c r="J12843" s="5" t="s">
        <v>183</v>
      </c>
      <c r="K12843" s="5" t="s">
        <v>99</v>
      </c>
      <c r="L12843" s="5" t="s">
        <v>99</v>
      </c>
      <c r="M12843" s="5" t="s">
        <v>183</v>
      </c>
      <c r="N12843" s="5" t="s">
        <v>99</v>
      </c>
      <c r="O12843" s="5" t="s">
        <v>99</v>
      </c>
    </row>
    <row r="12844" spans="1:15" s="5" customFormat="1" x14ac:dyDescent="0.3">
      <c r="A12844" s="5" t="s">
        <v>36</v>
      </c>
      <c r="B12844" s="5" t="s">
        <v>238</v>
      </c>
      <c r="C12844" s="5">
        <v>2</v>
      </c>
      <c r="D12844" s="5" t="s">
        <v>909</v>
      </c>
      <c r="E12844" s="5" t="s">
        <v>909</v>
      </c>
      <c r="F12844" s="5" t="s">
        <v>99</v>
      </c>
      <c r="G12844" s="5" t="s">
        <v>99</v>
      </c>
      <c r="H12844" s="5" t="s">
        <v>99</v>
      </c>
      <c r="I12844" s="5" t="s">
        <v>99</v>
      </c>
      <c r="J12844" s="5" t="s">
        <v>99</v>
      </c>
      <c r="K12844" s="5" t="s">
        <v>99</v>
      </c>
      <c r="L12844" s="5" t="s">
        <v>99</v>
      </c>
      <c r="M12844" s="5" t="s">
        <v>99</v>
      </c>
      <c r="N12844" s="5" t="s">
        <v>99</v>
      </c>
      <c r="O12844" s="5" t="s">
        <v>99</v>
      </c>
    </row>
    <row r="12845" spans="1:15" s="5" customFormat="1" x14ac:dyDescent="0.3">
      <c r="A12845" s="5" t="s">
        <v>34</v>
      </c>
      <c r="B12845" s="5" t="s">
        <v>238</v>
      </c>
      <c r="C12845" s="5">
        <v>1</v>
      </c>
      <c r="D12845" s="5" t="s">
        <v>99</v>
      </c>
      <c r="E12845" s="5" t="s">
        <v>211</v>
      </c>
      <c r="F12845" s="5" t="s">
        <v>99</v>
      </c>
      <c r="G12845" s="5" t="s">
        <v>99</v>
      </c>
      <c r="H12845" s="5" t="s">
        <v>99</v>
      </c>
      <c r="I12845" s="5" t="s">
        <v>99</v>
      </c>
      <c r="J12845" s="5" t="s">
        <v>99</v>
      </c>
      <c r="K12845" s="5" t="s">
        <v>99</v>
      </c>
      <c r="L12845" s="5" t="s">
        <v>99</v>
      </c>
      <c r="M12845" s="5" t="s">
        <v>99</v>
      </c>
      <c r="N12845" s="5" t="s">
        <v>99</v>
      </c>
      <c r="O12845" s="5" t="s">
        <v>99</v>
      </c>
    </row>
    <row r="12846" spans="1:15" x14ac:dyDescent="0.3">
      <c r="A12846" t="s">
        <v>33</v>
      </c>
      <c r="B12846" t="s">
        <v>365</v>
      </c>
    </row>
    <row r="12847" spans="1:15" s="5" customFormat="1" x14ac:dyDescent="0.3">
      <c r="A12847" s="5" t="s">
        <v>49</v>
      </c>
      <c r="B12847" s="5" t="s">
        <v>236</v>
      </c>
      <c r="C12847" s="5">
        <v>3</v>
      </c>
      <c r="D12847" s="5" t="s">
        <v>99</v>
      </c>
      <c r="E12847" s="5" t="s">
        <v>211</v>
      </c>
      <c r="F12847" s="5" t="s">
        <v>99</v>
      </c>
      <c r="G12847" s="5" t="s">
        <v>99</v>
      </c>
      <c r="H12847" s="5" t="s">
        <v>99</v>
      </c>
      <c r="I12847" s="5" t="s">
        <v>112</v>
      </c>
      <c r="J12847" s="5" t="s">
        <v>183</v>
      </c>
      <c r="K12847" s="5" t="s">
        <v>99</v>
      </c>
      <c r="L12847" s="5" t="s">
        <v>99</v>
      </c>
      <c r="M12847" s="5" t="s">
        <v>183</v>
      </c>
      <c r="N12847" s="5" t="s">
        <v>99</v>
      </c>
      <c r="O12847" s="5" t="s">
        <v>99</v>
      </c>
    </row>
    <row r="12848" spans="1:15" s="5" customFormat="1" x14ac:dyDescent="0.3">
      <c r="A12848" s="5" t="s">
        <v>49</v>
      </c>
      <c r="B12848" s="5" t="s">
        <v>238</v>
      </c>
      <c r="C12848" s="5">
        <v>3</v>
      </c>
      <c r="D12848" s="5" t="s">
        <v>725</v>
      </c>
      <c r="E12848" s="5" t="s">
        <v>1650</v>
      </c>
      <c r="F12848" s="5" t="s">
        <v>99</v>
      </c>
      <c r="G12848" s="5" t="s">
        <v>99</v>
      </c>
      <c r="H12848" s="5" t="s">
        <v>99</v>
      </c>
      <c r="I12848" s="5" t="s">
        <v>99</v>
      </c>
      <c r="J12848" s="5" t="s">
        <v>99</v>
      </c>
      <c r="K12848" s="5" t="s">
        <v>99</v>
      </c>
      <c r="L12848" s="5" t="s">
        <v>99</v>
      </c>
      <c r="M12848" s="5" t="s">
        <v>99</v>
      </c>
      <c r="N12848" s="5" t="s">
        <v>99</v>
      </c>
      <c r="O12848" s="5" t="s">
        <v>99</v>
      </c>
    </row>
    <row r="12850" spans="1:15" x14ac:dyDescent="0.3">
      <c r="A12850" t="s">
        <v>2859</v>
      </c>
    </row>
    <row r="12851" spans="1:15" x14ac:dyDescent="0.3">
      <c r="A12851" t="s">
        <v>44</v>
      </c>
      <c r="B12851" t="s">
        <v>235</v>
      </c>
      <c r="C12851" t="s">
        <v>32</v>
      </c>
      <c r="D12851" t="s">
        <v>2834</v>
      </c>
      <c r="E12851" t="s">
        <v>2835</v>
      </c>
      <c r="F12851" t="s">
        <v>2836</v>
      </c>
      <c r="G12851" t="s">
        <v>2837</v>
      </c>
      <c r="H12851" t="s">
        <v>2838</v>
      </c>
      <c r="I12851" t="s">
        <v>2839</v>
      </c>
      <c r="J12851" t="s">
        <v>2840</v>
      </c>
      <c r="K12851" t="s">
        <v>2841</v>
      </c>
      <c r="L12851" t="s">
        <v>2842</v>
      </c>
      <c r="M12851" t="s">
        <v>2843</v>
      </c>
      <c r="N12851" t="s">
        <v>193</v>
      </c>
      <c r="O12851" t="s">
        <v>1275</v>
      </c>
    </row>
    <row r="12852" spans="1:15" s="5" customFormat="1" x14ac:dyDescent="0.3">
      <c r="A12852" s="5" t="s">
        <v>35</v>
      </c>
      <c r="B12852" s="5" t="s">
        <v>236</v>
      </c>
      <c r="C12852" s="5">
        <v>1</v>
      </c>
      <c r="D12852" s="5" t="s">
        <v>99</v>
      </c>
      <c r="E12852" s="5" t="s">
        <v>99</v>
      </c>
      <c r="F12852" s="5" t="s">
        <v>99</v>
      </c>
      <c r="G12852" s="5" t="s">
        <v>99</v>
      </c>
      <c r="H12852" s="5" t="s">
        <v>211</v>
      </c>
      <c r="I12852" s="5" t="s">
        <v>99</v>
      </c>
      <c r="J12852" s="5" t="s">
        <v>99</v>
      </c>
      <c r="K12852" s="5" t="s">
        <v>99</v>
      </c>
      <c r="L12852" s="5" t="s">
        <v>99</v>
      </c>
      <c r="M12852" s="5" t="s">
        <v>99</v>
      </c>
      <c r="N12852" s="5" t="s">
        <v>99</v>
      </c>
      <c r="O12852" s="5" t="s">
        <v>99</v>
      </c>
    </row>
    <row r="12853" spans="1:15" s="5" customFormat="1" x14ac:dyDescent="0.3">
      <c r="A12853" s="5" t="s">
        <v>35</v>
      </c>
      <c r="B12853" s="5" t="s">
        <v>238</v>
      </c>
      <c r="C12853" s="5">
        <v>1</v>
      </c>
      <c r="D12853" s="5" t="s">
        <v>99</v>
      </c>
      <c r="E12853" s="5" t="s">
        <v>99</v>
      </c>
      <c r="F12853" s="5" t="s">
        <v>99</v>
      </c>
      <c r="G12853" s="5" t="s">
        <v>99</v>
      </c>
      <c r="H12853" s="5" t="s">
        <v>211</v>
      </c>
      <c r="I12853" s="5" t="s">
        <v>99</v>
      </c>
      <c r="J12853" s="5" t="s">
        <v>99</v>
      </c>
      <c r="K12853" s="5" t="s">
        <v>99</v>
      </c>
      <c r="L12853" s="5" t="s">
        <v>99</v>
      </c>
      <c r="M12853" s="5" t="s">
        <v>99</v>
      </c>
      <c r="N12853" s="5" t="s">
        <v>99</v>
      </c>
      <c r="O12853" s="5" t="s">
        <v>99</v>
      </c>
    </row>
    <row r="12854" spans="1:15" x14ac:dyDescent="0.3">
      <c r="A12854" t="s">
        <v>37</v>
      </c>
      <c r="B12854" t="s">
        <v>365</v>
      </c>
    </row>
    <row r="12855" spans="1:15" x14ac:dyDescent="0.3">
      <c r="A12855" t="s">
        <v>36</v>
      </c>
      <c r="B12855" t="s">
        <v>365</v>
      </c>
    </row>
    <row r="12856" spans="1:15" s="5" customFormat="1" x14ac:dyDescent="0.3">
      <c r="A12856" s="5" t="s">
        <v>34</v>
      </c>
      <c r="B12856" s="5" t="s">
        <v>238</v>
      </c>
      <c r="C12856" s="5">
        <v>3</v>
      </c>
      <c r="D12856" s="5" t="s">
        <v>614</v>
      </c>
      <c r="E12856" s="5" t="s">
        <v>99</v>
      </c>
      <c r="F12856" s="5" t="s">
        <v>99</v>
      </c>
      <c r="G12856" s="5" t="s">
        <v>99</v>
      </c>
      <c r="H12856" s="5" t="s">
        <v>556</v>
      </c>
      <c r="I12856" s="5" t="s">
        <v>99</v>
      </c>
      <c r="J12856" s="5" t="s">
        <v>99</v>
      </c>
      <c r="K12856" s="5" t="s">
        <v>99</v>
      </c>
      <c r="L12856" s="5" t="s">
        <v>99</v>
      </c>
      <c r="M12856" s="5" t="s">
        <v>99</v>
      </c>
      <c r="N12856" s="5" t="s">
        <v>99</v>
      </c>
      <c r="O12856" s="5" t="s">
        <v>99</v>
      </c>
    </row>
    <row r="12857" spans="1:15" x14ac:dyDescent="0.3">
      <c r="A12857" t="s">
        <v>33</v>
      </c>
      <c r="B12857" t="s">
        <v>365</v>
      </c>
    </row>
    <row r="12858" spans="1:15" s="5" customFormat="1" x14ac:dyDescent="0.3">
      <c r="A12858" s="5" t="s">
        <v>49</v>
      </c>
      <c r="B12858" s="5" t="s">
        <v>236</v>
      </c>
      <c r="C12858" s="5">
        <v>1</v>
      </c>
      <c r="D12858" s="5" t="s">
        <v>99</v>
      </c>
      <c r="E12858" s="5" t="s">
        <v>99</v>
      </c>
      <c r="F12858" s="5" t="s">
        <v>99</v>
      </c>
      <c r="G12858" s="5" t="s">
        <v>99</v>
      </c>
      <c r="H12858" s="5" t="s">
        <v>211</v>
      </c>
      <c r="I12858" s="5" t="s">
        <v>99</v>
      </c>
      <c r="J12858" s="5" t="s">
        <v>99</v>
      </c>
      <c r="K12858" s="5" t="s">
        <v>99</v>
      </c>
      <c r="L12858" s="5" t="s">
        <v>99</v>
      </c>
      <c r="M12858" s="5" t="s">
        <v>99</v>
      </c>
      <c r="N12858" s="5" t="s">
        <v>99</v>
      </c>
      <c r="O12858" s="5" t="s">
        <v>99</v>
      </c>
    </row>
    <row r="12859" spans="1:15" s="5" customFormat="1" x14ac:dyDescent="0.3">
      <c r="A12859" s="5" t="s">
        <v>49</v>
      </c>
      <c r="B12859" s="5" t="s">
        <v>238</v>
      </c>
      <c r="C12859" s="5">
        <v>4</v>
      </c>
      <c r="D12859" s="5" t="s">
        <v>843</v>
      </c>
      <c r="E12859" s="5" t="s">
        <v>99</v>
      </c>
      <c r="F12859" s="5" t="s">
        <v>99</v>
      </c>
      <c r="G12859" s="5" t="s">
        <v>99</v>
      </c>
      <c r="H12859" s="5" t="s">
        <v>825</v>
      </c>
      <c r="I12859" s="5" t="s">
        <v>99</v>
      </c>
      <c r="J12859" s="5" t="s">
        <v>99</v>
      </c>
      <c r="K12859" s="5" t="s">
        <v>99</v>
      </c>
      <c r="L12859" s="5" t="s">
        <v>99</v>
      </c>
      <c r="M12859" s="5" t="s">
        <v>99</v>
      </c>
      <c r="N12859" s="5" t="s">
        <v>99</v>
      </c>
      <c r="O12859" s="5" t="s">
        <v>99</v>
      </c>
    </row>
    <row r="12861" spans="1:15" x14ac:dyDescent="0.3">
      <c r="A12861" t="s">
        <v>2860</v>
      </c>
    </row>
    <row r="12862" spans="1:15" x14ac:dyDescent="0.3">
      <c r="A12862" t="s">
        <v>44</v>
      </c>
      <c r="B12862" t="s">
        <v>235</v>
      </c>
      <c r="C12862" t="s">
        <v>32</v>
      </c>
      <c r="D12862" t="s">
        <v>2834</v>
      </c>
      <c r="E12862" t="s">
        <v>2835</v>
      </c>
      <c r="F12862" t="s">
        <v>2836</v>
      </c>
      <c r="G12862" t="s">
        <v>2837</v>
      </c>
      <c r="H12862" t="s">
        <v>2838</v>
      </c>
      <c r="I12862" t="s">
        <v>2839</v>
      </c>
      <c r="J12862" t="s">
        <v>2840</v>
      </c>
      <c r="K12862" t="s">
        <v>2841</v>
      </c>
      <c r="L12862" t="s">
        <v>2842</v>
      </c>
      <c r="M12862" t="s">
        <v>2843</v>
      </c>
      <c r="N12862" t="s">
        <v>193</v>
      </c>
      <c r="O12862" t="s">
        <v>1275</v>
      </c>
    </row>
    <row r="12863" spans="1:15" s="5" customFormat="1" x14ac:dyDescent="0.3">
      <c r="A12863" s="5" t="s">
        <v>35</v>
      </c>
      <c r="B12863" s="5" t="s">
        <v>238</v>
      </c>
      <c r="C12863" s="5">
        <v>2</v>
      </c>
      <c r="D12863" s="5" t="s">
        <v>639</v>
      </c>
      <c r="E12863" s="5" t="s">
        <v>638</v>
      </c>
      <c r="F12863" s="5" t="s">
        <v>99</v>
      </c>
      <c r="G12863" s="5" t="s">
        <v>99</v>
      </c>
      <c r="H12863" s="5" t="s">
        <v>638</v>
      </c>
      <c r="I12863" s="5" t="s">
        <v>99</v>
      </c>
      <c r="J12863" s="5" t="s">
        <v>99</v>
      </c>
      <c r="K12863" s="5" t="s">
        <v>99</v>
      </c>
      <c r="L12863" s="5" t="s">
        <v>99</v>
      </c>
      <c r="M12863" s="5" t="s">
        <v>99</v>
      </c>
      <c r="N12863" s="5" t="s">
        <v>99</v>
      </c>
      <c r="O12863" s="5" t="s">
        <v>99</v>
      </c>
    </row>
    <row r="12864" spans="1:15" x14ac:dyDescent="0.3">
      <c r="A12864" t="s">
        <v>37</v>
      </c>
      <c r="B12864" t="s">
        <v>365</v>
      </c>
    </row>
    <row r="12865" spans="1:15" s="5" customFormat="1" x14ac:dyDescent="0.3">
      <c r="A12865" s="5" t="s">
        <v>36</v>
      </c>
      <c r="B12865" s="5" t="s">
        <v>236</v>
      </c>
      <c r="C12865" s="5">
        <v>2</v>
      </c>
      <c r="D12865" s="5" t="s">
        <v>99</v>
      </c>
      <c r="E12865" s="5" t="s">
        <v>211</v>
      </c>
      <c r="F12865" s="5" t="s">
        <v>99</v>
      </c>
      <c r="G12865" s="5" t="s">
        <v>99</v>
      </c>
      <c r="H12865" s="5" t="s">
        <v>99</v>
      </c>
      <c r="I12865" s="5" t="s">
        <v>99</v>
      </c>
      <c r="J12865" s="5" t="s">
        <v>99</v>
      </c>
      <c r="K12865" s="5" t="s">
        <v>99</v>
      </c>
      <c r="L12865" s="5" t="s">
        <v>99</v>
      </c>
      <c r="M12865" s="5" t="s">
        <v>99</v>
      </c>
      <c r="N12865" s="5" t="s">
        <v>99</v>
      </c>
      <c r="O12865" s="5" t="s">
        <v>99</v>
      </c>
    </row>
    <row r="12866" spans="1:15" s="5" customFormat="1" x14ac:dyDescent="0.3">
      <c r="A12866" s="5" t="s">
        <v>36</v>
      </c>
      <c r="B12866" s="5" t="s">
        <v>238</v>
      </c>
      <c r="C12866" s="5">
        <v>1</v>
      </c>
      <c r="D12866" s="5" t="s">
        <v>99</v>
      </c>
      <c r="E12866" s="5" t="s">
        <v>211</v>
      </c>
      <c r="F12866" s="5" t="s">
        <v>211</v>
      </c>
      <c r="G12866" s="5" t="s">
        <v>99</v>
      </c>
      <c r="H12866" s="5" t="s">
        <v>99</v>
      </c>
      <c r="I12866" s="5" t="s">
        <v>99</v>
      </c>
      <c r="J12866" s="5" t="s">
        <v>99</v>
      </c>
      <c r="K12866" s="5" t="s">
        <v>99</v>
      </c>
      <c r="L12866" s="5" t="s">
        <v>99</v>
      </c>
      <c r="M12866" s="5" t="s">
        <v>99</v>
      </c>
      <c r="N12866" s="5" t="s">
        <v>99</v>
      </c>
      <c r="O12866" s="5" t="s">
        <v>99</v>
      </c>
    </row>
    <row r="12867" spans="1:15" s="5" customFormat="1" x14ac:dyDescent="0.3">
      <c r="A12867" s="5" t="s">
        <v>34</v>
      </c>
      <c r="B12867" s="5" t="s">
        <v>238</v>
      </c>
      <c r="C12867" s="5">
        <v>3</v>
      </c>
      <c r="D12867" s="5" t="s">
        <v>99</v>
      </c>
      <c r="E12867" s="5" t="s">
        <v>1331</v>
      </c>
      <c r="F12867" s="5" t="s">
        <v>99</v>
      </c>
      <c r="G12867" s="5" t="s">
        <v>99</v>
      </c>
      <c r="H12867" s="5" t="s">
        <v>99</v>
      </c>
      <c r="I12867" s="5" t="s">
        <v>99</v>
      </c>
      <c r="J12867" s="5" t="s">
        <v>99</v>
      </c>
      <c r="K12867" s="5" t="s">
        <v>99</v>
      </c>
      <c r="L12867" s="5" t="s">
        <v>99</v>
      </c>
      <c r="M12867" s="5" t="s">
        <v>99</v>
      </c>
      <c r="N12867" s="5" t="s">
        <v>99</v>
      </c>
      <c r="O12867" s="5" t="s">
        <v>669</v>
      </c>
    </row>
    <row r="12868" spans="1:15" x14ac:dyDescent="0.3">
      <c r="A12868" t="s">
        <v>33</v>
      </c>
      <c r="B12868" t="s">
        <v>365</v>
      </c>
    </row>
    <row r="12869" spans="1:15" s="5" customFormat="1" x14ac:dyDescent="0.3">
      <c r="A12869" s="5" t="s">
        <v>49</v>
      </c>
      <c r="B12869" s="5" t="s">
        <v>236</v>
      </c>
      <c r="C12869" s="5">
        <v>2</v>
      </c>
      <c r="D12869" s="5" t="s">
        <v>99</v>
      </c>
      <c r="E12869" s="5" t="s">
        <v>211</v>
      </c>
      <c r="F12869" s="5" t="s">
        <v>99</v>
      </c>
      <c r="G12869" s="5" t="s">
        <v>99</v>
      </c>
      <c r="H12869" s="5" t="s">
        <v>99</v>
      </c>
      <c r="I12869" s="5" t="s">
        <v>99</v>
      </c>
      <c r="J12869" s="5" t="s">
        <v>99</v>
      </c>
      <c r="K12869" s="5" t="s">
        <v>99</v>
      </c>
      <c r="L12869" s="5" t="s">
        <v>99</v>
      </c>
      <c r="M12869" s="5" t="s">
        <v>99</v>
      </c>
      <c r="N12869" s="5" t="s">
        <v>99</v>
      </c>
      <c r="O12869" s="5" t="s">
        <v>99</v>
      </c>
    </row>
    <row r="12870" spans="1:15" s="5" customFormat="1" x14ac:dyDescent="0.3">
      <c r="A12870" s="5" t="s">
        <v>49</v>
      </c>
      <c r="B12870" s="5" t="s">
        <v>238</v>
      </c>
      <c r="C12870" s="5">
        <v>6</v>
      </c>
      <c r="D12870" s="5" t="s">
        <v>676</v>
      </c>
      <c r="E12870" s="5" t="s">
        <v>1151</v>
      </c>
      <c r="F12870" s="5" t="s">
        <v>111</v>
      </c>
      <c r="G12870" s="5" t="s">
        <v>99</v>
      </c>
      <c r="H12870" s="5" t="s">
        <v>688</v>
      </c>
      <c r="I12870" s="5" t="s">
        <v>99</v>
      </c>
      <c r="J12870" s="5" t="s">
        <v>99</v>
      </c>
      <c r="K12870" s="5" t="s">
        <v>99</v>
      </c>
      <c r="L12870" s="5" t="s">
        <v>99</v>
      </c>
      <c r="M12870" s="5" t="s">
        <v>99</v>
      </c>
      <c r="N12870" s="5" t="s">
        <v>99</v>
      </c>
      <c r="O12870" s="5" t="s">
        <v>534</v>
      </c>
    </row>
    <row r="12872" spans="1:15" x14ac:dyDescent="0.3">
      <c r="A12872" t="s">
        <v>2861</v>
      </c>
    </row>
    <row r="12873" spans="1:15" x14ac:dyDescent="0.3">
      <c r="A12873" t="s">
        <v>44</v>
      </c>
      <c r="B12873" t="s">
        <v>235</v>
      </c>
      <c r="C12873" t="s">
        <v>32</v>
      </c>
      <c r="D12873" t="s">
        <v>2834</v>
      </c>
      <c r="E12873" t="s">
        <v>2835</v>
      </c>
      <c r="F12873" t="s">
        <v>2836</v>
      </c>
      <c r="G12873" t="s">
        <v>2837</v>
      </c>
      <c r="H12873" t="s">
        <v>2838</v>
      </c>
      <c r="I12873" t="s">
        <v>2839</v>
      </c>
      <c r="J12873" t="s">
        <v>2840</v>
      </c>
      <c r="K12873" t="s">
        <v>2841</v>
      </c>
      <c r="L12873" t="s">
        <v>2842</v>
      </c>
      <c r="M12873" t="s">
        <v>2843</v>
      </c>
      <c r="N12873" t="s">
        <v>193</v>
      </c>
      <c r="O12873" t="s">
        <v>1275</v>
      </c>
    </row>
    <row r="12874" spans="1:15" x14ac:dyDescent="0.3">
      <c r="A12874" t="s">
        <v>35</v>
      </c>
      <c r="B12874" t="s">
        <v>365</v>
      </c>
    </row>
    <row r="12875" spans="1:15" s="5" customFormat="1" x14ac:dyDescent="0.3">
      <c r="A12875" s="5" t="s">
        <v>37</v>
      </c>
      <c r="B12875" s="5" t="s">
        <v>236</v>
      </c>
      <c r="C12875" s="5">
        <v>1</v>
      </c>
      <c r="D12875" s="5" t="s">
        <v>99</v>
      </c>
      <c r="E12875" s="5" t="s">
        <v>99</v>
      </c>
      <c r="F12875" s="5" t="s">
        <v>99</v>
      </c>
      <c r="G12875" s="5" t="s">
        <v>211</v>
      </c>
      <c r="H12875" s="5" t="s">
        <v>211</v>
      </c>
      <c r="I12875" s="5" t="s">
        <v>99</v>
      </c>
      <c r="J12875" s="5" t="s">
        <v>99</v>
      </c>
      <c r="K12875" s="5" t="s">
        <v>99</v>
      </c>
      <c r="L12875" s="5" t="s">
        <v>99</v>
      </c>
      <c r="M12875" s="5" t="s">
        <v>99</v>
      </c>
      <c r="N12875" s="5" t="s">
        <v>99</v>
      </c>
      <c r="O12875" s="5" t="s">
        <v>99</v>
      </c>
    </row>
    <row r="12876" spans="1:15" s="5" customFormat="1" x14ac:dyDescent="0.3">
      <c r="A12876" s="5" t="s">
        <v>37</v>
      </c>
      <c r="B12876" s="5" t="s">
        <v>238</v>
      </c>
      <c r="C12876" s="5">
        <v>1</v>
      </c>
      <c r="D12876" s="5" t="s">
        <v>211</v>
      </c>
      <c r="E12876" s="5" t="s">
        <v>99</v>
      </c>
      <c r="F12876" s="5" t="s">
        <v>99</v>
      </c>
      <c r="G12876" s="5" t="s">
        <v>99</v>
      </c>
      <c r="H12876" s="5" t="s">
        <v>99</v>
      </c>
      <c r="I12876" s="5" t="s">
        <v>99</v>
      </c>
      <c r="J12876" s="5" t="s">
        <v>99</v>
      </c>
      <c r="K12876" s="5" t="s">
        <v>99</v>
      </c>
      <c r="L12876" s="5" t="s">
        <v>99</v>
      </c>
      <c r="M12876" s="5" t="s">
        <v>99</v>
      </c>
      <c r="N12876" s="5" t="s">
        <v>99</v>
      </c>
      <c r="O12876" s="5" t="s">
        <v>99</v>
      </c>
    </row>
    <row r="12877" spans="1:15" x14ac:dyDescent="0.3">
      <c r="A12877" t="s">
        <v>36</v>
      </c>
      <c r="B12877" t="s">
        <v>365</v>
      </c>
    </row>
    <row r="12878" spans="1:15" x14ac:dyDescent="0.3">
      <c r="A12878" t="s">
        <v>34</v>
      </c>
      <c r="B12878" t="s">
        <v>365</v>
      </c>
    </row>
    <row r="12879" spans="1:15" s="5" customFormat="1" x14ac:dyDescent="0.3">
      <c r="A12879" s="5" t="s">
        <v>33</v>
      </c>
      <c r="B12879" s="5" t="s">
        <v>236</v>
      </c>
      <c r="C12879" s="5">
        <v>1</v>
      </c>
      <c r="D12879" s="5" t="s">
        <v>211</v>
      </c>
      <c r="E12879" s="5" t="s">
        <v>99</v>
      </c>
      <c r="F12879" s="5" t="s">
        <v>99</v>
      </c>
      <c r="G12879" s="5" t="s">
        <v>99</v>
      </c>
      <c r="H12879" s="5" t="s">
        <v>211</v>
      </c>
      <c r="I12879" s="5" t="s">
        <v>99</v>
      </c>
      <c r="J12879" s="5" t="s">
        <v>99</v>
      </c>
      <c r="K12879" s="5" t="s">
        <v>99</v>
      </c>
      <c r="L12879" s="5" t="s">
        <v>99</v>
      </c>
      <c r="M12879" s="5" t="s">
        <v>99</v>
      </c>
      <c r="N12879" s="5" t="s">
        <v>99</v>
      </c>
      <c r="O12879" s="5" t="s">
        <v>99</v>
      </c>
    </row>
    <row r="12880" spans="1:15" s="5" customFormat="1" x14ac:dyDescent="0.3">
      <c r="A12880" s="5" t="s">
        <v>49</v>
      </c>
      <c r="B12880" s="5" t="s">
        <v>236</v>
      </c>
      <c r="C12880" s="5">
        <v>2</v>
      </c>
      <c r="D12880" s="5" t="s">
        <v>953</v>
      </c>
      <c r="E12880" s="5" t="s">
        <v>99</v>
      </c>
      <c r="F12880" s="5" t="s">
        <v>99</v>
      </c>
      <c r="G12880" s="5" t="s">
        <v>1415</v>
      </c>
      <c r="H12880" s="5" t="s">
        <v>211</v>
      </c>
      <c r="I12880" s="5" t="s">
        <v>99</v>
      </c>
      <c r="J12880" s="5" t="s">
        <v>99</v>
      </c>
      <c r="K12880" s="5" t="s">
        <v>99</v>
      </c>
      <c r="L12880" s="5" t="s">
        <v>99</v>
      </c>
      <c r="M12880" s="5" t="s">
        <v>99</v>
      </c>
      <c r="N12880" s="5" t="s">
        <v>99</v>
      </c>
      <c r="O12880" s="5" t="s">
        <v>99</v>
      </c>
    </row>
    <row r="12881" spans="1:15" s="5" customFormat="1" x14ac:dyDescent="0.3">
      <c r="A12881" s="5" t="s">
        <v>49</v>
      </c>
      <c r="B12881" s="5" t="s">
        <v>238</v>
      </c>
      <c r="C12881" s="5">
        <v>1</v>
      </c>
      <c r="D12881" s="5" t="s">
        <v>211</v>
      </c>
      <c r="E12881" s="5" t="s">
        <v>99</v>
      </c>
      <c r="F12881" s="5" t="s">
        <v>99</v>
      </c>
      <c r="G12881" s="5" t="s">
        <v>99</v>
      </c>
      <c r="H12881" s="5" t="s">
        <v>99</v>
      </c>
      <c r="I12881" s="5" t="s">
        <v>99</v>
      </c>
      <c r="J12881" s="5" t="s">
        <v>99</v>
      </c>
      <c r="K12881" s="5" t="s">
        <v>99</v>
      </c>
      <c r="L12881" s="5" t="s">
        <v>99</v>
      </c>
      <c r="M12881" s="5" t="s">
        <v>99</v>
      </c>
      <c r="N12881" s="5" t="s">
        <v>99</v>
      </c>
      <c r="O12881" s="5" t="s">
        <v>99</v>
      </c>
    </row>
    <row r="12883" spans="1:15" x14ac:dyDescent="0.3">
      <c r="A12883" t="s">
        <v>2862</v>
      </c>
    </row>
    <row r="12884" spans="1:15" x14ac:dyDescent="0.3">
      <c r="A12884" t="s">
        <v>44</v>
      </c>
      <c r="B12884" t="s">
        <v>235</v>
      </c>
      <c r="C12884" t="s">
        <v>32</v>
      </c>
      <c r="D12884" t="s">
        <v>2834</v>
      </c>
      <c r="E12884" t="s">
        <v>2835</v>
      </c>
      <c r="F12884" t="s">
        <v>2836</v>
      </c>
      <c r="G12884" t="s">
        <v>2837</v>
      </c>
      <c r="H12884" t="s">
        <v>2838</v>
      </c>
      <c r="I12884" t="s">
        <v>2839</v>
      </c>
      <c r="J12884" t="s">
        <v>2840</v>
      </c>
      <c r="K12884" t="s">
        <v>2841</v>
      </c>
      <c r="L12884" t="s">
        <v>2842</v>
      </c>
      <c r="M12884" t="s">
        <v>2843</v>
      </c>
      <c r="N12884" t="s">
        <v>193</v>
      </c>
      <c r="O12884" t="s">
        <v>1275</v>
      </c>
    </row>
    <row r="12885" spans="1:15" s="5" customFormat="1" x14ac:dyDescent="0.3">
      <c r="A12885" s="5" t="s">
        <v>35</v>
      </c>
      <c r="B12885" s="5" t="s">
        <v>238</v>
      </c>
      <c r="C12885" s="5">
        <v>4</v>
      </c>
      <c r="D12885" s="5" t="s">
        <v>99</v>
      </c>
      <c r="E12885" s="5" t="s">
        <v>391</v>
      </c>
      <c r="F12885" s="5" t="s">
        <v>99</v>
      </c>
      <c r="G12885" s="5" t="s">
        <v>675</v>
      </c>
      <c r="H12885" s="5" t="s">
        <v>99</v>
      </c>
      <c r="I12885" s="5" t="s">
        <v>99</v>
      </c>
      <c r="J12885" s="5" t="s">
        <v>99</v>
      </c>
      <c r="K12885" s="5" t="s">
        <v>99</v>
      </c>
      <c r="L12885" s="5" t="s">
        <v>99</v>
      </c>
      <c r="M12885" s="5" t="s">
        <v>675</v>
      </c>
      <c r="N12885" s="5" t="s">
        <v>99</v>
      </c>
      <c r="O12885" s="5" t="s">
        <v>99</v>
      </c>
    </row>
    <row r="12886" spans="1:15" x14ac:dyDescent="0.3">
      <c r="A12886" t="s">
        <v>37</v>
      </c>
      <c r="B12886" t="s">
        <v>365</v>
      </c>
    </row>
    <row r="12887" spans="1:15" s="5" customFormat="1" x14ac:dyDescent="0.3">
      <c r="A12887" s="5" t="s">
        <v>36</v>
      </c>
      <c r="B12887" s="5" t="s">
        <v>236</v>
      </c>
      <c r="C12887" s="5">
        <v>4</v>
      </c>
      <c r="D12887" s="5" t="s">
        <v>99</v>
      </c>
      <c r="E12887" s="5" t="s">
        <v>332</v>
      </c>
      <c r="F12887" s="5" t="s">
        <v>226</v>
      </c>
      <c r="G12887" s="5" t="s">
        <v>99</v>
      </c>
      <c r="H12887" s="5" t="s">
        <v>99</v>
      </c>
      <c r="I12887" s="5" t="s">
        <v>99</v>
      </c>
      <c r="J12887" s="5" t="s">
        <v>99</v>
      </c>
      <c r="K12887" s="5" t="s">
        <v>332</v>
      </c>
      <c r="L12887" s="5" t="s">
        <v>99</v>
      </c>
      <c r="M12887" s="5" t="s">
        <v>99</v>
      </c>
      <c r="N12887" s="5" t="s">
        <v>99</v>
      </c>
      <c r="O12887" s="5" t="s">
        <v>99</v>
      </c>
    </row>
    <row r="12888" spans="1:15" s="5" customFormat="1" x14ac:dyDescent="0.3">
      <c r="A12888" s="5" t="s">
        <v>36</v>
      </c>
      <c r="B12888" s="5" t="s">
        <v>238</v>
      </c>
      <c r="C12888" s="5">
        <v>4</v>
      </c>
      <c r="D12888" s="5" t="s">
        <v>99</v>
      </c>
      <c r="E12888" s="5" t="s">
        <v>865</v>
      </c>
      <c r="F12888" s="5" t="s">
        <v>554</v>
      </c>
      <c r="G12888" s="5" t="s">
        <v>1368</v>
      </c>
      <c r="H12888" s="5" t="s">
        <v>99</v>
      </c>
      <c r="I12888" s="5" t="s">
        <v>99</v>
      </c>
      <c r="J12888" s="5" t="s">
        <v>99</v>
      </c>
      <c r="K12888" s="5" t="s">
        <v>99</v>
      </c>
      <c r="L12888" s="5" t="s">
        <v>523</v>
      </c>
      <c r="M12888" s="5" t="s">
        <v>99</v>
      </c>
      <c r="N12888" s="5" t="s">
        <v>99</v>
      </c>
      <c r="O12888" s="5" t="s">
        <v>99</v>
      </c>
    </row>
    <row r="12889" spans="1:15" s="5" customFormat="1" x14ac:dyDescent="0.3">
      <c r="A12889" s="5" t="s">
        <v>34</v>
      </c>
      <c r="B12889" s="5" t="s">
        <v>238</v>
      </c>
      <c r="C12889" s="5">
        <v>5</v>
      </c>
      <c r="D12889" s="5" t="s">
        <v>99</v>
      </c>
      <c r="E12889" s="5" t="s">
        <v>211</v>
      </c>
      <c r="F12889" s="5" t="s">
        <v>99</v>
      </c>
      <c r="G12889" s="5" t="s">
        <v>99</v>
      </c>
      <c r="H12889" s="5" t="s">
        <v>99</v>
      </c>
      <c r="I12889" s="5" t="s">
        <v>99</v>
      </c>
      <c r="J12889" s="5" t="s">
        <v>99</v>
      </c>
      <c r="K12889" s="5" t="s">
        <v>99</v>
      </c>
      <c r="L12889" s="5" t="s">
        <v>99</v>
      </c>
      <c r="M12889" s="5" t="s">
        <v>99</v>
      </c>
      <c r="N12889" s="5" t="s">
        <v>99</v>
      </c>
      <c r="O12889" s="5" t="s">
        <v>99</v>
      </c>
    </row>
    <row r="12890" spans="1:15" s="5" customFormat="1" x14ac:dyDescent="0.3">
      <c r="A12890" s="5" t="s">
        <v>33</v>
      </c>
      <c r="B12890" s="5" t="s">
        <v>238</v>
      </c>
      <c r="C12890" s="5">
        <v>1</v>
      </c>
      <c r="D12890" s="5" t="s">
        <v>99</v>
      </c>
      <c r="E12890" s="5" t="s">
        <v>211</v>
      </c>
      <c r="F12890" s="5" t="s">
        <v>99</v>
      </c>
      <c r="G12890" s="5" t="s">
        <v>99</v>
      </c>
      <c r="H12890" s="5" t="s">
        <v>99</v>
      </c>
      <c r="I12890" s="5" t="s">
        <v>99</v>
      </c>
      <c r="J12890" s="5" t="s">
        <v>99</v>
      </c>
      <c r="K12890" s="5" t="s">
        <v>99</v>
      </c>
      <c r="L12890" s="5" t="s">
        <v>99</v>
      </c>
      <c r="M12890" s="5" t="s">
        <v>99</v>
      </c>
      <c r="N12890" s="5" t="s">
        <v>99</v>
      </c>
      <c r="O12890" s="5" t="s">
        <v>99</v>
      </c>
    </row>
    <row r="12891" spans="1:15" s="5" customFormat="1" x14ac:dyDescent="0.3">
      <c r="A12891" s="5" t="s">
        <v>49</v>
      </c>
      <c r="B12891" s="5" t="s">
        <v>236</v>
      </c>
      <c r="C12891" s="5">
        <v>4</v>
      </c>
      <c r="D12891" s="5" t="s">
        <v>99</v>
      </c>
      <c r="E12891" s="5" t="s">
        <v>332</v>
      </c>
      <c r="F12891" s="5" t="s">
        <v>226</v>
      </c>
      <c r="G12891" s="5" t="s">
        <v>99</v>
      </c>
      <c r="H12891" s="5" t="s">
        <v>99</v>
      </c>
      <c r="I12891" s="5" t="s">
        <v>99</v>
      </c>
      <c r="J12891" s="5" t="s">
        <v>99</v>
      </c>
      <c r="K12891" s="5" t="s">
        <v>332</v>
      </c>
      <c r="L12891" s="5" t="s">
        <v>99</v>
      </c>
      <c r="M12891" s="5" t="s">
        <v>99</v>
      </c>
      <c r="N12891" s="5" t="s">
        <v>99</v>
      </c>
      <c r="O12891" s="5" t="s">
        <v>99</v>
      </c>
    </row>
    <row r="12892" spans="1:15" s="5" customFormat="1" x14ac:dyDescent="0.3">
      <c r="A12892" s="5" t="s">
        <v>49</v>
      </c>
      <c r="B12892" s="5" t="s">
        <v>238</v>
      </c>
      <c r="C12892" s="5">
        <v>14</v>
      </c>
      <c r="D12892" s="5" t="s">
        <v>99</v>
      </c>
      <c r="E12892" s="5" t="s">
        <v>362</v>
      </c>
      <c r="F12892" s="5" t="s">
        <v>804</v>
      </c>
      <c r="G12892" s="5" t="s">
        <v>321</v>
      </c>
      <c r="H12892" s="5" t="s">
        <v>99</v>
      </c>
      <c r="I12892" s="5" t="s">
        <v>99</v>
      </c>
      <c r="J12892" s="5" t="s">
        <v>99</v>
      </c>
      <c r="K12892" s="5" t="s">
        <v>99</v>
      </c>
      <c r="L12892" s="5" t="s">
        <v>107</v>
      </c>
      <c r="M12892" s="5" t="s">
        <v>154</v>
      </c>
      <c r="N12892" s="5" t="s">
        <v>99</v>
      </c>
      <c r="O12892" s="5" t="s">
        <v>99</v>
      </c>
    </row>
    <row r="12894" spans="1:15" x14ac:dyDescent="0.3">
      <c r="A12894" t="s">
        <v>2863</v>
      </c>
    </row>
    <row r="12895" spans="1:15" x14ac:dyDescent="0.3">
      <c r="A12895" t="s">
        <v>44</v>
      </c>
      <c r="B12895" t="s">
        <v>235</v>
      </c>
      <c r="C12895" t="s">
        <v>32</v>
      </c>
      <c r="D12895" t="s">
        <v>2834</v>
      </c>
      <c r="E12895" t="s">
        <v>2835</v>
      </c>
      <c r="F12895" t="s">
        <v>2836</v>
      </c>
      <c r="G12895" t="s">
        <v>2837</v>
      </c>
      <c r="H12895" t="s">
        <v>2838</v>
      </c>
      <c r="I12895" t="s">
        <v>2839</v>
      </c>
      <c r="J12895" t="s">
        <v>2840</v>
      </c>
      <c r="K12895" t="s">
        <v>2841</v>
      </c>
      <c r="L12895" t="s">
        <v>2842</v>
      </c>
      <c r="M12895" t="s">
        <v>2843</v>
      </c>
      <c r="N12895" t="s">
        <v>193</v>
      </c>
      <c r="O12895" t="s">
        <v>1275</v>
      </c>
    </row>
    <row r="12896" spans="1:15" x14ac:dyDescent="0.3">
      <c r="A12896" t="s">
        <v>35</v>
      </c>
      <c r="B12896" t="s">
        <v>365</v>
      </c>
    </row>
    <row r="12897" spans="1:15" x14ac:dyDescent="0.3">
      <c r="A12897" t="s">
        <v>37</v>
      </c>
      <c r="B12897" t="s">
        <v>365</v>
      </c>
    </row>
    <row r="12898" spans="1:15" s="5" customFormat="1" x14ac:dyDescent="0.3">
      <c r="A12898" s="5" t="s">
        <v>36</v>
      </c>
      <c r="B12898" s="5" t="s">
        <v>236</v>
      </c>
      <c r="C12898" s="5">
        <v>2</v>
      </c>
      <c r="D12898" s="5" t="s">
        <v>861</v>
      </c>
      <c r="E12898" s="5" t="s">
        <v>860</v>
      </c>
      <c r="F12898" s="5" t="s">
        <v>99</v>
      </c>
      <c r="G12898" s="5" t="s">
        <v>99</v>
      </c>
      <c r="H12898" s="5" t="s">
        <v>99</v>
      </c>
      <c r="I12898" s="5" t="s">
        <v>99</v>
      </c>
      <c r="J12898" s="5" t="s">
        <v>99</v>
      </c>
      <c r="K12898" s="5" t="s">
        <v>99</v>
      </c>
      <c r="L12898" s="5" t="s">
        <v>99</v>
      </c>
      <c r="M12898" s="5" t="s">
        <v>99</v>
      </c>
      <c r="N12898" s="5" t="s">
        <v>99</v>
      </c>
      <c r="O12898" s="5" t="s">
        <v>99</v>
      </c>
    </row>
    <row r="12899" spans="1:15" s="5" customFormat="1" x14ac:dyDescent="0.3">
      <c r="A12899" s="5" t="s">
        <v>36</v>
      </c>
      <c r="B12899" s="5" t="s">
        <v>238</v>
      </c>
      <c r="C12899" s="5">
        <v>1</v>
      </c>
      <c r="D12899" s="5" t="s">
        <v>99</v>
      </c>
      <c r="E12899" s="5" t="s">
        <v>99</v>
      </c>
      <c r="F12899" s="5" t="s">
        <v>99</v>
      </c>
      <c r="G12899" s="5" t="s">
        <v>99</v>
      </c>
      <c r="H12899" s="5" t="s">
        <v>99</v>
      </c>
      <c r="I12899" s="5" t="s">
        <v>211</v>
      </c>
      <c r="J12899" s="5" t="s">
        <v>99</v>
      </c>
      <c r="K12899" s="5" t="s">
        <v>99</v>
      </c>
      <c r="L12899" s="5" t="s">
        <v>99</v>
      </c>
      <c r="M12899" s="5" t="s">
        <v>99</v>
      </c>
      <c r="N12899" s="5" t="s">
        <v>99</v>
      </c>
      <c r="O12899" s="5" t="s">
        <v>99</v>
      </c>
    </row>
    <row r="12900" spans="1:15" x14ac:dyDescent="0.3">
      <c r="A12900" t="s">
        <v>34</v>
      </c>
      <c r="B12900" t="s">
        <v>365</v>
      </c>
    </row>
    <row r="12901" spans="1:15" x14ac:dyDescent="0.3">
      <c r="A12901" t="s">
        <v>33</v>
      </c>
      <c r="B12901" t="s">
        <v>365</v>
      </c>
    </row>
    <row r="12902" spans="1:15" s="5" customFormat="1" x14ac:dyDescent="0.3">
      <c r="A12902" s="5" t="s">
        <v>49</v>
      </c>
      <c r="B12902" s="5" t="s">
        <v>236</v>
      </c>
      <c r="C12902" s="5">
        <v>2</v>
      </c>
      <c r="D12902" s="5" t="s">
        <v>861</v>
      </c>
      <c r="E12902" s="5" t="s">
        <v>860</v>
      </c>
      <c r="F12902" s="5" t="s">
        <v>99</v>
      </c>
      <c r="G12902" s="5" t="s">
        <v>99</v>
      </c>
      <c r="H12902" s="5" t="s">
        <v>99</v>
      </c>
      <c r="I12902" s="5" t="s">
        <v>99</v>
      </c>
      <c r="J12902" s="5" t="s">
        <v>99</v>
      </c>
      <c r="K12902" s="5" t="s">
        <v>99</v>
      </c>
      <c r="L12902" s="5" t="s">
        <v>99</v>
      </c>
      <c r="M12902" s="5" t="s">
        <v>99</v>
      </c>
      <c r="N12902" s="5" t="s">
        <v>99</v>
      </c>
      <c r="O12902" s="5" t="s">
        <v>99</v>
      </c>
    </row>
    <row r="12903" spans="1:15" s="5" customFormat="1" x14ac:dyDescent="0.3">
      <c r="A12903" s="5" t="s">
        <v>49</v>
      </c>
      <c r="B12903" s="5" t="s">
        <v>238</v>
      </c>
      <c r="C12903" s="5">
        <v>1</v>
      </c>
      <c r="D12903" s="5" t="s">
        <v>99</v>
      </c>
      <c r="E12903" s="5" t="s">
        <v>99</v>
      </c>
      <c r="F12903" s="5" t="s">
        <v>99</v>
      </c>
      <c r="G12903" s="5" t="s">
        <v>99</v>
      </c>
      <c r="H12903" s="5" t="s">
        <v>99</v>
      </c>
      <c r="I12903" s="5" t="s">
        <v>211</v>
      </c>
      <c r="J12903" s="5" t="s">
        <v>99</v>
      </c>
      <c r="K12903" s="5" t="s">
        <v>99</v>
      </c>
      <c r="L12903" s="5" t="s">
        <v>99</v>
      </c>
      <c r="M12903" s="5" t="s">
        <v>99</v>
      </c>
      <c r="N12903" s="5" t="s">
        <v>99</v>
      </c>
      <c r="O12903" s="5" t="s">
        <v>99</v>
      </c>
    </row>
    <row r="12905" spans="1:15" x14ac:dyDescent="0.3">
      <c r="A12905" t="s">
        <v>2864</v>
      </c>
    </row>
    <row r="12906" spans="1:15" x14ac:dyDescent="0.3">
      <c r="A12906" t="s">
        <v>44</v>
      </c>
      <c r="B12906" t="s">
        <v>209</v>
      </c>
      <c r="C12906" t="s">
        <v>32</v>
      </c>
      <c r="D12906" t="s">
        <v>2834</v>
      </c>
      <c r="E12906" t="s">
        <v>2835</v>
      </c>
      <c r="F12906" t="s">
        <v>2836</v>
      </c>
      <c r="G12906" t="s">
        <v>2837</v>
      </c>
      <c r="H12906" t="s">
        <v>2838</v>
      </c>
      <c r="I12906" t="s">
        <v>2839</v>
      </c>
      <c r="J12906" t="s">
        <v>2840</v>
      </c>
      <c r="K12906" t="s">
        <v>2841</v>
      </c>
      <c r="L12906" t="s">
        <v>2842</v>
      </c>
      <c r="M12906" t="s">
        <v>2843</v>
      </c>
      <c r="N12906" t="s">
        <v>193</v>
      </c>
      <c r="O12906" t="s">
        <v>1275</v>
      </c>
    </row>
    <row r="12907" spans="1:15" s="5" customFormat="1" x14ac:dyDescent="0.3">
      <c r="A12907" s="5" t="s">
        <v>35</v>
      </c>
      <c r="B12907" s="5" t="s">
        <v>210</v>
      </c>
      <c r="C12907" s="5">
        <v>4</v>
      </c>
      <c r="D12907" s="5" t="s">
        <v>211</v>
      </c>
      <c r="E12907" s="5" t="s">
        <v>612</v>
      </c>
      <c r="F12907" s="5" t="s">
        <v>1075</v>
      </c>
      <c r="G12907" s="5" t="s">
        <v>99</v>
      </c>
      <c r="H12907" s="5" t="s">
        <v>99</v>
      </c>
      <c r="I12907" s="5" t="s">
        <v>296</v>
      </c>
      <c r="J12907" s="5" t="s">
        <v>99</v>
      </c>
      <c r="K12907" s="5" t="s">
        <v>99</v>
      </c>
      <c r="L12907" s="5" t="s">
        <v>99</v>
      </c>
      <c r="M12907" s="5" t="s">
        <v>296</v>
      </c>
      <c r="N12907" s="5" t="s">
        <v>99</v>
      </c>
      <c r="O12907" s="5" t="s">
        <v>99</v>
      </c>
    </row>
    <row r="12908" spans="1:15" s="5" customFormat="1" x14ac:dyDescent="0.3">
      <c r="A12908" s="5" t="s">
        <v>35</v>
      </c>
      <c r="B12908" s="5" t="s">
        <v>212</v>
      </c>
      <c r="C12908" s="5">
        <v>7</v>
      </c>
      <c r="D12908" s="5" t="s">
        <v>39</v>
      </c>
      <c r="E12908" s="5" t="s">
        <v>1069</v>
      </c>
      <c r="F12908" s="5" t="s">
        <v>142</v>
      </c>
      <c r="G12908" s="5" t="s">
        <v>99</v>
      </c>
      <c r="H12908" s="5" t="s">
        <v>142</v>
      </c>
      <c r="I12908" s="5" t="s">
        <v>39</v>
      </c>
      <c r="J12908" s="5" t="s">
        <v>99</v>
      </c>
      <c r="K12908" s="5" t="s">
        <v>99</v>
      </c>
      <c r="L12908" s="5" t="s">
        <v>99</v>
      </c>
      <c r="M12908" s="5" t="s">
        <v>99</v>
      </c>
      <c r="N12908" s="5" t="s">
        <v>99</v>
      </c>
      <c r="O12908" s="5" t="s">
        <v>99</v>
      </c>
    </row>
    <row r="12909" spans="1:15" s="5" customFormat="1" x14ac:dyDescent="0.3">
      <c r="A12909" s="5" t="s">
        <v>35</v>
      </c>
      <c r="B12909" s="5" t="s">
        <v>216</v>
      </c>
      <c r="C12909" s="5">
        <v>3</v>
      </c>
      <c r="D12909" s="5" t="s">
        <v>911</v>
      </c>
      <c r="E12909" s="5" t="s">
        <v>1137</v>
      </c>
      <c r="F12909" s="5" t="s">
        <v>99</v>
      </c>
      <c r="G12909" s="5" t="s">
        <v>99</v>
      </c>
      <c r="H12909" s="5" t="s">
        <v>99</v>
      </c>
      <c r="I12909" s="5" t="s">
        <v>99</v>
      </c>
      <c r="J12909" s="5" t="s">
        <v>99</v>
      </c>
      <c r="K12909" s="5" t="s">
        <v>99</v>
      </c>
      <c r="L12909" s="5" t="s">
        <v>99</v>
      </c>
      <c r="M12909" s="5" t="s">
        <v>99</v>
      </c>
      <c r="N12909" s="5" t="s">
        <v>99</v>
      </c>
      <c r="O12909" s="5" t="s">
        <v>99</v>
      </c>
    </row>
    <row r="12910" spans="1:15" s="5" customFormat="1" x14ac:dyDescent="0.3">
      <c r="A12910" s="5" t="s">
        <v>37</v>
      </c>
      <c r="B12910" s="5" t="s">
        <v>210</v>
      </c>
      <c r="C12910" s="5">
        <v>4</v>
      </c>
      <c r="D12910" s="5" t="s">
        <v>211</v>
      </c>
      <c r="E12910" s="5" t="s">
        <v>1119</v>
      </c>
      <c r="F12910" s="5" t="s">
        <v>473</v>
      </c>
      <c r="G12910" s="5" t="s">
        <v>99</v>
      </c>
      <c r="H12910" s="5" t="s">
        <v>903</v>
      </c>
      <c r="I12910" s="5" t="s">
        <v>370</v>
      </c>
      <c r="J12910" s="5" t="s">
        <v>99</v>
      </c>
      <c r="K12910" s="5" t="s">
        <v>99</v>
      </c>
      <c r="L12910" s="5" t="s">
        <v>99</v>
      </c>
      <c r="M12910" s="5" t="s">
        <v>99</v>
      </c>
      <c r="N12910" s="5" t="s">
        <v>99</v>
      </c>
      <c r="O12910" s="5" t="s">
        <v>99</v>
      </c>
    </row>
    <row r="12911" spans="1:15" s="5" customFormat="1" x14ac:dyDescent="0.3">
      <c r="A12911" s="5" t="s">
        <v>37</v>
      </c>
      <c r="B12911" s="5" t="s">
        <v>212</v>
      </c>
      <c r="C12911" s="5">
        <v>2</v>
      </c>
      <c r="D12911" s="5" t="s">
        <v>211</v>
      </c>
      <c r="E12911" s="5" t="s">
        <v>211</v>
      </c>
      <c r="F12911" s="5" t="s">
        <v>99</v>
      </c>
      <c r="G12911" s="5" t="s">
        <v>99</v>
      </c>
      <c r="H12911" s="5" t="s">
        <v>99</v>
      </c>
      <c r="I12911" s="5" t="s">
        <v>99</v>
      </c>
      <c r="J12911" s="5" t="s">
        <v>99</v>
      </c>
      <c r="K12911" s="5" t="s">
        <v>99</v>
      </c>
      <c r="L12911" s="5" t="s">
        <v>99</v>
      </c>
      <c r="M12911" s="5" t="s">
        <v>99</v>
      </c>
      <c r="N12911" s="5" t="s">
        <v>99</v>
      </c>
      <c r="O12911" s="5" t="s">
        <v>99</v>
      </c>
    </row>
    <row r="12912" spans="1:15" s="5" customFormat="1" x14ac:dyDescent="0.3">
      <c r="A12912" s="5" t="s">
        <v>36</v>
      </c>
      <c r="B12912" s="5" t="s">
        <v>210</v>
      </c>
      <c r="C12912" s="5">
        <v>13</v>
      </c>
      <c r="D12912" s="5" t="s">
        <v>1619</v>
      </c>
      <c r="E12912" s="5" t="s">
        <v>578</v>
      </c>
      <c r="F12912" s="5" t="s">
        <v>1206</v>
      </c>
      <c r="G12912" s="5" t="s">
        <v>123</v>
      </c>
      <c r="H12912" s="5" t="s">
        <v>642</v>
      </c>
      <c r="I12912" s="5" t="s">
        <v>911</v>
      </c>
      <c r="J12912" s="5" t="s">
        <v>911</v>
      </c>
      <c r="K12912" s="5" t="s">
        <v>473</v>
      </c>
      <c r="L12912" s="5" t="s">
        <v>911</v>
      </c>
      <c r="M12912" s="5" t="s">
        <v>663</v>
      </c>
      <c r="N12912" s="5" t="s">
        <v>99</v>
      </c>
      <c r="O12912" s="5" t="s">
        <v>99</v>
      </c>
    </row>
    <row r="12913" spans="1:15" x14ac:dyDescent="0.3">
      <c r="A12913" t="s">
        <v>36</v>
      </c>
      <c r="B12913" t="s">
        <v>212</v>
      </c>
      <c r="C12913">
        <v>37</v>
      </c>
      <c r="D12913" t="s">
        <v>1069</v>
      </c>
      <c r="E12913" t="s">
        <v>446</v>
      </c>
      <c r="F12913" t="s">
        <v>62</v>
      </c>
      <c r="G12913" t="s">
        <v>99</v>
      </c>
      <c r="H12913" t="s">
        <v>465</v>
      </c>
      <c r="I12913" t="s">
        <v>746</v>
      </c>
      <c r="J12913" t="s">
        <v>313</v>
      </c>
      <c r="K12913" t="s">
        <v>107</v>
      </c>
      <c r="L12913" t="s">
        <v>182</v>
      </c>
      <c r="M12913" t="s">
        <v>215</v>
      </c>
      <c r="N12913" t="s">
        <v>99</v>
      </c>
      <c r="O12913" t="s">
        <v>99</v>
      </c>
    </row>
    <row r="12914" spans="1:15" s="5" customFormat="1" x14ac:dyDescent="0.3">
      <c r="A12914" s="5" t="s">
        <v>36</v>
      </c>
      <c r="B12914" s="5" t="s">
        <v>216</v>
      </c>
      <c r="C12914" s="5">
        <v>4</v>
      </c>
      <c r="D12914" s="5" t="s">
        <v>1075</v>
      </c>
      <c r="E12914" s="5" t="s">
        <v>1075</v>
      </c>
      <c r="F12914" s="5" t="s">
        <v>99</v>
      </c>
      <c r="G12914" s="5" t="s">
        <v>99</v>
      </c>
      <c r="H12914" s="5" t="s">
        <v>795</v>
      </c>
      <c r="I12914" s="5" t="s">
        <v>99</v>
      </c>
      <c r="J12914" s="5" t="s">
        <v>99</v>
      </c>
      <c r="K12914" s="5" t="s">
        <v>99</v>
      </c>
      <c r="L12914" s="5" t="s">
        <v>99</v>
      </c>
      <c r="M12914" s="5" t="s">
        <v>99</v>
      </c>
      <c r="N12914" s="5" t="s">
        <v>99</v>
      </c>
      <c r="O12914" s="5" t="s">
        <v>99</v>
      </c>
    </row>
    <row r="12915" spans="1:15" s="5" customFormat="1" x14ac:dyDescent="0.3">
      <c r="A12915" s="5" t="s">
        <v>34</v>
      </c>
      <c r="B12915" s="5" t="s">
        <v>210</v>
      </c>
      <c r="C12915" s="5">
        <v>6</v>
      </c>
      <c r="D12915" s="5" t="s">
        <v>211</v>
      </c>
      <c r="E12915" s="5" t="s">
        <v>138</v>
      </c>
      <c r="F12915" s="5" t="s">
        <v>745</v>
      </c>
      <c r="G12915" s="5" t="s">
        <v>99</v>
      </c>
      <c r="H12915" s="5" t="s">
        <v>138</v>
      </c>
      <c r="I12915" s="5" t="s">
        <v>99</v>
      </c>
      <c r="J12915" s="5" t="s">
        <v>99</v>
      </c>
      <c r="K12915" s="5" t="s">
        <v>745</v>
      </c>
      <c r="L12915" s="5" t="s">
        <v>99</v>
      </c>
      <c r="M12915" s="5" t="s">
        <v>99</v>
      </c>
      <c r="N12915" s="5" t="s">
        <v>99</v>
      </c>
      <c r="O12915" s="5" t="s">
        <v>99</v>
      </c>
    </row>
    <row r="12916" spans="1:15" s="5" customFormat="1" x14ac:dyDescent="0.3">
      <c r="A12916" s="5" t="s">
        <v>34</v>
      </c>
      <c r="B12916" s="5" t="s">
        <v>212</v>
      </c>
      <c r="C12916" s="5">
        <v>22</v>
      </c>
      <c r="D12916" s="5" t="s">
        <v>983</v>
      </c>
      <c r="E12916" s="5" t="s">
        <v>794</v>
      </c>
      <c r="F12916" s="5" t="s">
        <v>680</v>
      </c>
      <c r="G12916" s="5" t="s">
        <v>474</v>
      </c>
      <c r="H12916" s="5" t="s">
        <v>153</v>
      </c>
      <c r="I12916" s="5" t="s">
        <v>474</v>
      </c>
      <c r="J12916" s="5" t="s">
        <v>474</v>
      </c>
      <c r="K12916" s="5" t="s">
        <v>393</v>
      </c>
      <c r="L12916" s="5" t="s">
        <v>474</v>
      </c>
      <c r="M12916" s="5" t="s">
        <v>393</v>
      </c>
      <c r="N12916" s="5" t="s">
        <v>99</v>
      </c>
      <c r="O12916" s="5" t="s">
        <v>99</v>
      </c>
    </row>
    <row r="12917" spans="1:15" s="5" customFormat="1" x14ac:dyDescent="0.3">
      <c r="A12917" s="5" t="s">
        <v>34</v>
      </c>
      <c r="B12917" s="5" t="s">
        <v>216</v>
      </c>
      <c r="C12917" s="5">
        <v>7</v>
      </c>
      <c r="D12917" s="5" t="s">
        <v>529</v>
      </c>
      <c r="E12917" s="5" t="s">
        <v>143</v>
      </c>
      <c r="F12917" s="5" t="s">
        <v>99</v>
      </c>
      <c r="G12917" s="5" t="s">
        <v>99</v>
      </c>
      <c r="H12917" s="5" t="s">
        <v>953</v>
      </c>
      <c r="I12917" s="5" t="s">
        <v>99</v>
      </c>
      <c r="J12917" s="5" t="s">
        <v>99</v>
      </c>
      <c r="K12917" s="5" t="s">
        <v>99</v>
      </c>
      <c r="L12917" s="5" t="s">
        <v>99</v>
      </c>
      <c r="M12917" s="5" t="s">
        <v>99</v>
      </c>
      <c r="N12917" s="5" t="s">
        <v>175</v>
      </c>
      <c r="O12917" s="5" t="s">
        <v>99</v>
      </c>
    </row>
    <row r="12918" spans="1:15" x14ac:dyDescent="0.3">
      <c r="A12918" t="s">
        <v>33</v>
      </c>
      <c r="B12918" t="s">
        <v>365</v>
      </c>
    </row>
    <row r="12919" spans="1:15" s="5" customFormat="1" x14ac:dyDescent="0.3">
      <c r="A12919" s="5" t="s">
        <v>49</v>
      </c>
      <c r="B12919" s="5" t="s">
        <v>210</v>
      </c>
      <c r="C12919" s="5">
        <v>27</v>
      </c>
      <c r="D12919" s="5" t="s">
        <v>323</v>
      </c>
      <c r="E12919" s="5" t="s">
        <v>551</v>
      </c>
      <c r="F12919" s="5" t="s">
        <v>631</v>
      </c>
      <c r="G12919" s="5" t="s">
        <v>115</v>
      </c>
      <c r="H12919" s="5" t="s">
        <v>720</v>
      </c>
      <c r="I12919" s="5" t="s">
        <v>714</v>
      </c>
      <c r="J12919" s="5" t="s">
        <v>401</v>
      </c>
      <c r="K12919" s="5" t="s">
        <v>177</v>
      </c>
      <c r="L12919" s="5" t="s">
        <v>401</v>
      </c>
      <c r="M12919" s="5" t="s">
        <v>68</v>
      </c>
      <c r="N12919" s="5" t="s">
        <v>99</v>
      </c>
      <c r="O12919" s="5" t="s">
        <v>99</v>
      </c>
    </row>
    <row r="12920" spans="1:15" x14ac:dyDescent="0.3">
      <c r="A12920" t="s">
        <v>49</v>
      </c>
      <c r="B12920" t="s">
        <v>212</v>
      </c>
      <c r="C12920">
        <v>68</v>
      </c>
      <c r="D12920" t="s">
        <v>1108</v>
      </c>
      <c r="E12920" t="s">
        <v>609</v>
      </c>
      <c r="F12920" t="s">
        <v>704</v>
      </c>
      <c r="G12920" t="s">
        <v>111</v>
      </c>
      <c r="H12920" t="s">
        <v>706</v>
      </c>
      <c r="I12920" t="s">
        <v>251</v>
      </c>
      <c r="J12920" t="s">
        <v>130</v>
      </c>
      <c r="K12920" t="s">
        <v>420</v>
      </c>
      <c r="L12920" t="s">
        <v>118</v>
      </c>
      <c r="M12920" t="s">
        <v>113</v>
      </c>
      <c r="N12920" t="s">
        <v>99</v>
      </c>
      <c r="O12920" t="s">
        <v>99</v>
      </c>
    </row>
    <row r="12921" spans="1:15" s="5" customFormat="1" x14ac:dyDescent="0.3">
      <c r="A12921" s="5" t="s">
        <v>49</v>
      </c>
      <c r="B12921" s="5" t="s">
        <v>216</v>
      </c>
      <c r="C12921" s="5">
        <v>14</v>
      </c>
      <c r="D12921" s="5" t="s">
        <v>307</v>
      </c>
      <c r="E12921" s="5" t="s">
        <v>227</v>
      </c>
      <c r="F12921" s="5" t="s">
        <v>99</v>
      </c>
      <c r="G12921" s="5" t="s">
        <v>99</v>
      </c>
      <c r="H12921" s="5" t="s">
        <v>525</v>
      </c>
      <c r="I12921" s="5" t="s">
        <v>99</v>
      </c>
      <c r="J12921" s="5" t="s">
        <v>99</v>
      </c>
      <c r="K12921" s="5" t="s">
        <v>99</v>
      </c>
      <c r="L12921" s="5" t="s">
        <v>99</v>
      </c>
      <c r="M12921" s="5" t="s">
        <v>99</v>
      </c>
      <c r="N12921" s="5" t="s">
        <v>109</v>
      </c>
      <c r="O12921" s="5" t="s">
        <v>99</v>
      </c>
    </row>
    <row r="12923" spans="1:15" x14ac:dyDescent="0.3">
      <c r="A12923" t="s">
        <v>2865</v>
      </c>
    </row>
    <row r="12924" spans="1:15" x14ac:dyDescent="0.3">
      <c r="A12924" t="s">
        <v>44</v>
      </c>
      <c r="B12924" t="s">
        <v>209</v>
      </c>
      <c r="C12924" t="s">
        <v>32</v>
      </c>
      <c r="D12924" t="s">
        <v>2834</v>
      </c>
      <c r="E12924" t="s">
        <v>2835</v>
      </c>
      <c r="F12924" t="s">
        <v>2836</v>
      </c>
      <c r="G12924" t="s">
        <v>2837</v>
      </c>
      <c r="H12924" t="s">
        <v>2838</v>
      </c>
      <c r="I12924" t="s">
        <v>2839</v>
      </c>
      <c r="J12924" t="s">
        <v>2840</v>
      </c>
      <c r="K12924" t="s">
        <v>2841</v>
      </c>
      <c r="L12924" t="s">
        <v>2842</v>
      </c>
      <c r="M12924" t="s">
        <v>2843</v>
      </c>
      <c r="N12924" t="s">
        <v>193</v>
      </c>
      <c r="O12924" t="s">
        <v>1275</v>
      </c>
    </row>
    <row r="12925" spans="1:15" x14ac:dyDescent="0.3">
      <c r="A12925" t="s">
        <v>35</v>
      </c>
      <c r="B12925" t="s">
        <v>365</v>
      </c>
    </row>
    <row r="12926" spans="1:15" x14ac:dyDescent="0.3">
      <c r="A12926" t="s">
        <v>37</v>
      </c>
      <c r="B12926" t="s">
        <v>365</v>
      </c>
    </row>
    <row r="12927" spans="1:15" s="5" customFormat="1" x14ac:dyDescent="0.3">
      <c r="A12927" s="5" t="s">
        <v>36</v>
      </c>
      <c r="B12927" s="5" t="s">
        <v>212</v>
      </c>
      <c r="C12927" s="5">
        <v>1</v>
      </c>
      <c r="D12927" s="5" t="s">
        <v>99</v>
      </c>
      <c r="E12927" s="5" t="s">
        <v>211</v>
      </c>
      <c r="F12927" s="5" t="s">
        <v>99</v>
      </c>
      <c r="G12927" s="5" t="s">
        <v>99</v>
      </c>
      <c r="H12927" s="5" t="s">
        <v>99</v>
      </c>
      <c r="I12927" s="5" t="s">
        <v>99</v>
      </c>
      <c r="J12927" s="5" t="s">
        <v>99</v>
      </c>
      <c r="K12927" s="5" t="s">
        <v>99</v>
      </c>
      <c r="L12927" s="5" t="s">
        <v>99</v>
      </c>
      <c r="M12927" s="5" t="s">
        <v>99</v>
      </c>
      <c r="N12927" s="5" t="s">
        <v>99</v>
      </c>
      <c r="O12927" s="5" t="s">
        <v>99</v>
      </c>
    </row>
    <row r="12928" spans="1:15" s="5" customFormat="1" x14ac:dyDescent="0.3">
      <c r="A12928" s="5" t="s">
        <v>36</v>
      </c>
      <c r="B12928" s="5" t="s">
        <v>216</v>
      </c>
      <c r="C12928" s="5">
        <v>4</v>
      </c>
      <c r="D12928" s="5" t="s">
        <v>1209</v>
      </c>
      <c r="E12928" s="5" t="s">
        <v>1245</v>
      </c>
      <c r="F12928" s="5" t="s">
        <v>99</v>
      </c>
      <c r="G12928" s="5" t="s">
        <v>99</v>
      </c>
      <c r="H12928" s="5" t="s">
        <v>99</v>
      </c>
      <c r="I12928" s="5" t="s">
        <v>382</v>
      </c>
      <c r="J12928" s="5" t="s">
        <v>1209</v>
      </c>
      <c r="K12928" s="5" t="s">
        <v>99</v>
      </c>
      <c r="L12928" s="5" t="s">
        <v>99</v>
      </c>
      <c r="M12928" s="5" t="s">
        <v>1209</v>
      </c>
      <c r="N12928" s="5" t="s">
        <v>99</v>
      </c>
      <c r="O12928" s="5" t="s">
        <v>99</v>
      </c>
    </row>
    <row r="12929" spans="1:15" s="5" customFormat="1" x14ac:dyDescent="0.3">
      <c r="A12929" s="5" t="s">
        <v>34</v>
      </c>
      <c r="B12929" s="5" t="s">
        <v>216</v>
      </c>
      <c r="C12929" s="5">
        <v>1</v>
      </c>
      <c r="D12929" s="5" t="s">
        <v>99</v>
      </c>
      <c r="E12929" s="5" t="s">
        <v>211</v>
      </c>
      <c r="F12929" s="5" t="s">
        <v>99</v>
      </c>
      <c r="G12929" s="5" t="s">
        <v>99</v>
      </c>
      <c r="H12929" s="5" t="s">
        <v>99</v>
      </c>
      <c r="I12929" s="5" t="s">
        <v>99</v>
      </c>
      <c r="J12929" s="5" t="s">
        <v>99</v>
      </c>
      <c r="K12929" s="5" t="s">
        <v>99</v>
      </c>
      <c r="L12929" s="5" t="s">
        <v>99</v>
      </c>
      <c r="M12929" s="5" t="s">
        <v>99</v>
      </c>
      <c r="N12929" s="5" t="s">
        <v>99</v>
      </c>
      <c r="O12929" s="5" t="s">
        <v>99</v>
      </c>
    </row>
    <row r="12930" spans="1:15" x14ac:dyDescent="0.3">
      <c r="A12930" t="s">
        <v>33</v>
      </c>
      <c r="B12930" t="s">
        <v>365</v>
      </c>
    </row>
    <row r="12931" spans="1:15" s="5" customFormat="1" x14ac:dyDescent="0.3">
      <c r="A12931" s="5" t="s">
        <v>49</v>
      </c>
      <c r="B12931" s="5" t="s">
        <v>212</v>
      </c>
      <c r="C12931" s="5">
        <v>1</v>
      </c>
      <c r="D12931" s="5" t="s">
        <v>99</v>
      </c>
      <c r="E12931" s="5" t="s">
        <v>211</v>
      </c>
      <c r="F12931" s="5" t="s">
        <v>99</v>
      </c>
      <c r="G12931" s="5" t="s">
        <v>99</v>
      </c>
      <c r="H12931" s="5" t="s">
        <v>99</v>
      </c>
      <c r="I12931" s="5" t="s">
        <v>99</v>
      </c>
      <c r="J12931" s="5" t="s">
        <v>99</v>
      </c>
      <c r="K12931" s="5" t="s">
        <v>99</v>
      </c>
      <c r="L12931" s="5" t="s">
        <v>99</v>
      </c>
      <c r="M12931" s="5" t="s">
        <v>99</v>
      </c>
      <c r="N12931" s="5" t="s">
        <v>99</v>
      </c>
      <c r="O12931" s="5" t="s">
        <v>99</v>
      </c>
    </row>
    <row r="12932" spans="1:15" s="5" customFormat="1" x14ac:dyDescent="0.3">
      <c r="A12932" s="5" t="s">
        <v>49</v>
      </c>
      <c r="B12932" s="5" t="s">
        <v>216</v>
      </c>
      <c r="C12932" s="5">
        <v>5</v>
      </c>
      <c r="D12932" s="5" t="s">
        <v>1414</v>
      </c>
      <c r="E12932" s="5" t="s">
        <v>1279</v>
      </c>
      <c r="F12932" s="5" t="s">
        <v>99</v>
      </c>
      <c r="G12932" s="5" t="s">
        <v>99</v>
      </c>
      <c r="H12932" s="5" t="s">
        <v>99</v>
      </c>
      <c r="I12932" s="5" t="s">
        <v>319</v>
      </c>
      <c r="J12932" s="5" t="s">
        <v>1414</v>
      </c>
      <c r="K12932" s="5" t="s">
        <v>99</v>
      </c>
      <c r="L12932" s="5" t="s">
        <v>99</v>
      </c>
      <c r="M12932" s="5" t="s">
        <v>1414</v>
      </c>
      <c r="N12932" s="5" t="s">
        <v>99</v>
      </c>
      <c r="O12932" s="5" t="s">
        <v>99</v>
      </c>
    </row>
    <row r="12934" spans="1:15" x14ac:dyDescent="0.3">
      <c r="A12934" t="s">
        <v>2866</v>
      </c>
    </row>
    <row r="12935" spans="1:15" x14ac:dyDescent="0.3">
      <c r="A12935" t="s">
        <v>44</v>
      </c>
      <c r="B12935" t="s">
        <v>209</v>
      </c>
      <c r="C12935" t="s">
        <v>32</v>
      </c>
      <c r="D12935" t="s">
        <v>2834</v>
      </c>
      <c r="E12935" t="s">
        <v>2835</v>
      </c>
      <c r="F12935" t="s">
        <v>2836</v>
      </c>
      <c r="G12935" t="s">
        <v>2837</v>
      </c>
      <c r="H12935" t="s">
        <v>2838</v>
      </c>
      <c r="I12935" t="s">
        <v>2839</v>
      </c>
      <c r="J12935" t="s">
        <v>2840</v>
      </c>
      <c r="K12935" t="s">
        <v>2841</v>
      </c>
      <c r="L12935" t="s">
        <v>2842</v>
      </c>
      <c r="M12935" t="s">
        <v>2843</v>
      </c>
      <c r="N12935" t="s">
        <v>193</v>
      </c>
      <c r="O12935" t="s">
        <v>1275</v>
      </c>
    </row>
    <row r="12936" spans="1:15" s="5" customFormat="1" x14ac:dyDescent="0.3">
      <c r="A12936" s="5" t="s">
        <v>35</v>
      </c>
      <c r="B12936" s="5" t="s">
        <v>212</v>
      </c>
      <c r="C12936" s="5">
        <v>2</v>
      </c>
      <c r="D12936" s="5" t="s">
        <v>99</v>
      </c>
      <c r="E12936" s="5" t="s">
        <v>99</v>
      </c>
      <c r="F12936" s="5" t="s">
        <v>99</v>
      </c>
      <c r="G12936" s="5" t="s">
        <v>99</v>
      </c>
      <c r="H12936" s="5" t="s">
        <v>211</v>
      </c>
      <c r="I12936" s="5" t="s">
        <v>99</v>
      </c>
      <c r="J12936" s="5" t="s">
        <v>99</v>
      </c>
      <c r="K12936" s="5" t="s">
        <v>99</v>
      </c>
      <c r="L12936" s="5" t="s">
        <v>99</v>
      </c>
      <c r="M12936" s="5" t="s">
        <v>99</v>
      </c>
      <c r="N12936" s="5" t="s">
        <v>99</v>
      </c>
      <c r="O12936" s="5" t="s">
        <v>99</v>
      </c>
    </row>
    <row r="12937" spans="1:15" x14ac:dyDescent="0.3">
      <c r="A12937" t="s">
        <v>37</v>
      </c>
      <c r="B12937" t="s">
        <v>365</v>
      </c>
    </row>
    <row r="12938" spans="1:15" x14ac:dyDescent="0.3">
      <c r="A12938" t="s">
        <v>36</v>
      </c>
      <c r="B12938" t="s">
        <v>365</v>
      </c>
    </row>
    <row r="12939" spans="1:15" s="5" customFormat="1" x14ac:dyDescent="0.3">
      <c r="A12939" s="5" t="s">
        <v>34</v>
      </c>
      <c r="B12939" s="5" t="s">
        <v>212</v>
      </c>
      <c r="C12939" s="5">
        <v>2</v>
      </c>
      <c r="D12939" s="5" t="s">
        <v>909</v>
      </c>
      <c r="E12939" s="5" t="s">
        <v>99</v>
      </c>
      <c r="F12939" s="5" t="s">
        <v>99</v>
      </c>
      <c r="G12939" s="5" t="s">
        <v>99</v>
      </c>
      <c r="H12939" s="5" t="s">
        <v>909</v>
      </c>
      <c r="I12939" s="5" t="s">
        <v>99</v>
      </c>
      <c r="J12939" s="5" t="s">
        <v>99</v>
      </c>
      <c r="K12939" s="5" t="s">
        <v>99</v>
      </c>
      <c r="L12939" s="5" t="s">
        <v>99</v>
      </c>
      <c r="M12939" s="5" t="s">
        <v>99</v>
      </c>
      <c r="N12939" s="5" t="s">
        <v>99</v>
      </c>
      <c r="O12939" s="5" t="s">
        <v>99</v>
      </c>
    </row>
    <row r="12940" spans="1:15" s="5" customFormat="1" x14ac:dyDescent="0.3">
      <c r="A12940" s="5" t="s">
        <v>34</v>
      </c>
      <c r="B12940" s="5" t="s">
        <v>216</v>
      </c>
      <c r="C12940" s="5">
        <v>1</v>
      </c>
      <c r="D12940" s="5" t="s">
        <v>99</v>
      </c>
      <c r="E12940" s="5" t="s">
        <v>99</v>
      </c>
      <c r="F12940" s="5" t="s">
        <v>99</v>
      </c>
      <c r="G12940" s="5" t="s">
        <v>99</v>
      </c>
      <c r="H12940" s="5" t="s">
        <v>211</v>
      </c>
      <c r="I12940" s="5" t="s">
        <v>99</v>
      </c>
      <c r="J12940" s="5" t="s">
        <v>99</v>
      </c>
      <c r="K12940" s="5" t="s">
        <v>99</v>
      </c>
      <c r="L12940" s="5" t="s">
        <v>99</v>
      </c>
      <c r="M12940" s="5" t="s">
        <v>99</v>
      </c>
      <c r="N12940" s="5" t="s">
        <v>99</v>
      </c>
      <c r="O12940" s="5" t="s">
        <v>99</v>
      </c>
    </row>
    <row r="12941" spans="1:15" x14ac:dyDescent="0.3">
      <c r="A12941" t="s">
        <v>33</v>
      </c>
      <c r="B12941" t="s">
        <v>365</v>
      </c>
    </row>
    <row r="12942" spans="1:15" s="5" customFormat="1" x14ac:dyDescent="0.3">
      <c r="A12942" s="5" t="s">
        <v>49</v>
      </c>
      <c r="B12942" s="5" t="s">
        <v>212</v>
      </c>
      <c r="C12942" s="5">
        <v>4</v>
      </c>
      <c r="D12942" s="5" t="s">
        <v>1222</v>
      </c>
      <c r="E12942" s="5" t="s">
        <v>99</v>
      </c>
      <c r="F12942" s="5" t="s">
        <v>99</v>
      </c>
      <c r="G12942" s="5" t="s">
        <v>99</v>
      </c>
      <c r="H12942" s="5" t="s">
        <v>1368</v>
      </c>
      <c r="I12942" s="5" t="s">
        <v>99</v>
      </c>
      <c r="J12942" s="5" t="s">
        <v>99</v>
      </c>
      <c r="K12942" s="5" t="s">
        <v>99</v>
      </c>
      <c r="L12942" s="5" t="s">
        <v>99</v>
      </c>
      <c r="M12942" s="5" t="s">
        <v>99</v>
      </c>
      <c r="N12942" s="5" t="s">
        <v>99</v>
      </c>
      <c r="O12942" s="5" t="s">
        <v>99</v>
      </c>
    </row>
    <row r="12943" spans="1:15" s="5" customFormat="1" x14ac:dyDescent="0.3">
      <c r="A12943" s="5" t="s">
        <v>49</v>
      </c>
      <c r="B12943" s="5" t="s">
        <v>216</v>
      </c>
      <c r="C12943" s="5">
        <v>1</v>
      </c>
      <c r="D12943" s="5" t="s">
        <v>99</v>
      </c>
      <c r="E12943" s="5" t="s">
        <v>99</v>
      </c>
      <c r="F12943" s="5" t="s">
        <v>99</v>
      </c>
      <c r="G12943" s="5" t="s">
        <v>99</v>
      </c>
      <c r="H12943" s="5" t="s">
        <v>211</v>
      </c>
      <c r="I12943" s="5" t="s">
        <v>99</v>
      </c>
      <c r="J12943" s="5" t="s">
        <v>99</v>
      </c>
      <c r="K12943" s="5" t="s">
        <v>99</v>
      </c>
      <c r="L12943" s="5" t="s">
        <v>99</v>
      </c>
      <c r="M12943" s="5" t="s">
        <v>99</v>
      </c>
      <c r="N12943" s="5" t="s">
        <v>99</v>
      </c>
      <c r="O12943" s="5" t="s">
        <v>99</v>
      </c>
    </row>
    <row r="12945" spans="1:15" x14ac:dyDescent="0.3">
      <c r="A12945" t="s">
        <v>2867</v>
      </c>
    </row>
    <row r="12946" spans="1:15" x14ac:dyDescent="0.3">
      <c r="A12946" t="s">
        <v>44</v>
      </c>
      <c r="B12946" t="s">
        <v>209</v>
      </c>
      <c r="C12946" t="s">
        <v>32</v>
      </c>
      <c r="D12946" t="s">
        <v>2834</v>
      </c>
      <c r="E12946" t="s">
        <v>2835</v>
      </c>
      <c r="F12946" t="s">
        <v>2836</v>
      </c>
      <c r="G12946" t="s">
        <v>2837</v>
      </c>
      <c r="H12946" t="s">
        <v>2838</v>
      </c>
      <c r="I12946" t="s">
        <v>2839</v>
      </c>
      <c r="J12946" t="s">
        <v>2840</v>
      </c>
      <c r="K12946" t="s">
        <v>2841</v>
      </c>
      <c r="L12946" t="s">
        <v>2842</v>
      </c>
      <c r="M12946" t="s">
        <v>2843</v>
      </c>
      <c r="N12946" t="s">
        <v>193</v>
      </c>
      <c r="O12946" t="s">
        <v>1275</v>
      </c>
    </row>
    <row r="12947" spans="1:15" s="5" customFormat="1" x14ac:dyDescent="0.3">
      <c r="A12947" s="5" t="s">
        <v>35</v>
      </c>
      <c r="B12947" s="5" t="s">
        <v>212</v>
      </c>
      <c r="C12947" s="5">
        <v>2</v>
      </c>
      <c r="D12947" s="5" t="s">
        <v>639</v>
      </c>
      <c r="E12947" s="5" t="s">
        <v>638</v>
      </c>
      <c r="F12947" s="5" t="s">
        <v>99</v>
      </c>
      <c r="G12947" s="5" t="s">
        <v>99</v>
      </c>
      <c r="H12947" s="5" t="s">
        <v>638</v>
      </c>
      <c r="I12947" s="5" t="s">
        <v>99</v>
      </c>
      <c r="J12947" s="5" t="s">
        <v>99</v>
      </c>
      <c r="K12947" s="5" t="s">
        <v>99</v>
      </c>
      <c r="L12947" s="5" t="s">
        <v>99</v>
      </c>
      <c r="M12947" s="5" t="s">
        <v>99</v>
      </c>
      <c r="N12947" s="5" t="s">
        <v>99</v>
      </c>
      <c r="O12947" s="5" t="s">
        <v>99</v>
      </c>
    </row>
    <row r="12948" spans="1:15" x14ac:dyDescent="0.3">
      <c r="A12948" t="s">
        <v>37</v>
      </c>
      <c r="B12948" t="s">
        <v>365</v>
      </c>
    </row>
    <row r="12949" spans="1:15" s="5" customFormat="1" x14ac:dyDescent="0.3">
      <c r="A12949" s="5" t="s">
        <v>36</v>
      </c>
      <c r="B12949" s="5" t="s">
        <v>212</v>
      </c>
      <c r="C12949" s="5">
        <v>2</v>
      </c>
      <c r="D12949" s="5" t="s">
        <v>99</v>
      </c>
      <c r="E12949" s="5" t="s">
        <v>211</v>
      </c>
      <c r="F12949" s="5" t="s">
        <v>492</v>
      </c>
      <c r="G12949" s="5" t="s">
        <v>99</v>
      </c>
      <c r="H12949" s="5" t="s">
        <v>99</v>
      </c>
      <c r="I12949" s="5" t="s">
        <v>99</v>
      </c>
      <c r="J12949" s="5" t="s">
        <v>99</v>
      </c>
      <c r="K12949" s="5" t="s">
        <v>99</v>
      </c>
      <c r="L12949" s="5" t="s">
        <v>99</v>
      </c>
      <c r="M12949" s="5" t="s">
        <v>99</v>
      </c>
      <c r="N12949" s="5" t="s">
        <v>99</v>
      </c>
      <c r="O12949" s="5" t="s">
        <v>99</v>
      </c>
    </row>
    <row r="12950" spans="1:15" s="5" customFormat="1" x14ac:dyDescent="0.3">
      <c r="A12950" s="5" t="s">
        <v>36</v>
      </c>
      <c r="B12950" s="5" t="s">
        <v>216</v>
      </c>
      <c r="C12950" s="5">
        <v>1</v>
      </c>
      <c r="D12950" s="5" t="s">
        <v>99</v>
      </c>
      <c r="E12950" s="5" t="s">
        <v>211</v>
      </c>
      <c r="F12950" s="5" t="s">
        <v>99</v>
      </c>
      <c r="G12950" s="5" t="s">
        <v>99</v>
      </c>
      <c r="H12950" s="5" t="s">
        <v>99</v>
      </c>
      <c r="I12950" s="5" t="s">
        <v>99</v>
      </c>
      <c r="J12950" s="5" t="s">
        <v>99</v>
      </c>
      <c r="K12950" s="5" t="s">
        <v>99</v>
      </c>
      <c r="L12950" s="5" t="s">
        <v>99</v>
      </c>
      <c r="M12950" s="5" t="s">
        <v>99</v>
      </c>
      <c r="N12950" s="5" t="s">
        <v>99</v>
      </c>
      <c r="O12950" s="5" t="s">
        <v>99</v>
      </c>
    </row>
    <row r="12951" spans="1:15" s="5" customFormat="1" x14ac:dyDescent="0.3">
      <c r="A12951" s="5" t="s">
        <v>34</v>
      </c>
      <c r="B12951" s="5" t="s">
        <v>212</v>
      </c>
      <c r="C12951" s="5">
        <v>2</v>
      </c>
      <c r="D12951" s="5" t="s">
        <v>99</v>
      </c>
      <c r="E12951" s="5" t="s">
        <v>743</v>
      </c>
      <c r="F12951" s="5" t="s">
        <v>99</v>
      </c>
      <c r="G12951" s="5" t="s">
        <v>99</v>
      </c>
      <c r="H12951" s="5" t="s">
        <v>99</v>
      </c>
      <c r="I12951" s="5" t="s">
        <v>99</v>
      </c>
      <c r="J12951" s="5" t="s">
        <v>99</v>
      </c>
      <c r="K12951" s="5" t="s">
        <v>99</v>
      </c>
      <c r="L12951" s="5" t="s">
        <v>99</v>
      </c>
      <c r="M12951" s="5" t="s">
        <v>99</v>
      </c>
      <c r="N12951" s="5" t="s">
        <v>99</v>
      </c>
      <c r="O12951" s="5" t="s">
        <v>1362</v>
      </c>
    </row>
    <row r="12952" spans="1:15" s="5" customFormat="1" x14ac:dyDescent="0.3">
      <c r="A12952" s="5" t="s">
        <v>34</v>
      </c>
      <c r="B12952" s="5" t="s">
        <v>216</v>
      </c>
      <c r="C12952" s="5">
        <v>1</v>
      </c>
      <c r="D12952" s="5" t="s">
        <v>99</v>
      </c>
      <c r="E12952" s="5" t="s">
        <v>211</v>
      </c>
      <c r="F12952" s="5" t="s">
        <v>99</v>
      </c>
      <c r="G12952" s="5" t="s">
        <v>99</v>
      </c>
      <c r="H12952" s="5" t="s">
        <v>99</v>
      </c>
      <c r="I12952" s="5" t="s">
        <v>99</v>
      </c>
      <c r="J12952" s="5" t="s">
        <v>99</v>
      </c>
      <c r="K12952" s="5" t="s">
        <v>99</v>
      </c>
      <c r="L12952" s="5" t="s">
        <v>99</v>
      </c>
      <c r="M12952" s="5" t="s">
        <v>99</v>
      </c>
      <c r="N12952" s="5" t="s">
        <v>99</v>
      </c>
      <c r="O12952" s="5" t="s">
        <v>99</v>
      </c>
    </row>
    <row r="12953" spans="1:15" x14ac:dyDescent="0.3">
      <c r="A12953" t="s">
        <v>33</v>
      </c>
      <c r="B12953" t="s">
        <v>365</v>
      </c>
    </row>
    <row r="12954" spans="1:15" s="5" customFormat="1" x14ac:dyDescent="0.3">
      <c r="A12954" s="5" t="s">
        <v>49</v>
      </c>
      <c r="B12954" s="5" t="s">
        <v>212</v>
      </c>
      <c r="C12954" s="5">
        <v>6</v>
      </c>
      <c r="D12954" s="5" t="s">
        <v>446</v>
      </c>
      <c r="E12954" s="5" t="s">
        <v>713</v>
      </c>
      <c r="F12954" s="5" t="s">
        <v>332</v>
      </c>
      <c r="G12954" s="5" t="s">
        <v>99</v>
      </c>
      <c r="H12954" s="5" t="s">
        <v>743</v>
      </c>
      <c r="I12954" s="5" t="s">
        <v>99</v>
      </c>
      <c r="J12954" s="5" t="s">
        <v>99</v>
      </c>
      <c r="K12954" s="5" t="s">
        <v>99</v>
      </c>
      <c r="L12954" s="5" t="s">
        <v>99</v>
      </c>
      <c r="M12954" s="5" t="s">
        <v>99</v>
      </c>
      <c r="N12954" s="5" t="s">
        <v>99</v>
      </c>
      <c r="O12954" s="5" t="s">
        <v>1148</v>
      </c>
    </row>
    <row r="12955" spans="1:15" s="5" customFormat="1" x14ac:dyDescent="0.3">
      <c r="A12955" s="5" t="s">
        <v>49</v>
      </c>
      <c r="B12955" s="5" t="s">
        <v>216</v>
      </c>
      <c r="C12955" s="5">
        <v>2</v>
      </c>
      <c r="D12955" s="5" t="s">
        <v>99</v>
      </c>
      <c r="E12955" s="5" t="s">
        <v>211</v>
      </c>
      <c r="F12955" s="5" t="s">
        <v>99</v>
      </c>
      <c r="G12955" s="5" t="s">
        <v>99</v>
      </c>
      <c r="H12955" s="5" t="s">
        <v>99</v>
      </c>
      <c r="I12955" s="5" t="s">
        <v>99</v>
      </c>
      <c r="J12955" s="5" t="s">
        <v>99</v>
      </c>
      <c r="K12955" s="5" t="s">
        <v>99</v>
      </c>
      <c r="L12955" s="5" t="s">
        <v>99</v>
      </c>
      <c r="M12955" s="5" t="s">
        <v>99</v>
      </c>
      <c r="N12955" s="5" t="s">
        <v>99</v>
      </c>
      <c r="O12955" s="5" t="s">
        <v>99</v>
      </c>
    </row>
    <row r="12957" spans="1:15" x14ac:dyDescent="0.3">
      <c r="A12957" t="s">
        <v>2868</v>
      </c>
    </row>
    <row r="12958" spans="1:15" x14ac:dyDescent="0.3">
      <c r="A12958" t="s">
        <v>44</v>
      </c>
      <c r="B12958" t="s">
        <v>209</v>
      </c>
      <c r="C12958" t="s">
        <v>32</v>
      </c>
      <c r="D12958" t="s">
        <v>2834</v>
      </c>
      <c r="E12958" t="s">
        <v>2835</v>
      </c>
      <c r="F12958" t="s">
        <v>2836</v>
      </c>
      <c r="G12958" t="s">
        <v>2837</v>
      </c>
      <c r="H12958" t="s">
        <v>2838</v>
      </c>
      <c r="I12958" t="s">
        <v>2839</v>
      </c>
      <c r="J12958" t="s">
        <v>2840</v>
      </c>
      <c r="K12958" t="s">
        <v>2841</v>
      </c>
      <c r="L12958" t="s">
        <v>2842</v>
      </c>
      <c r="M12958" t="s">
        <v>2843</v>
      </c>
      <c r="N12958" t="s">
        <v>193</v>
      </c>
      <c r="O12958" t="s">
        <v>1275</v>
      </c>
    </row>
    <row r="12959" spans="1:15" x14ac:dyDescent="0.3">
      <c r="A12959" t="s">
        <v>35</v>
      </c>
      <c r="B12959" t="s">
        <v>365</v>
      </c>
    </row>
    <row r="12960" spans="1:15" s="5" customFormat="1" x14ac:dyDescent="0.3">
      <c r="A12960" s="5" t="s">
        <v>37</v>
      </c>
      <c r="B12960" s="5" t="s">
        <v>212</v>
      </c>
      <c r="C12960" s="5">
        <v>2</v>
      </c>
      <c r="D12960" s="5" t="s">
        <v>1159</v>
      </c>
      <c r="E12960" s="5" t="s">
        <v>99</v>
      </c>
      <c r="F12960" s="5" t="s">
        <v>99</v>
      </c>
      <c r="G12960" s="5" t="s">
        <v>1497</v>
      </c>
      <c r="H12960" s="5" t="s">
        <v>1497</v>
      </c>
      <c r="I12960" s="5" t="s">
        <v>99</v>
      </c>
      <c r="J12960" s="5" t="s">
        <v>99</v>
      </c>
      <c r="K12960" s="5" t="s">
        <v>99</v>
      </c>
      <c r="L12960" s="5" t="s">
        <v>99</v>
      </c>
      <c r="M12960" s="5" t="s">
        <v>99</v>
      </c>
      <c r="N12960" s="5" t="s">
        <v>99</v>
      </c>
      <c r="O12960" s="5" t="s">
        <v>99</v>
      </c>
    </row>
    <row r="12961" spans="1:15" x14ac:dyDescent="0.3">
      <c r="A12961" t="s">
        <v>36</v>
      </c>
      <c r="B12961" t="s">
        <v>365</v>
      </c>
    </row>
    <row r="12962" spans="1:15" x14ac:dyDescent="0.3">
      <c r="A12962" t="s">
        <v>34</v>
      </c>
      <c r="B12962" t="s">
        <v>365</v>
      </c>
    </row>
    <row r="12963" spans="1:15" s="5" customFormat="1" x14ac:dyDescent="0.3">
      <c r="A12963" s="5" t="s">
        <v>33</v>
      </c>
      <c r="B12963" s="5" t="s">
        <v>210</v>
      </c>
      <c r="C12963" s="5">
        <v>1</v>
      </c>
      <c r="D12963" s="5" t="s">
        <v>211</v>
      </c>
      <c r="E12963" s="5" t="s">
        <v>99</v>
      </c>
      <c r="F12963" s="5" t="s">
        <v>99</v>
      </c>
      <c r="G12963" s="5" t="s">
        <v>99</v>
      </c>
      <c r="H12963" s="5" t="s">
        <v>211</v>
      </c>
      <c r="I12963" s="5" t="s">
        <v>99</v>
      </c>
      <c r="J12963" s="5" t="s">
        <v>99</v>
      </c>
      <c r="K12963" s="5" t="s">
        <v>99</v>
      </c>
      <c r="L12963" s="5" t="s">
        <v>99</v>
      </c>
      <c r="M12963" s="5" t="s">
        <v>99</v>
      </c>
      <c r="N12963" s="5" t="s">
        <v>99</v>
      </c>
      <c r="O12963" s="5" t="s">
        <v>99</v>
      </c>
    </row>
    <row r="12964" spans="1:15" s="5" customFormat="1" x14ac:dyDescent="0.3">
      <c r="A12964" s="5" t="s">
        <v>49</v>
      </c>
      <c r="B12964" s="5" t="s">
        <v>210</v>
      </c>
      <c r="C12964" s="5">
        <v>1</v>
      </c>
      <c r="D12964" s="5" t="s">
        <v>211</v>
      </c>
      <c r="E12964" s="5" t="s">
        <v>99</v>
      </c>
      <c r="F12964" s="5" t="s">
        <v>99</v>
      </c>
      <c r="G12964" s="5" t="s">
        <v>99</v>
      </c>
      <c r="H12964" s="5" t="s">
        <v>211</v>
      </c>
      <c r="I12964" s="5" t="s">
        <v>99</v>
      </c>
      <c r="J12964" s="5" t="s">
        <v>99</v>
      </c>
      <c r="K12964" s="5" t="s">
        <v>99</v>
      </c>
      <c r="L12964" s="5" t="s">
        <v>99</v>
      </c>
      <c r="M12964" s="5" t="s">
        <v>99</v>
      </c>
      <c r="N12964" s="5" t="s">
        <v>99</v>
      </c>
      <c r="O12964" s="5" t="s">
        <v>99</v>
      </c>
    </row>
    <row r="12965" spans="1:15" s="5" customFormat="1" x14ac:dyDescent="0.3">
      <c r="A12965" s="5" t="s">
        <v>49</v>
      </c>
      <c r="B12965" s="5" t="s">
        <v>212</v>
      </c>
      <c r="C12965" s="5">
        <v>2</v>
      </c>
      <c r="D12965" s="5" t="s">
        <v>1159</v>
      </c>
      <c r="E12965" s="5" t="s">
        <v>99</v>
      </c>
      <c r="F12965" s="5" t="s">
        <v>99</v>
      </c>
      <c r="G12965" s="5" t="s">
        <v>1497</v>
      </c>
      <c r="H12965" s="5" t="s">
        <v>1497</v>
      </c>
      <c r="I12965" s="5" t="s">
        <v>99</v>
      </c>
      <c r="J12965" s="5" t="s">
        <v>99</v>
      </c>
      <c r="K12965" s="5" t="s">
        <v>99</v>
      </c>
      <c r="L12965" s="5" t="s">
        <v>99</v>
      </c>
      <c r="M12965" s="5" t="s">
        <v>99</v>
      </c>
      <c r="N12965" s="5" t="s">
        <v>99</v>
      </c>
      <c r="O12965" s="5" t="s">
        <v>99</v>
      </c>
    </row>
    <row r="12967" spans="1:15" x14ac:dyDescent="0.3">
      <c r="A12967" t="s">
        <v>2869</v>
      </c>
    </row>
    <row r="12968" spans="1:15" x14ac:dyDescent="0.3">
      <c r="A12968" t="s">
        <v>44</v>
      </c>
      <c r="B12968" t="s">
        <v>209</v>
      </c>
      <c r="C12968" t="s">
        <v>32</v>
      </c>
      <c r="D12968" t="s">
        <v>2834</v>
      </c>
      <c r="E12968" t="s">
        <v>2835</v>
      </c>
      <c r="F12968" t="s">
        <v>2836</v>
      </c>
      <c r="G12968" t="s">
        <v>2837</v>
      </c>
      <c r="H12968" t="s">
        <v>2838</v>
      </c>
      <c r="I12968" t="s">
        <v>2839</v>
      </c>
      <c r="J12968" t="s">
        <v>2840</v>
      </c>
      <c r="K12968" t="s">
        <v>2841</v>
      </c>
      <c r="L12968" t="s">
        <v>2842</v>
      </c>
      <c r="M12968" t="s">
        <v>2843</v>
      </c>
      <c r="N12968" t="s">
        <v>193</v>
      </c>
      <c r="O12968" t="s">
        <v>1275</v>
      </c>
    </row>
    <row r="12969" spans="1:15" s="5" customFormat="1" x14ac:dyDescent="0.3">
      <c r="A12969" s="5" t="s">
        <v>35</v>
      </c>
      <c r="B12969" s="5" t="s">
        <v>210</v>
      </c>
      <c r="C12969" s="5">
        <v>1</v>
      </c>
      <c r="D12969" s="5" t="s">
        <v>99</v>
      </c>
      <c r="E12969" s="5" t="s">
        <v>99</v>
      </c>
      <c r="F12969" s="5" t="s">
        <v>99</v>
      </c>
      <c r="G12969" s="5" t="s">
        <v>211</v>
      </c>
      <c r="H12969" s="5" t="s">
        <v>99</v>
      </c>
      <c r="I12969" s="5" t="s">
        <v>99</v>
      </c>
      <c r="J12969" s="5" t="s">
        <v>99</v>
      </c>
      <c r="K12969" s="5" t="s">
        <v>99</v>
      </c>
      <c r="L12969" s="5" t="s">
        <v>99</v>
      </c>
      <c r="M12969" s="5" t="s">
        <v>211</v>
      </c>
      <c r="N12969" s="5" t="s">
        <v>99</v>
      </c>
      <c r="O12969" s="5" t="s">
        <v>99</v>
      </c>
    </row>
    <row r="12970" spans="1:15" s="5" customFormat="1" x14ac:dyDescent="0.3">
      <c r="A12970" s="5" t="s">
        <v>35</v>
      </c>
      <c r="B12970" s="5" t="s">
        <v>212</v>
      </c>
      <c r="C12970" s="5">
        <v>1</v>
      </c>
      <c r="D12970" s="5" t="s">
        <v>99</v>
      </c>
      <c r="E12970" s="5" t="s">
        <v>211</v>
      </c>
      <c r="F12970" s="5" t="s">
        <v>99</v>
      </c>
      <c r="G12970" s="5" t="s">
        <v>99</v>
      </c>
      <c r="H12970" s="5" t="s">
        <v>99</v>
      </c>
      <c r="I12970" s="5" t="s">
        <v>99</v>
      </c>
      <c r="J12970" s="5" t="s">
        <v>99</v>
      </c>
      <c r="K12970" s="5" t="s">
        <v>99</v>
      </c>
      <c r="L12970" s="5" t="s">
        <v>99</v>
      </c>
      <c r="M12970" s="5" t="s">
        <v>99</v>
      </c>
      <c r="N12970" s="5" t="s">
        <v>99</v>
      </c>
      <c r="O12970" s="5" t="s">
        <v>99</v>
      </c>
    </row>
    <row r="12971" spans="1:15" s="5" customFormat="1" x14ac:dyDescent="0.3">
      <c r="A12971" s="5" t="s">
        <v>35</v>
      </c>
      <c r="B12971" s="5" t="s">
        <v>216</v>
      </c>
      <c r="C12971" s="5">
        <v>2</v>
      </c>
      <c r="D12971" s="5" t="s">
        <v>99</v>
      </c>
      <c r="E12971" s="5" t="s">
        <v>211</v>
      </c>
      <c r="F12971" s="5" t="s">
        <v>99</v>
      </c>
      <c r="G12971" s="5" t="s">
        <v>99</v>
      </c>
      <c r="H12971" s="5" t="s">
        <v>99</v>
      </c>
      <c r="I12971" s="5" t="s">
        <v>99</v>
      </c>
      <c r="J12971" s="5" t="s">
        <v>99</v>
      </c>
      <c r="K12971" s="5" t="s">
        <v>99</v>
      </c>
      <c r="L12971" s="5" t="s">
        <v>99</v>
      </c>
      <c r="M12971" s="5" t="s">
        <v>99</v>
      </c>
      <c r="N12971" s="5" t="s">
        <v>99</v>
      </c>
      <c r="O12971" s="5" t="s">
        <v>99</v>
      </c>
    </row>
    <row r="12972" spans="1:15" x14ac:dyDescent="0.3">
      <c r="A12972" t="s">
        <v>37</v>
      </c>
      <c r="B12972" t="s">
        <v>365</v>
      </c>
    </row>
    <row r="12973" spans="1:15" s="5" customFormat="1" x14ac:dyDescent="0.3">
      <c r="A12973" s="5" t="s">
        <v>36</v>
      </c>
      <c r="B12973" s="5" t="s">
        <v>210</v>
      </c>
      <c r="C12973" s="5">
        <v>3</v>
      </c>
      <c r="D12973" s="5" t="s">
        <v>99</v>
      </c>
      <c r="E12973" s="5" t="s">
        <v>1017</v>
      </c>
      <c r="F12973" s="5" t="s">
        <v>1124</v>
      </c>
      <c r="G12973" s="5" t="s">
        <v>424</v>
      </c>
      <c r="H12973" s="5" t="s">
        <v>99</v>
      </c>
      <c r="I12973" s="5" t="s">
        <v>99</v>
      </c>
      <c r="J12973" s="5" t="s">
        <v>99</v>
      </c>
      <c r="K12973" s="5" t="s">
        <v>99</v>
      </c>
      <c r="L12973" s="5" t="s">
        <v>99</v>
      </c>
      <c r="M12973" s="5" t="s">
        <v>99</v>
      </c>
      <c r="N12973" s="5" t="s">
        <v>99</v>
      </c>
      <c r="O12973" s="5" t="s">
        <v>99</v>
      </c>
    </row>
    <row r="12974" spans="1:15" s="5" customFormat="1" x14ac:dyDescent="0.3">
      <c r="A12974" s="5" t="s">
        <v>36</v>
      </c>
      <c r="B12974" s="5" t="s">
        <v>212</v>
      </c>
      <c r="C12974" s="5">
        <v>3</v>
      </c>
      <c r="D12974" s="5" t="s">
        <v>99</v>
      </c>
      <c r="E12974" s="5" t="s">
        <v>154</v>
      </c>
      <c r="F12974" s="5" t="s">
        <v>759</v>
      </c>
      <c r="G12974" s="5" t="s">
        <v>99</v>
      </c>
      <c r="H12974" s="5" t="s">
        <v>99</v>
      </c>
      <c r="I12974" s="5" t="s">
        <v>99</v>
      </c>
      <c r="J12974" s="5" t="s">
        <v>99</v>
      </c>
      <c r="K12974" s="5" t="s">
        <v>99</v>
      </c>
      <c r="L12974" s="5" t="s">
        <v>99</v>
      </c>
      <c r="M12974" s="5" t="s">
        <v>99</v>
      </c>
      <c r="N12974" s="5" t="s">
        <v>99</v>
      </c>
      <c r="O12974" s="5" t="s">
        <v>99</v>
      </c>
    </row>
    <row r="12975" spans="1:15" s="5" customFormat="1" x14ac:dyDescent="0.3">
      <c r="A12975" s="5" t="s">
        <v>36</v>
      </c>
      <c r="B12975" s="5" t="s">
        <v>216</v>
      </c>
      <c r="C12975" s="5">
        <v>2</v>
      </c>
      <c r="D12975" s="5" t="s">
        <v>99</v>
      </c>
      <c r="E12975" s="5" t="s">
        <v>99</v>
      </c>
      <c r="F12975" s="5" t="s">
        <v>99</v>
      </c>
      <c r="G12975" s="5" t="s">
        <v>99</v>
      </c>
      <c r="H12975" s="5" t="s">
        <v>99</v>
      </c>
      <c r="I12975" s="5" t="s">
        <v>99</v>
      </c>
      <c r="J12975" s="5" t="s">
        <v>99</v>
      </c>
      <c r="K12975" s="5" t="s">
        <v>68</v>
      </c>
      <c r="L12975" s="5" t="s">
        <v>69</v>
      </c>
      <c r="M12975" s="5" t="s">
        <v>99</v>
      </c>
      <c r="N12975" s="5" t="s">
        <v>99</v>
      </c>
      <c r="O12975" s="5" t="s">
        <v>99</v>
      </c>
    </row>
    <row r="12976" spans="1:15" s="5" customFormat="1" x14ac:dyDescent="0.3">
      <c r="A12976" s="5" t="s">
        <v>34</v>
      </c>
      <c r="B12976" s="5" t="s">
        <v>210</v>
      </c>
      <c r="C12976" s="5">
        <v>2</v>
      </c>
      <c r="D12976" s="5" t="s">
        <v>99</v>
      </c>
      <c r="E12976" s="5" t="s">
        <v>211</v>
      </c>
      <c r="F12976" s="5" t="s">
        <v>99</v>
      </c>
      <c r="G12976" s="5" t="s">
        <v>99</v>
      </c>
      <c r="H12976" s="5" t="s">
        <v>99</v>
      </c>
      <c r="I12976" s="5" t="s">
        <v>99</v>
      </c>
      <c r="J12976" s="5" t="s">
        <v>99</v>
      </c>
      <c r="K12976" s="5" t="s">
        <v>99</v>
      </c>
      <c r="L12976" s="5" t="s">
        <v>99</v>
      </c>
      <c r="M12976" s="5" t="s">
        <v>99</v>
      </c>
      <c r="N12976" s="5" t="s">
        <v>99</v>
      </c>
      <c r="O12976" s="5" t="s">
        <v>99</v>
      </c>
    </row>
    <row r="12977" spans="1:15" s="5" customFormat="1" x14ac:dyDescent="0.3">
      <c r="A12977" s="5" t="s">
        <v>34</v>
      </c>
      <c r="B12977" s="5" t="s">
        <v>212</v>
      </c>
      <c r="C12977" s="5">
        <v>2</v>
      </c>
      <c r="D12977" s="5" t="s">
        <v>99</v>
      </c>
      <c r="E12977" s="5" t="s">
        <v>211</v>
      </c>
      <c r="F12977" s="5" t="s">
        <v>99</v>
      </c>
      <c r="G12977" s="5" t="s">
        <v>99</v>
      </c>
      <c r="H12977" s="5" t="s">
        <v>99</v>
      </c>
      <c r="I12977" s="5" t="s">
        <v>99</v>
      </c>
      <c r="J12977" s="5" t="s">
        <v>99</v>
      </c>
      <c r="K12977" s="5" t="s">
        <v>99</v>
      </c>
      <c r="L12977" s="5" t="s">
        <v>99</v>
      </c>
      <c r="M12977" s="5" t="s">
        <v>99</v>
      </c>
      <c r="N12977" s="5" t="s">
        <v>99</v>
      </c>
      <c r="O12977" s="5" t="s">
        <v>99</v>
      </c>
    </row>
    <row r="12978" spans="1:15" s="5" customFormat="1" x14ac:dyDescent="0.3">
      <c r="A12978" s="5" t="s">
        <v>34</v>
      </c>
      <c r="B12978" s="5" t="s">
        <v>216</v>
      </c>
      <c r="C12978" s="5">
        <v>1</v>
      </c>
      <c r="D12978" s="5" t="s">
        <v>99</v>
      </c>
      <c r="E12978" s="5" t="s">
        <v>211</v>
      </c>
      <c r="F12978" s="5" t="s">
        <v>99</v>
      </c>
      <c r="G12978" s="5" t="s">
        <v>99</v>
      </c>
      <c r="H12978" s="5" t="s">
        <v>99</v>
      </c>
      <c r="I12978" s="5" t="s">
        <v>99</v>
      </c>
      <c r="J12978" s="5" t="s">
        <v>99</v>
      </c>
      <c r="K12978" s="5" t="s">
        <v>99</v>
      </c>
      <c r="L12978" s="5" t="s">
        <v>99</v>
      </c>
      <c r="M12978" s="5" t="s">
        <v>99</v>
      </c>
      <c r="N12978" s="5" t="s">
        <v>99</v>
      </c>
      <c r="O12978" s="5" t="s">
        <v>99</v>
      </c>
    </row>
    <row r="12979" spans="1:15" s="5" customFormat="1" x14ac:dyDescent="0.3">
      <c r="A12979" s="5" t="s">
        <v>33</v>
      </c>
      <c r="B12979" s="5" t="s">
        <v>210</v>
      </c>
      <c r="C12979" s="5">
        <v>1</v>
      </c>
      <c r="D12979" s="5" t="s">
        <v>99</v>
      </c>
      <c r="E12979" s="5" t="s">
        <v>211</v>
      </c>
      <c r="F12979" s="5" t="s">
        <v>99</v>
      </c>
      <c r="G12979" s="5" t="s">
        <v>99</v>
      </c>
      <c r="H12979" s="5" t="s">
        <v>99</v>
      </c>
      <c r="I12979" s="5" t="s">
        <v>99</v>
      </c>
      <c r="J12979" s="5" t="s">
        <v>99</v>
      </c>
      <c r="K12979" s="5" t="s">
        <v>99</v>
      </c>
      <c r="L12979" s="5" t="s">
        <v>99</v>
      </c>
      <c r="M12979" s="5" t="s">
        <v>99</v>
      </c>
      <c r="N12979" s="5" t="s">
        <v>99</v>
      </c>
      <c r="O12979" s="5" t="s">
        <v>99</v>
      </c>
    </row>
    <row r="12980" spans="1:15" s="5" customFormat="1" x14ac:dyDescent="0.3">
      <c r="A12980" s="5" t="s">
        <v>49</v>
      </c>
      <c r="B12980" s="5" t="s">
        <v>210</v>
      </c>
      <c r="C12980" s="5">
        <v>7</v>
      </c>
      <c r="D12980" s="5" t="s">
        <v>99</v>
      </c>
      <c r="E12980" s="5" t="s">
        <v>232</v>
      </c>
      <c r="F12980" s="5" t="s">
        <v>240</v>
      </c>
      <c r="G12980" s="5" t="s">
        <v>967</v>
      </c>
      <c r="H12980" s="5" t="s">
        <v>99</v>
      </c>
      <c r="I12980" s="5" t="s">
        <v>99</v>
      </c>
      <c r="J12980" s="5" t="s">
        <v>99</v>
      </c>
      <c r="K12980" s="5" t="s">
        <v>99</v>
      </c>
      <c r="L12980" s="5" t="s">
        <v>99</v>
      </c>
      <c r="M12980" s="5" t="s">
        <v>182</v>
      </c>
      <c r="N12980" s="5" t="s">
        <v>99</v>
      </c>
      <c r="O12980" s="5" t="s">
        <v>99</v>
      </c>
    </row>
    <row r="12981" spans="1:15" s="5" customFormat="1" x14ac:dyDescent="0.3">
      <c r="A12981" s="5" t="s">
        <v>49</v>
      </c>
      <c r="B12981" s="5" t="s">
        <v>212</v>
      </c>
      <c r="C12981" s="5">
        <v>6</v>
      </c>
      <c r="D12981" s="5" t="s">
        <v>99</v>
      </c>
      <c r="E12981" s="5" t="s">
        <v>997</v>
      </c>
      <c r="F12981" s="5" t="s">
        <v>840</v>
      </c>
      <c r="G12981" s="5" t="s">
        <v>99</v>
      </c>
      <c r="H12981" s="5" t="s">
        <v>99</v>
      </c>
      <c r="I12981" s="5" t="s">
        <v>99</v>
      </c>
      <c r="J12981" s="5" t="s">
        <v>99</v>
      </c>
      <c r="K12981" s="5" t="s">
        <v>99</v>
      </c>
      <c r="L12981" s="5" t="s">
        <v>99</v>
      </c>
      <c r="M12981" s="5" t="s">
        <v>99</v>
      </c>
      <c r="N12981" s="5" t="s">
        <v>99</v>
      </c>
      <c r="O12981" s="5" t="s">
        <v>99</v>
      </c>
    </row>
    <row r="12982" spans="1:15" s="5" customFormat="1" x14ac:dyDescent="0.3">
      <c r="A12982" s="5" t="s">
        <v>49</v>
      </c>
      <c r="B12982" s="5" t="s">
        <v>216</v>
      </c>
      <c r="C12982" s="5">
        <v>5</v>
      </c>
      <c r="D12982" s="5" t="s">
        <v>99</v>
      </c>
      <c r="E12982" s="5" t="s">
        <v>162</v>
      </c>
      <c r="F12982" s="5" t="s">
        <v>99</v>
      </c>
      <c r="G12982" s="5" t="s">
        <v>99</v>
      </c>
      <c r="H12982" s="5" t="s">
        <v>99</v>
      </c>
      <c r="I12982" s="5" t="s">
        <v>99</v>
      </c>
      <c r="J12982" s="5" t="s">
        <v>99</v>
      </c>
      <c r="K12982" s="5" t="s">
        <v>207</v>
      </c>
      <c r="L12982" s="5" t="s">
        <v>325</v>
      </c>
      <c r="M12982" s="5" t="s">
        <v>99</v>
      </c>
      <c r="N12982" s="5" t="s">
        <v>99</v>
      </c>
      <c r="O12982" s="5" t="s">
        <v>99</v>
      </c>
    </row>
    <row r="12984" spans="1:15" x14ac:dyDescent="0.3">
      <c r="A12984" t="s">
        <v>2870</v>
      </c>
    </row>
    <row r="12985" spans="1:15" x14ac:dyDescent="0.3">
      <c r="A12985" t="s">
        <v>44</v>
      </c>
      <c r="B12985" t="s">
        <v>209</v>
      </c>
      <c r="C12985" t="s">
        <v>32</v>
      </c>
      <c r="D12985" t="s">
        <v>2834</v>
      </c>
      <c r="E12985" t="s">
        <v>2835</v>
      </c>
      <c r="F12985" t="s">
        <v>2836</v>
      </c>
      <c r="G12985" t="s">
        <v>2837</v>
      </c>
      <c r="H12985" t="s">
        <v>2838</v>
      </c>
      <c r="I12985" t="s">
        <v>2839</v>
      </c>
      <c r="J12985" t="s">
        <v>2840</v>
      </c>
      <c r="K12985" t="s">
        <v>2841</v>
      </c>
      <c r="L12985" t="s">
        <v>2842</v>
      </c>
      <c r="M12985" t="s">
        <v>2843</v>
      </c>
      <c r="N12985" t="s">
        <v>193</v>
      </c>
      <c r="O12985" t="s">
        <v>1275</v>
      </c>
    </row>
    <row r="12986" spans="1:15" x14ac:dyDescent="0.3">
      <c r="A12986" t="s">
        <v>35</v>
      </c>
      <c r="B12986" t="s">
        <v>365</v>
      </c>
    </row>
    <row r="12987" spans="1:15" x14ac:dyDescent="0.3">
      <c r="A12987" t="s">
        <v>37</v>
      </c>
      <c r="B12987" t="s">
        <v>365</v>
      </c>
    </row>
    <row r="12988" spans="1:15" s="5" customFormat="1" x14ac:dyDescent="0.3">
      <c r="A12988" s="5" t="s">
        <v>36</v>
      </c>
      <c r="B12988" s="5" t="s">
        <v>210</v>
      </c>
      <c r="C12988" s="5">
        <v>1</v>
      </c>
      <c r="D12988" s="5" t="s">
        <v>211</v>
      </c>
      <c r="E12988" s="5" t="s">
        <v>99</v>
      </c>
      <c r="F12988" s="5" t="s">
        <v>99</v>
      </c>
      <c r="G12988" s="5" t="s">
        <v>99</v>
      </c>
      <c r="H12988" s="5" t="s">
        <v>99</v>
      </c>
      <c r="I12988" s="5" t="s">
        <v>99</v>
      </c>
      <c r="J12988" s="5" t="s">
        <v>99</v>
      </c>
      <c r="K12988" s="5" t="s">
        <v>99</v>
      </c>
      <c r="L12988" s="5" t="s">
        <v>99</v>
      </c>
      <c r="M12988" s="5" t="s">
        <v>99</v>
      </c>
      <c r="N12988" s="5" t="s">
        <v>99</v>
      </c>
      <c r="O12988" s="5" t="s">
        <v>99</v>
      </c>
    </row>
    <row r="12989" spans="1:15" s="5" customFormat="1" x14ac:dyDescent="0.3">
      <c r="A12989" s="5" t="s">
        <v>36</v>
      </c>
      <c r="B12989" s="5" t="s">
        <v>216</v>
      </c>
      <c r="C12989" s="5">
        <v>2</v>
      </c>
      <c r="D12989" s="5" t="s">
        <v>99</v>
      </c>
      <c r="E12989" s="5" t="s">
        <v>1044</v>
      </c>
      <c r="F12989" s="5" t="s">
        <v>99</v>
      </c>
      <c r="G12989" s="5" t="s">
        <v>99</v>
      </c>
      <c r="H12989" s="5" t="s">
        <v>99</v>
      </c>
      <c r="I12989" s="5" t="s">
        <v>492</v>
      </c>
      <c r="J12989" s="5" t="s">
        <v>99</v>
      </c>
      <c r="K12989" s="5" t="s">
        <v>99</v>
      </c>
      <c r="L12989" s="5" t="s">
        <v>99</v>
      </c>
      <c r="M12989" s="5" t="s">
        <v>99</v>
      </c>
      <c r="N12989" s="5" t="s">
        <v>99</v>
      </c>
      <c r="O12989" s="5" t="s">
        <v>99</v>
      </c>
    </row>
    <row r="12990" spans="1:15" x14ac:dyDescent="0.3">
      <c r="A12990" t="s">
        <v>34</v>
      </c>
      <c r="B12990" t="s">
        <v>365</v>
      </c>
    </row>
    <row r="12991" spans="1:15" x14ac:dyDescent="0.3">
      <c r="A12991" t="s">
        <v>33</v>
      </c>
      <c r="B12991" t="s">
        <v>365</v>
      </c>
    </row>
    <row r="12992" spans="1:15" s="5" customFormat="1" x14ac:dyDescent="0.3">
      <c r="A12992" s="5" t="s">
        <v>49</v>
      </c>
      <c r="B12992" s="5" t="s">
        <v>210</v>
      </c>
      <c r="C12992" s="5">
        <v>1</v>
      </c>
      <c r="D12992" s="5" t="s">
        <v>211</v>
      </c>
      <c r="E12992" s="5" t="s">
        <v>99</v>
      </c>
      <c r="F12992" s="5" t="s">
        <v>99</v>
      </c>
      <c r="G12992" s="5" t="s">
        <v>99</v>
      </c>
      <c r="H12992" s="5" t="s">
        <v>99</v>
      </c>
      <c r="I12992" s="5" t="s">
        <v>99</v>
      </c>
      <c r="J12992" s="5" t="s">
        <v>99</v>
      </c>
      <c r="K12992" s="5" t="s">
        <v>99</v>
      </c>
      <c r="L12992" s="5" t="s">
        <v>99</v>
      </c>
      <c r="M12992" s="5" t="s">
        <v>99</v>
      </c>
      <c r="N12992" s="5" t="s">
        <v>99</v>
      </c>
      <c r="O12992" s="5" t="s">
        <v>99</v>
      </c>
    </row>
    <row r="12993" spans="1:15" s="5" customFormat="1" x14ac:dyDescent="0.3">
      <c r="A12993" s="5" t="s">
        <v>49</v>
      </c>
      <c r="B12993" s="5" t="s">
        <v>216</v>
      </c>
      <c r="C12993" s="5">
        <v>2</v>
      </c>
      <c r="D12993" s="5" t="s">
        <v>99</v>
      </c>
      <c r="E12993" s="5" t="s">
        <v>1044</v>
      </c>
      <c r="F12993" s="5" t="s">
        <v>99</v>
      </c>
      <c r="G12993" s="5" t="s">
        <v>99</v>
      </c>
      <c r="H12993" s="5" t="s">
        <v>99</v>
      </c>
      <c r="I12993" s="5" t="s">
        <v>492</v>
      </c>
      <c r="J12993" s="5" t="s">
        <v>99</v>
      </c>
      <c r="K12993" s="5" t="s">
        <v>99</v>
      </c>
      <c r="L12993" s="5" t="s">
        <v>99</v>
      </c>
      <c r="M12993" s="5" t="s">
        <v>99</v>
      </c>
      <c r="N12993" s="5" t="s">
        <v>99</v>
      </c>
      <c r="O12993" s="5" t="s">
        <v>99</v>
      </c>
    </row>
  </sheetData>
  <autoFilter ref="B1:C12993" xr:uid="{00000000-0001-0000-0100-000000000000}"/>
  <pageMargins left="0.7" right="0.7" top="0.75" bottom="0.75" header="0.3" footer="0.3"/>
  <pageSetup paperSize="9" orientation="portrait" horizontalDpi="300" verticalDpi="30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c228d1bd-650e-48eb-9f39-f684bd7bd257">
      <Terms xmlns="http://schemas.microsoft.com/office/infopath/2007/PartnerControls"/>
    </lcf76f155ced4ddcb4097134ff3c332f>
    <TaxCatchAll xmlns="fa0b5fe5-391f-41b6-811a-90e0518c7af2"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93A2E158ED92647AF4EE09E30C26EE1" ma:contentTypeVersion="15" ma:contentTypeDescription="Crée un document." ma:contentTypeScope="" ma:versionID="8613280934e54dd97320f0fb3b0482c0">
  <xsd:schema xmlns:xsd="http://www.w3.org/2001/XMLSchema" xmlns:xs="http://www.w3.org/2001/XMLSchema" xmlns:p="http://schemas.microsoft.com/office/2006/metadata/properties" xmlns:ns2="c228d1bd-650e-48eb-9f39-f684bd7bd257" xmlns:ns3="fa0b5fe5-391f-41b6-811a-90e0518c7af2" targetNamespace="http://schemas.microsoft.com/office/2006/metadata/properties" ma:root="true" ma:fieldsID="b173159dc18dd73eb575c3732c5504c5" ns2:_="" ns3:_="">
    <xsd:import namespace="c228d1bd-650e-48eb-9f39-f684bd7bd257"/>
    <xsd:import namespace="fa0b5fe5-391f-41b6-811a-90e0518c7af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Locatio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28d1bd-650e-48eb-9f39-f684bd7bd25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Balises d’images" ma:readOnly="false" ma:fieldId="{5cf76f15-5ced-4ddc-b409-7134ff3c332f}" ma:taxonomyMulti="true" ma:sspId="4d06f0b5-5743-41f2-90d3-b12c8ffc7f36"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20" nillable="true" ma:displayName="Location" ma:description="" ma:indexed="true" ma:internalName="MediaServiceLocation" ma:readOnly="true">
      <xsd:simpleType>
        <xsd:restriction base="dms:Text"/>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a0b5fe5-391f-41b6-811a-90e0518c7af2"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19467c31-3563-4463-b194-9d16e3020301}" ma:internalName="TaxCatchAll" ma:showField="CatchAllData" ma:web="fa0b5fe5-391f-41b6-811a-90e0518c7af2">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898561D-8040-4D51-82DD-2801C73E70BC}">
  <ds:schemaRefs>
    <ds:schemaRef ds:uri="http://schemas.microsoft.com/sharepoint/v3/contenttype/forms"/>
  </ds:schemaRefs>
</ds:datastoreItem>
</file>

<file path=customXml/itemProps2.xml><?xml version="1.0" encoding="utf-8"?>
<ds:datastoreItem xmlns:ds="http://schemas.openxmlformats.org/officeDocument/2006/customXml" ds:itemID="{5900F52C-FE7F-4C36-9A38-D5E3B8432ED4}">
  <ds:schemaRefs>
    <ds:schemaRef ds:uri="http://schemas.microsoft.com/office/2006/metadata/properties"/>
    <ds:schemaRef ds:uri="http://schemas.microsoft.com/office/infopath/2007/PartnerControls"/>
    <ds:schemaRef ds:uri="c228d1bd-650e-48eb-9f39-f684bd7bd257"/>
    <ds:schemaRef ds:uri="fa0b5fe5-391f-41b6-811a-90e0518c7af2"/>
  </ds:schemaRefs>
</ds:datastoreItem>
</file>

<file path=customXml/itemProps3.xml><?xml version="1.0" encoding="utf-8"?>
<ds:datastoreItem xmlns:ds="http://schemas.openxmlformats.org/officeDocument/2006/customXml" ds:itemID="{B7D4EC62-B4AB-490B-8B43-C7B8A5D211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228d1bd-650e-48eb-9f39-f684bd7bd257"/>
    <ds:schemaRef ds:uri="fa0b5fe5-391f-41b6-811a-90e0518c7af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READ_ME</vt:lpstr>
      <vt:lpstr>Table_of_Contents</vt:lpstr>
      <vt:lpstr>Data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reach</dc:creator>
  <cp:keywords/>
  <dc:description/>
  <cp:lastModifiedBy>Olha MYKHAILUK</cp:lastModifiedBy>
  <cp:revision/>
  <dcterms:created xsi:type="dcterms:W3CDTF">2023-09-01T12:52:05Z</dcterms:created>
  <dcterms:modified xsi:type="dcterms:W3CDTF">2023-10-25T13:06:12Z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0x010100193A2E158ED92647AF4EE09E30C26EE1</vt:lpwstr>
  </property>
  <property fmtid="{D5CDD505-2E9C-101B-9397-08002B2CF9AE}" pid="3" name="MediaServiceImageTags">
    <vt:lpwstr/>
  </property>
</Properties>
</file>